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0002\Desktop\"/>
    </mc:Choice>
  </mc:AlternateContent>
  <bookViews>
    <workbookView xWindow="0" yWindow="0" windowWidth="28800" windowHeight="14565" tabRatio="829"/>
  </bookViews>
  <sheets>
    <sheet name="Data-Projects-All" sheetId="1" r:id="rId1"/>
    <sheet name="Data-CostAssumptions" sheetId="10" r:id="rId2"/>
    <sheet name="Data-ProjectTypes" sheetId="9" r:id="rId3"/>
    <sheet name="Data-Lookups" sheetId="5" state="hidden" r:id="rId4"/>
    <sheet name="List-SIS" sheetId="24" r:id="rId5"/>
    <sheet name="List-Turnpike" sheetId="25" r:id="rId6"/>
    <sheet name="List-Airport" sheetId="17" r:id="rId7"/>
    <sheet name="List-Seaport" sheetId="18" r:id="rId8"/>
    <sheet name="List-FreightRail" sheetId="22" r:id="rId9"/>
    <sheet name="List-SFRTA" sheetId="21" r:id="rId10"/>
    <sheet name="List-Bike" sheetId="12" r:id="rId11"/>
    <sheet name="List-Ped" sheetId="13" r:id="rId12"/>
    <sheet name="List-Greenway" sheetId="14" r:id="rId13"/>
    <sheet name="List-NonRegional" sheetId="23" r:id="rId14"/>
    <sheet name="List-Roadway" sheetId="15" r:id="rId15"/>
    <sheet name="List-ITSSystems" sheetId="19" r:id="rId16"/>
    <sheet name="List-BCT" sheetId="16" r:id="rId17"/>
    <sheet name="List-FurtherStudy" sheetId="20" r:id="rId18"/>
    <sheet name="Analysis-Commitments" sheetId="28" r:id="rId19"/>
    <sheet name="Analysis-O&amp;M" sheetId="26" r:id="rId20"/>
    <sheet name="Analysis-Funding" sheetId="27" r:id="rId21"/>
    <sheet name="Notes-Issues" sheetId="11" r:id="rId22"/>
  </sheets>
  <externalReferences>
    <externalReference r:id="rId23"/>
  </externalReferences>
  <definedNames>
    <definedName name="_xlnm._FilterDatabase" localSheetId="0" hidden="1">'Data-Projects-All'!$A$1:$Y$1859</definedName>
    <definedName name="_xlnm._FilterDatabase" localSheetId="16" hidden="1">'List-BCT'!$A$1:$AL$102</definedName>
    <definedName name="_xlnm._FilterDatabase" localSheetId="14" hidden="1">'List-Roadway'!$A$1:$AM$120</definedName>
    <definedName name="Costs2015">#REF!</definedName>
    <definedName name="Costs2018">#REF!</definedName>
    <definedName name="Costs2023">#REF!</definedName>
    <definedName name="Costs2028">#REF!</definedName>
    <definedName name="Costs2033">#REF!</definedName>
    <definedName name="MPO">#REF!</definedName>
    <definedName name="Needed">'Data-Lookups'!$B$12:$B$15</definedName>
    <definedName name="_xlnm.Print_Area" localSheetId="19">'Analysis-O&amp;M'!$J$1:$P$43</definedName>
    <definedName name="_xlnm.Print_Area" localSheetId="16">'List-BCT'!$I$1:$AK$97</definedName>
    <definedName name="ProjectCostPhasing">#REF!</definedName>
    <definedName name="ProjectsByCity">#REF!</definedName>
    <definedName name="Query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K5" i="28" l="1"/>
  <c r="L26" i="26" l="1"/>
  <c r="M26" i="26"/>
  <c r="N26" i="26"/>
  <c r="K26" i="26"/>
  <c r="N4" i="28" l="1"/>
  <c r="F7" i="28"/>
  <c r="N6" i="28"/>
  <c r="N7" i="28"/>
  <c r="B10" i="28"/>
  <c r="C10" i="28"/>
  <c r="D10" i="28"/>
  <c r="E10" i="28"/>
  <c r="B11" i="28"/>
  <c r="C11" i="28"/>
  <c r="G11" i="28" s="1"/>
  <c r="D11" i="28"/>
  <c r="F11" i="28"/>
  <c r="F12" i="28" s="1"/>
  <c r="G12" i="28" s="1"/>
  <c r="G15" i="28"/>
  <c r="A20" i="28"/>
  <c r="K8" i="28" l="1"/>
  <c r="O7" i="28" s="1"/>
  <c r="K6" i="28"/>
  <c r="O4" i="28" s="1"/>
  <c r="B4" i="27"/>
  <c r="C4" i="27"/>
  <c r="D4" i="27"/>
  <c r="D10" i="27" s="1"/>
  <c r="E4" i="27"/>
  <c r="E6" i="27" s="1"/>
  <c r="F4" i="27"/>
  <c r="B6" i="27"/>
  <c r="C6" i="27"/>
  <c r="D6" i="27"/>
  <c r="O6" i="27"/>
  <c r="M8" i="27"/>
  <c r="M10" i="27" s="1"/>
  <c r="M9" i="27"/>
  <c r="O9" i="27"/>
  <c r="P9" i="27"/>
  <c r="B10" i="27"/>
  <c r="C10" i="27"/>
  <c r="E10" i="27" l="1"/>
  <c r="F6" i="27"/>
  <c r="AL9" i="19"/>
  <c r="AL8" i="19"/>
  <c r="AL7" i="19"/>
  <c r="AA9" i="19"/>
  <c r="AA8" i="19"/>
  <c r="AA7" i="19"/>
  <c r="AG9" i="19"/>
  <c r="AG8" i="19"/>
  <c r="AG7" i="19"/>
  <c r="I9" i="19"/>
  <c r="I8" i="19"/>
  <c r="I7" i="19"/>
  <c r="K9" i="19"/>
  <c r="K8" i="19"/>
  <c r="K7" i="19"/>
  <c r="F10" i="27" l="1"/>
  <c r="AD16" i="15"/>
  <c r="Z82" i="16" l="1"/>
  <c r="AD31" i="16" l="1"/>
  <c r="I4" i="16" l="1"/>
  <c r="AL97" i="16"/>
  <c r="AK97" i="16"/>
  <c r="AJ97" i="16"/>
  <c r="AD97" i="16"/>
  <c r="AG97" i="16" s="1"/>
  <c r="AA97" i="16"/>
  <c r="AF97" i="16"/>
  <c r="AI97" i="16" s="1"/>
  <c r="K97" i="16"/>
  <c r="I97" i="16"/>
  <c r="AL98" i="16"/>
  <c r="AJ98" i="16"/>
  <c r="AD98" i="16"/>
  <c r="AG98" i="16" s="1"/>
  <c r="AA98" i="16"/>
  <c r="K98" i="16"/>
  <c r="I98" i="16"/>
  <c r="AE97" i="16" l="1"/>
  <c r="AH97" i="16" s="1"/>
  <c r="AF98" i="16"/>
  <c r="AE98" i="16"/>
  <c r="AI98" i="16" l="1"/>
  <c r="AK98" i="16"/>
  <c r="AH98" i="16"/>
  <c r="I98" i="15" l="1"/>
  <c r="K98" i="15"/>
  <c r="I99" i="15"/>
  <c r="K99" i="15"/>
  <c r="I100" i="15"/>
  <c r="K100" i="15"/>
  <c r="I101" i="15"/>
  <c r="K101" i="15"/>
  <c r="I102" i="15"/>
  <c r="K102" i="15"/>
  <c r="I103" i="15"/>
  <c r="K103" i="15"/>
  <c r="I104" i="15"/>
  <c r="K104" i="15"/>
  <c r="I105" i="15"/>
  <c r="K105" i="15"/>
  <c r="Q3" i="26"/>
  <c r="Z23" i="16" l="1"/>
  <c r="Z14" i="16"/>
  <c r="AD12" i="19"/>
  <c r="AD11" i="19"/>
  <c r="AD10" i="19"/>
  <c r="AK5" i="19"/>
  <c r="AK10" i="19"/>
  <c r="AK11" i="19"/>
  <c r="AK12" i="19"/>
  <c r="AJ11" i="19"/>
  <c r="AJ12" i="19"/>
  <c r="AI11" i="19"/>
  <c r="AI12" i="19"/>
  <c r="AH10" i="19"/>
  <c r="AK4" i="19"/>
  <c r="AJ3" i="19"/>
  <c r="AK2" i="19"/>
  <c r="AJ2" i="19"/>
  <c r="AD5" i="15" l="1"/>
  <c r="AD91" i="15"/>
  <c r="AD4" i="15"/>
  <c r="AD3" i="15"/>
  <c r="AD59" i="15" l="1"/>
  <c r="AD6" i="15"/>
  <c r="AD7" i="15"/>
  <c r="AD92" i="15"/>
  <c r="AD8" i="15"/>
  <c r="AD9" i="15"/>
  <c r="AD10" i="15"/>
  <c r="AD11" i="15"/>
  <c r="AD12" i="15"/>
  <c r="AD93" i="15"/>
  <c r="AD13" i="15"/>
  <c r="AD14" i="15"/>
  <c r="AD15" i="15"/>
  <c r="AD17" i="15"/>
  <c r="AD18" i="15"/>
  <c r="AD19" i="15"/>
  <c r="AD20" i="15"/>
  <c r="AD108" i="15"/>
  <c r="AD21" i="15"/>
  <c r="AD22" i="15"/>
  <c r="AD23" i="15"/>
  <c r="AD24" i="15"/>
  <c r="AD25" i="15"/>
  <c r="AD26" i="15"/>
  <c r="AD27" i="15"/>
  <c r="AD94" i="15"/>
  <c r="AD73" i="15"/>
  <c r="AD74" i="15"/>
  <c r="AD28" i="15"/>
  <c r="AD29" i="15"/>
  <c r="AD30" i="15"/>
  <c r="AD31" i="15"/>
  <c r="AD98" i="15"/>
  <c r="AD72" i="15"/>
  <c r="AD60" i="15"/>
  <c r="AD95" i="15"/>
  <c r="AD32" i="15"/>
  <c r="AD33" i="15"/>
  <c r="AD61" i="15"/>
  <c r="AD34" i="15"/>
  <c r="AD117" i="15"/>
  <c r="AD118" i="15"/>
  <c r="AD62" i="15"/>
  <c r="AD114" i="15"/>
  <c r="AD35" i="15"/>
  <c r="AD63" i="15"/>
  <c r="AD96" i="15"/>
  <c r="AD36" i="15"/>
  <c r="AD97" i="15"/>
  <c r="AD111" i="15"/>
  <c r="AD37" i="15"/>
  <c r="AD75" i="15"/>
  <c r="AD115" i="15"/>
  <c r="AD99" i="15"/>
  <c r="AD100" i="15"/>
  <c r="AD119" i="15"/>
  <c r="AD38" i="15"/>
  <c r="AD39" i="15"/>
  <c r="AD101" i="15"/>
  <c r="AD40" i="15"/>
  <c r="AD109" i="15"/>
  <c r="AD112" i="15"/>
  <c r="AD102" i="15"/>
  <c r="AD69" i="15"/>
  <c r="AD76" i="15"/>
  <c r="AD77" i="15"/>
  <c r="AD56" i="15"/>
  <c r="AD113" i="15"/>
  <c r="AD64" i="15"/>
  <c r="AD78" i="15"/>
  <c r="AD79" i="15"/>
  <c r="AD116" i="15"/>
  <c r="AD65" i="15"/>
  <c r="AD103" i="15"/>
  <c r="AD41" i="15"/>
  <c r="AD110" i="15"/>
  <c r="AD104" i="15"/>
  <c r="AD42" i="15"/>
  <c r="AD80" i="15"/>
  <c r="AD66" i="15"/>
  <c r="AD81" i="15"/>
  <c r="AD82" i="15"/>
  <c r="AD83" i="15"/>
  <c r="AD43" i="15"/>
  <c r="AD44" i="15"/>
  <c r="AD57" i="15"/>
  <c r="AD58" i="15"/>
  <c r="AD67" i="15"/>
  <c r="AD84" i="15"/>
  <c r="AD68" i="15"/>
  <c r="AD85" i="15"/>
  <c r="AD86" i="15"/>
  <c r="AD87" i="15"/>
  <c r="AD70" i="15"/>
  <c r="AD45" i="15"/>
  <c r="AD46" i="15"/>
  <c r="AD47" i="15"/>
  <c r="AD48" i="15"/>
  <c r="AD49" i="15"/>
  <c r="AD107" i="15"/>
  <c r="AD50" i="15"/>
  <c r="AD51" i="15"/>
  <c r="AD71" i="15"/>
  <c r="AD88" i="15"/>
  <c r="AD105" i="15"/>
  <c r="AD52" i="15"/>
  <c r="AD89" i="15"/>
  <c r="AG89" i="15" s="1"/>
  <c r="AD53" i="15"/>
  <c r="AD90" i="15"/>
  <c r="AD54" i="15"/>
  <c r="AD55" i="15"/>
  <c r="AD106" i="15"/>
  <c r="AD2" i="15"/>
  <c r="AL11" i="15"/>
  <c r="AL93" i="15"/>
  <c r="AL15" i="15"/>
  <c r="AL19" i="15"/>
  <c r="AL29" i="15"/>
  <c r="AL95" i="15"/>
  <c r="AL117" i="15"/>
  <c r="AL110" i="15"/>
  <c r="AL42" i="15"/>
  <c r="AL43" i="15"/>
  <c r="AL44" i="15"/>
  <c r="AL46" i="15"/>
  <c r="AL47" i="15"/>
  <c r="AL48" i="15"/>
  <c r="AL51" i="15"/>
  <c r="AL53" i="15"/>
  <c r="AK4" i="15"/>
  <c r="AK91" i="15"/>
  <c r="AK6" i="15"/>
  <c r="AK7" i="15"/>
  <c r="AK92" i="15"/>
  <c r="AK8" i="15"/>
  <c r="AK9" i="15"/>
  <c r="AK10" i="15"/>
  <c r="AK13" i="15"/>
  <c r="AK14" i="15"/>
  <c r="AK16" i="15"/>
  <c r="AK17" i="15"/>
  <c r="AK18" i="15"/>
  <c r="AK20" i="15"/>
  <c r="AK108" i="15"/>
  <c r="AK21" i="15"/>
  <c r="AK23" i="15"/>
  <c r="AK24" i="15"/>
  <c r="AK25" i="15"/>
  <c r="AK26" i="15"/>
  <c r="AK94" i="15"/>
  <c r="AK73" i="15"/>
  <c r="AK74" i="15"/>
  <c r="AK29" i="15"/>
  <c r="AK30" i="15"/>
  <c r="AK98" i="15"/>
  <c r="AK60" i="15"/>
  <c r="AK33" i="15"/>
  <c r="AK61" i="15"/>
  <c r="AK117" i="15"/>
  <c r="AK118" i="15"/>
  <c r="AK62" i="15"/>
  <c r="AK114" i="15"/>
  <c r="AK35" i="15"/>
  <c r="AK63" i="15"/>
  <c r="AK96" i="15"/>
  <c r="AK36" i="15"/>
  <c r="AK97" i="15"/>
  <c r="AK111" i="15"/>
  <c r="AK37" i="15"/>
  <c r="AK75" i="15"/>
  <c r="AK115" i="15"/>
  <c r="AK99" i="15"/>
  <c r="AK100" i="15"/>
  <c r="AK119" i="15"/>
  <c r="AK38" i="15"/>
  <c r="AK39" i="15"/>
  <c r="AK101" i="15"/>
  <c r="AK40" i="15"/>
  <c r="AK109" i="15"/>
  <c r="AK112" i="15"/>
  <c r="AK102" i="15"/>
  <c r="AK69" i="15"/>
  <c r="AK76" i="15"/>
  <c r="AK77" i="15"/>
  <c r="AK56" i="15"/>
  <c r="AK113" i="15"/>
  <c r="AK64" i="15"/>
  <c r="AK78" i="15"/>
  <c r="AK79" i="15"/>
  <c r="AK116" i="15"/>
  <c r="AK65" i="15"/>
  <c r="AK103" i="15"/>
  <c r="AK41" i="15"/>
  <c r="AK110" i="15"/>
  <c r="AK104" i="15"/>
  <c r="AK42" i="15"/>
  <c r="AK80" i="15"/>
  <c r="AK66" i="15"/>
  <c r="AK81" i="15"/>
  <c r="AK82" i="15"/>
  <c r="AK83" i="15"/>
  <c r="AK43" i="15"/>
  <c r="AK44" i="15"/>
  <c r="AK57" i="15"/>
  <c r="AK58" i="15"/>
  <c r="AK67" i="15"/>
  <c r="AK84" i="15"/>
  <c r="AK68" i="15"/>
  <c r="AK85" i="15"/>
  <c r="AK86" i="15"/>
  <c r="AK87" i="15"/>
  <c r="AK70" i="15"/>
  <c r="AK45" i="15"/>
  <c r="AK46" i="15"/>
  <c r="AK47" i="15"/>
  <c r="AK48" i="15"/>
  <c r="AK49" i="15"/>
  <c r="AK107" i="15"/>
  <c r="AK50" i="15"/>
  <c r="AK51" i="15"/>
  <c r="AK71" i="15"/>
  <c r="AK88" i="15"/>
  <c r="AK105" i="15"/>
  <c r="AK52" i="15"/>
  <c r="AK89" i="15"/>
  <c r="AK53" i="15"/>
  <c r="AK90" i="15"/>
  <c r="AK54" i="15"/>
  <c r="AK55" i="15"/>
  <c r="AK106" i="15"/>
  <c r="AJ3" i="15"/>
  <c r="AJ4" i="15"/>
  <c r="AJ91" i="15"/>
  <c r="AJ6" i="15"/>
  <c r="AJ7" i="15"/>
  <c r="AJ92" i="15"/>
  <c r="AJ8" i="15"/>
  <c r="AJ9" i="15"/>
  <c r="AJ10" i="15"/>
  <c r="AJ11" i="15"/>
  <c r="AJ93" i="15"/>
  <c r="AJ13" i="15"/>
  <c r="AJ14" i="15"/>
  <c r="AJ15" i="15"/>
  <c r="AJ17" i="15"/>
  <c r="AJ18" i="15"/>
  <c r="AJ19" i="15"/>
  <c r="AJ20" i="15"/>
  <c r="AJ21" i="15"/>
  <c r="AJ23" i="15"/>
  <c r="AJ24" i="15"/>
  <c r="AJ25" i="15"/>
  <c r="AJ26" i="15"/>
  <c r="AJ94" i="15"/>
  <c r="AJ73" i="15"/>
  <c r="AJ74" i="15"/>
  <c r="AJ28" i="15"/>
  <c r="AJ29" i="15"/>
  <c r="AJ30" i="15"/>
  <c r="AJ31" i="15"/>
  <c r="AJ72" i="15"/>
  <c r="AJ60" i="15"/>
  <c r="AJ95" i="15"/>
  <c r="AJ33" i="15"/>
  <c r="AJ61" i="15"/>
  <c r="AJ34" i="15"/>
  <c r="AJ62" i="15"/>
  <c r="AJ35" i="15"/>
  <c r="AJ96" i="15"/>
  <c r="AJ97" i="15"/>
  <c r="AJ111" i="15"/>
  <c r="AJ37" i="15"/>
  <c r="AJ75" i="15"/>
  <c r="AJ115" i="15"/>
  <c r="AJ99" i="15"/>
  <c r="AJ100" i="15"/>
  <c r="AJ38" i="15"/>
  <c r="AJ39" i="15"/>
  <c r="AJ101" i="15"/>
  <c r="AJ40" i="15"/>
  <c r="AJ112" i="15"/>
  <c r="AJ102" i="15"/>
  <c r="AJ69" i="15"/>
  <c r="AJ77" i="15"/>
  <c r="AJ64" i="15"/>
  <c r="AJ78" i="15"/>
  <c r="AJ79" i="15"/>
  <c r="AJ116" i="15"/>
  <c r="AJ65" i="15"/>
  <c r="AJ103" i="15"/>
  <c r="AJ41" i="15"/>
  <c r="AJ110" i="15"/>
  <c r="AJ104" i="15"/>
  <c r="AJ42" i="15"/>
  <c r="AJ80" i="15"/>
  <c r="AJ66" i="15"/>
  <c r="AJ81" i="15"/>
  <c r="AJ82" i="15"/>
  <c r="AJ83" i="15"/>
  <c r="AJ43" i="15"/>
  <c r="AJ44" i="15"/>
  <c r="AJ57" i="15"/>
  <c r="AJ58" i="15"/>
  <c r="AJ67" i="15"/>
  <c r="AJ84" i="15"/>
  <c r="AJ68" i="15"/>
  <c r="AJ85" i="15"/>
  <c r="AJ86" i="15"/>
  <c r="AJ87" i="15"/>
  <c r="AJ70" i="15"/>
  <c r="AJ45" i="15"/>
  <c r="AJ46" i="15"/>
  <c r="AJ47" i="15"/>
  <c r="AJ48" i="15"/>
  <c r="AJ49" i="15"/>
  <c r="AJ107" i="15"/>
  <c r="AJ50" i="15"/>
  <c r="AJ51" i="15"/>
  <c r="AJ71" i="15"/>
  <c r="AJ88" i="15"/>
  <c r="AJ52" i="15"/>
  <c r="AJ89" i="15"/>
  <c r="AJ53" i="15"/>
  <c r="AJ90" i="15"/>
  <c r="AJ54" i="15"/>
  <c r="AJ55" i="15"/>
  <c r="AJ106" i="15"/>
  <c r="AI3" i="15"/>
  <c r="AI4" i="15"/>
  <c r="AI5" i="15"/>
  <c r="AI6" i="15"/>
  <c r="AI7" i="15"/>
  <c r="AI92" i="15"/>
  <c r="AI8" i="15"/>
  <c r="AI9" i="15"/>
  <c r="AI10" i="15"/>
  <c r="AI11" i="15"/>
  <c r="AI12" i="15"/>
  <c r="AI93" i="15"/>
  <c r="AI13" i="15"/>
  <c r="AI14" i="15"/>
  <c r="AI15" i="15"/>
  <c r="AI18" i="15"/>
  <c r="AI19" i="15"/>
  <c r="AI20" i="15"/>
  <c r="AI108" i="15"/>
  <c r="AI21" i="15"/>
  <c r="AI22" i="15"/>
  <c r="AI23" i="15"/>
  <c r="AI24" i="15"/>
  <c r="AI26" i="15"/>
  <c r="AI27" i="15"/>
  <c r="AI94" i="15"/>
  <c r="AI73" i="15"/>
  <c r="AI74" i="15"/>
  <c r="AI29" i="15"/>
  <c r="AI30" i="15"/>
  <c r="AI31" i="15"/>
  <c r="AI98" i="15"/>
  <c r="AI72" i="15"/>
  <c r="AI60" i="15"/>
  <c r="AI95" i="15"/>
  <c r="AI32" i="15"/>
  <c r="AI33" i="15"/>
  <c r="AI61" i="15"/>
  <c r="AI34" i="15"/>
  <c r="AI117" i="15"/>
  <c r="AI118" i="15"/>
  <c r="AI62" i="15"/>
  <c r="AI114" i="15"/>
  <c r="AI35" i="15"/>
  <c r="AI63" i="15"/>
  <c r="AI96" i="15"/>
  <c r="AI36" i="15"/>
  <c r="AI97" i="15"/>
  <c r="AI111" i="15"/>
  <c r="AI37" i="15"/>
  <c r="AI75" i="15"/>
  <c r="AI115" i="15"/>
  <c r="AI99" i="15"/>
  <c r="AI100" i="15"/>
  <c r="AI119" i="15"/>
  <c r="AI38" i="15"/>
  <c r="AI39" i="15"/>
  <c r="AI101" i="15"/>
  <c r="AI109" i="15"/>
  <c r="AI112" i="15"/>
  <c r="AI102" i="15"/>
  <c r="AI69" i="15"/>
  <c r="AI76" i="15"/>
  <c r="AI56" i="15"/>
  <c r="AI113" i="15"/>
  <c r="AI64" i="15"/>
  <c r="AI78" i="15"/>
  <c r="AI79" i="15"/>
  <c r="AI116" i="15"/>
  <c r="AI65" i="15"/>
  <c r="AI103" i="15"/>
  <c r="AI41" i="15"/>
  <c r="AI104" i="15"/>
  <c r="AI80" i="15"/>
  <c r="AI66" i="15"/>
  <c r="AI81" i="15"/>
  <c r="AI82" i="15"/>
  <c r="AI83" i="15"/>
  <c r="AI57" i="15"/>
  <c r="AI58" i="15"/>
  <c r="AI67" i="15"/>
  <c r="AI84" i="15"/>
  <c r="AI68" i="15"/>
  <c r="AI85" i="15"/>
  <c r="AI86" i="15"/>
  <c r="AI87" i="15"/>
  <c r="AI70" i="15"/>
  <c r="AI45" i="15"/>
  <c r="AI49" i="15"/>
  <c r="AI107" i="15"/>
  <c r="AI50" i="15"/>
  <c r="AI71" i="15"/>
  <c r="AI88" i="15"/>
  <c r="AI105" i="15"/>
  <c r="AI52" i="15"/>
  <c r="AI89" i="15"/>
  <c r="AI90" i="15"/>
  <c r="AI54" i="15"/>
  <c r="AI55" i="15"/>
  <c r="AI106" i="15"/>
  <c r="AH3" i="15"/>
  <c r="AH91" i="15"/>
  <c r="AH5" i="15"/>
  <c r="AH6" i="15"/>
  <c r="AH7" i="15"/>
  <c r="AH92" i="15"/>
  <c r="AH8" i="15"/>
  <c r="AH9" i="15"/>
  <c r="AH10" i="15"/>
  <c r="AH11" i="15"/>
  <c r="AH12" i="15"/>
  <c r="AH93" i="15"/>
  <c r="AH13" i="15"/>
  <c r="AH14" i="15"/>
  <c r="AH15" i="15"/>
  <c r="AH17" i="15"/>
  <c r="AH20" i="15"/>
  <c r="AH108" i="15"/>
  <c r="AH21" i="15"/>
  <c r="AH22" i="15"/>
  <c r="AH23" i="15"/>
  <c r="AH24" i="15"/>
  <c r="AH25" i="15"/>
  <c r="AH26" i="15"/>
  <c r="AH27" i="15"/>
  <c r="AH94" i="15"/>
  <c r="AH73" i="15"/>
  <c r="AH74" i="15"/>
  <c r="AH28" i="15"/>
  <c r="AH30" i="15"/>
  <c r="AH31" i="15"/>
  <c r="AH98" i="15"/>
  <c r="AH72" i="15"/>
  <c r="AH60" i="15"/>
  <c r="AH95" i="15"/>
  <c r="AH32" i="15"/>
  <c r="AH33" i="15"/>
  <c r="AH61" i="15"/>
  <c r="AH34" i="15"/>
  <c r="AH117" i="15"/>
  <c r="AH118" i="15"/>
  <c r="AH62" i="15"/>
  <c r="AH114" i="15"/>
  <c r="AH35" i="15"/>
  <c r="AH63" i="15"/>
  <c r="AH96" i="15"/>
  <c r="AH36" i="15"/>
  <c r="AH97" i="15"/>
  <c r="AH111" i="15"/>
  <c r="AH37" i="15"/>
  <c r="AH75" i="15"/>
  <c r="AH115" i="15"/>
  <c r="AH99" i="15"/>
  <c r="AH100" i="15"/>
  <c r="AH119" i="15"/>
  <c r="AH38" i="15"/>
  <c r="AH39" i="15"/>
  <c r="AH101" i="15"/>
  <c r="AH40" i="15"/>
  <c r="AH109" i="15"/>
  <c r="AH112" i="15"/>
  <c r="AH102" i="15"/>
  <c r="AH69" i="15"/>
  <c r="AH76" i="15"/>
  <c r="AH77" i="15"/>
  <c r="AH56" i="15"/>
  <c r="AH113" i="15"/>
  <c r="AH64" i="15"/>
  <c r="AH78" i="15"/>
  <c r="AH79" i="15"/>
  <c r="AH116" i="15"/>
  <c r="AH65" i="15"/>
  <c r="AH103" i="15"/>
  <c r="AH41" i="15"/>
  <c r="AH110" i="15"/>
  <c r="AH104" i="15"/>
  <c r="AH42" i="15"/>
  <c r="AH80" i="15"/>
  <c r="AH66" i="15"/>
  <c r="AH81" i="15"/>
  <c r="AH82" i="15"/>
  <c r="AH83" i="15"/>
  <c r="AH43" i="15"/>
  <c r="AH44" i="15"/>
  <c r="AH57" i="15"/>
  <c r="AH58" i="15"/>
  <c r="AH67" i="15"/>
  <c r="AH84" i="15"/>
  <c r="AH68" i="15"/>
  <c r="AH85" i="15"/>
  <c r="AH86" i="15"/>
  <c r="AH87" i="15"/>
  <c r="AH70" i="15"/>
  <c r="AH45" i="15"/>
  <c r="AH46" i="15"/>
  <c r="AH47" i="15"/>
  <c r="AH48" i="15"/>
  <c r="AH49" i="15"/>
  <c r="AH50" i="15"/>
  <c r="AH51" i="15"/>
  <c r="AH71" i="15"/>
  <c r="AH88" i="15"/>
  <c r="AH105" i="15"/>
  <c r="AH52" i="15"/>
  <c r="AH53" i="15"/>
  <c r="AH90" i="15"/>
  <c r="AH54" i="15"/>
  <c r="AH55" i="15"/>
  <c r="AH106" i="15"/>
  <c r="AK59" i="15"/>
  <c r="AJ59" i="15"/>
  <c r="AI59" i="15"/>
  <c r="AH59" i="15"/>
  <c r="AK2" i="15"/>
  <c r="AJ2" i="15"/>
  <c r="AI2" i="15"/>
  <c r="AH2" i="15"/>
  <c r="AD34" i="16"/>
  <c r="AD81" i="16"/>
  <c r="AD82" i="16"/>
  <c r="AD85" i="16"/>
  <c r="AD73" i="16"/>
  <c r="AD78" i="16"/>
  <c r="AD77" i="16"/>
  <c r="AD94" i="16"/>
  <c r="AD92" i="16"/>
  <c r="AD88" i="16"/>
  <c r="AD32" i="16"/>
  <c r="AD35" i="16"/>
  <c r="AD96" i="16"/>
  <c r="AD79" i="16"/>
  <c r="AD80" i="16"/>
  <c r="AD37" i="16"/>
  <c r="AD84" i="16"/>
  <c r="AD91" i="16"/>
  <c r="AD89" i="16"/>
  <c r="AD67" i="16"/>
  <c r="AD95" i="16"/>
  <c r="AD86" i="16"/>
  <c r="AD90" i="16"/>
  <c r="AD83" i="16"/>
  <c r="AD74" i="16"/>
  <c r="AD33" i="16"/>
  <c r="AD71" i="16"/>
  <c r="AD72" i="16"/>
  <c r="AD59" i="16"/>
  <c r="AD3" i="16"/>
  <c r="AD58" i="16"/>
  <c r="AD36" i="16"/>
  <c r="AD75" i="16"/>
  <c r="AD2" i="16"/>
  <c r="AD61" i="16"/>
  <c r="AD5" i="16"/>
  <c r="AD101" i="16"/>
  <c r="AD64" i="16"/>
  <c r="AD87" i="16"/>
  <c r="AD65" i="16"/>
  <c r="AD62" i="16"/>
  <c r="AD57" i="16"/>
  <c r="AD68" i="16"/>
  <c r="AD63" i="16"/>
  <c r="AD4" i="16"/>
  <c r="AD29" i="16"/>
  <c r="AD60" i="16"/>
  <c r="AD93" i="16"/>
  <c r="AD66" i="16"/>
  <c r="AD30" i="16"/>
  <c r="AD56" i="16"/>
  <c r="AD76" i="16"/>
  <c r="AL85" i="16"/>
  <c r="AL3" i="16"/>
  <c r="AK34" i="16"/>
  <c r="AK82" i="16"/>
  <c r="AK73" i="16"/>
  <c r="AK78" i="16"/>
  <c r="AK77" i="16"/>
  <c r="AK94" i="16"/>
  <c r="AK92" i="16"/>
  <c r="AK88" i="16"/>
  <c r="AK32" i="16"/>
  <c r="AK35" i="16"/>
  <c r="AK79" i="16"/>
  <c r="AK80" i="16"/>
  <c r="AK37" i="16"/>
  <c r="AK84" i="16"/>
  <c r="AK91" i="16"/>
  <c r="AK89" i="16"/>
  <c r="AK67" i="16"/>
  <c r="AK95" i="16"/>
  <c r="AK86" i="16"/>
  <c r="AK90" i="16"/>
  <c r="AK83" i="16"/>
  <c r="AK74" i="16"/>
  <c r="AK42" i="16"/>
  <c r="AK48" i="16"/>
  <c r="AK49" i="16"/>
  <c r="AK45" i="16"/>
  <c r="AK52" i="16"/>
  <c r="AK54" i="16"/>
  <c r="AK33" i="16"/>
  <c r="AK69" i="16"/>
  <c r="AK71" i="16"/>
  <c r="AK72" i="16"/>
  <c r="AK38" i="16"/>
  <c r="AK39" i="16"/>
  <c r="AK40" i="16"/>
  <c r="AK41" i="16"/>
  <c r="AK43" i="16"/>
  <c r="AK44" i="16"/>
  <c r="AK47" i="16"/>
  <c r="AK46" i="16"/>
  <c r="AK50" i="16"/>
  <c r="AK53" i="16"/>
  <c r="AK55" i="16"/>
  <c r="AK59" i="16"/>
  <c r="AK3" i="16"/>
  <c r="AK58" i="16"/>
  <c r="AK36" i="16"/>
  <c r="AK75" i="16"/>
  <c r="AK2" i="16"/>
  <c r="AK61" i="16"/>
  <c r="AK5" i="16"/>
  <c r="AK101" i="16"/>
  <c r="AK64" i="16"/>
  <c r="AK87" i="16"/>
  <c r="AK65" i="16"/>
  <c r="AK62" i="16"/>
  <c r="AK6" i="16"/>
  <c r="AK7" i="16"/>
  <c r="AK8" i="16"/>
  <c r="AK9" i="16"/>
  <c r="AK10" i="16"/>
  <c r="AK16" i="16"/>
  <c r="AK15" i="16"/>
  <c r="AK17" i="16"/>
  <c r="AK18" i="16"/>
  <c r="AK20" i="16"/>
  <c r="AK19" i="16"/>
  <c r="AK21" i="16"/>
  <c r="AK22" i="16"/>
  <c r="AK24" i="16"/>
  <c r="AK25" i="16"/>
  <c r="AK26" i="16"/>
  <c r="AK27" i="16"/>
  <c r="AK28" i="16"/>
  <c r="AK57" i="16"/>
  <c r="AK68" i="16"/>
  <c r="AK4" i="16"/>
  <c r="AK29" i="16"/>
  <c r="AK60" i="16"/>
  <c r="AK51" i="16"/>
  <c r="AK93" i="16"/>
  <c r="AK66" i="16"/>
  <c r="AK23" i="16"/>
  <c r="AK30" i="16"/>
  <c r="AK56" i="16"/>
  <c r="AK76" i="16"/>
  <c r="AJ34" i="16"/>
  <c r="AJ73" i="16"/>
  <c r="AJ78" i="16"/>
  <c r="AJ77" i="16"/>
  <c r="AJ94" i="16"/>
  <c r="AJ92" i="16"/>
  <c r="AJ88" i="16"/>
  <c r="AJ32" i="16"/>
  <c r="AJ35" i="16"/>
  <c r="AJ79" i="16"/>
  <c r="AJ80" i="16"/>
  <c r="AJ37" i="16"/>
  <c r="AJ99" i="16"/>
  <c r="AJ91" i="16"/>
  <c r="AJ89" i="16"/>
  <c r="AJ67" i="16"/>
  <c r="AJ95" i="16"/>
  <c r="AJ86" i="16"/>
  <c r="AJ90" i="16"/>
  <c r="AJ83" i="16"/>
  <c r="AJ74" i="16"/>
  <c r="AJ42" i="16"/>
  <c r="AJ48" i="16"/>
  <c r="AJ49" i="16"/>
  <c r="AJ45" i="16"/>
  <c r="AJ52" i="16"/>
  <c r="AJ54" i="16"/>
  <c r="AJ33" i="16"/>
  <c r="AJ69" i="16"/>
  <c r="AJ70" i="16"/>
  <c r="AJ71" i="16"/>
  <c r="AJ72" i="16"/>
  <c r="AJ38" i="16"/>
  <c r="AJ39" i="16"/>
  <c r="AJ40" i="16"/>
  <c r="AJ41" i="16"/>
  <c r="AJ43" i="16"/>
  <c r="AJ47" i="16"/>
  <c r="AJ46" i="16"/>
  <c r="AJ50" i="16"/>
  <c r="AJ55" i="16"/>
  <c r="AJ59" i="16"/>
  <c r="AJ3" i="16"/>
  <c r="AJ58" i="16"/>
  <c r="AJ36" i="16"/>
  <c r="AJ75" i="16"/>
  <c r="AJ2" i="16"/>
  <c r="AJ61" i="16"/>
  <c r="AJ5" i="16"/>
  <c r="AJ101" i="16"/>
  <c r="AJ64" i="16"/>
  <c r="AJ87" i="16"/>
  <c r="AJ65" i="16"/>
  <c r="AJ62" i="16"/>
  <c r="AJ7" i="16"/>
  <c r="AJ8" i="16"/>
  <c r="AJ9" i="16"/>
  <c r="AJ10" i="16"/>
  <c r="AJ12" i="16"/>
  <c r="AJ11" i="16"/>
  <c r="AJ13" i="16"/>
  <c r="AJ16" i="16"/>
  <c r="AJ15" i="16"/>
  <c r="AJ17" i="16"/>
  <c r="AJ18" i="16"/>
  <c r="AJ20" i="16"/>
  <c r="AJ19" i="16"/>
  <c r="AJ21" i="16"/>
  <c r="AJ22" i="16"/>
  <c r="AJ24" i="16"/>
  <c r="AJ25" i="16"/>
  <c r="AJ26" i="16"/>
  <c r="AJ27" i="16"/>
  <c r="AJ28" i="16"/>
  <c r="AJ57" i="16"/>
  <c r="AJ68" i="16"/>
  <c r="AJ4" i="16"/>
  <c r="AJ31" i="16"/>
  <c r="AJ29" i="16"/>
  <c r="AJ60" i="16"/>
  <c r="AJ51" i="16"/>
  <c r="AJ93" i="16"/>
  <c r="AJ66" i="16"/>
  <c r="AJ14" i="16"/>
  <c r="AJ23" i="16"/>
  <c r="AJ30" i="16"/>
  <c r="AJ56" i="16"/>
  <c r="AJ76" i="16"/>
  <c r="AI34" i="16"/>
  <c r="AI81" i="16"/>
  <c r="AI73" i="16"/>
  <c r="AI78" i="16"/>
  <c r="AI77" i="16"/>
  <c r="AI94" i="16"/>
  <c r="AI92" i="16"/>
  <c r="AI88" i="16"/>
  <c r="AI32" i="16"/>
  <c r="AI35" i="16"/>
  <c r="AI79" i="16"/>
  <c r="AI80" i="16"/>
  <c r="AI37" i="16"/>
  <c r="AI84" i="16"/>
  <c r="AI91" i="16"/>
  <c r="AI89" i="16"/>
  <c r="AI67" i="16"/>
  <c r="AI95" i="16"/>
  <c r="AI86" i="16"/>
  <c r="AI90" i="16"/>
  <c r="AI83" i="16"/>
  <c r="AI74" i="16"/>
  <c r="AI42" i="16"/>
  <c r="AI48" i="16"/>
  <c r="AI49" i="16"/>
  <c r="AI45" i="16"/>
  <c r="AI52" i="16"/>
  <c r="AI54" i="16"/>
  <c r="AI33" i="16"/>
  <c r="AI69" i="16"/>
  <c r="AI70" i="16"/>
  <c r="AI71" i="16"/>
  <c r="AI72" i="16"/>
  <c r="AI38" i="16"/>
  <c r="AI39" i="16"/>
  <c r="AI40" i="16"/>
  <c r="AI43" i="16"/>
  <c r="AI44" i="16"/>
  <c r="AI46" i="16"/>
  <c r="AI50" i="16"/>
  <c r="AI53" i="16"/>
  <c r="AI55" i="16"/>
  <c r="AI59" i="16"/>
  <c r="AI58" i="16"/>
  <c r="AI36" i="16"/>
  <c r="AI75" i="16"/>
  <c r="AI2" i="16"/>
  <c r="AI61" i="16"/>
  <c r="AI5" i="16"/>
  <c r="AI101" i="16"/>
  <c r="AI64" i="16"/>
  <c r="AI87" i="16"/>
  <c r="AI65" i="16"/>
  <c r="AI6" i="16"/>
  <c r="AI7" i="16"/>
  <c r="AI8" i="16"/>
  <c r="AI9" i="16"/>
  <c r="AI10" i="16"/>
  <c r="AI12" i="16"/>
  <c r="AI11" i="16"/>
  <c r="AI13" i="16"/>
  <c r="AI16" i="16"/>
  <c r="AI15" i="16"/>
  <c r="AI17" i="16"/>
  <c r="AI18" i="16"/>
  <c r="AI20" i="16"/>
  <c r="AI19" i="16"/>
  <c r="AI21" i="16"/>
  <c r="AI22" i="16"/>
  <c r="AI24" i="16"/>
  <c r="AI25" i="16"/>
  <c r="AI26" i="16"/>
  <c r="AI27" i="16"/>
  <c r="AI28" i="16"/>
  <c r="AI57" i="16"/>
  <c r="AI68" i="16"/>
  <c r="AI63" i="16"/>
  <c r="AI4" i="16"/>
  <c r="AI31" i="16"/>
  <c r="AI29" i="16"/>
  <c r="AI60" i="16"/>
  <c r="AI51" i="16"/>
  <c r="AI93" i="16"/>
  <c r="AI66" i="16"/>
  <c r="AI14" i="16"/>
  <c r="AI23" i="16"/>
  <c r="AI30" i="16"/>
  <c r="AI56" i="16"/>
  <c r="AI76" i="16"/>
  <c r="AH34" i="16"/>
  <c r="AH73" i="16"/>
  <c r="AH78" i="16"/>
  <c r="AH77" i="16"/>
  <c r="AH94" i="16"/>
  <c r="AH92" i="16"/>
  <c r="AH88" i="16"/>
  <c r="AH32" i="16"/>
  <c r="AH35" i="16"/>
  <c r="AH79" i="16"/>
  <c r="AH80" i="16"/>
  <c r="AH37" i="16"/>
  <c r="AH84" i="16"/>
  <c r="AH91" i="16"/>
  <c r="AH89" i="16"/>
  <c r="AH67" i="16"/>
  <c r="AH95" i="16"/>
  <c r="AH86" i="16"/>
  <c r="AH83" i="16"/>
  <c r="AH74" i="16"/>
  <c r="AH48" i="16"/>
  <c r="AH49" i="16"/>
  <c r="AH45" i="16"/>
  <c r="AH52" i="16"/>
  <c r="AH54" i="16"/>
  <c r="AH33" i="16"/>
  <c r="AH69" i="16"/>
  <c r="AH70" i="16"/>
  <c r="AH71" i="16"/>
  <c r="AH72" i="16"/>
  <c r="AH38" i="16"/>
  <c r="AH39" i="16"/>
  <c r="AH40" i="16"/>
  <c r="AH41" i="16"/>
  <c r="AH43" i="16"/>
  <c r="AH44" i="16"/>
  <c r="AH47" i="16"/>
  <c r="AH50" i="16"/>
  <c r="AH53" i="16"/>
  <c r="AH55" i="16"/>
  <c r="AH59" i="16"/>
  <c r="AH3" i="16"/>
  <c r="AH58" i="16"/>
  <c r="AH36" i="16"/>
  <c r="AH75" i="16"/>
  <c r="AH61" i="16"/>
  <c r="AH5" i="16"/>
  <c r="AH101" i="16"/>
  <c r="AH65" i="16"/>
  <c r="AH6" i="16"/>
  <c r="AH7" i="16"/>
  <c r="AH8" i="16"/>
  <c r="AH9" i="16"/>
  <c r="AH10" i="16"/>
  <c r="AH16" i="16"/>
  <c r="AH15" i="16"/>
  <c r="AH18" i="16"/>
  <c r="AH20" i="16"/>
  <c r="AH19" i="16"/>
  <c r="AH21" i="16"/>
  <c r="AH22" i="16"/>
  <c r="AH24" i="16"/>
  <c r="AH25" i="16"/>
  <c r="AH26" i="16"/>
  <c r="AH27" i="16"/>
  <c r="AH28" i="16"/>
  <c r="AH68" i="16"/>
  <c r="AH63" i="16"/>
  <c r="AH4" i="16"/>
  <c r="AH31" i="16"/>
  <c r="AH29" i="16"/>
  <c r="AH60" i="16"/>
  <c r="AH51" i="16"/>
  <c r="AH93" i="16"/>
  <c r="AH66" i="16"/>
  <c r="AH23" i="16"/>
  <c r="AH30" i="16"/>
  <c r="AH56" i="16"/>
  <c r="AH76" i="16"/>
  <c r="AF75" i="24" l="1"/>
  <c r="AG3" i="24"/>
  <c r="AG4" i="24"/>
  <c r="AG5" i="24"/>
  <c r="AG6" i="24"/>
  <c r="AG7" i="24"/>
  <c r="AG8"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2" i="24"/>
  <c r="AG3" i="25"/>
  <c r="AG4" i="25"/>
  <c r="AG5" i="25"/>
  <c r="AG6" i="25"/>
  <c r="AG7" i="25"/>
  <c r="AG8" i="25"/>
  <c r="AG9" i="25"/>
  <c r="AG10" i="25"/>
  <c r="AG11" i="25"/>
  <c r="AG12" i="25"/>
  <c r="AG13" i="25"/>
  <c r="AG14" i="25"/>
  <c r="AG15" i="25"/>
  <c r="AG16" i="25"/>
  <c r="AG17" i="25"/>
  <c r="AG18" i="25"/>
  <c r="AG19" i="25"/>
  <c r="AG20" i="25"/>
  <c r="AG21" i="25"/>
  <c r="AG2" i="25"/>
  <c r="AE3" i="17"/>
  <c r="AE4" i="17"/>
  <c r="AE5" i="17"/>
  <c r="AE6" i="17"/>
  <c r="AE7" i="17"/>
  <c r="AE8" i="17"/>
  <c r="AE9" i="17"/>
  <c r="AE10" i="17"/>
  <c r="AE11" i="17"/>
  <c r="AE12" i="17"/>
  <c r="AE13" i="17"/>
  <c r="AE14" i="17"/>
  <c r="AE15" i="17"/>
  <c r="AE16" i="17"/>
  <c r="AE17" i="17"/>
  <c r="AE18" i="17"/>
  <c r="AE19" i="17"/>
  <c r="AE20" i="17"/>
  <c r="AE21" i="17"/>
  <c r="AE22" i="17"/>
  <c r="AE23" i="17"/>
  <c r="AE24" i="17"/>
  <c r="AE25" i="17"/>
  <c r="AF3" i="17"/>
  <c r="AF4" i="17"/>
  <c r="AF5" i="17"/>
  <c r="AF6" i="17"/>
  <c r="AF7" i="17"/>
  <c r="AF8" i="17"/>
  <c r="AF9" i="17"/>
  <c r="AF10" i="17"/>
  <c r="AF11" i="17"/>
  <c r="AF12" i="17"/>
  <c r="AF13" i="17"/>
  <c r="AF14" i="17"/>
  <c r="AF15" i="17"/>
  <c r="AF16" i="17"/>
  <c r="AF17" i="17"/>
  <c r="AF18" i="17"/>
  <c r="AF19" i="17"/>
  <c r="AF20" i="17"/>
  <c r="AF21" i="17"/>
  <c r="AF22" i="17"/>
  <c r="AF23" i="17"/>
  <c r="AF24" i="17"/>
  <c r="AF25" i="17"/>
  <c r="AG3" i="17"/>
  <c r="AG4" i="17"/>
  <c r="AG5" i="17"/>
  <c r="AG6" i="17"/>
  <c r="AG7" i="17"/>
  <c r="AG8" i="17"/>
  <c r="AG9" i="17"/>
  <c r="AG10" i="17"/>
  <c r="AG11" i="17"/>
  <c r="AG12" i="17"/>
  <c r="AG13" i="17"/>
  <c r="AG14" i="17"/>
  <c r="AG15" i="17"/>
  <c r="AG16" i="17"/>
  <c r="AG17" i="17"/>
  <c r="AG18" i="17"/>
  <c r="AG19" i="17"/>
  <c r="AG20" i="17"/>
  <c r="AG21" i="17"/>
  <c r="AG22" i="17"/>
  <c r="AG23" i="17"/>
  <c r="AG24" i="17"/>
  <c r="AG25" i="17"/>
  <c r="AG2" i="17"/>
  <c r="AF2" i="17"/>
  <c r="AE2" i="17"/>
  <c r="AG3" i="18"/>
  <c r="AG4" i="18"/>
  <c r="AG5" i="18"/>
  <c r="AG6"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2" i="18"/>
  <c r="AG3" i="22"/>
  <c r="AG4" i="22"/>
  <c r="AG5" i="22"/>
  <c r="AG6" i="22"/>
  <c r="AG7" i="22"/>
  <c r="AG8" i="22"/>
  <c r="AG9" i="22"/>
  <c r="AG10" i="22"/>
  <c r="AG11" i="22"/>
  <c r="AG12" i="22"/>
  <c r="AG13" i="22"/>
  <c r="AG14" i="22"/>
  <c r="AG15" i="22"/>
  <c r="AG16" i="22"/>
  <c r="AG17" i="22"/>
  <c r="AG18" i="22"/>
  <c r="AG19" i="22"/>
  <c r="AG20" i="22"/>
  <c r="AG21" i="22"/>
  <c r="AG22" i="22"/>
  <c r="AG23" i="22"/>
  <c r="AG2" i="22"/>
  <c r="AG3" i="21"/>
  <c r="AG4" i="21"/>
  <c r="AG5" i="21"/>
  <c r="AG6" i="21"/>
  <c r="AG7" i="21"/>
  <c r="AG8" i="21"/>
  <c r="AG9" i="21"/>
  <c r="AG10" i="21"/>
  <c r="AG11" i="21"/>
  <c r="AG12" i="21"/>
  <c r="AG13" i="21"/>
  <c r="AG14" i="21"/>
  <c r="AG15" i="21"/>
  <c r="AG16" i="21"/>
  <c r="AG17" i="21"/>
  <c r="AG18" i="21"/>
  <c r="AG19" i="21"/>
  <c r="AG2" i="21"/>
  <c r="AG37" i="12"/>
  <c r="AG136" i="12"/>
  <c r="AG325" i="12"/>
  <c r="AG489" i="12"/>
  <c r="AG259" i="12"/>
  <c r="AG364" i="12"/>
  <c r="AG499" i="12"/>
  <c r="AG407" i="12"/>
  <c r="AG265" i="12"/>
  <c r="AG371" i="12"/>
  <c r="AG424" i="12"/>
  <c r="AG554" i="12"/>
  <c r="AG350" i="12"/>
  <c r="AG314" i="12"/>
  <c r="AG340" i="12"/>
  <c r="AG125" i="12"/>
  <c r="AG220" i="12"/>
  <c r="AG450" i="12"/>
  <c r="AG104" i="12"/>
  <c r="AG85" i="12"/>
  <c r="AG341" i="12"/>
  <c r="AG247" i="12"/>
  <c r="AG292" i="12"/>
  <c r="AG211" i="12"/>
  <c r="AG176" i="12"/>
  <c r="AG139" i="12"/>
  <c r="AG386" i="12"/>
  <c r="AG269" i="12"/>
  <c r="AG397" i="12"/>
  <c r="AG277" i="12"/>
  <c r="AG494" i="12"/>
  <c r="AG471" i="12"/>
  <c r="AG153" i="12"/>
  <c r="AG342" i="12"/>
  <c r="AG42" i="12"/>
  <c r="AG273" i="12"/>
  <c r="AG351" i="12"/>
  <c r="AG452" i="12"/>
  <c r="AG41" i="12"/>
  <c r="AG321" i="12"/>
  <c r="AG497" i="12"/>
  <c r="AG124" i="12"/>
  <c r="AG221" i="12"/>
  <c r="AG119" i="12"/>
  <c r="AG311" i="12"/>
  <c r="AG137" i="12"/>
  <c r="AG302" i="12"/>
  <c r="AG258" i="12"/>
  <c r="AG498" i="12"/>
  <c r="AG360" i="12"/>
  <c r="AG126" i="12"/>
  <c r="AG328" i="12"/>
  <c r="AG19" i="12"/>
  <c r="AG86" i="12"/>
  <c r="AG435" i="12"/>
  <c r="AG275" i="12"/>
  <c r="AG384" i="12"/>
  <c r="AG75" i="12"/>
  <c r="AG138" i="12"/>
  <c r="AG227" i="12"/>
  <c r="AG234" i="12"/>
  <c r="AG208" i="12"/>
  <c r="AG237" i="12"/>
  <c r="AG448" i="12"/>
  <c r="AG270" i="12"/>
  <c r="AG59" i="12"/>
  <c r="AG365" i="12"/>
  <c r="AG115" i="12"/>
  <c r="AG225" i="12"/>
  <c r="AG387" i="12"/>
  <c r="AG204" i="12"/>
  <c r="AG177" i="12"/>
  <c r="AG316" i="12"/>
  <c r="AG411" i="12"/>
  <c r="AG243" i="12"/>
  <c r="AG190" i="12"/>
  <c r="AG403" i="12"/>
  <c r="AG131" i="12"/>
  <c r="AG300" i="12"/>
  <c r="AG57" i="12"/>
  <c r="AG303" i="12"/>
  <c r="AG236" i="12"/>
  <c r="AG402" i="12"/>
  <c r="AG148" i="12"/>
  <c r="AG323" i="12"/>
  <c r="AG107" i="12"/>
  <c r="AG184" i="12"/>
  <c r="AG183" i="12"/>
  <c r="AG123" i="12"/>
  <c r="AG92" i="12"/>
  <c r="AG108" i="12"/>
  <c r="AG161" i="12"/>
  <c r="AG376" i="12"/>
  <c r="AG89" i="12"/>
  <c r="AG198" i="12"/>
  <c r="AG150" i="12"/>
  <c r="AG160" i="12"/>
  <c r="AG82" i="12"/>
  <c r="AG373" i="12"/>
  <c r="AG69" i="12"/>
  <c r="AG103" i="12"/>
  <c r="AG99" i="12"/>
  <c r="AG335" i="12"/>
  <c r="AG163" i="12"/>
  <c r="AG256" i="12"/>
  <c r="AG167" i="12"/>
  <c r="AG329" i="12"/>
  <c r="AG304" i="12"/>
  <c r="AG182" i="12"/>
  <c r="AG144" i="12"/>
  <c r="AG289" i="12"/>
  <c r="AG96" i="12"/>
  <c r="AG50" i="12"/>
  <c r="AG370" i="12"/>
  <c r="AG70" i="12"/>
  <c r="AG272" i="12"/>
  <c r="AG571" i="12"/>
  <c r="AG299" i="12"/>
  <c r="AG312" i="12"/>
  <c r="AG392" i="12"/>
  <c r="AG433" i="12"/>
  <c r="AG244" i="12"/>
  <c r="AG218" i="12"/>
  <c r="AG230" i="12"/>
  <c r="AG336" i="12"/>
  <c r="AG348" i="12"/>
  <c r="AG200" i="12"/>
  <c r="AG87" i="12"/>
  <c r="AG188" i="12"/>
  <c r="AG76" i="12"/>
  <c r="AG197" i="12"/>
  <c r="AG440" i="12"/>
  <c r="AG133" i="12"/>
  <c r="AG122" i="12"/>
  <c r="AG245" i="12"/>
  <c r="AG544" i="12"/>
  <c r="AG438" i="12"/>
  <c r="AG296" i="12"/>
  <c r="AG34" i="12"/>
  <c r="AG147" i="12"/>
  <c r="AG262" i="12"/>
  <c r="AG248" i="12"/>
  <c r="AG67" i="12"/>
  <c r="AG212" i="12"/>
  <c r="AG413" i="12"/>
  <c r="AG366" i="12"/>
  <c r="AG263" i="12"/>
  <c r="AG267" i="12"/>
  <c r="AG414" i="12"/>
  <c r="AG318" i="12"/>
  <c r="AG240" i="12"/>
  <c r="AG453" i="12"/>
  <c r="AG219" i="12"/>
  <c r="AG217" i="12"/>
  <c r="AG548" i="12"/>
  <c r="AG324" i="12"/>
  <c r="AG232" i="12"/>
  <c r="AG114" i="12"/>
  <c r="AG187" i="12"/>
  <c r="AG224" i="12"/>
  <c r="AG343" i="12"/>
  <c r="AG214" i="12"/>
  <c r="AG206" i="12"/>
  <c r="AG78" i="12"/>
  <c r="AG90" i="12"/>
  <c r="AG278" i="12"/>
  <c r="AG164" i="12"/>
  <c r="AG228" i="12"/>
  <c r="AG246" i="12"/>
  <c r="AG29" i="12"/>
  <c r="AG64" i="12"/>
  <c r="AG88" i="12"/>
  <c r="AG356" i="12"/>
  <c r="AG111" i="12"/>
  <c r="AG166" i="12"/>
  <c r="AG159" i="12"/>
  <c r="AG326" i="12"/>
  <c r="AG417" i="12"/>
  <c r="AG189" i="12"/>
  <c r="AG268" i="12"/>
  <c r="AG283" i="12"/>
  <c r="AG39" i="12"/>
  <c r="AG391" i="12"/>
  <c r="AG229" i="12"/>
  <c r="AG337" i="12"/>
  <c r="AG477" i="12"/>
  <c r="AG404" i="12"/>
  <c r="AG400" i="12"/>
  <c r="AG410" i="12"/>
  <c r="AG415" i="12"/>
  <c r="AG134" i="12"/>
  <c r="AG345" i="12"/>
  <c r="AG357" i="12"/>
  <c r="AG47" i="12"/>
  <c r="AG180" i="12"/>
  <c r="AG145" i="12"/>
  <c r="AG98" i="12"/>
  <c r="AG140" i="12"/>
  <c r="AG412" i="12"/>
  <c r="AG128" i="12"/>
  <c r="AG170" i="12"/>
  <c r="AG169" i="12"/>
  <c r="AG168" i="12"/>
  <c r="AG171" i="12"/>
  <c r="AG77" i="12"/>
  <c r="AG151" i="12"/>
  <c r="AG149" i="12"/>
  <c r="AG105" i="12"/>
  <c r="AG178" i="12"/>
  <c r="AG406" i="12"/>
  <c r="AG472" i="12"/>
  <c r="AG199" i="12"/>
  <c r="AG141" i="12"/>
  <c r="AG95" i="12"/>
  <c r="AG186" i="12"/>
  <c r="AG157" i="12"/>
  <c r="AG132" i="12"/>
  <c r="AG127" i="12"/>
  <c r="AG222" i="12"/>
  <c r="AG374" i="12"/>
  <c r="AG517" i="12"/>
  <c r="AG389" i="12"/>
  <c r="AG372" i="12"/>
  <c r="AG500" i="12"/>
  <c r="AG420" i="12"/>
  <c r="AG285" i="12"/>
  <c r="AG276" i="12"/>
  <c r="AG238" i="12"/>
  <c r="AG181" i="12"/>
  <c r="AG62" i="12"/>
  <c r="AG297" i="12"/>
  <c r="AG331" i="12"/>
  <c r="AG346" i="12"/>
  <c r="AG209" i="12"/>
  <c r="AG71" i="12"/>
  <c r="AG416" i="12"/>
  <c r="AG317" i="12"/>
  <c r="AG338" i="12"/>
  <c r="AG458" i="12"/>
  <c r="AG549" i="12"/>
  <c r="AG322" i="12"/>
  <c r="AG473" i="12"/>
  <c r="AG201" i="12"/>
  <c r="AG514" i="12"/>
  <c r="AG319" i="12"/>
  <c r="AG255" i="12"/>
  <c r="AG390" i="12"/>
  <c r="AG264" i="12"/>
  <c r="AG358" i="12"/>
  <c r="AG154" i="12"/>
  <c r="AG223" i="12"/>
  <c r="AG130" i="12"/>
  <c r="AG327" i="12"/>
  <c r="AG382" i="12"/>
  <c r="AG383" i="12"/>
  <c r="AG142" i="12"/>
  <c r="AG421" i="12"/>
  <c r="AG205" i="12"/>
  <c r="AG250" i="12"/>
  <c r="AG84" i="12"/>
  <c r="AG152" i="12"/>
  <c r="AG437" i="12"/>
  <c r="AG441" i="12"/>
  <c r="AG469" i="12"/>
  <c r="AG91" i="12"/>
  <c r="AG451" i="12"/>
  <c r="AG423" i="12"/>
  <c r="AG72" i="12"/>
  <c r="AG109" i="12"/>
  <c r="AG260" i="12"/>
  <c r="AG305" i="12"/>
  <c r="AG185" i="12"/>
  <c r="AG474" i="12"/>
  <c r="AG116" i="12"/>
  <c r="AG464" i="12"/>
  <c r="AG332" i="12"/>
  <c r="AG352" i="12"/>
  <c r="AG493" i="12"/>
  <c r="AG564" i="12"/>
  <c r="AG547" i="12"/>
  <c r="AG528" i="12"/>
  <c r="AG353" i="12"/>
  <c r="AG251" i="12"/>
  <c r="AG135" i="12"/>
  <c r="AG31" i="12"/>
  <c r="AG266" i="12"/>
  <c r="AG349" i="12"/>
  <c r="AG361" i="12"/>
  <c r="AG249" i="12"/>
  <c r="AG100" i="12"/>
  <c r="AG48" i="12"/>
  <c r="AG155" i="12"/>
  <c r="AG367" i="12"/>
  <c r="AG158" i="12"/>
  <c r="AG179" i="12"/>
  <c r="AG359" i="12"/>
  <c r="AG369" i="12"/>
  <c r="AG436" i="12"/>
  <c r="AG434" i="12"/>
  <c r="AG274" i="12"/>
  <c r="AG241" i="12"/>
  <c r="AG401" i="12"/>
  <c r="AG215" i="12"/>
  <c r="AG398" i="12"/>
  <c r="AG210" i="12"/>
  <c r="AG381" i="12"/>
  <c r="AG463" i="12"/>
  <c r="AG550" i="12"/>
  <c r="AG425" i="12"/>
  <c r="AG344" i="12"/>
  <c r="AG354" i="12"/>
  <c r="AG235" i="12"/>
  <c r="AG496" i="12"/>
  <c r="AG315" i="12"/>
  <c r="AG347" i="12"/>
  <c r="AG362" i="12"/>
  <c r="AG546" i="12"/>
  <c r="AG307" i="12"/>
  <c r="AG470" i="12"/>
  <c r="AG461" i="12"/>
  <c r="AG143" i="12"/>
  <c r="AG193" i="12"/>
  <c r="AG439" i="12"/>
  <c r="AG156" i="12"/>
  <c r="AG242" i="12"/>
  <c r="AG146" i="12"/>
  <c r="AG196" i="12"/>
  <c r="AG339" i="12"/>
  <c r="AG418" i="12"/>
  <c r="AG290" i="12"/>
  <c r="AG79" i="12"/>
  <c r="AG295" i="12"/>
  <c r="AG405" i="12"/>
  <c r="AG53" i="12"/>
  <c r="AG216" i="12"/>
  <c r="AG306" i="12"/>
  <c r="AG515" i="12"/>
  <c r="AG447" i="12"/>
  <c r="AG422" i="12"/>
  <c r="AG54" i="12"/>
  <c r="AG419" i="12"/>
  <c r="AG63" i="12"/>
  <c r="AG27" i="12"/>
  <c r="AG449" i="12"/>
  <c r="AG195" i="12"/>
  <c r="AG529" i="12"/>
  <c r="AG426" i="12"/>
  <c r="AG478" i="12"/>
  <c r="AG475" i="12"/>
  <c r="AG476" i="12"/>
  <c r="AG530" i="12"/>
  <c r="AG501" i="12"/>
  <c r="AG551" i="12"/>
  <c r="AG284" i="12"/>
  <c r="AG552" i="12"/>
  <c r="AG301" i="12"/>
  <c r="AG2" i="12"/>
  <c r="AG553" i="12"/>
  <c r="AG233" i="12"/>
  <c r="AG83" i="12"/>
  <c r="AG32" i="12"/>
  <c r="AG165" i="12"/>
  <c r="AG207" i="12"/>
  <c r="AG281" i="12"/>
  <c r="AG194" i="12"/>
  <c r="AG291" i="12"/>
  <c r="AG313" i="12"/>
  <c r="AG545" i="12"/>
  <c r="AG28" i="12"/>
  <c r="AG121" i="12"/>
  <c r="AG408" i="12"/>
  <c r="AG11" i="12"/>
  <c r="AG117" i="12"/>
  <c r="AG479" i="12"/>
  <c r="AG454" i="12"/>
  <c r="AG202" i="12"/>
  <c r="AG480" i="12"/>
  <c r="AG502" i="12"/>
  <c r="AG173" i="12"/>
  <c r="AG462" i="12"/>
  <c r="AG174" i="12"/>
  <c r="AG519" i="12"/>
  <c r="AG481" i="12"/>
  <c r="AG10" i="12"/>
  <c r="AG279" i="12"/>
  <c r="AG280" i="12"/>
  <c r="AG385" i="12"/>
  <c r="AG293" i="12"/>
  <c r="AG333" i="12"/>
  <c r="AG231" i="12"/>
  <c r="AG465" i="12"/>
  <c r="AG466" i="12"/>
  <c r="AG427" i="12"/>
  <c r="AG428" i="12"/>
  <c r="AG73" i="12"/>
  <c r="AG363" i="12"/>
  <c r="AG429" i="12"/>
  <c r="AG393" i="12"/>
  <c r="AG482" i="12"/>
  <c r="AG555" i="12"/>
  <c r="AG23" i="12"/>
  <c r="AG503" i="12"/>
  <c r="AG520" i="12"/>
  <c r="AG377" i="12"/>
  <c r="AG504" i="12"/>
  <c r="AG516" i="12"/>
  <c r="AG191" i="12"/>
  <c r="AG521" i="12"/>
  <c r="AG409" i="12"/>
  <c r="AG286" i="12"/>
  <c r="AG25" i="12"/>
  <c r="AG45" i="12"/>
  <c r="AG556" i="12"/>
  <c r="AG355" i="12"/>
  <c r="AG568" i="12"/>
  <c r="AG557" i="12"/>
  <c r="AG505" i="12"/>
  <c r="AG455" i="12"/>
  <c r="AG565" i="12"/>
  <c r="AG18" i="12"/>
  <c r="AG562" i="12"/>
  <c r="AG394" i="12"/>
  <c r="AG506" i="12"/>
  <c r="AG81" i="12"/>
  <c r="AG507" i="12"/>
  <c r="AG531" i="12"/>
  <c r="AG483" i="12"/>
  <c r="AG15" i="12"/>
  <c r="AG118" i="12"/>
  <c r="AG558" i="12"/>
  <c r="AG430" i="12"/>
  <c r="AG298" i="12"/>
  <c r="AG532" i="12"/>
  <c r="AG56" i="12"/>
  <c r="AG101" i="12"/>
  <c r="AG51" i="12"/>
  <c r="AG22" i="12"/>
  <c r="AG252" i="12"/>
  <c r="AG484" i="12"/>
  <c r="AG443" i="12"/>
  <c r="AG522" i="12"/>
  <c r="AG467" i="12"/>
  <c r="AG399" i="12"/>
  <c r="AG491" i="12"/>
  <c r="AG253" i="12"/>
  <c r="AG261" i="12"/>
  <c r="AG287" i="12"/>
  <c r="AG288" i="12"/>
  <c r="AG35" i="12"/>
  <c r="AG20" i="12"/>
  <c r="AG129" i="12"/>
  <c r="AG563" i="12"/>
  <c r="AG533" i="12"/>
  <c r="AG4" i="12"/>
  <c r="AG33" i="12"/>
  <c r="AG46" i="12"/>
  <c r="AG36" i="12"/>
  <c r="AG534" i="12"/>
  <c r="AG17" i="12"/>
  <c r="AG395" i="12"/>
  <c r="AG523" i="12"/>
  <c r="AG308" i="12"/>
  <c r="AG456" i="12"/>
  <c r="AG535" i="12"/>
  <c r="AG431" i="12"/>
  <c r="AG536" i="12"/>
  <c r="AG21" i="12"/>
  <c r="AG485" i="12"/>
  <c r="AG492" i="12"/>
  <c r="AG309" i="12"/>
  <c r="AG378" i="12"/>
  <c r="AG457" i="12"/>
  <c r="AG559" i="12"/>
  <c r="AG38" i="12"/>
  <c r="AG16" i="12"/>
  <c r="AG294" i="12"/>
  <c r="AG239" i="12"/>
  <c r="AG65" i="12"/>
  <c r="AG112" i="12"/>
  <c r="AG9" i="12"/>
  <c r="AG106" i="12"/>
  <c r="AG68" i="12"/>
  <c r="AG66" i="12"/>
  <c r="AG30" i="12"/>
  <c r="AG74" i="12"/>
  <c r="AG560" i="12"/>
  <c r="AG61" i="12"/>
  <c r="AG213" i="12"/>
  <c r="AG13" i="12"/>
  <c r="AG110" i="12"/>
  <c r="AG40" i="12"/>
  <c r="AG7" i="12"/>
  <c r="AG192" i="12"/>
  <c r="AG566" i="12"/>
  <c r="AG52" i="12"/>
  <c r="AG113" i="12"/>
  <c r="AG368" i="12"/>
  <c r="AG8" i="12"/>
  <c r="AG43" i="12"/>
  <c r="AG254" i="12"/>
  <c r="AG5" i="12"/>
  <c r="AG3" i="12"/>
  <c r="AG537" i="12"/>
  <c r="AG432" i="12"/>
  <c r="AG379" i="12"/>
  <c r="AG459" i="12"/>
  <c r="AG396" i="12"/>
  <c r="AG538" i="12"/>
  <c r="AG508" i="12"/>
  <c r="AG444" i="12"/>
  <c r="AG60" i="12"/>
  <c r="AG486" i="12"/>
  <c r="AG55" i="12"/>
  <c r="AG539" i="12"/>
  <c r="AG540" i="12"/>
  <c r="AG561" i="12"/>
  <c r="AG445" i="12"/>
  <c r="AG524" i="12"/>
  <c r="AG468" i="12"/>
  <c r="AG487" i="12"/>
  <c r="AG488" i="12"/>
  <c r="AG509" i="12"/>
  <c r="AG102" i="12"/>
  <c r="AG380" i="12"/>
  <c r="AG334" i="12"/>
  <c r="AG226" i="12"/>
  <c r="AG567" i="12"/>
  <c r="AG541" i="12"/>
  <c r="AG542" i="12"/>
  <c r="AG257" i="12"/>
  <c r="AG543" i="12"/>
  <c r="AG203" i="12"/>
  <c r="AG58" i="12"/>
  <c r="AG510" i="12"/>
  <c r="AG446" i="12"/>
  <c r="AG525" i="12"/>
  <c r="AG576" i="12"/>
  <c r="AG511" i="12"/>
  <c r="AG310" i="12"/>
  <c r="AG320" i="12"/>
  <c r="AG26" i="12"/>
  <c r="AG330" i="12"/>
  <c r="AG162" i="12"/>
  <c r="AG573" i="12"/>
  <c r="AG574" i="12"/>
  <c r="AG512" i="12"/>
  <c r="AG569" i="12"/>
  <c r="AG120" i="12"/>
  <c r="AG513" i="12"/>
  <c r="AG577" i="12"/>
  <c r="AG570" i="12"/>
  <c r="AG575" i="12"/>
  <c r="AG578" i="12"/>
  <c r="AG282" i="12"/>
  <c r="AG271" i="12"/>
  <c r="AG572" i="12"/>
  <c r="AG518" i="12"/>
  <c r="AG44" i="12"/>
  <c r="AG442" i="12"/>
  <c r="AG388" i="12"/>
  <c r="AG526" i="12"/>
  <c r="AG6" i="12"/>
  <c r="AG14" i="12"/>
  <c r="AG97" i="12"/>
  <c r="AG80" i="12"/>
  <c r="AG375" i="12"/>
  <c r="AG93" i="12"/>
  <c r="AG24" i="12"/>
  <c r="AG49" i="12"/>
  <c r="AG495" i="12"/>
  <c r="AG172" i="12"/>
  <c r="AG460" i="12"/>
  <c r="AG12" i="12"/>
  <c r="AG94" i="12"/>
  <c r="AG527" i="12"/>
  <c r="AG490" i="12"/>
  <c r="AG175" i="12"/>
  <c r="AG14" i="13"/>
  <c r="AG128" i="13"/>
  <c r="AG285" i="13"/>
  <c r="AG293" i="13"/>
  <c r="AG211" i="13"/>
  <c r="AG230" i="13"/>
  <c r="AG297" i="13"/>
  <c r="AG326" i="13"/>
  <c r="AG294" i="13"/>
  <c r="AG414" i="13"/>
  <c r="AG349" i="13"/>
  <c r="AG505" i="13"/>
  <c r="AG551" i="13"/>
  <c r="AG372" i="13"/>
  <c r="AG468" i="13"/>
  <c r="AG275" i="13"/>
  <c r="AG522" i="13"/>
  <c r="AG552" i="13"/>
  <c r="AG458" i="13"/>
  <c r="AG516" i="13"/>
  <c r="AG380" i="13"/>
  <c r="AG114" i="13"/>
  <c r="AG214" i="13"/>
  <c r="AG188" i="13"/>
  <c r="AG195" i="13"/>
  <c r="AG562" i="13"/>
  <c r="AG213" i="13"/>
  <c r="AG243" i="13"/>
  <c r="AG308" i="13"/>
  <c r="AG167" i="13"/>
  <c r="AG97" i="13"/>
  <c r="AG149" i="13"/>
  <c r="AG130" i="13"/>
  <c r="AG234" i="13"/>
  <c r="AG177" i="13"/>
  <c r="AG132" i="13"/>
  <c r="AG448" i="13"/>
  <c r="AG165" i="13"/>
  <c r="AG279" i="13"/>
  <c r="AG210" i="13"/>
  <c r="AG194" i="13"/>
  <c r="AG352" i="13"/>
  <c r="AG278" i="13"/>
  <c r="AG309" i="13"/>
  <c r="AG184" i="13"/>
  <c r="AG277" i="13"/>
  <c r="AG100" i="13"/>
  <c r="AG88" i="13"/>
  <c r="AG356" i="13"/>
  <c r="AG146" i="13"/>
  <c r="AG83" i="13"/>
  <c r="AG252" i="13"/>
  <c r="AG394" i="13"/>
  <c r="AG510" i="13"/>
  <c r="AG549" i="13"/>
  <c r="AG517" i="13"/>
  <c r="AG322" i="13"/>
  <c r="AG354" i="13"/>
  <c r="AG288" i="13"/>
  <c r="AG520" i="13"/>
  <c r="AG451" i="13"/>
  <c r="AG471" i="13"/>
  <c r="AG423" i="13"/>
  <c r="AG465" i="13"/>
  <c r="AG514" i="13"/>
  <c r="AG478" i="13"/>
  <c r="AG490" i="13"/>
  <c r="AG485" i="13"/>
  <c r="AG290" i="13"/>
  <c r="AG531" i="13"/>
  <c r="AG434" i="13"/>
  <c r="AG431" i="13"/>
  <c r="AG432" i="13"/>
  <c r="AG480" i="13"/>
  <c r="AG473" i="13"/>
  <c r="AG456" i="13"/>
  <c r="AG198" i="13"/>
  <c r="AG164" i="13"/>
  <c r="AG196" i="13"/>
  <c r="AG200" i="13"/>
  <c r="AG193" i="13"/>
  <c r="AG314" i="13"/>
  <c r="AG295" i="13"/>
  <c r="AG206" i="13"/>
  <c r="AG133" i="13"/>
  <c r="AG157" i="13"/>
  <c r="AG247" i="13"/>
  <c r="AG203" i="13"/>
  <c r="AG270" i="13"/>
  <c r="AG364" i="13"/>
  <c r="AG265" i="13"/>
  <c r="AG205" i="13"/>
  <c r="AG58" i="13"/>
  <c r="AG238" i="13"/>
  <c r="AG142" i="13"/>
  <c r="AG376" i="13"/>
  <c r="AG77" i="13"/>
  <c r="AG180" i="13"/>
  <c r="AG124" i="13"/>
  <c r="AG150" i="13"/>
  <c r="AG216" i="13"/>
  <c r="AG99" i="13"/>
  <c r="AG377" i="13"/>
  <c r="AG254" i="13"/>
  <c r="AG403" i="13"/>
  <c r="AG148" i="13"/>
  <c r="AG127" i="13"/>
  <c r="AG302" i="13"/>
  <c r="AG286" i="13"/>
  <c r="AG135" i="13"/>
  <c r="AG191" i="13"/>
  <c r="AG91" i="13"/>
  <c r="AG274" i="13"/>
  <c r="AG84" i="13"/>
  <c r="AG421" i="13"/>
  <c r="AG120" i="13"/>
  <c r="AG375" i="13"/>
  <c r="AG499" i="13"/>
  <c r="AG379" i="13"/>
  <c r="AG539" i="13"/>
  <c r="AG374" i="13"/>
  <c r="AG511" i="13"/>
  <c r="AG489" i="13"/>
  <c r="AG350" i="13"/>
  <c r="AG558" i="13"/>
  <c r="AG392" i="13"/>
  <c r="AG545" i="13"/>
  <c r="AG486" i="13"/>
  <c r="AG518" i="13"/>
  <c r="AG495" i="13"/>
  <c r="AG503" i="13"/>
  <c r="AG404" i="13"/>
  <c r="AG540" i="13"/>
  <c r="AG441" i="13"/>
  <c r="AG524" i="13"/>
  <c r="AG515" i="13"/>
  <c r="AG572" i="13"/>
  <c r="AG289" i="13"/>
  <c r="AG437" i="13"/>
  <c r="AG560" i="13"/>
  <c r="AG348" i="13"/>
  <c r="AG57" i="13"/>
  <c r="AG317" i="13"/>
  <c r="AG315" i="13"/>
  <c r="AG80" i="13"/>
  <c r="AG212" i="13"/>
  <c r="AG185" i="13"/>
  <c r="AG119" i="13"/>
  <c r="AG316" i="13"/>
  <c r="AG258" i="13"/>
  <c r="AG179" i="13"/>
  <c r="AG76" i="13"/>
  <c r="AG69" i="13"/>
  <c r="AG227" i="13"/>
  <c r="AG123" i="13"/>
  <c r="AG365" i="13"/>
  <c r="AG175" i="13"/>
  <c r="AG144" i="13"/>
  <c r="AG324" i="13"/>
  <c r="AG223" i="13"/>
  <c r="AG151" i="13"/>
  <c r="AG197" i="13"/>
  <c r="AG335" i="13"/>
  <c r="AG331" i="13"/>
  <c r="AG240" i="13"/>
  <c r="AG33" i="13"/>
  <c r="AG219" i="13"/>
  <c r="AG159" i="13"/>
  <c r="AG45" i="13"/>
  <c r="AG190" i="13"/>
  <c r="AG395" i="13"/>
  <c r="AG232" i="13"/>
  <c r="AG319" i="13"/>
  <c r="AG378" i="13"/>
  <c r="AG413" i="13"/>
  <c r="AG491" i="13"/>
  <c r="AG462" i="13"/>
  <c r="AG360" i="13"/>
  <c r="AG145" i="13"/>
  <c r="AG176" i="13"/>
  <c r="AG415" i="13"/>
  <c r="AG312" i="13"/>
  <c r="AG405" i="13"/>
  <c r="AG559" i="13"/>
  <c r="AG447" i="13"/>
  <c r="AG333" i="13"/>
  <c r="AG419" i="13"/>
  <c r="AG496" i="13"/>
  <c r="AG502" i="13"/>
  <c r="AG428" i="13"/>
  <c r="AG461" i="13"/>
  <c r="AG280" i="13"/>
  <c r="AG241" i="13"/>
  <c r="AG398" i="13"/>
  <c r="AG388" i="13"/>
  <c r="AG481" i="13"/>
  <c r="AG92" i="13"/>
  <c r="AG513" i="13"/>
  <c r="AG199" i="13"/>
  <c r="AG181" i="13"/>
  <c r="AG143" i="13"/>
  <c r="AG217" i="13"/>
  <c r="AG189" i="13"/>
  <c r="AG268" i="13"/>
  <c r="AG351" i="13"/>
  <c r="AG118" i="13"/>
  <c r="AG253" i="13"/>
  <c r="AG255" i="13"/>
  <c r="AG224" i="13"/>
  <c r="AG140" i="13"/>
  <c r="AG231" i="13"/>
  <c r="AG239" i="13"/>
  <c r="AG262" i="13"/>
  <c r="AG138" i="13"/>
  <c r="AG47" i="13"/>
  <c r="AG105" i="13"/>
  <c r="AG152" i="13"/>
  <c r="AG345" i="13"/>
  <c r="AG131" i="13"/>
  <c r="AG85" i="13"/>
  <c r="AG192" i="13"/>
  <c r="AG482" i="13"/>
  <c r="AG242" i="13"/>
  <c r="AG340" i="13"/>
  <c r="AG318" i="13"/>
  <c r="AG218" i="13"/>
  <c r="AG111" i="13"/>
  <c r="AG173" i="13"/>
  <c r="AG141" i="13"/>
  <c r="AG296" i="13"/>
  <c r="AG106" i="13"/>
  <c r="AG383" i="13"/>
  <c r="AG266" i="13"/>
  <c r="AG442" i="13"/>
  <c r="AG402" i="13"/>
  <c r="AG244" i="13"/>
  <c r="AG521" i="13"/>
  <c r="AG425" i="13"/>
  <c r="AG487" i="13"/>
  <c r="AG393" i="13"/>
  <c r="AG86" i="13"/>
  <c r="AG182" i="13"/>
  <c r="AG501" i="13"/>
  <c r="AG426" i="13"/>
  <c r="AG420" i="13"/>
  <c r="AG557" i="13"/>
  <c r="AG373" i="13"/>
  <c r="AG327" i="13"/>
  <c r="AG535" i="13"/>
  <c r="AG416" i="13"/>
  <c r="AG433" i="13"/>
  <c r="AG488" i="13"/>
  <c r="AG523" i="13"/>
  <c r="AG537" i="13"/>
  <c r="AG538" i="13"/>
  <c r="AG417" i="13"/>
  <c r="AG408" i="13"/>
  <c r="AG544" i="13"/>
  <c r="AG519" i="13"/>
  <c r="AG508" i="13"/>
  <c r="AG553" i="13"/>
  <c r="AG546" i="13"/>
  <c r="AG512" i="13"/>
  <c r="AG506" i="13"/>
  <c r="AG362" i="13"/>
  <c r="AG472" i="13"/>
  <c r="AG483" i="13"/>
  <c r="AG564" i="13"/>
  <c r="AG497" i="13"/>
  <c r="AG536" i="13"/>
  <c r="AG500" i="13"/>
  <c r="AG452" i="13"/>
  <c r="AG498" i="13"/>
  <c r="AG466" i="13"/>
  <c r="AG412" i="13"/>
  <c r="AG55" i="13"/>
  <c r="AG93" i="13"/>
  <c r="AG147" i="13"/>
  <c r="AG384" i="13"/>
  <c r="AG235" i="13"/>
  <c r="AG298" i="13"/>
  <c r="AG204" i="13"/>
  <c r="AG457" i="13"/>
  <c r="AG353" i="13"/>
  <c r="AG264" i="13"/>
  <c r="AG226" i="13"/>
  <c r="AG370" i="13"/>
  <c r="AG346" i="13"/>
  <c r="AG320" i="13"/>
  <c r="AG369" i="13"/>
  <c r="AG304" i="13"/>
  <c r="AG427" i="13"/>
  <c r="AG248" i="13"/>
  <c r="AG168" i="13"/>
  <c r="AG337" i="13"/>
  <c r="AG260" i="13"/>
  <c r="AG336" i="13"/>
  <c r="AG306" i="13"/>
  <c r="AG237" i="13"/>
  <c r="AG332" i="13"/>
  <c r="AG273" i="13"/>
  <c r="AG310" i="13"/>
  <c r="AG209" i="13"/>
  <c r="AG291" i="13"/>
  <c r="AG443" i="13"/>
  <c r="AG246" i="13"/>
  <c r="AG407" i="13"/>
  <c r="AG292" i="13"/>
  <c r="AG449" i="13"/>
  <c r="AG409" i="13"/>
  <c r="AG541" i="13"/>
  <c r="AG112" i="13"/>
  <c r="AG125" i="13"/>
  <c r="AG343" i="13"/>
  <c r="AG396" i="13"/>
  <c r="AG137" i="13"/>
  <c r="AG504" i="13"/>
  <c r="AG371" i="13"/>
  <c r="AG399" i="13"/>
  <c r="AG548" i="13"/>
  <c r="AG533" i="13"/>
  <c r="AG330" i="13"/>
  <c r="AG469" i="13"/>
  <c r="AG470" i="13"/>
  <c r="AG250" i="13"/>
  <c r="AG438" i="13"/>
  <c r="AG299" i="13"/>
  <c r="AG323" i="13"/>
  <c r="AG467" i="13"/>
  <c r="AG215" i="13"/>
  <c r="AG359" i="13"/>
  <c r="AG257" i="13"/>
  <c r="AG366" i="13"/>
  <c r="AG276" i="13"/>
  <c r="AG410" i="13"/>
  <c r="AG245" i="13"/>
  <c r="AG385" i="13"/>
  <c r="AG463" i="13"/>
  <c r="AG267" i="13"/>
  <c r="AG300" i="13"/>
  <c r="AG347" i="13"/>
  <c r="AG303" i="13"/>
  <c r="AG357" i="13"/>
  <c r="AG450" i="13"/>
  <c r="AG435" i="13"/>
  <c r="AG166" i="13"/>
  <c r="AG269" i="13"/>
  <c r="AG283" i="13"/>
  <c r="AG474" i="13"/>
  <c r="AG201" i="13"/>
  <c r="AG307" i="13"/>
  <c r="AG507" i="13"/>
  <c r="AG321" i="13"/>
  <c r="AG424" i="13"/>
  <c r="AG484" i="13"/>
  <c r="AG476" i="13"/>
  <c r="AG493" i="13"/>
  <c r="AG411" i="13"/>
  <c r="AG479" i="13"/>
  <c r="AG573" i="13"/>
  <c r="AG56" i="13"/>
  <c r="AG429" i="13"/>
  <c r="AG439" i="13"/>
  <c r="AG161" i="13"/>
  <c r="AG381" i="13"/>
  <c r="AG325" i="13"/>
  <c r="AG334" i="13"/>
  <c r="AG400" i="13"/>
  <c r="AG358" i="13"/>
  <c r="AG259" i="13"/>
  <c r="AG236" i="13"/>
  <c r="AG361" i="13"/>
  <c r="AG256" i="13"/>
  <c r="AG171" i="13"/>
  <c r="AG187" i="13"/>
  <c r="AG301" i="13"/>
  <c r="AG154" i="13"/>
  <c r="AG386" i="13"/>
  <c r="AG547" i="13"/>
  <c r="AG440" i="13"/>
  <c r="AG459" i="13"/>
  <c r="AG534" i="13"/>
  <c r="AG338" i="13"/>
  <c r="AG525" i="13"/>
  <c r="AG575" i="13"/>
  <c r="AG542" i="13"/>
  <c r="AG430" i="13"/>
  <c r="AG532" i="13"/>
  <c r="AG341" i="13"/>
  <c r="AG162" i="13"/>
  <c r="AG344" i="13"/>
  <c r="AG390" i="13"/>
  <c r="AG282" i="13"/>
  <c r="AG382" i="13"/>
  <c r="AG566" i="13"/>
  <c r="AG355" i="13"/>
  <c r="AG251" i="13"/>
  <c r="AG509" i="13"/>
  <c r="AG492" i="13"/>
  <c r="AG494" i="13"/>
  <c r="AG287" i="13"/>
  <c r="AG444" i="13"/>
  <c r="AG453" i="13"/>
  <c r="AG454" i="13"/>
  <c r="AG455" i="13"/>
  <c r="AG460" i="13"/>
  <c r="AG391" i="13"/>
  <c r="AG543" i="13"/>
  <c r="AG565" i="13"/>
  <c r="AG418" i="13"/>
  <c r="AG183" i="13"/>
  <c r="AG15" i="13"/>
  <c r="AG29" i="13"/>
  <c r="AG24" i="13"/>
  <c r="AG40" i="13"/>
  <c r="AG116" i="13"/>
  <c r="AG90" i="13"/>
  <c r="AG54" i="13"/>
  <c r="AG68" i="13"/>
  <c r="AG6" i="13"/>
  <c r="AG2" i="13"/>
  <c r="AG3" i="13"/>
  <c r="AG160" i="13"/>
  <c r="AG61" i="13"/>
  <c r="AG35" i="13"/>
  <c r="AG87" i="13"/>
  <c r="AG202" i="13"/>
  <c r="AG109" i="13"/>
  <c r="AG108" i="13"/>
  <c r="AG72" i="13"/>
  <c r="AG233" i="13"/>
  <c r="AG28" i="13"/>
  <c r="AG163" i="13"/>
  <c r="AG70" i="13"/>
  <c r="AG225" i="13"/>
  <c r="AG37" i="13"/>
  <c r="AG98" i="13"/>
  <c r="AG367" i="13"/>
  <c r="AG10" i="13"/>
  <c r="AG4" i="13"/>
  <c r="AG13" i="13"/>
  <c r="AG261" i="13"/>
  <c r="AG272" i="13"/>
  <c r="AG156" i="13"/>
  <c r="AG64" i="13"/>
  <c r="AG36" i="13"/>
  <c r="AG42" i="13"/>
  <c r="AG305" i="13"/>
  <c r="AG271" i="13"/>
  <c r="AG186" i="13"/>
  <c r="AG134" i="13"/>
  <c r="AG158" i="13"/>
  <c r="AG60" i="13"/>
  <c r="AG342" i="13"/>
  <c r="AG368" i="13"/>
  <c r="AG221" i="13"/>
  <c r="AG328" i="13"/>
  <c r="AG31" i="13"/>
  <c r="AG477" i="13"/>
  <c r="AG121" i="13"/>
  <c r="AG63" i="13"/>
  <c r="AG17" i="13"/>
  <c r="AG66" i="13"/>
  <c r="AG311" i="13"/>
  <c r="AG153" i="13"/>
  <c r="AG21" i="13"/>
  <c r="AG78" i="13"/>
  <c r="AG228" i="13"/>
  <c r="AG229" i="13"/>
  <c r="AG41" i="13"/>
  <c r="AG22" i="13"/>
  <c r="AG169" i="13"/>
  <c r="AG284" i="13"/>
  <c r="AG155" i="13"/>
  <c r="AG422" i="13"/>
  <c r="AG170" i="13"/>
  <c r="AG178" i="13"/>
  <c r="AG79" i="13"/>
  <c r="AG207" i="13"/>
  <c r="AG208" i="13"/>
  <c r="AG30" i="13"/>
  <c r="AG16" i="13"/>
  <c r="AG95" i="13"/>
  <c r="AG89" i="13"/>
  <c r="AG34" i="13"/>
  <c r="AG32" i="13"/>
  <c r="AG20" i="13"/>
  <c r="AG19" i="13"/>
  <c r="AG115" i="13"/>
  <c r="AG44" i="13"/>
  <c r="AG397" i="13"/>
  <c r="AG172" i="13"/>
  <c r="AG75" i="13"/>
  <c r="AG94" i="13"/>
  <c r="AG117" i="13"/>
  <c r="AG51" i="13"/>
  <c r="AG74" i="13"/>
  <c r="AG5" i="13"/>
  <c r="AG67" i="13"/>
  <c r="AG65" i="13"/>
  <c r="AG52" i="13"/>
  <c r="AG39" i="13"/>
  <c r="AG38" i="13"/>
  <c r="AG53" i="13"/>
  <c r="AG129" i="13"/>
  <c r="AG11" i="13"/>
  <c r="AG126" i="13"/>
  <c r="AG50" i="13"/>
  <c r="AG49" i="13"/>
  <c r="AG110" i="13"/>
  <c r="AG18" i="13"/>
  <c r="AG281" i="13"/>
  <c r="AG73" i="13"/>
  <c r="AG139" i="13"/>
  <c r="AG445" i="13"/>
  <c r="AG9" i="13"/>
  <c r="AG59" i="13"/>
  <c r="AG222" i="13"/>
  <c r="AG81" i="13"/>
  <c r="AG43" i="13"/>
  <c r="AG8" i="13"/>
  <c r="AG329" i="13"/>
  <c r="AG104" i="13"/>
  <c r="AG82" i="13"/>
  <c r="AG122" i="13"/>
  <c r="AG136" i="13"/>
  <c r="AG107" i="13"/>
  <c r="AG113" i="13"/>
  <c r="AG62" i="13"/>
  <c r="AG220" i="13"/>
  <c r="AG96" i="13"/>
  <c r="AG48" i="13"/>
  <c r="AG563" i="13"/>
  <c r="AG249" i="13"/>
  <c r="AG101" i="13"/>
  <c r="AG102" i="13"/>
  <c r="AG103" i="13"/>
  <c r="AG577" i="13"/>
  <c r="AG576" i="13"/>
  <c r="AG579" i="13"/>
  <c r="AG580" i="13"/>
  <c r="AG561" i="13"/>
  <c r="AG581" i="13"/>
  <c r="AG578" i="13"/>
  <c r="AG582" i="13"/>
  <c r="AG583" i="13"/>
  <c r="AG554" i="13"/>
  <c r="AG555" i="13"/>
  <c r="AG556" i="13"/>
  <c r="AG464" i="13"/>
  <c r="AG406" i="13"/>
  <c r="AG313" i="13"/>
  <c r="AG567" i="13"/>
  <c r="AG568" i="13"/>
  <c r="AG339" i="13"/>
  <c r="AG526" i="13"/>
  <c r="AG527" i="13"/>
  <c r="AG528" i="13"/>
  <c r="AG569" i="13"/>
  <c r="AG574" i="13"/>
  <c r="AG570" i="13"/>
  <c r="AG550" i="13"/>
  <c r="AG584" i="13"/>
  <c r="AG571" i="13"/>
  <c r="AG529" i="13"/>
  <c r="AG530" i="13"/>
  <c r="AG475" i="13"/>
  <c r="AG363" i="13"/>
  <c r="AG26" i="13"/>
  <c r="AG27" i="13"/>
  <c r="AG25" i="13"/>
  <c r="AG23" i="13"/>
  <c r="AG46" i="13"/>
  <c r="AG387" i="13"/>
  <c r="AG436" i="13"/>
  <c r="AG12" i="13"/>
  <c r="AG7" i="13"/>
  <c r="AG446" i="13"/>
  <c r="AG389" i="13"/>
  <c r="AG71" i="13"/>
  <c r="AG263" i="13"/>
  <c r="AG401" i="13"/>
  <c r="AG174" i="13"/>
  <c r="AG3" i="14"/>
  <c r="AG4" i="14"/>
  <c r="AG5" i="14"/>
  <c r="AG6" i="14"/>
  <c r="AG7" i="14"/>
  <c r="AG8"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2" i="14"/>
  <c r="AG3" i="23"/>
  <c r="AG4" i="23"/>
  <c r="AG5" i="23"/>
  <c r="AG6" i="23"/>
  <c r="AG7" i="23"/>
  <c r="AG8" i="23"/>
  <c r="AG9" i="23"/>
  <c r="AG10" i="23"/>
  <c r="AG11" i="23"/>
  <c r="AG12" i="23"/>
  <c r="AG13" i="23"/>
  <c r="AG14" i="23"/>
  <c r="AG15" i="23"/>
  <c r="AG16" i="23"/>
  <c r="AG17" i="23"/>
  <c r="AG18" i="23"/>
  <c r="AG19"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65" i="23"/>
  <c r="AG66" i="23"/>
  <c r="AG67" i="23"/>
  <c r="AG68" i="23"/>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94" i="23"/>
  <c r="AG95" i="23"/>
  <c r="AG96" i="23"/>
  <c r="AG97" i="23"/>
  <c r="AG98" i="23"/>
  <c r="AG99" i="23"/>
  <c r="AG2" i="23"/>
  <c r="AG59" i="15"/>
  <c r="AG3" i="15"/>
  <c r="AG4" i="15"/>
  <c r="AG91" i="15"/>
  <c r="AG5" i="15"/>
  <c r="AG6" i="15"/>
  <c r="AG7" i="15"/>
  <c r="AG92" i="15"/>
  <c r="AG8" i="15"/>
  <c r="AG9" i="15"/>
  <c r="AG10" i="15"/>
  <c r="AG11" i="15"/>
  <c r="AG12" i="15"/>
  <c r="AG93" i="15"/>
  <c r="AG13" i="15"/>
  <c r="AG14" i="15"/>
  <c r="AG15" i="15"/>
  <c r="AG16" i="15"/>
  <c r="AG17" i="15"/>
  <c r="AG18" i="15"/>
  <c r="AG19" i="15"/>
  <c r="AG20" i="15"/>
  <c r="AG108" i="15"/>
  <c r="AG21" i="15"/>
  <c r="AG22" i="15"/>
  <c r="AG23" i="15"/>
  <c r="AG24" i="15"/>
  <c r="AG25" i="15"/>
  <c r="AG26" i="15"/>
  <c r="AG27" i="15"/>
  <c r="AG94" i="15"/>
  <c r="AG73" i="15"/>
  <c r="AG74" i="15"/>
  <c r="AG28" i="15"/>
  <c r="AG29" i="15"/>
  <c r="AG30" i="15"/>
  <c r="AG31" i="15"/>
  <c r="AG98" i="15"/>
  <c r="AG72" i="15"/>
  <c r="AG60" i="15"/>
  <c r="AG95" i="15"/>
  <c r="AG32" i="15"/>
  <c r="AG33" i="15"/>
  <c r="AG61" i="15"/>
  <c r="AG34" i="15"/>
  <c r="AG117" i="15"/>
  <c r="AG118" i="15"/>
  <c r="AG62" i="15"/>
  <c r="AG114" i="15"/>
  <c r="AG35" i="15"/>
  <c r="AG63" i="15"/>
  <c r="AG96" i="15"/>
  <c r="AG36" i="15"/>
  <c r="AG97" i="15"/>
  <c r="AG111" i="15"/>
  <c r="AG37" i="15"/>
  <c r="AG75" i="15"/>
  <c r="AG115" i="15"/>
  <c r="AG99" i="15"/>
  <c r="AG100" i="15"/>
  <c r="AG119" i="15"/>
  <c r="AG38" i="15"/>
  <c r="AG39" i="15"/>
  <c r="AG101" i="15"/>
  <c r="AG40" i="15"/>
  <c r="AG109" i="15"/>
  <c r="AG112" i="15"/>
  <c r="AG102" i="15"/>
  <c r="AG69" i="15"/>
  <c r="AG76" i="15"/>
  <c r="AG77" i="15"/>
  <c r="AG56" i="15"/>
  <c r="AG113" i="15"/>
  <c r="AG64" i="15"/>
  <c r="AG78" i="15"/>
  <c r="AG79" i="15"/>
  <c r="AG116" i="15"/>
  <c r="AG65" i="15"/>
  <c r="AG103" i="15"/>
  <c r="AG41" i="15"/>
  <c r="AG110" i="15"/>
  <c r="AG104" i="15"/>
  <c r="AG42" i="15"/>
  <c r="AG80" i="15"/>
  <c r="AG66" i="15"/>
  <c r="AG81" i="15"/>
  <c r="AG82" i="15"/>
  <c r="AG83" i="15"/>
  <c r="AG43" i="15"/>
  <c r="AG44" i="15"/>
  <c r="AG57" i="15"/>
  <c r="AG58" i="15"/>
  <c r="AG67" i="15"/>
  <c r="AG84" i="15"/>
  <c r="AG68" i="15"/>
  <c r="AG85" i="15"/>
  <c r="AG86" i="15"/>
  <c r="AG87" i="15"/>
  <c r="AG70" i="15"/>
  <c r="AG45" i="15"/>
  <c r="AG46" i="15"/>
  <c r="AG47" i="15"/>
  <c r="AG48" i="15"/>
  <c r="AG49" i="15"/>
  <c r="AG107" i="15"/>
  <c r="AG50" i="15"/>
  <c r="AG51" i="15"/>
  <c r="AG71" i="15"/>
  <c r="AG88" i="15"/>
  <c r="AG105" i="15"/>
  <c r="AG52" i="15"/>
  <c r="AG53" i="15"/>
  <c r="AG90" i="15"/>
  <c r="AG54" i="15"/>
  <c r="AG55" i="15"/>
  <c r="AG106" i="15"/>
  <c r="AG2" i="15"/>
  <c r="AG7" i="20"/>
  <c r="AG6" i="20"/>
  <c r="AG5" i="20"/>
  <c r="AG4" i="20"/>
  <c r="AG3" i="20"/>
  <c r="AG2" i="20"/>
  <c r="AG3" i="19"/>
  <c r="AG4" i="19"/>
  <c r="AG5" i="19"/>
  <c r="AG6" i="19"/>
  <c r="AG10" i="19"/>
  <c r="AG11" i="19"/>
  <c r="AG12" i="19"/>
  <c r="AG2" i="19"/>
  <c r="AG34" i="16"/>
  <c r="AG81" i="16"/>
  <c r="AG82" i="16"/>
  <c r="AG85" i="16"/>
  <c r="AG73" i="16"/>
  <c r="AG78" i="16"/>
  <c r="AG77" i="16"/>
  <c r="AG94" i="16"/>
  <c r="AG92" i="16"/>
  <c r="AG88" i="16"/>
  <c r="AG32" i="16"/>
  <c r="AG35" i="16"/>
  <c r="AG96" i="16"/>
  <c r="AG79" i="16"/>
  <c r="AG80" i="16"/>
  <c r="AG37" i="16"/>
  <c r="AG99" i="16"/>
  <c r="AG84" i="16"/>
  <c r="AG91" i="16"/>
  <c r="AG89" i="16"/>
  <c r="AG67" i="16"/>
  <c r="AG95" i="16"/>
  <c r="AG86" i="16"/>
  <c r="AG90" i="16"/>
  <c r="AG83" i="16"/>
  <c r="AG74" i="16"/>
  <c r="AG42" i="16"/>
  <c r="AG48" i="16"/>
  <c r="AG45" i="16"/>
  <c r="AG52" i="16"/>
  <c r="AG54" i="16"/>
  <c r="AG33" i="16"/>
  <c r="AG69" i="16"/>
  <c r="AG71" i="16"/>
  <c r="AG72" i="16"/>
  <c r="AG38" i="16"/>
  <c r="AG39" i="16"/>
  <c r="AG40" i="16"/>
  <c r="AG41" i="16"/>
  <c r="AG43" i="16"/>
  <c r="AG44" i="16"/>
  <c r="AG47" i="16"/>
  <c r="AG46" i="16"/>
  <c r="AG50" i="16"/>
  <c r="AG53" i="16"/>
  <c r="AG55" i="16"/>
  <c r="AG59" i="16"/>
  <c r="AG3" i="16"/>
  <c r="AG58" i="16"/>
  <c r="AG36" i="16"/>
  <c r="AG75" i="16"/>
  <c r="AG2" i="16"/>
  <c r="AG61" i="16"/>
  <c r="AG5" i="16"/>
  <c r="AG101" i="16"/>
  <c r="AG64" i="16"/>
  <c r="AG87" i="16"/>
  <c r="AG65" i="16"/>
  <c r="AG62" i="16"/>
  <c r="AG6" i="16"/>
  <c r="AG7" i="16"/>
  <c r="AG8" i="16"/>
  <c r="AG9" i="16"/>
  <c r="AG10" i="16"/>
  <c r="AG12" i="16"/>
  <c r="AG11" i="16"/>
  <c r="AG13" i="16"/>
  <c r="AG16" i="16"/>
  <c r="AG15" i="16"/>
  <c r="AG17" i="16"/>
  <c r="AG18" i="16"/>
  <c r="AG20" i="16"/>
  <c r="AG19" i="16"/>
  <c r="AG21" i="16"/>
  <c r="AG22" i="16"/>
  <c r="AG24" i="16"/>
  <c r="AG25" i="16"/>
  <c r="AG26" i="16"/>
  <c r="AG27" i="16"/>
  <c r="AG28" i="16"/>
  <c r="AG57" i="16"/>
  <c r="AG68" i="16"/>
  <c r="AG63" i="16"/>
  <c r="AG4" i="16"/>
  <c r="AG31" i="16"/>
  <c r="AG29" i="16"/>
  <c r="AG60" i="16"/>
  <c r="AG51" i="16"/>
  <c r="AG93" i="16"/>
  <c r="AG66" i="16"/>
  <c r="AG14" i="16"/>
  <c r="AG23" i="16"/>
  <c r="AG30" i="16"/>
  <c r="AG56" i="16"/>
  <c r="AG76" i="16"/>
  <c r="N41" i="26"/>
  <c r="AJ5" i="15" l="1"/>
  <c r="AJ118" i="15"/>
  <c r="AI91" i="15"/>
  <c r="AH96" i="16"/>
  <c r="AJ82" i="16"/>
  <c r="AA23" i="22"/>
  <c r="Z23" i="22"/>
  <c r="K23" i="22"/>
  <c r="I23" i="22"/>
  <c r="N36" i="26"/>
  <c r="K3" i="26"/>
  <c r="M9" i="26"/>
  <c r="M10" i="26" s="1"/>
  <c r="M8" i="26"/>
  <c r="M7" i="26"/>
  <c r="M6" i="26"/>
  <c r="M5" i="26"/>
  <c r="M4" i="26"/>
  <c r="M3" i="26"/>
  <c r="L8" i="26"/>
  <c r="L9" i="26" s="1"/>
  <c r="L7" i="26"/>
  <c r="L6" i="26"/>
  <c r="L5" i="26"/>
  <c r="L4" i="26"/>
  <c r="B4" i="28" s="1"/>
  <c r="L3" i="26"/>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AA6" i="17"/>
  <c r="AA7" i="17"/>
  <c r="AA8" i="17"/>
  <c r="AA9" i="17"/>
  <c r="AA10" i="17"/>
  <c r="AA11" i="17"/>
  <c r="AA12" i="17"/>
  <c r="AA13" i="17"/>
  <c r="AA14" i="17"/>
  <c r="AA15" i="17"/>
  <c r="AA16" i="17"/>
  <c r="AA17" i="17"/>
  <c r="AA18" i="17"/>
  <c r="AA19" i="17"/>
  <c r="AA20" i="17"/>
  <c r="AA21" i="17"/>
  <c r="AA22" i="17"/>
  <c r="AA23" i="17"/>
  <c r="AA24" i="17"/>
  <c r="AA25" i="17"/>
  <c r="AA11" i="25"/>
  <c r="AA10" i="25"/>
  <c r="AA14" i="25"/>
  <c r="AA21" i="25"/>
  <c r="AA12" i="25"/>
  <c r="AA16" i="25"/>
  <c r="AA15" i="25"/>
  <c r="AA13" i="25"/>
  <c r="AA8" i="25"/>
  <c r="AA7" i="25"/>
  <c r="AA6" i="25"/>
  <c r="AA5" i="25"/>
  <c r="AA4" i="25"/>
  <c r="AA2" i="25"/>
  <c r="AA3" i="25"/>
  <c r="AA9" i="25"/>
  <c r="AA45" i="24"/>
  <c r="AA46" i="24"/>
  <c r="AA47" i="24"/>
  <c r="AA48" i="24"/>
  <c r="AA49" i="24"/>
  <c r="AA50" i="24"/>
  <c r="AA51" i="24"/>
  <c r="AA52" i="24"/>
  <c r="AA53" i="24"/>
  <c r="AA54" i="24"/>
  <c r="AA55" i="24"/>
  <c r="AA56" i="24"/>
  <c r="AA57" i="24"/>
  <c r="AA58" i="24"/>
  <c r="AA59" i="24"/>
  <c r="AA60" i="24"/>
  <c r="AA61" i="24"/>
  <c r="AA62" i="24"/>
  <c r="AA63" i="24"/>
  <c r="AA64" i="24"/>
  <c r="AA65" i="24"/>
  <c r="AA26" i="24"/>
  <c r="AA27" i="24"/>
  <c r="AA28" i="24"/>
  <c r="AA29" i="24"/>
  <c r="AA30" i="24"/>
  <c r="AA31" i="24"/>
  <c r="AA32" i="24"/>
  <c r="AA33" i="24"/>
  <c r="AA34" i="24"/>
  <c r="AA35" i="24"/>
  <c r="AA36" i="24"/>
  <c r="AA37" i="24"/>
  <c r="AA38" i="24"/>
  <c r="AA39" i="24"/>
  <c r="AA40" i="24"/>
  <c r="AA41" i="24"/>
  <c r="AA42" i="24"/>
  <c r="AA43" i="24"/>
  <c r="AA25" i="24"/>
  <c r="AA24" i="24"/>
  <c r="AA19" i="24"/>
  <c r="AA20" i="24"/>
  <c r="AA21" i="24"/>
  <c r="AA22" i="24"/>
  <c r="AA23" i="24"/>
  <c r="AA11" i="24"/>
  <c r="AA12" i="24"/>
  <c r="AA13" i="24"/>
  <c r="AA14" i="24"/>
  <c r="AA15" i="24"/>
  <c r="AA16" i="24"/>
  <c r="AA17" i="24"/>
  <c r="AA18" i="24"/>
  <c r="AA6" i="24"/>
  <c r="AA7" i="24"/>
  <c r="AA8" i="24"/>
  <c r="AA9" i="24"/>
  <c r="AA10" i="24"/>
  <c r="AA5" i="24"/>
  <c r="AA4" i="24"/>
  <c r="AA3" i="24"/>
  <c r="AA2" i="24"/>
  <c r="AA17" i="25"/>
  <c r="AA18" i="25"/>
  <c r="AA19" i="25"/>
  <c r="AA20" i="25"/>
  <c r="AA5" i="21"/>
  <c r="AA4" i="21"/>
  <c r="AA3" i="21"/>
  <c r="AA2" i="21"/>
  <c r="AA5" i="17"/>
  <c r="AA4" i="17"/>
  <c r="AA3" i="17"/>
  <c r="AA2" i="17"/>
  <c r="AA3" i="18"/>
  <c r="AA4" i="18"/>
  <c r="AA5" i="18"/>
  <c r="AA6" i="18"/>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2" i="18"/>
  <c r="AA4" i="22"/>
  <c r="AA5" i="22"/>
  <c r="AA6" i="22"/>
  <c r="AA7" i="22"/>
  <c r="AA8" i="22"/>
  <c r="AA9" i="22"/>
  <c r="AA10" i="22"/>
  <c r="AA11" i="22"/>
  <c r="AA12" i="22"/>
  <c r="AA13" i="22"/>
  <c r="AA14" i="22"/>
  <c r="AA15" i="22"/>
  <c r="AA16" i="22"/>
  <c r="AA17" i="22"/>
  <c r="AA18" i="22"/>
  <c r="AA19" i="22"/>
  <c r="AA20" i="22"/>
  <c r="AA21" i="22"/>
  <c r="AA22" i="22"/>
  <c r="AA3" i="22"/>
  <c r="AA2" i="22"/>
  <c r="AA5" i="19"/>
  <c r="AA6" i="19"/>
  <c r="AA10" i="19"/>
  <c r="AA11" i="19"/>
  <c r="AA12" i="19"/>
  <c r="AA5" i="20"/>
  <c r="AA6" i="20"/>
  <c r="AA7" i="20"/>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2" i="23"/>
  <c r="AA33" i="23"/>
  <c r="AA34" i="23"/>
  <c r="AA35" i="23"/>
  <c r="AA36" i="23"/>
  <c r="AA37" i="23"/>
  <c r="AA38" i="23"/>
  <c r="AA39" i="23"/>
  <c r="AA40" i="23"/>
  <c r="AA41" i="23"/>
  <c r="AA42" i="23"/>
  <c r="AA43" i="23"/>
  <c r="AA44" i="23"/>
  <c r="AA45" i="23"/>
  <c r="AA46" i="23"/>
  <c r="AA47" i="23"/>
  <c r="AA48" i="23"/>
  <c r="AA49" i="23"/>
  <c r="AA50" i="23"/>
  <c r="AA51" i="23"/>
  <c r="AA52" i="23"/>
  <c r="AA53" i="23"/>
  <c r="AA54" i="23"/>
  <c r="AA55" i="23"/>
  <c r="AA56" i="23"/>
  <c r="AA57" i="23"/>
  <c r="AA58" i="23"/>
  <c r="AA59" i="23"/>
  <c r="AA60" i="23"/>
  <c r="AA61" i="23"/>
  <c r="AA62" i="23"/>
  <c r="AA63" i="23"/>
  <c r="AA64" i="23"/>
  <c r="AA65" i="23"/>
  <c r="AA66" i="23"/>
  <c r="AA67" i="23"/>
  <c r="AA68" i="23"/>
  <c r="AA69" i="23"/>
  <c r="AA70" i="23"/>
  <c r="AA71" i="23"/>
  <c r="AA72" i="23"/>
  <c r="AA73" i="23"/>
  <c r="AA74" i="23"/>
  <c r="AA75" i="23"/>
  <c r="AA76" i="23"/>
  <c r="AA77" i="23"/>
  <c r="AA78" i="23"/>
  <c r="AA79" i="23"/>
  <c r="AA80" i="23"/>
  <c r="AA81" i="23"/>
  <c r="AA82" i="23"/>
  <c r="AA83" i="23"/>
  <c r="AA84" i="23"/>
  <c r="AA85" i="23"/>
  <c r="AA86" i="23"/>
  <c r="AA87" i="23"/>
  <c r="AA88" i="23"/>
  <c r="AA89" i="23"/>
  <c r="AA90" i="23"/>
  <c r="AA91" i="23"/>
  <c r="AA92" i="23"/>
  <c r="AA93" i="23"/>
  <c r="AA94" i="23"/>
  <c r="AA95" i="23"/>
  <c r="AA96" i="23"/>
  <c r="AA97" i="23"/>
  <c r="AA98" i="23"/>
  <c r="AA99" i="23"/>
  <c r="AA4" i="23"/>
  <c r="AA3" i="23"/>
  <c r="AA2" i="23"/>
  <c r="AA4" i="20"/>
  <c r="AA3" i="20"/>
  <c r="AA2" i="20"/>
  <c r="AA4" i="19"/>
  <c r="AA3" i="19"/>
  <c r="AA2" i="19"/>
  <c r="K75" i="24"/>
  <c r="I75" i="24"/>
  <c r="I74" i="24"/>
  <c r="K74" i="24"/>
  <c r="Z74" i="24"/>
  <c r="AA74" i="24"/>
  <c r="I70" i="24"/>
  <c r="K70" i="24"/>
  <c r="Z70" i="24"/>
  <c r="AA70" i="24"/>
  <c r="I71" i="24"/>
  <c r="K71" i="24"/>
  <c r="Z71" i="24"/>
  <c r="AA71" i="24"/>
  <c r="I72" i="24"/>
  <c r="K72" i="24"/>
  <c r="Z72" i="24"/>
  <c r="AA72" i="24"/>
  <c r="I73" i="24"/>
  <c r="K73" i="24"/>
  <c r="Z73" i="24"/>
  <c r="AA73" i="24"/>
  <c r="Z9" i="25"/>
  <c r="K9" i="25"/>
  <c r="I9" i="25"/>
  <c r="I4" i="25"/>
  <c r="K4" i="25"/>
  <c r="Z4" i="25"/>
  <c r="I2" i="25"/>
  <c r="K2" i="25"/>
  <c r="Z2" i="25"/>
  <c r="I3" i="25"/>
  <c r="K3" i="25"/>
  <c r="Z3" i="25"/>
  <c r="R1692" i="1"/>
  <c r="R94" i="16"/>
  <c r="R95" i="16"/>
  <c r="R1718" i="1"/>
  <c r="B5" i="28" l="1"/>
  <c r="M11" i="26"/>
  <c r="C5" i="28"/>
  <c r="L10" i="26"/>
  <c r="L11" i="26" s="1"/>
  <c r="AE74" i="24"/>
  <c r="AF74" i="24"/>
  <c r="AE4" i="25"/>
  <c r="AF4" i="25"/>
  <c r="AE23" i="22"/>
  <c r="AF23" i="22"/>
  <c r="AE73" i="24"/>
  <c r="AF73" i="24"/>
  <c r="AE70" i="24"/>
  <c r="AF70" i="24"/>
  <c r="AE71" i="24"/>
  <c r="AF71" i="24"/>
  <c r="AE3" i="25"/>
  <c r="AF3" i="25"/>
  <c r="AE72" i="24"/>
  <c r="AF72" i="24"/>
  <c r="AE9" i="25"/>
  <c r="AF9" i="25"/>
  <c r="N3" i="26"/>
  <c r="K4" i="26"/>
  <c r="AF2" i="25"/>
  <c r="AE2" i="25"/>
  <c r="C4" i="28" l="1"/>
  <c r="L12" i="26"/>
  <c r="L13" i="26" s="1"/>
  <c r="L14" i="26" s="1"/>
  <c r="L15" i="26" s="1"/>
  <c r="L16" i="26" s="1"/>
  <c r="K5" i="26"/>
  <c r="B6" i="28" s="1"/>
  <c r="R3" i="26"/>
  <c r="N4" i="26"/>
  <c r="M12" i="26"/>
  <c r="M13" i="26" s="1"/>
  <c r="M14" i="26" s="1"/>
  <c r="M15" i="26" s="1"/>
  <c r="M16" i="26" s="1"/>
  <c r="N5" i="26"/>
  <c r="AA69" i="24"/>
  <c r="Z69" i="24"/>
  <c r="K69" i="24"/>
  <c r="I69" i="24"/>
  <c r="AA68" i="24"/>
  <c r="Z68" i="24"/>
  <c r="K68" i="24"/>
  <c r="I68" i="24"/>
  <c r="AA67" i="24"/>
  <c r="Z67" i="24"/>
  <c r="K67" i="24"/>
  <c r="I67" i="24"/>
  <c r="Z10" i="24"/>
  <c r="K10" i="24"/>
  <c r="I10" i="24"/>
  <c r="Z9" i="24"/>
  <c r="K9" i="24"/>
  <c r="I9" i="24"/>
  <c r="Z8" i="24"/>
  <c r="K8" i="24"/>
  <c r="I8" i="24"/>
  <c r="Z7" i="24"/>
  <c r="K7" i="24"/>
  <c r="I7" i="24"/>
  <c r="Z6" i="24"/>
  <c r="K6" i="24"/>
  <c r="I6" i="24"/>
  <c r="Z5" i="24"/>
  <c r="K5" i="24"/>
  <c r="I5" i="24"/>
  <c r="AA66" i="24"/>
  <c r="Z66" i="24"/>
  <c r="K66" i="24"/>
  <c r="I66" i="24"/>
  <c r="AA44" i="24"/>
  <c r="Z44" i="24"/>
  <c r="K44" i="24"/>
  <c r="I44" i="24"/>
  <c r="Z25" i="24"/>
  <c r="K25" i="24"/>
  <c r="I25" i="24"/>
  <c r="Z23" i="24"/>
  <c r="K23" i="24"/>
  <c r="I23" i="24"/>
  <c r="Z22" i="24"/>
  <c r="K22" i="24"/>
  <c r="I22" i="24"/>
  <c r="Z21" i="24"/>
  <c r="K21" i="24"/>
  <c r="I21" i="24"/>
  <c r="Z20" i="24"/>
  <c r="K20" i="24"/>
  <c r="I20" i="24"/>
  <c r="Z19" i="24"/>
  <c r="K19" i="24"/>
  <c r="I19" i="24"/>
  <c r="B2" i="26"/>
  <c r="AA9" i="21"/>
  <c r="AA8" i="21"/>
  <c r="AA7" i="21"/>
  <c r="AA6" i="21"/>
  <c r="AA19" i="21"/>
  <c r="Z19" i="21"/>
  <c r="K19" i="21"/>
  <c r="I19" i="21"/>
  <c r="AA18" i="21"/>
  <c r="Z18" i="21"/>
  <c r="K18" i="21"/>
  <c r="I18" i="21"/>
  <c r="AA17" i="21"/>
  <c r="Z17" i="21"/>
  <c r="K17" i="21"/>
  <c r="I17" i="21"/>
  <c r="AA16" i="21"/>
  <c r="Z16" i="21"/>
  <c r="K16" i="21"/>
  <c r="I16" i="21"/>
  <c r="AA15" i="21"/>
  <c r="Z15" i="21"/>
  <c r="K15" i="21"/>
  <c r="I15" i="21"/>
  <c r="AA14" i="21"/>
  <c r="Z14" i="21"/>
  <c r="K14" i="21"/>
  <c r="I14" i="21"/>
  <c r="AA13" i="21"/>
  <c r="Z13" i="21"/>
  <c r="K13" i="21"/>
  <c r="I13" i="21"/>
  <c r="AA12" i="21"/>
  <c r="Z12" i="21"/>
  <c r="K12" i="21"/>
  <c r="I12" i="21"/>
  <c r="AA11" i="21"/>
  <c r="Z11" i="21"/>
  <c r="K11" i="21"/>
  <c r="I11" i="21"/>
  <c r="AA10" i="21"/>
  <c r="Z10" i="21"/>
  <c r="K10" i="21"/>
  <c r="I10" i="21"/>
  <c r="Z9" i="21"/>
  <c r="K9" i="21"/>
  <c r="I9" i="21"/>
  <c r="Z8" i="21"/>
  <c r="K8" i="21"/>
  <c r="I8" i="21"/>
  <c r="AA89" i="16"/>
  <c r="AA34" i="16"/>
  <c r="AA92" i="16"/>
  <c r="AA71" i="16"/>
  <c r="AA66" i="16"/>
  <c r="AA31" i="16"/>
  <c r="AA7" i="16"/>
  <c r="AA75" i="16"/>
  <c r="AA69" i="16"/>
  <c r="AA73" i="16"/>
  <c r="AA67" i="16"/>
  <c r="AA8" i="16"/>
  <c r="AA76" i="16"/>
  <c r="AA37" i="16"/>
  <c r="AA93" i="16"/>
  <c r="AA87" i="16"/>
  <c r="AA68" i="16"/>
  <c r="AA38" i="16"/>
  <c r="AA2" i="16"/>
  <c r="AA3" i="16"/>
  <c r="AA101" i="16"/>
  <c r="AA90" i="16"/>
  <c r="AA74" i="16"/>
  <c r="AA39" i="16"/>
  <c r="AA9" i="16"/>
  <c r="AA72" i="16"/>
  <c r="AA10" i="16"/>
  <c r="AA36" i="16"/>
  <c r="AA57" i="16"/>
  <c r="AA80" i="16"/>
  <c r="AA40" i="16"/>
  <c r="AA41" i="16"/>
  <c r="AA58" i="16"/>
  <c r="AA81" i="16"/>
  <c r="AA12" i="16"/>
  <c r="AA11" i="16"/>
  <c r="AA13" i="16"/>
  <c r="AA14" i="16"/>
  <c r="AA29" i="16"/>
  <c r="AA42" i="16"/>
  <c r="AA59" i="16"/>
  <c r="AA82" i="16"/>
  <c r="AA83" i="16"/>
  <c r="AA16" i="16"/>
  <c r="AA15" i="16"/>
  <c r="AA30" i="16"/>
  <c r="AA43" i="16"/>
  <c r="AA60" i="16"/>
  <c r="AA84" i="16"/>
  <c r="AA44" i="16"/>
  <c r="AA45" i="16"/>
  <c r="AA17" i="16"/>
  <c r="AA47" i="16"/>
  <c r="AA46" i="16"/>
  <c r="AA32" i="16"/>
  <c r="AA18" i="16"/>
  <c r="AA61" i="16"/>
  <c r="AA85" i="16"/>
  <c r="AA20" i="16"/>
  <c r="AA19" i="16"/>
  <c r="AA21" i="16"/>
  <c r="AA48" i="16"/>
  <c r="AA49" i="16"/>
  <c r="AA62" i="16"/>
  <c r="AA77" i="16"/>
  <c r="AA22" i="16"/>
  <c r="AA23" i="16"/>
  <c r="AA50" i="16"/>
  <c r="AA63" i="16"/>
  <c r="AA78" i="16"/>
  <c r="AA24" i="16"/>
  <c r="AA25" i="16"/>
  <c r="AA51" i="16"/>
  <c r="AA52" i="16"/>
  <c r="AA53" i="16"/>
  <c r="AA64" i="16"/>
  <c r="AA79" i="16"/>
  <c r="AA54" i="16"/>
  <c r="AA86" i="16"/>
  <c r="AA26" i="16"/>
  <c r="AA27" i="16"/>
  <c r="AA65" i="16"/>
  <c r="AA35" i="16"/>
  <c r="AA28" i="16"/>
  <c r="AA33" i="16"/>
  <c r="AA55" i="16"/>
  <c r="AA91" i="16"/>
  <c r="AA88" i="16"/>
  <c r="AA94" i="16"/>
  <c r="AA95" i="16"/>
  <c r="AA99" i="16"/>
  <c r="AA96" i="16"/>
  <c r="AA70" i="16"/>
  <c r="AA56" i="16"/>
  <c r="AA6" i="16"/>
  <c r="AA5" i="16"/>
  <c r="AA4" i="16"/>
  <c r="Z7" i="21"/>
  <c r="K7" i="21"/>
  <c r="I7" i="21"/>
  <c r="B4" i="26"/>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9" i="1"/>
  <c r="AA8" i="1"/>
  <c r="AA7" i="1"/>
  <c r="AA6" i="1"/>
  <c r="AA5" i="1"/>
  <c r="AA4" i="1"/>
  <c r="AA3" i="1"/>
  <c r="AA2" i="1"/>
  <c r="AA78" i="15"/>
  <c r="AA87" i="15"/>
  <c r="AA119" i="15"/>
  <c r="AA118" i="15"/>
  <c r="AA117" i="15"/>
  <c r="AA114" i="15"/>
  <c r="AA115" i="15"/>
  <c r="AA116" i="15"/>
  <c r="AA112" i="15"/>
  <c r="AA113" i="15"/>
  <c r="AA111" i="15"/>
  <c r="AA109" i="15"/>
  <c r="AA110" i="15"/>
  <c r="AA108" i="15"/>
  <c r="AA107" i="15"/>
  <c r="AA104" i="15"/>
  <c r="AA101" i="15"/>
  <c r="AA98" i="15"/>
  <c r="AA102" i="15"/>
  <c r="AA99" i="15"/>
  <c r="AA100" i="15"/>
  <c r="AA103" i="15"/>
  <c r="AA106" i="15"/>
  <c r="AA105" i="15"/>
  <c r="AA96" i="15"/>
  <c r="AA94" i="15"/>
  <c r="AA95" i="15"/>
  <c r="AA97" i="15"/>
  <c r="AA92" i="15"/>
  <c r="AA93" i="15"/>
  <c r="AA91" i="15"/>
  <c r="AA80" i="15"/>
  <c r="AA83" i="15"/>
  <c r="AA85" i="15"/>
  <c r="AA82" i="15"/>
  <c r="AA81" i="15"/>
  <c r="AA90" i="15"/>
  <c r="AA75" i="15"/>
  <c r="AA88" i="15"/>
  <c r="AA84" i="15"/>
  <c r="AA76" i="15"/>
  <c r="AA86" i="15"/>
  <c r="AA74" i="15"/>
  <c r="AA79" i="15"/>
  <c r="AA89" i="15"/>
  <c r="AA77" i="15"/>
  <c r="AA73" i="15"/>
  <c r="AA72" i="15"/>
  <c r="AA71" i="15"/>
  <c r="AA70" i="15"/>
  <c r="AA69" i="15"/>
  <c r="AA61" i="15"/>
  <c r="AA59" i="15"/>
  <c r="AA67" i="15"/>
  <c r="AA68" i="15"/>
  <c r="AA63" i="15"/>
  <c r="AA62" i="15"/>
  <c r="AA64" i="15"/>
  <c r="AA65" i="15"/>
  <c r="AA60" i="15"/>
  <c r="AA66" i="15"/>
  <c r="AA56" i="15"/>
  <c r="AA58" i="15"/>
  <c r="AA57" i="15"/>
  <c r="AA55" i="15"/>
  <c r="AA51" i="15"/>
  <c r="AA19" i="15"/>
  <c r="AA53" i="15"/>
  <c r="AA50" i="15"/>
  <c r="AA54" i="15"/>
  <c r="AA52" i="15"/>
  <c r="AA49" i="15"/>
  <c r="AA48" i="15"/>
  <c r="AA47" i="15"/>
  <c r="AA46" i="15"/>
  <c r="AA36" i="15"/>
  <c r="AA45" i="15"/>
  <c r="AA35" i="15"/>
  <c r="AA30" i="15"/>
  <c r="AA11" i="15"/>
  <c r="AA7" i="15"/>
  <c r="AA25" i="15"/>
  <c r="AA17" i="15"/>
  <c r="AA4" i="15"/>
  <c r="AA21" i="15"/>
  <c r="AA14" i="15"/>
  <c r="AA24" i="15"/>
  <c r="AA33" i="15"/>
  <c r="AA8" i="15"/>
  <c r="AA27" i="15"/>
  <c r="AA5" i="15"/>
  <c r="AA15" i="15"/>
  <c r="AA37" i="15"/>
  <c r="AA32" i="15"/>
  <c r="AA22" i="15"/>
  <c r="AA6" i="15"/>
  <c r="AA31" i="15"/>
  <c r="AA20" i="15"/>
  <c r="AA34" i="15"/>
  <c r="AA18" i="15"/>
  <c r="AA13" i="15"/>
  <c r="AA16" i="15"/>
  <c r="AA26" i="15"/>
  <c r="AA44" i="15"/>
  <c r="AA28" i="15"/>
  <c r="AA10" i="15"/>
  <c r="AA3" i="15"/>
  <c r="AA38" i="15"/>
  <c r="AA43" i="15"/>
  <c r="AA40" i="15"/>
  <c r="AA42" i="15"/>
  <c r="AA12" i="15"/>
  <c r="AA41" i="15"/>
  <c r="AA23" i="15"/>
  <c r="AA39" i="15"/>
  <c r="AA2" i="15"/>
  <c r="AA29" i="15"/>
  <c r="AA9" i="15"/>
  <c r="AA67" i="14"/>
  <c r="AA66" i="14"/>
  <c r="AA65" i="14"/>
  <c r="AA64" i="14"/>
  <c r="AA63" i="14"/>
  <c r="AA62" i="14"/>
  <c r="AA61" i="14"/>
  <c r="AA60" i="14"/>
  <c r="AA59" i="14"/>
  <c r="AA58" i="14"/>
  <c r="AA57" i="14"/>
  <c r="AA56" i="14"/>
  <c r="AA55" i="14"/>
  <c r="AA54" i="14"/>
  <c r="AA53" i="14"/>
  <c r="AA52" i="14"/>
  <c r="AA51" i="14"/>
  <c r="AA50" i="14"/>
  <c r="AA49" i="14"/>
  <c r="AA48" i="14"/>
  <c r="AA47" i="14"/>
  <c r="AA46" i="14"/>
  <c r="AA45" i="14"/>
  <c r="AA44" i="14"/>
  <c r="AA43" i="14"/>
  <c r="AA42" i="14"/>
  <c r="AA41" i="14"/>
  <c r="AA40" i="14"/>
  <c r="AA39" i="14"/>
  <c r="AA38" i="14"/>
  <c r="AA37" i="14"/>
  <c r="AA36" i="14"/>
  <c r="AA35" i="14"/>
  <c r="AA34" i="14"/>
  <c r="AA33" i="14"/>
  <c r="AA32" i="14"/>
  <c r="AA31" i="14"/>
  <c r="AA30" i="14"/>
  <c r="AA29" i="14"/>
  <c r="AA28" i="14"/>
  <c r="AA27" i="14"/>
  <c r="AA26" i="14"/>
  <c r="AA25" i="14"/>
  <c r="AA24" i="14"/>
  <c r="AA23" i="14"/>
  <c r="AA22" i="14"/>
  <c r="AA21" i="14"/>
  <c r="AA20" i="14"/>
  <c r="AA19" i="14"/>
  <c r="AA18" i="14"/>
  <c r="AA17" i="14"/>
  <c r="AA16" i="14"/>
  <c r="AA15" i="14"/>
  <c r="AA14" i="14"/>
  <c r="AA13" i="14"/>
  <c r="AA12" i="14"/>
  <c r="AA11" i="14"/>
  <c r="AA10" i="14"/>
  <c r="AA9" i="14"/>
  <c r="AA8" i="14"/>
  <c r="AA7" i="14"/>
  <c r="AA6" i="14"/>
  <c r="AA5" i="14"/>
  <c r="AA4" i="14"/>
  <c r="AA3" i="14"/>
  <c r="AA2" i="14"/>
  <c r="AA401" i="13"/>
  <c r="AA263" i="13"/>
  <c r="AA71" i="13"/>
  <c r="AA389" i="13"/>
  <c r="AA446" i="13"/>
  <c r="AA7" i="13"/>
  <c r="AA12" i="13"/>
  <c r="AA436" i="13"/>
  <c r="AA387" i="13"/>
  <c r="AA46" i="13"/>
  <c r="AA23" i="13"/>
  <c r="AA25" i="13"/>
  <c r="AA27" i="13"/>
  <c r="AA26" i="13"/>
  <c r="AA363" i="13"/>
  <c r="AA475" i="13"/>
  <c r="AA530" i="13"/>
  <c r="AA529" i="13"/>
  <c r="AA571" i="13"/>
  <c r="AA584" i="13"/>
  <c r="AA550" i="13"/>
  <c r="AA570" i="13"/>
  <c r="AA574" i="13"/>
  <c r="AA569" i="13"/>
  <c r="AA528" i="13"/>
  <c r="AA527" i="13"/>
  <c r="AA526" i="13"/>
  <c r="AA339" i="13"/>
  <c r="AA568" i="13"/>
  <c r="AA567" i="13"/>
  <c r="AA313" i="13"/>
  <c r="AA406" i="13"/>
  <c r="AA464" i="13"/>
  <c r="AA556" i="13"/>
  <c r="AA555" i="13"/>
  <c r="AA554" i="13"/>
  <c r="AA583" i="13"/>
  <c r="AA582" i="13"/>
  <c r="AA578" i="13"/>
  <c r="AA581" i="13"/>
  <c r="AA561" i="13"/>
  <c r="AA580" i="13"/>
  <c r="AA579" i="13"/>
  <c r="AA576" i="13"/>
  <c r="AA577" i="13"/>
  <c r="AA103" i="13"/>
  <c r="AA102" i="13"/>
  <c r="AA101" i="13"/>
  <c r="AA249" i="13"/>
  <c r="AA563" i="13"/>
  <c r="AA48" i="13"/>
  <c r="AA96" i="13"/>
  <c r="AA220" i="13"/>
  <c r="AA62" i="13"/>
  <c r="AA113" i="13"/>
  <c r="AA107" i="13"/>
  <c r="AA136" i="13"/>
  <c r="AA122" i="13"/>
  <c r="AA82" i="13"/>
  <c r="AA104" i="13"/>
  <c r="AA329" i="13"/>
  <c r="AA8" i="13"/>
  <c r="AA43" i="13"/>
  <c r="AA81" i="13"/>
  <c r="AA222" i="13"/>
  <c r="AA59" i="13"/>
  <c r="AA9" i="13"/>
  <c r="AA445" i="13"/>
  <c r="AA139" i="13"/>
  <c r="AA73" i="13"/>
  <c r="AA281" i="13"/>
  <c r="AA18" i="13"/>
  <c r="AA110" i="13"/>
  <c r="AA49" i="13"/>
  <c r="AA50" i="13"/>
  <c r="AA126" i="13"/>
  <c r="AA11" i="13"/>
  <c r="AA129" i="13"/>
  <c r="AA53" i="13"/>
  <c r="AA38" i="13"/>
  <c r="AA39" i="13"/>
  <c r="AA52" i="13"/>
  <c r="AA65" i="13"/>
  <c r="AA67" i="13"/>
  <c r="AA5" i="13"/>
  <c r="AA74" i="13"/>
  <c r="AA51" i="13"/>
  <c r="AA117" i="13"/>
  <c r="AA94" i="13"/>
  <c r="AA75" i="13"/>
  <c r="AA172" i="13"/>
  <c r="AA397" i="13"/>
  <c r="AA44" i="13"/>
  <c r="AA115" i="13"/>
  <c r="AA19" i="13"/>
  <c r="AA20" i="13"/>
  <c r="AA32" i="13"/>
  <c r="AA34" i="13"/>
  <c r="AA89" i="13"/>
  <c r="AA95" i="13"/>
  <c r="AA16" i="13"/>
  <c r="AA30" i="13"/>
  <c r="AA208" i="13"/>
  <c r="AA207" i="13"/>
  <c r="AA79" i="13"/>
  <c r="AA178" i="13"/>
  <c r="AA170" i="13"/>
  <c r="AA422" i="13"/>
  <c r="AA155" i="13"/>
  <c r="AA284" i="13"/>
  <c r="AA169" i="13"/>
  <c r="AA22" i="13"/>
  <c r="AA41" i="13"/>
  <c r="AA229" i="13"/>
  <c r="AA228" i="13"/>
  <c r="AA78" i="13"/>
  <c r="AA21" i="13"/>
  <c r="AA153" i="13"/>
  <c r="AA311" i="13"/>
  <c r="AA66" i="13"/>
  <c r="AA17" i="13"/>
  <c r="AA63" i="13"/>
  <c r="AA121" i="13"/>
  <c r="AA477" i="13"/>
  <c r="AA31" i="13"/>
  <c r="AA328" i="13"/>
  <c r="AA221" i="13"/>
  <c r="AA368" i="13"/>
  <c r="AA342" i="13"/>
  <c r="AA60" i="13"/>
  <c r="AA158" i="13"/>
  <c r="AA134" i="13"/>
  <c r="AA186" i="13"/>
  <c r="AA271" i="13"/>
  <c r="AA305" i="13"/>
  <c r="AA42" i="13"/>
  <c r="AA36" i="13"/>
  <c r="AA64" i="13"/>
  <c r="AA156" i="13"/>
  <c r="AA272" i="13"/>
  <c r="AA261" i="13"/>
  <c r="AA13" i="13"/>
  <c r="AA4" i="13"/>
  <c r="AA10" i="13"/>
  <c r="AA367" i="13"/>
  <c r="AA98" i="13"/>
  <c r="AA37" i="13"/>
  <c r="AA225" i="13"/>
  <c r="AA70" i="13"/>
  <c r="AA163" i="13"/>
  <c r="AA28" i="13"/>
  <c r="AA233" i="13"/>
  <c r="AA72" i="13"/>
  <c r="AA108" i="13"/>
  <c r="AA109" i="13"/>
  <c r="AA202" i="13"/>
  <c r="AA87" i="13"/>
  <c r="AA35" i="13"/>
  <c r="AA61" i="13"/>
  <c r="AA160" i="13"/>
  <c r="AA3" i="13"/>
  <c r="AA2" i="13"/>
  <c r="AA6" i="13"/>
  <c r="AA68" i="13"/>
  <c r="AA54" i="13"/>
  <c r="AA90" i="13"/>
  <c r="AA116" i="13"/>
  <c r="AA40" i="13"/>
  <c r="AA24" i="13"/>
  <c r="AA29" i="13"/>
  <c r="AA15" i="13"/>
  <c r="AA183" i="13"/>
  <c r="AA418" i="13"/>
  <c r="AA565" i="13"/>
  <c r="AA543" i="13"/>
  <c r="AA391" i="13"/>
  <c r="AA460" i="13"/>
  <c r="AA455" i="13"/>
  <c r="AA454" i="13"/>
  <c r="AA453" i="13"/>
  <c r="AA444" i="13"/>
  <c r="AA287" i="13"/>
  <c r="AA494" i="13"/>
  <c r="AA492" i="13"/>
  <c r="AA509" i="13"/>
  <c r="AA251" i="13"/>
  <c r="AA355" i="13"/>
  <c r="AA566" i="13"/>
  <c r="AA382" i="13"/>
  <c r="AA282" i="13"/>
  <c r="AA390" i="13"/>
  <c r="AA344" i="13"/>
  <c r="AA162" i="13"/>
  <c r="AA341" i="13"/>
  <c r="AA532" i="13"/>
  <c r="AA430" i="13"/>
  <c r="AA542" i="13"/>
  <c r="AA575" i="13"/>
  <c r="AA525" i="13"/>
  <c r="AA338" i="13"/>
  <c r="AA534" i="13"/>
  <c r="AA459" i="13"/>
  <c r="AA440" i="13"/>
  <c r="AA547" i="13"/>
  <c r="AA386" i="13"/>
  <c r="AA154" i="13"/>
  <c r="AA301" i="13"/>
  <c r="AA187" i="13"/>
  <c r="AA171" i="13"/>
  <c r="AA256" i="13"/>
  <c r="AA361" i="13"/>
  <c r="AA236" i="13"/>
  <c r="AA259" i="13"/>
  <c r="AA358" i="13"/>
  <c r="AA400" i="13"/>
  <c r="AA334" i="13"/>
  <c r="AA325" i="13"/>
  <c r="AA381" i="13"/>
  <c r="AA161" i="13"/>
  <c r="AA439" i="13"/>
  <c r="AA429" i="13"/>
  <c r="AA56" i="13"/>
  <c r="AA573" i="13"/>
  <c r="AA479" i="13"/>
  <c r="AA411" i="13"/>
  <c r="AA493" i="13"/>
  <c r="AA476" i="13"/>
  <c r="AA484" i="13"/>
  <c r="AA424" i="13"/>
  <c r="AA321" i="13"/>
  <c r="AA507" i="13"/>
  <c r="AA307" i="13"/>
  <c r="AA201" i="13"/>
  <c r="AA474" i="13"/>
  <c r="AA283" i="13"/>
  <c r="AA269" i="13"/>
  <c r="AA166" i="13"/>
  <c r="AA435" i="13"/>
  <c r="AA450" i="13"/>
  <c r="AA357" i="13"/>
  <c r="AA303" i="13"/>
  <c r="AA347" i="13"/>
  <c r="AA300" i="13"/>
  <c r="AA267" i="13"/>
  <c r="AA463" i="13"/>
  <c r="AA385" i="13"/>
  <c r="AA245" i="13"/>
  <c r="AA410" i="13"/>
  <c r="AA276" i="13"/>
  <c r="AA366" i="13"/>
  <c r="AA257" i="13"/>
  <c r="AA359" i="13"/>
  <c r="AA215" i="13"/>
  <c r="AA467" i="13"/>
  <c r="AA323" i="13"/>
  <c r="AA299" i="13"/>
  <c r="AA438" i="13"/>
  <c r="AA250" i="13"/>
  <c r="AA470" i="13"/>
  <c r="AA469" i="13"/>
  <c r="AA330" i="13"/>
  <c r="AA533" i="13"/>
  <c r="AA548" i="13"/>
  <c r="AA399" i="13"/>
  <c r="AA371" i="13"/>
  <c r="AA504" i="13"/>
  <c r="AA137" i="13"/>
  <c r="AA396" i="13"/>
  <c r="AA343" i="13"/>
  <c r="AA125" i="13"/>
  <c r="AA112" i="13"/>
  <c r="AA541" i="13"/>
  <c r="AA409" i="13"/>
  <c r="AA449" i="13"/>
  <c r="AA292" i="13"/>
  <c r="AA407" i="13"/>
  <c r="AA246" i="13"/>
  <c r="AA443" i="13"/>
  <c r="AA291" i="13"/>
  <c r="AA209" i="13"/>
  <c r="AA310" i="13"/>
  <c r="AA273" i="13"/>
  <c r="AA332" i="13"/>
  <c r="AA237" i="13"/>
  <c r="AA306" i="13"/>
  <c r="AA336" i="13"/>
  <c r="AA260" i="13"/>
  <c r="AA337" i="13"/>
  <c r="AA168" i="13"/>
  <c r="AA248" i="13"/>
  <c r="AA427" i="13"/>
  <c r="AA304" i="13"/>
  <c r="AA369" i="13"/>
  <c r="AA320" i="13"/>
  <c r="AA346" i="13"/>
  <c r="AA370" i="13"/>
  <c r="AA226" i="13"/>
  <c r="AA264" i="13"/>
  <c r="AA353" i="13"/>
  <c r="AA457" i="13"/>
  <c r="AA204" i="13"/>
  <c r="AA298" i="13"/>
  <c r="AA235" i="13"/>
  <c r="AA384" i="13"/>
  <c r="AA147" i="13"/>
  <c r="AA93" i="13"/>
  <c r="AA55" i="13"/>
  <c r="AA412" i="13"/>
  <c r="AA466" i="13"/>
  <c r="AA498" i="13"/>
  <c r="AA452" i="13"/>
  <c r="AA500" i="13"/>
  <c r="AA536" i="13"/>
  <c r="AA497" i="13"/>
  <c r="AA564" i="13"/>
  <c r="AA483" i="13"/>
  <c r="AA472" i="13"/>
  <c r="AA362" i="13"/>
  <c r="AA506" i="13"/>
  <c r="AA512" i="13"/>
  <c r="AA546" i="13"/>
  <c r="AA553" i="13"/>
  <c r="AA508" i="13"/>
  <c r="AA519" i="13"/>
  <c r="AA544" i="13"/>
  <c r="AA408" i="13"/>
  <c r="AA417" i="13"/>
  <c r="AA538" i="13"/>
  <c r="AA537" i="13"/>
  <c r="AA523" i="13"/>
  <c r="AA488" i="13"/>
  <c r="AA433" i="13"/>
  <c r="AA416" i="13"/>
  <c r="AA535" i="13"/>
  <c r="AA327" i="13"/>
  <c r="AA373" i="13"/>
  <c r="AA557" i="13"/>
  <c r="AA420" i="13"/>
  <c r="AA426" i="13"/>
  <c r="AA501" i="13"/>
  <c r="AA182" i="13"/>
  <c r="AA86" i="13"/>
  <c r="AA393" i="13"/>
  <c r="AA487" i="13"/>
  <c r="AA425" i="13"/>
  <c r="AA521" i="13"/>
  <c r="AA244" i="13"/>
  <c r="AA402" i="13"/>
  <c r="AA442" i="13"/>
  <c r="AA266" i="13"/>
  <c r="AA383" i="13"/>
  <c r="AA106" i="13"/>
  <c r="AA296" i="13"/>
  <c r="AA141" i="13"/>
  <c r="AA173" i="13"/>
  <c r="AA111" i="13"/>
  <c r="AA218" i="13"/>
  <c r="AA318" i="13"/>
  <c r="AA340" i="13"/>
  <c r="AA242" i="13"/>
  <c r="AA482" i="13"/>
  <c r="AA192" i="13"/>
  <c r="AA85" i="13"/>
  <c r="AA131" i="13"/>
  <c r="AA345" i="13"/>
  <c r="AA152" i="13"/>
  <c r="AA105" i="13"/>
  <c r="AA47" i="13"/>
  <c r="AA138" i="13"/>
  <c r="AA262" i="13"/>
  <c r="AA239" i="13"/>
  <c r="AA231" i="13"/>
  <c r="AA140" i="13"/>
  <c r="AA224" i="13"/>
  <c r="AA255" i="13"/>
  <c r="AA253" i="13"/>
  <c r="AA118" i="13"/>
  <c r="AA351" i="13"/>
  <c r="AA268" i="13"/>
  <c r="AA189" i="13"/>
  <c r="AA217" i="13"/>
  <c r="AA143" i="13"/>
  <c r="AA181" i="13"/>
  <c r="AA199" i="13"/>
  <c r="AA513" i="13"/>
  <c r="AA92" i="13"/>
  <c r="AA481" i="13"/>
  <c r="AA388" i="13"/>
  <c r="AA398" i="13"/>
  <c r="AA241" i="13"/>
  <c r="AA280" i="13"/>
  <c r="AA461" i="13"/>
  <c r="AA428" i="13"/>
  <c r="AA502" i="13"/>
  <c r="AA496" i="13"/>
  <c r="AA419" i="13"/>
  <c r="AA333" i="13"/>
  <c r="AA447" i="13"/>
  <c r="AA559" i="13"/>
  <c r="AA405" i="13"/>
  <c r="AA312" i="13"/>
  <c r="AA415" i="13"/>
  <c r="AA176" i="13"/>
  <c r="AA145" i="13"/>
  <c r="AA360" i="13"/>
  <c r="AA462" i="13"/>
  <c r="AA491" i="13"/>
  <c r="AA413" i="13"/>
  <c r="AA378" i="13"/>
  <c r="AA319" i="13"/>
  <c r="AA232" i="13"/>
  <c r="AA395" i="13"/>
  <c r="AA190" i="13"/>
  <c r="AA45" i="13"/>
  <c r="AA159" i="13"/>
  <c r="AA219" i="13"/>
  <c r="AA33" i="13"/>
  <c r="AA240" i="13"/>
  <c r="AA331" i="13"/>
  <c r="AA335" i="13"/>
  <c r="AA197" i="13"/>
  <c r="AA151" i="13"/>
  <c r="AA223" i="13"/>
  <c r="AA324" i="13"/>
  <c r="AA144" i="13"/>
  <c r="AA175" i="13"/>
  <c r="AA365" i="13"/>
  <c r="AA123" i="13"/>
  <c r="AA227" i="13"/>
  <c r="AA69" i="13"/>
  <c r="AA76" i="13"/>
  <c r="AA179" i="13"/>
  <c r="AA258" i="13"/>
  <c r="AA316" i="13"/>
  <c r="AA119" i="13"/>
  <c r="AA185" i="13"/>
  <c r="AA212" i="13"/>
  <c r="AA80" i="13"/>
  <c r="AA315" i="13"/>
  <c r="AA317" i="13"/>
  <c r="AA57" i="13"/>
  <c r="AA348" i="13"/>
  <c r="AA560" i="13"/>
  <c r="AA437" i="13"/>
  <c r="AA289" i="13"/>
  <c r="AA572" i="13"/>
  <c r="AA515" i="13"/>
  <c r="AA524" i="13"/>
  <c r="AA441" i="13"/>
  <c r="AA540" i="13"/>
  <c r="AA404" i="13"/>
  <c r="AA503" i="13"/>
  <c r="AA495" i="13"/>
  <c r="AA518" i="13"/>
  <c r="AA486" i="13"/>
  <c r="AA545" i="13"/>
  <c r="AA392" i="13"/>
  <c r="AA558" i="13"/>
  <c r="AA350" i="13"/>
  <c r="AA489" i="13"/>
  <c r="AA511" i="13"/>
  <c r="AA374" i="13"/>
  <c r="AA539" i="13"/>
  <c r="AA379" i="13"/>
  <c r="AA499" i="13"/>
  <c r="AA375" i="13"/>
  <c r="AA120" i="13"/>
  <c r="AA421" i="13"/>
  <c r="AA84" i="13"/>
  <c r="AA274" i="13"/>
  <c r="AA91" i="13"/>
  <c r="AA191" i="13"/>
  <c r="AA135" i="13"/>
  <c r="AA286" i="13"/>
  <c r="AA302" i="13"/>
  <c r="AA127" i="13"/>
  <c r="AA148" i="13"/>
  <c r="AA403" i="13"/>
  <c r="AA254" i="13"/>
  <c r="AA377" i="13"/>
  <c r="AA99" i="13"/>
  <c r="AA216" i="13"/>
  <c r="AA150" i="13"/>
  <c r="AA124" i="13"/>
  <c r="AA180" i="13"/>
  <c r="AA77" i="13"/>
  <c r="AA376" i="13"/>
  <c r="AA142" i="13"/>
  <c r="AA238" i="13"/>
  <c r="AA58" i="13"/>
  <c r="AA205" i="13"/>
  <c r="AA265" i="13"/>
  <c r="AA364" i="13"/>
  <c r="AA270" i="13"/>
  <c r="AA203" i="13"/>
  <c r="AA247" i="13"/>
  <c r="AA157" i="13"/>
  <c r="AA133" i="13"/>
  <c r="AA206" i="13"/>
  <c r="AA295" i="13"/>
  <c r="AA314" i="13"/>
  <c r="AA193" i="13"/>
  <c r="AA200" i="13"/>
  <c r="AA196" i="13"/>
  <c r="AA164" i="13"/>
  <c r="AA198" i="13"/>
  <c r="AA456" i="13"/>
  <c r="AA473" i="13"/>
  <c r="AA480" i="13"/>
  <c r="AA432" i="13"/>
  <c r="AA431" i="13"/>
  <c r="AA434" i="13"/>
  <c r="AA531" i="13"/>
  <c r="AA290" i="13"/>
  <c r="AA485" i="13"/>
  <c r="AA490" i="13"/>
  <c r="AA478" i="13"/>
  <c r="AA514" i="13"/>
  <c r="AA465" i="13"/>
  <c r="AA423" i="13"/>
  <c r="AA471" i="13"/>
  <c r="AA451" i="13"/>
  <c r="AA520" i="13"/>
  <c r="AA288" i="13"/>
  <c r="AA354" i="13"/>
  <c r="AA322" i="13"/>
  <c r="AA517" i="13"/>
  <c r="AA549" i="13"/>
  <c r="AA510" i="13"/>
  <c r="AA394" i="13"/>
  <c r="AA252" i="13"/>
  <c r="AA83" i="13"/>
  <c r="AA146" i="13"/>
  <c r="AA356" i="13"/>
  <c r="AA88" i="13"/>
  <c r="AA100" i="13"/>
  <c r="AA277" i="13"/>
  <c r="AA184" i="13"/>
  <c r="AA309" i="13"/>
  <c r="AA278" i="13"/>
  <c r="AA352" i="13"/>
  <c r="AA194" i="13"/>
  <c r="AA210" i="13"/>
  <c r="AA279" i="13"/>
  <c r="AA165" i="13"/>
  <c r="AA448" i="13"/>
  <c r="AA132" i="13"/>
  <c r="AA177" i="13"/>
  <c r="AA234" i="13"/>
  <c r="AA130" i="13"/>
  <c r="AA149" i="13"/>
  <c r="AA97" i="13"/>
  <c r="AA167" i="13"/>
  <c r="AA308" i="13"/>
  <c r="AA243" i="13"/>
  <c r="AA213" i="13"/>
  <c r="AA562" i="13"/>
  <c r="AA195" i="13"/>
  <c r="AA188" i="13"/>
  <c r="AA214" i="13"/>
  <c r="AA114" i="13"/>
  <c r="AA380" i="13"/>
  <c r="AA516" i="13"/>
  <c r="AA458" i="13"/>
  <c r="AA552" i="13"/>
  <c r="AA522" i="13"/>
  <c r="AA275" i="13"/>
  <c r="AA468" i="13"/>
  <c r="AA372" i="13"/>
  <c r="AA551" i="13"/>
  <c r="AA505" i="13"/>
  <c r="AA349" i="13"/>
  <c r="AA414" i="13"/>
  <c r="AA294" i="13"/>
  <c r="AA326" i="13"/>
  <c r="AA297" i="13"/>
  <c r="AA230" i="13"/>
  <c r="AA211" i="13"/>
  <c r="AA293" i="13"/>
  <c r="AA285" i="13"/>
  <c r="AA128" i="13"/>
  <c r="AA14" i="13"/>
  <c r="AA174" i="13"/>
  <c r="AA490" i="12"/>
  <c r="AA527" i="12"/>
  <c r="AA94" i="12"/>
  <c r="AA12" i="12"/>
  <c r="AA460" i="12"/>
  <c r="AA172" i="12"/>
  <c r="AA495" i="12"/>
  <c r="AA49" i="12"/>
  <c r="AA24" i="12"/>
  <c r="AA93" i="12"/>
  <c r="AA375" i="12"/>
  <c r="AA80" i="12"/>
  <c r="AA97" i="12"/>
  <c r="AA14" i="12"/>
  <c r="AA6" i="12"/>
  <c r="AA526" i="12"/>
  <c r="AA388" i="12"/>
  <c r="AA442" i="12"/>
  <c r="AA44" i="12"/>
  <c r="AA518" i="12"/>
  <c r="AA572" i="12"/>
  <c r="AA271" i="12"/>
  <c r="AA282" i="12"/>
  <c r="AA578" i="12"/>
  <c r="AA575" i="12"/>
  <c r="AA570" i="12"/>
  <c r="AA577" i="12"/>
  <c r="AA513" i="12"/>
  <c r="AA120" i="12"/>
  <c r="AA569" i="12"/>
  <c r="AA512" i="12"/>
  <c r="AA574" i="12"/>
  <c r="AA573" i="12"/>
  <c r="AA162" i="12"/>
  <c r="AA330" i="12"/>
  <c r="AA26" i="12"/>
  <c r="AA320" i="12"/>
  <c r="AA310" i="12"/>
  <c r="AA511" i="12"/>
  <c r="AA576" i="12"/>
  <c r="AA525" i="12"/>
  <c r="AA446" i="12"/>
  <c r="AA510" i="12"/>
  <c r="AA58" i="12"/>
  <c r="AA203" i="12"/>
  <c r="AA543" i="12"/>
  <c r="AA257" i="12"/>
  <c r="AA542" i="12"/>
  <c r="AA541" i="12"/>
  <c r="AA567" i="12"/>
  <c r="AA226" i="12"/>
  <c r="AA334" i="12"/>
  <c r="AA380" i="12"/>
  <c r="AA102" i="12"/>
  <c r="AA509" i="12"/>
  <c r="AA488" i="12"/>
  <c r="AA487" i="12"/>
  <c r="AA468" i="12"/>
  <c r="AA524" i="12"/>
  <c r="AA445" i="12"/>
  <c r="AA561" i="12"/>
  <c r="AA540" i="12"/>
  <c r="AA539" i="12"/>
  <c r="AA55" i="12"/>
  <c r="AA486" i="12"/>
  <c r="AA60" i="12"/>
  <c r="AA444" i="12"/>
  <c r="AA508" i="12"/>
  <c r="AA538" i="12"/>
  <c r="AA396" i="12"/>
  <c r="AA459" i="12"/>
  <c r="AA379" i="12"/>
  <c r="AA432" i="12"/>
  <c r="AA537" i="12"/>
  <c r="AA3" i="12"/>
  <c r="AA5" i="12"/>
  <c r="AA254" i="12"/>
  <c r="AA43" i="12"/>
  <c r="AA8" i="12"/>
  <c r="AA368" i="12"/>
  <c r="AA113" i="12"/>
  <c r="AA52" i="12"/>
  <c r="AA566" i="12"/>
  <c r="AA192" i="12"/>
  <c r="AA7" i="12"/>
  <c r="AA40" i="12"/>
  <c r="AA110" i="12"/>
  <c r="AA13" i="12"/>
  <c r="AA213" i="12"/>
  <c r="AA61" i="12"/>
  <c r="AA560" i="12"/>
  <c r="AA74" i="12"/>
  <c r="AA30" i="12"/>
  <c r="AA66" i="12"/>
  <c r="AA68" i="12"/>
  <c r="AA106" i="12"/>
  <c r="AA9" i="12"/>
  <c r="AA112" i="12"/>
  <c r="AA65" i="12"/>
  <c r="AA239" i="12"/>
  <c r="AA294" i="12"/>
  <c r="AA16" i="12"/>
  <c r="AA38" i="12"/>
  <c r="AA559" i="12"/>
  <c r="AA457" i="12"/>
  <c r="AA378" i="12"/>
  <c r="AA309" i="12"/>
  <c r="AA492" i="12"/>
  <c r="AA485" i="12"/>
  <c r="AA21" i="12"/>
  <c r="AA536" i="12"/>
  <c r="AA431" i="12"/>
  <c r="AA535" i="12"/>
  <c r="AA456" i="12"/>
  <c r="AA308" i="12"/>
  <c r="AA523" i="12"/>
  <c r="AA395" i="12"/>
  <c r="AA17" i="12"/>
  <c r="AA534" i="12"/>
  <c r="AA36" i="12"/>
  <c r="AA46" i="12"/>
  <c r="AA33" i="12"/>
  <c r="AA4" i="12"/>
  <c r="AA533" i="12"/>
  <c r="AA563" i="12"/>
  <c r="AA129" i="12"/>
  <c r="AA20" i="12"/>
  <c r="AA35" i="12"/>
  <c r="AA288" i="12"/>
  <c r="AA287" i="12"/>
  <c r="AA261" i="12"/>
  <c r="AA253" i="12"/>
  <c r="AA491" i="12"/>
  <c r="AA399" i="12"/>
  <c r="AA467" i="12"/>
  <c r="AA522" i="12"/>
  <c r="AA443" i="12"/>
  <c r="AA484" i="12"/>
  <c r="AA252" i="12"/>
  <c r="AA22" i="12"/>
  <c r="AA51" i="12"/>
  <c r="AA101" i="12"/>
  <c r="AA56" i="12"/>
  <c r="AA532" i="12"/>
  <c r="AA298" i="12"/>
  <c r="AA430" i="12"/>
  <c r="AA558" i="12"/>
  <c r="AA118" i="12"/>
  <c r="AA15" i="12"/>
  <c r="AA483" i="12"/>
  <c r="AA531" i="12"/>
  <c r="AA507" i="12"/>
  <c r="AA81" i="12"/>
  <c r="AA506" i="12"/>
  <c r="AA394" i="12"/>
  <c r="AA562" i="12"/>
  <c r="AA18" i="12"/>
  <c r="AA565" i="12"/>
  <c r="AA455" i="12"/>
  <c r="AA505" i="12"/>
  <c r="AA557" i="12"/>
  <c r="AA568" i="12"/>
  <c r="AA355" i="12"/>
  <c r="AA556" i="12"/>
  <c r="AA45" i="12"/>
  <c r="AA25" i="12"/>
  <c r="AA286" i="12"/>
  <c r="AA409" i="12"/>
  <c r="AA521" i="12"/>
  <c r="AA191" i="12"/>
  <c r="AA516" i="12"/>
  <c r="AA504" i="12"/>
  <c r="AA377" i="12"/>
  <c r="AA520" i="12"/>
  <c r="AA503" i="12"/>
  <c r="AA23" i="12"/>
  <c r="AA555" i="12"/>
  <c r="AA482" i="12"/>
  <c r="AA393" i="12"/>
  <c r="AA429" i="12"/>
  <c r="AA363" i="12"/>
  <c r="AA73" i="12"/>
  <c r="AA428" i="12"/>
  <c r="AA427" i="12"/>
  <c r="AA466" i="12"/>
  <c r="AA465" i="12"/>
  <c r="AA231" i="12"/>
  <c r="AA333" i="12"/>
  <c r="AA293" i="12"/>
  <c r="AA385" i="12"/>
  <c r="AA280" i="12"/>
  <c r="AA279" i="12"/>
  <c r="AA10" i="12"/>
  <c r="AA481" i="12"/>
  <c r="AA519" i="12"/>
  <c r="AA174" i="12"/>
  <c r="AA462" i="12"/>
  <c r="AA173" i="12"/>
  <c r="AA502" i="12"/>
  <c r="AA480" i="12"/>
  <c r="AA202" i="12"/>
  <c r="AA454" i="12"/>
  <c r="AA479" i="12"/>
  <c r="AA117" i="12"/>
  <c r="AA11" i="12"/>
  <c r="AA408" i="12"/>
  <c r="AA121" i="12"/>
  <c r="AA28" i="12"/>
  <c r="AA545" i="12"/>
  <c r="AA313" i="12"/>
  <c r="AA291" i="12"/>
  <c r="AA194" i="12"/>
  <c r="AA281" i="12"/>
  <c r="AA207" i="12"/>
  <c r="AA165" i="12"/>
  <c r="AA32" i="12"/>
  <c r="AA83" i="12"/>
  <c r="AA233" i="12"/>
  <c r="AA553" i="12"/>
  <c r="AA2" i="12"/>
  <c r="AA301" i="12"/>
  <c r="AA552" i="12"/>
  <c r="AA284" i="12"/>
  <c r="AA551" i="12"/>
  <c r="AA501" i="12"/>
  <c r="AA530" i="12"/>
  <c r="AA476" i="12"/>
  <c r="AA475" i="12"/>
  <c r="AA478" i="12"/>
  <c r="AA426" i="12"/>
  <c r="AA529" i="12"/>
  <c r="AA195" i="12"/>
  <c r="AA449" i="12"/>
  <c r="AA27" i="12"/>
  <c r="AA63" i="12"/>
  <c r="AA419" i="12"/>
  <c r="AA54" i="12"/>
  <c r="AA422" i="12"/>
  <c r="AA447" i="12"/>
  <c r="AA515" i="12"/>
  <c r="AA306" i="12"/>
  <c r="AA216" i="12"/>
  <c r="AA53" i="12"/>
  <c r="AA405" i="12"/>
  <c r="AA295" i="12"/>
  <c r="AA79" i="12"/>
  <c r="AA290" i="12"/>
  <c r="AA418" i="12"/>
  <c r="AA339" i="12"/>
  <c r="AA196" i="12"/>
  <c r="AA146" i="12"/>
  <c r="AA242" i="12"/>
  <c r="AA156" i="12"/>
  <c r="AA439" i="12"/>
  <c r="AA193" i="12"/>
  <c r="AA143" i="12"/>
  <c r="AA461" i="12"/>
  <c r="AA470" i="12"/>
  <c r="AA307" i="12"/>
  <c r="AA546" i="12"/>
  <c r="AA362" i="12"/>
  <c r="AA347" i="12"/>
  <c r="AA315" i="12"/>
  <c r="AA496" i="12"/>
  <c r="AA235" i="12"/>
  <c r="AA354" i="12"/>
  <c r="AA344" i="12"/>
  <c r="AA425" i="12"/>
  <c r="AA550" i="12"/>
  <c r="AA463" i="12"/>
  <c r="AA381" i="12"/>
  <c r="AA210" i="12"/>
  <c r="AA398" i="12"/>
  <c r="AA215" i="12"/>
  <c r="AA401" i="12"/>
  <c r="AA241" i="12"/>
  <c r="AA274" i="12"/>
  <c r="AA434" i="12"/>
  <c r="AA436" i="12"/>
  <c r="AA369" i="12"/>
  <c r="AA359" i="12"/>
  <c r="AA179" i="12"/>
  <c r="AA158" i="12"/>
  <c r="AA367" i="12"/>
  <c r="AA155" i="12"/>
  <c r="AA48" i="12"/>
  <c r="AA100" i="12"/>
  <c r="AA249" i="12"/>
  <c r="AA361" i="12"/>
  <c r="AA349" i="12"/>
  <c r="AA266" i="12"/>
  <c r="AA31" i="12"/>
  <c r="AA135" i="12"/>
  <c r="AA251" i="12"/>
  <c r="AA353" i="12"/>
  <c r="AA528" i="12"/>
  <c r="AA547" i="12"/>
  <c r="AA564" i="12"/>
  <c r="AA493" i="12"/>
  <c r="AA352" i="12"/>
  <c r="AA332" i="12"/>
  <c r="AA464" i="12"/>
  <c r="AA116" i="12"/>
  <c r="AA474" i="12"/>
  <c r="AA185" i="12"/>
  <c r="AA305" i="12"/>
  <c r="AA260" i="12"/>
  <c r="AA109" i="12"/>
  <c r="AA72" i="12"/>
  <c r="AA423" i="12"/>
  <c r="AA451" i="12"/>
  <c r="AA91" i="12"/>
  <c r="AA469" i="12"/>
  <c r="AA441" i="12"/>
  <c r="AA437" i="12"/>
  <c r="AA152" i="12"/>
  <c r="AA84" i="12"/>
  <c r="AA250" i="12"/>
  <c r="AA205" i="12"/>
  <c r="AA421" i="12"/>
  <c r="AA142" i="12"/>
  <c r="AA383" i="12"/>
  <c r="AA382" i="12"/>
  <c r="AA327" i="12"/>
  <c r="AA130" i="12"/>
  <c r="AA223" i="12"/>
  <c r="AA154" i="12"/>
  <c r="AA358" i="12"/>
  <c r="AA264" i="12"/>
  <c r="AA390" i="12"/>
  <c r="AA255" i="12"/>
  <c r="AA319" i="12"/>
  <c r="AA514" i="12"/>
  <c r="AA201" i="12"/>
  <c r="AA473" i="12"/>
  <c r="AA322" i="12"/>
  <c r="AA549" i="12"/>
  <c r="AA458" i="12"/>
  <c r="AA338" i="12"/>
  <c r="AA317" i="12"/>
  <c r="AA416" i="12"/>
  <c r="AA71" i="12"/>
  <c r="AA209" i="12"/>
  <c r="AA346" i="12"/>
  <c r="AA331" i="12"/>
  <c r="AA297" i="12"/>
  <c r="AA62" i="12"/>
  <c r="AA181" i="12"/>
  <c r="AA238" i="12"/>
  <c r="AA276" i="12"/>
  <c r="AA285" i="12"/>
  <c r="AA420" i="12"/>
  <c r="AA500" i="12"/>
  <c r="AA372" i="12"/>
  <c r="AA389" i="12"/>
  <c r="AA517" i="12"/>
  <c r="AA374" i="12"/>
  <c r="AA222" i="12"/>
  <c r="AA127" i="12"/>
  <c r="AA132" i="12"/>
  <c r="AA157" i="12"/>
  <c r="AA186" i="12"/>
  <c r="AA95" i="12"/>
  <c r="AA141" i="12"/>
  <c r="AA199" i="12"/>
  <c r="AA472" i="12"/>
  <c r="AA406" i="12"/>
  <c r="AA178" i="12"/>
  <c r="AA105" i="12"/>
  <c r="AA149" i="12"/>
  <c r="AA151" i="12"/>
  <c r="AA77" i="12"/>
  <c r="AA171" i="12"/>
  <c r="AA168" i="12"/>
  <c r="AA169" i="12"/>
  <c r="AA170" i="12"/>
  <c r="AA128" i="12"/>
  <c r="AA412" i="12"/>
  <c r="AA140" i="12"/>
  <c r="AA98" i="12"/>
  <c r="AA145" i="12"/>
  <c r="AA180" i="12"/>
  <c r="AA47" i="12"/>
  <c r="AA357" i="12"/>
  <c r="AA345" i="12"/>
  <c r="AA134" i="12"/>
  <c r="AA415" i="12"/>
  <c r="AA410" i="12"/>
  <c r="AA400" i="12"/>
  <c r="AA404" i="12"/>
  <c r="AA477" i="12"/>
  <c r="AA337" i="12"/>
  <c r="AA229" i="12"/>
  <c r="AA391" i="12"/>
  <c r="AA39" i="12"/>
  <c r="AA283" i="12"/>
  <c r="AA268" i="12"/>
  <c r="AA189" i="12"/>
  <c r="AA417" i="12"/>
  <c r="AA326" i="12"/>
  <c r="AA159" i="12"/>
  <c r="AA166" i="12"/>
  <c r="AA111" i="12"/>
  <c r="AA356" i="12"/>
  <c r="AA88" i="12"/>
  <c r="AA64" i="12"/>
  <c r="AA29" i="12"/>
  <c r="AA246" i="12"/>
  <c r="AA228" i="12"/>
  <c r="AA164" i="12"/>
  <c r="AA278" i="12"/>
  <c r="AA90" i="12"/>
  <c r="AA78" i="12"/>
  <c r="AA206" i="12"/>
  <c r="AA214" i="12"/>
  <c r="AA343" i="12"/>
  <c r="AA224" i="12"/>
  <c r="AA187" i="12"/>
  <c r="AA114" i="12"/>
  <c r="AA232" i="12"/>
  <c r="AA324" i="12"/>
  <c r="AA548" i="12"/>
  <c r="AA217" i="12"/>
  <c r="AA219" i="12"/>
  <c r="AA453" i="12"/>
  <c r="AA240" i="12"/>
  <c r="AA318" i="12"/>
  <c r="AA414" i="12"/>
  <c r="AA267" i="12"/>
  <c r="AA263" i="12"/>
  <c r="AA366" i="12"/>
  <c r="AA413" i="12"/>
  <c r="AA212" i="12"/>
  <c r="AA67" i="12"/>
  <c r="AA248" i="12"/>
  <c r="AA262" i="12"/>
  <c r="AA147" i="12"/>
  <c r="AA34" i="12"/>
  <c r="AA296" i="12"/>
  <c r="AA438" i="12"/>
  <c r="AA544" i="12"/>
  <c r="AA245" i="12"/>
  <c r="AA122" i="12"/>
  <c r="AA133" i="12"/>
  <c r="AA440" i="12"/>
  <c r="AA197" i="12"/>
  <c r="AA76" i="12"/>
  <c r="AA188" i="12"/>
  <c r="AA87" i="12"/>
  <c r="AA200" i="12"/>
  <c r="AA348" i="12"/>
  <c r="AA336" i="12"/>
  <c r="AA230" i="12"/>
  <c r="AA218" i="12"/>
  <c r="AA244" i="12"/>
  <c r="AA433" i="12"/>
  <c r="AA392" i="12"/>
  <c r="AA312" i="12"/>
  <c r="AA299" i="12"/>
  <c r="AA571" i="12"/>
  <c r="AA272" i="12"/>
  <c r="AA70" i="12"/>
  <c r="AA370" i="12"/>
  <c r="AA50" i="12"/>
  <c r="AA96" i="12"/>
  <c r="AA289" i="12"/>
  <c r="AA144" i="12"/>
  <c r="AA182" i="12"/>
  <c r="AA304" i="12"/>
  <c r="AA329" i="12"/>
  <c r="AA167" i="12"/>
  <c r="AA256" i="12"/>
  <c r="AA163" i="12"/>
  <c r="AA335" i="12"/>
  <c r="AA99" i="12"/>
  <c r="AA103" i="12"/>
  <c r="AA69" i="12"/>
  <c r="AA373" i="12"/>
  <c r="AA82" i="12"/>
  <c r="AA160" i="12"/>
  <c r="AA150" i="12"/>
  <c r="AA198" i="12"/>
  <c r="AA89" i="12"/>
  <c r="AA376" i="12"/>
  <c r="AA161" i="12"/>
  <c r="AA108" i="12"/>
  <c r="AA92" i="12"/>
  <c r="AA123" i="12"/>
  <c r="AA183" i="12"/>
  <c r="AA184" i="12"/>
  <c r="AA107" i="12"/>
  <c r="AA323" i="12"/>
  <c r="AA148" i="12"/>
  <c r="AA402" i="12"/>
  <c r="AA236" i="12"/>
  <c r="AA303" i="12"/>
  <c r="AA57" i="12"/>
  <c r="AA300" i="12"/>
  <c r="AA131" i="12"/>
  <c r="AA403" i="12"/>
  <c r="AA190" i="12"/>
  <c r="AA243" i="12"/>
  <c r="AA411" i="12"/>
  <c r="AA316" i="12"/>
  <c r="AA177" i="12"/>
  <c r="AA204" i="12"/>
  <c r="AA387" i="12"/>
  <c r="AA225" i="12"/>
  <c r="AA115" i="12"/>
  <c r="AA365" i="12"/>
  <c r="AA59" i="12"/>
  <c r="AA270" i="12"/>
  <c r="AA448" i="12"/>
  <c r="AA237" i="12"/>
  <c r="AA208" i="12"/>
  <c r="AA234" i="12"/>
  <c r="AA227" i="12"/>
  <c r="AA138" i="12"/>
  <c r="AA75" i="12"/>
  <c r="AA384" i="12"/>
  <c r="AA275" i="12"/>
  <c r="AA435" i="12"/>
  <c r="AA86" i="12"/>
  <c r="AA19" i="12"/>
  <c r="AA328" i="12"/>
  <c r="AA126" i="12"/>
  <c r="AA360" i="12"/>
  <c r="AA498" i="12"/>
  <c r="AA258" i="12"/>
  <c r="AA302" i="12"/>
  <c r="AA137" i="12"/>
  <c r="AA311" i="12"/>
  <c r="AA119" i="12"/>
  <c r="AA221" i="12"/>
  <c r="AA124" i="12"/>
  <c r="AA497" i="12"/>
  <c r="AA321" i="12"/>
  <c r="AA41" i="12"/>
  <c r="AA452" i="12"/>
  <c r="AA351" i="12"/>
  <c r="AA273" i="12"/>
  <c r="AA42" i="12"/>
  <c r="AA342" i="12"/>
  <c r="AA153" i="12"/>
  <c r="AA471" i="12"/>
  <c r="AA494" i="12"/>
  <c r="AA277" i="12"/>
  <c r="AA397" i="12"/>
  <c r="AA269" i="12"/>
  <c r="AA386" i="12"/>
  <c r="AA139" i="12"/>
  <c r="AA176" i="12"/>
  <c r="AA211" i="12"/>
  <c r="AA292" i="12"/>
  <c r="AA247" i="12"/>
  <c r="AA341" i="12"/>
  <c r="AA85" i="12"/>
  <c r="AA104" i="12"/>
  <c r="AA450" i="12"/>
  <c r="AA220" i="12"/>
  <c r="AA125" i="12"/>
  <c r="AA340" i="12"/>
  <c r="AA314" i="12"/>
  <c r="AA350" i="12"/>
  <c r="AA554" i="12"/>
  <c r="AA424" i="12"/>
  <c r="AA371" i="12"/>
  <c r="AA265" i="12"/>
  <c r="AA407" i="12"/>
  <c r="AA499" i="12"/>
  <c r="AA364" i="12"/>
  <c r="AA259" i="12"/>
  <c r="AA489" i="12"/>
  <c r="AA325" i="12"/>
  <c r="AA136" i="12"/>
  <c r="AA37" i="12"/>
  <c r="AA175" i="12"/>
  <c r="Z6" i="21"/>
  <c r="K6" i="21"/>
  <c r="I6" i="21"/>
  <c r="Z5" i="21"/>
  <c r="K5" i="21"/>
  <c r="I5" i="21"/>
  <c r="Z4" i="21"/>
  <c r="K4" i="21"/>
  <c r="I4" i="21"/>
  <c r="Z3" i="21"/>
  <c r="K3" i="21"/>
  <c r="I3" i="21"/>
  <c r="Z2" i="21"/>
  <c r="K2" i="21"/>
  <c r="I2" i="21"/>
  <c r="I99" i="23"/>
  <c r="K99" i="23"/>
  <c r="Z99" i="23"/>
  <c r="Z97" i="23"/>
  <c r="Z98" i="23"/>
  <c r="I96" i="23"/>
  <c r="K96" i="23"/>
  <c r="Z96" i="23"/>
  <c r="Z5" i="25"/>
  <c r="K5" i="25"/>
  <c r="I5" i="25"/>
  <c r="Z6" i="25"/>
  <c r="K6" i="25"/>
  <c r="I6" i="25"/>
  <c r="Z7" i="25"/>
  <c r="K7" i="25"/>
  <c r="I7" i="25"/>
  <c r="Z8" i="25"/>
  <c r="K8" i="25"/>
  <c r="I8" i="25"/>
  <c r="R13" i="25"/>
  <c r="Z13" i="25" s="1"/>
  <c r="K13" i="25"/>
  <c r="I13" i="25"/>
  <c r="R15" i="25"/>
  <c r="Z15" i="25" s="1"/>
  <c r="K15" i="25"/>
  <c r="I15" i="25"/>
  <c r="R16" i="25"/>
  <c r="Z16" i="25" s="1"/>
  <c r="K16" i="25"/>
  <c r="I16" i="25"/>
  <c r="Z12" i="25"/>
  <c r="K12" i="25"/>
  <c r="I12" i="25"/>
  <c r="Z21" i="25"/>
  <c r="K21" i="25"/>
  <c r="I21" i="25"/>
  <c r="Z14" i="25"/>
  <c r="K14" i="25"/>
  <c r="I14" i="25"/>
  <c r="Z10" i="25"/>
  <c r="K10" i="25"/>
  <c r="I10" i="25"/>
  <c r="Z11" i="25"/>
  <c r="K11" i="25"/>
  <c r="I11" i="25"/>
  <c r="Z17" i="25"/>
  <c r="K17" i="25"/>
  <c r="I17" i="25"/>
  <c r="Z18" i="25"/>
  <c r="K18" i="25"/>
  <c r="I18" i="25"/>
  <c r="Z19" i="25"/>
  <c r="K19" i="25"/>
  <c r="I19" i="25"/>
  <c r="Z20" i="25"/>
  <c r="K20" i="25"/>
  <c r="I20" i="25"/>
  <c r="I3" i="24"/>
  <c r="K3" i="24"/>
  <c r="Z3" i="24"/>
  <c r="Z4" i="24"/>
  <c r="K4" i="24"/>
  <c r="I4" i="24"/>
  <c r="Z65" i="24"/>
  <c r="K65" i="24"/>
  <c r="I65" i="24"/>
  <c r="Z64" i="24"/>
  <c r="K64" i="24"/>
  <c r="I64" i="24"/>
  <c r="Z63" i="24"/>
  <c r="K63" i="24"/>
  <c r="I63" i="24"/>
  <c r="Z62" i="24"/>
  <c r="K62" i="24"/>
  <c r="I62" i="24"/>
  <c r="Z61" i="24"/>
  <c r="K61" i="24"/>
  <c r="I61" i="24"/>
  <c r="Z60" i="24"/>
  <c r="K60" i="24"/>
  <c r="I60" i="24"/>
  <c r="Z43" i="24"/>
  <c r="K43" i="24"/>
  <c r="I43" i="24"/>
  <c r="Z42" i="24"/>
  <c r="K42" i="24"/>
  <c r="I42" i="24"/>
  <c r="Z41" i="24"/>
  <c r="K41" i="24"/>
  <c r="I41" i="24"/>
  <c r="Z40" i="24"/>
  <c r="K40" i="24"/>
  <c r="I40" i="24"/>
  <c r="Z59" i="24"/>
  <c r="K59" i="24"/>
  <c r="I59" i="24"/>
  <c r="Z18" i="24"/>
  <c r="K18" i="24"/>
  <c r="I18" i="24"/>
  <c r="Z39" i="24"/>
  <c r="K39" i="24"/>
  <c r="I39" i="24"/>
  <c r="Z38" i="24"/>
  <c r="K38" i="24"/>
  <c r="I38" i="24"/>
  <c r="Z37" i="24"/>
  <c r="K37" i="24"/>
  <c r="I37" i="24"/>
  <c r="Z58" i="24"/>
  <c r="K58" i="24"/>
  <c r="I58" i="24"/>
  <c r="Z57" i="24"/>
  <c r="K57" i="24"/>
  <c r="I57" i="24"/>
  <c r="Z56" i="24"/>
  <c r="K56" i="24"/>
  <c r="I56" i="24"/>
  <c r="Z17" i="24"/>
  <c r="K17" i="24"/>
  <c r="I17" i="24"/>
  <c r="Z2" i="24"/>
  <c r="K2" i="24"/>
  <c r="I2" i="24"/>
  <c r="Z55" i="24"/>
  <c r="K55" i="24"/>
  <c r="I55" i="24"/>
  <c r="Z54" i="24"/>
  <c r="K54" i="24"/>
  <c r="I54" i="24"/>
  <c r="Z53" i="24"/>
  <c r="K53" i="24"/>
  <c r="I53" i="24"/>
  <c r="Z52" i="24"/>
  <c r="K52" i="24"/>
  <c r="I52" i="24"/>
  <c r="Z51" i="24"/>
  <c r="K51" i="24"/>
  <c r="I51" i="24"/>
  <c r="Z50" i="24"/>
  <c r="K50" i="24"/>
  <c r="I50" i="24"/>
  <c r="Z49" i="24"/>
  <c r="K49" i="24"/>
  <c r="I49" i="24"/>
  <c r="Z48" i="24"/>
  <c r="K48" i="24"/>
  <c r="I48" i="24"/>
  <c r="Z36" i="24"/>
  <c r="K36" i="24"/>
  <c r="I36" i="24"/>
  <c r="Z35" i="24"/>
  <c r="K35" i="24"/>
  <c r="I35" i="24"/>
  <c r="Z34" i="24"/>
  <c r="K34" i="24"/>
  <c r="I34" i="24"/>
  <c r="Z33" i="24"/>
  <c r="K33" i="24"/>
  <c r="I33" i="24"/>
  <c r="Z32" i="24"/>
  <c r="K32" i="24"/>
  <c r="I32" i="24"/>
  <c r="Z31" i="24"/>
  <c r="K31" i="24"/>
  <c r="I31" i="24"/>
  <c r="Z30" i="24"/>
  <c r="K30" i="24"/>
  <c r="I30" i="24"/>
  <c r="Z29" i="24"/>
  <c r="K29" i="24"/>
  <c r="I29" i="24"/>
  <c r="Z28" i="24"/>
  <c r="K28" i="24"/>
  <c r="I28" i="24"/>
  <c r="Z27" i="24"/>
  <c r="K27" i="24"/>
  <c r="I27" i="24"/>
  <c r="Z26" i="24"/>
  <c r="K26" i="24"/>
  <c r="I26" i="24"/>
  <c r="Z47" i="24"/>
  <c r="K47" i="24"/>
  <c r="I47" i="24"/>
  <c r="Z46" i="24"/>
  <c r="K46" i="24"/>
  <c r="I46" i="24"/>
  <c r="Z45" i="24"/>
  <c r="K45" i="24"/>
  <c r="I45" i="24"/>
  <c r="Z16" i="24"/>
  <c r="K16" i="24"/>
  <c r="I16" i="24"/>
  <c r="Z15" i="24"/>
  <c r="K15" i="24"/>
  <c r="I15" i="24"/>
  <c r="Z14" i="24"/>
  <c r="K14" i="24"/>
  <c r="I14" i="24"/>
  <c r="Z13" i="24"/>
  <c r="K13" i="24"/>
  <c r="I13" i="24"/>
  <c r="Z12" i="24"/>
  <c r="K12" i="24"/>
  <c r="I12" i="24"/>
  <c r="Z11" i="24"/>
  <c r="K11" i="24"/>
  <c r="I11" i="24"/>
  <c r="Z24" i="24"/>
  <c r="K24" i="24"/>
  <c r="I24" i="24"/>
  <c r="I95" i="23"/>
  <c r="K95" i="23"/>
  <c r="Z95" i="23"/>
  <c r="Z22" i="22"/>
  <c r="K22" i="22"/>
  <c r="I22" i="22"/>
  <c r="Z21" i="22"/>
  <c r="K21" i="22"/>
  <c r="I21" i="22"/>
  <c r="Z20" i="22"/>
  <c r="K20" i="22"/>
  <c r="I20" i="22"/>
  <c r="Z19" i="22"/>
  <c r="K19" i="22"/>
  <c r="I19" i="22"/>
  <c r="Z18" i="22"/>
  <c r="K18" i="22"/>
  <c r="I18" i="22"/>
  <c r="Z17" i="22"/>
  <c r="K17" i="22"/>
  <c r="I17" i="22"/>
  <c r="Z16" i="22"/>
  <c r="K16" i="22"/>
  <c r="I16" i="22"/>
  <c r="Z15" i="22"/>
  <c r="K15" i="22"/>
  <c r="I15" i="22"/>
  <c r="Z14" i="22"/>
  <c r="K14" i="22"/>
  <c r="I14" i="22"/>
  <c r="Z13" i="22"/>
  <c r="K13" i="22"/>
  <c r="I13" i="22"/>
  <c r="Z12" i="22"/>
  <c r="K12" i="22"/>
  <c r="I12" i="22"/>
  <c r="Z11" i="22"/>
  <c r="K11" i="22"/>
  <c r="I11" i="22"/>
  <c r="Z10" i="22"/>
  <c r="K10" i="22"/>
  <c r="I10" i="22"/>
  <c r="Z9" i="22"/>
  <c r="K9" i="22"/>
  <c r="I9" i="22"/>
  <c r="Z8" i="22"/>
  <c r="K8" i="22"/>
  <c r="I8" i="22"/>
  <c r="Z7" i="22"/>
  <c r="K7" i="22"/>
  <c r="I7" i="22"/>
  <c r="Z6" i="22"/>
  <c r="K6" i="22"/>
  <c r="I6" i="22"/>
  <c r="Z5" i="22"/>
  <c r="K5" i="22"/>
  <c r="I5" i="22"/>
  <c r="Z4" i="22"/>
  <c r="K4" i="22"/>
  <c r="I4" i="22"/>
  <c r="Z3" i="22"/>
  <c r="K3" i="22"/>
  <c r="I3" i="22"/>
  <c r="Z94" i="23"/>
  <c r="K94" i="23"/>
  <c r="I94" i="23"/>
  <c r="Z93" i="23"/>
  <c r="K93" i="23"/>
  <c r="I93" i="23"/>
  <c r="Z92" i="23"/>
  <c r="K92" i="23"/>
  <c r="I92" i="23"/>
  <c r="Z91" i="23"/>
  <c r="K91" i="23"/>
  <c r="I91" i="23"/>
  <c r="Z90" i="23"/>
  <c r="K90" i="23"/>
  <c r="I90" i="23"/>
  <c r="Z89" i="23"/>
  <c r="K89" i="23"/>
  <c r="I89" i="23"/>
  <c r="Z88" i="23"/>
  <c r="K88" i="23"/>
  <c r="I88" i="23"/>
  <c r="Z87" i="23"/>
  <c r="K87" i="23"/>
  <c r="I87" i="23"/>
  <c r="Z86" i="23"/>
  <c r="K86" i="23"/>
  <c r="I86" i="23"/>
  <c r="Z85" i="23"/>
  <c r="K85" i="23"/>
  <c r="I85" i="23"/>
  <c r="Z84" i="23"/>
  <c r="K84" i="23"/>
  <c r="I84" i="23"/>
  <c r="Z83" i="23"/>
  <c r="K83" i="23"/>
  <c r="I83" i="23"/>
  <c r="Z82" i="23"/>
  <c r="K82" i="23"/>
  <c r="I82" i="23"/>
  <c r="Z81" i="23"/>
  <c r="K81" i="23"/>
  <c r="I81" i="23"/>
  <c r="Z80" i="23"/>
  <c r="K80" i="23"/>
  <c r="I80" i="23"/>
  <c r="Z79" i="23"/>
  <c r="K79" i="23"/>
  <c r="I79" i="23"/>
  <c r="Z78" i="23"/>
  <c r="K78" i="23"/>
  <c r="I78" i="23"/>
  <c r="Z77" i="23"/>
  <c r="K77" i="23"/>
  <c r="I77" i="23"/>
  <c r="Z76" i="23"/>
  <c r="K76" i="23"/>
  <c r="I76" i="23"/>
  <c r="Z75" i="23"/>
  <c r="K75" i="23"/>
  <c r="I75" i="23"/>
  <c r="Z74" i="23"/>
  <c r="K74" i="23"/>
  <c r="I74" i="23"/>
  <c r="Z73" i="23"/>
  <c r="K73" i="23"/>
  <c r="I73" i="23"/>
  <c r="Z72" i="23"/>
  <c r="K72" i="23"/>
  <c r="I72" i="23"/>
  <c r="Z71" i="23"/>
  <c r="K71" i="23"/>
  <c r="I71" i="23"/>
  <c r="Z70" i="23"/>
  <c r="K70" i="23"/>
  <c r="I70" i="23"/>
  <c r="Z69" i="23"/>
  <c r="K69" i="23"/>
  <c r="I69" i="23"/>
  <c r="Z68" i="23"/>
  <c r="K68" i="23"/>
  <c r="I68" i="23"/>
  <c r="Z67" i="23"/>
  <c r="K67" i="23"/>
  <c r="I67" i="23"/>
  <c r="Z66" i="23"/>
  <c r="K66" i="23"/>
  <c r="I66" i="23"/>
  <c r="Z65" i="23"/>
  <c r="K65" i="23"/>
  <c r="I65" i="23"/>
  <c r="Z64" i="23"/>
  <c r="K64" i="23"/>
  <c r="I64" i="23"/>
  <c r="Z63" i="23"/>
  <c r="K63" i="23"/>
  <c r="I63" i="23"/>
  <c r="Z62" i="23"/>
  <c r="K62" i="23"/>
  <c r="I62" i="23"/>
  <c r="Z61" i="23"/>
  <c r="K61" i="23"/>
  <c r="I61" i="23"/>
  <c r="Z60" i="23"/>
  <c r="K60" i="23"/>
  <c r="I60" i="23"/>
  <c r="Z59" i="23"/>
  <c r="K59" i="23"/>
  <c r="I59" i="23"/>
  <c r="Z58" i="23"/>
  <c r="K58" i="23"/>
  <c r="I58" i="23"/>
  <c r="Z57" i="23"/>
  <c r="K57" i="23"/>
  <c r="I57" i="23"/>
  <c r="Z56" i="23"/>
  <c r="K56" i="23"/>
  <c r="I56" i="23"/>
  <c r="Z55" i="23"/>
  <c r="K55" i="23"/>
  <c r="I55" i="23"/>
  <c r="Z54" i="23"/>
  <c r="K54" i="23"/>
  <c r="I54" i="23"/>
  <c r="Z53" i="23"/>
  <c r="K53" i="23"/>
  <c r="I53" i="23"/>
  <c r="Z52" i="23"/>
  <c r="K52" i="23"/>
  <c r="I52" i="23"/>
  <c r="Z51" i="23"/>
  <c r="K51" i="23"/>
  <c r="I51" i="23"/>
  <c r="Z50" i="23"/>
  <c r="K50" i="23"/>
  <c r="I50" i="23"/>
  <c r="Z49" i="23"/>
  <c r="K49" i="23"/>
  <c r="I49" i="23"/>
  <c r="Z48" i="23"/>
  <c r="K48" i="23"/>
  <c r="I48" i="23"/>
  <c r="Z47" i="23"/>
  <c r="K47" i="23"/>
  <c r="I47" i="23"/>
  <c r="Z46" i="23"/>
  <c r="K46" i="23"/>
  <c r="I46" i="23"/>
  <c r="Z45" i="23"/>
  <c r="K45" i="23"/>
  <c r="I45" i="23"/>
  <c r="Z44" i="23"/>
  <c r="K44" i="23"/>
  <c r="I44" i="23"/>
  <c r="Z43" i="23"/>
  <c r="K43" i="23"/>
  <c r="I43" i="23"/>
  <c r="Z42" i="23"/>
  <c r="K42" i="23"/>
  <c r="I42" i="23"/>
  <c r="Z41" i="23"/>
  <c r="K41" i="23"/>
  <c r="I41" i="23"/>
  <c r="Z40" i="23"/>
  <c r="K40" i="23"/>
  <c r="I40" i="23"/>
  <c r="Z39" i="23"/>
  <c r="K39" i="23"/>
  <c r="I39" i="23"/>
  <c r="Z38" i="23"/>
  <c r="K38" i="23"/>
  <c r="I38" i="23"/>
  <c r="Z37" i="23"/>
  <c r="K37" i="23"/>
  <c r="I37" i="23"/>
  <c r="Z36" i="23"/>
  <c r="K36" i="23"/>
  <c r="I36" i="23"/>
  <c r="Z35" i="23"/>
  <c r="K35" i="23"/>
  <c r="I35" i="23"/>
  <c r="Z34" i="23"/>
  <c r="K34" i="23"/>
  <c r="I34" i="23"/>
  <c r="Z33" i="23"/>
  <c r="K33" i="23"/>
  <c r="I33" i="23"/>
  <c r="Z32" i="23"/>
  <c r="K32" i="23"/>
  <c r="I32" i="23"/>
  <c r="Z31" i="23"/>
  <c r="K31" i="23"/>
  <c r="I31" i="23"/>
  <c r="Z30" i="23"/>
  <c r="K30" i="23"/>
  <c r="I30" i="23"/>
  <c r="Z29" i="23"/>
  <c r="K29" i="23"/>
  <c r="I29" i="23"/>
  <c r="Z28" i="23"/>
  <c r="K28" i="23"/>
  <c r="I28" i="23"/>
  <c r="Z27" i="23"/>
  <c r="K27" i="23"/>
  <c r="I27" i="23"/>
  <c r="Z26" i="23"/>
  <c r="K26" i="23"/>
  <c r="I26" i="23"/>
  <c r="Z25" i="23"/>
  <c r="K25" i="23"/>
  <c r="I25" i="23"/>
  <c r="Z24" i="23"/>
  <c r="K24" i="23"/>
  <c r="I24" i="23"/>
  <c r="Z23" i="23"/>
  <c r="K23" i="23"/>
  <c r="I23" i="23"/>
  <c r="Z22" i="23"/>
  <c r="K22" i="23"/>
  <c r="I22" i="23"/>
  <c r="Z21" i="23"/>
  <c r="K21" i="23"/>
  <c r="I21" i="23"/>
  <c r="Z20" i="23"/>
  <c r="K20" i="23"/>
  <c r="I20" i="23"/>
  <c r="Z19" i="23"/>
  <c r="K19" i="23"/>
  <c r="I19" i="23"/>
  <c r="Z18" i="23"/>
  <c r="K18" i="23"/>
  <c r="I18" i="23"/>
  <c r="Z17" i="23"/>
  <c r="K17" i="23"/>
  <c r="I17" i="23"/>
  <c r="Z16" i="23"/>
  <c r="K16" i="23"/>
  <c r="I16" i="23"/>
  <c r="Z15" i="23"/>
  <c r="K15" i="23"/>
  <c r="I15" i="23"/>
  <c r="Z14" i="23"/>
  <c r="K14" i="23"/>
  <c r="I14" i="23"/>
  <c r="Z13" i="23"/>
  <c r="K13" i="23"/>
  <c r="I13" i="23"/>
  <c r="Z12" i="23"/>
  <c r="K12" i="23"/>
  <c r="I12" i="23"/>
  <c r="Z11" i="23"/>
  <c r="K11" i="23"/>
  <c r="I11" i="23"/>
  <c r="Z10" i="23"/>
  <c r="K10" i="23"/>
  <c r="I10" i="23"/>
  <c r="Z9" i="23"/>
  <c r="K9" i="23"/>
  <c r="I9" i="23"/>
  <c r="Z8" i="23"/>
  <c r="K8" i="23"/>
  <c r="I8" i="23"/>
  <c r="Z7" i="23"/>
  <c r="K7" i="23"/>
  <c r="I7" i="23"/>
  <c r="Z6" i="23"/>
  <c r="K6" i="23"/>
  <c r="I6" i="23"/>
  <c r="Z5" i="23"/>
  <c r="K5" i="23"/>
  <c r="I5" i="23"/>
  <c r="Z4" i="23"/>
  <c r="K4" i="23"/>
  <c r="I4" i="23"/>
  <c r="Z3" i="23"/>
  <c r="K3" i="23"/>
  <c r="I3" i="23"/>
  <c r="Z2" i="23"/>
  <c r="K2" i="23"/>
  <c r="I2" i="23"/>
  <c r="Z2" i="16"/>
  <c r="Z93" i="16"/>
  <c r="Z4" i="16"/>
  <c r="Z30" i="16"/>
  <c r="K30" i="16"/>
  <c r="I30" i="16"/>
  <c r="Z29" i="16"/>
  <c r="K29" i="16"/>
  <c r="I29" i="16"/>
  <c r="Z75" i="16"/>
  <c r="K75" i="16"/>
  <c r="I75" i="16"/>
  <c r="Z74" i="16"/>
  <c r="K74" i="16"/>
  <c r="I74" i="16"/>
  <c r="Z95" i="16"/>
  <c r="K95" i="16"/>
  <c r="I95" i="16"/>
  <c r="Z96" i="16"/>
  <c r="K96" i="16"/>
  <c r="I96" i="16"/>
  <c r="Z99" i="16"/>
  <c r="AL99" i="16" s="1"/>
  <c r="K99" i="16"/>
  <c r="I99" i="16"/>
  <c r="Z28" i="16"/>
  <c r="K28" i="16"/>
  <c r="I28" i="16"/>
  <c r="K23" i="16"/>
  <c r="I23" i="16"/>
  <c r="K14" i="16"/>
  <c r="I14" i="16"/>
  <c r="Z94" i="16"/>
  <c r="K94" i="16"/>
  <c r="I94" i="16"/>
  <c r="Z87" i="16"/>
  <c r="K87" i="16"/>
  <c r="I87" i="16"/>
  <c r="Z5" i="16"/>
  <c r="K5" i="16"/>
  <c r="I5" i="16"/>
  <c r="Z88" i="16"/>
  <c r="K88" i="16"/>
  <c r="I88" i="16"/>
  <c r="Z33" i="16"/>
  <c r="K33" i="16"/>
  <c r="I33" i="16"/>
  <c r="Z35" i="16"/>
  <c r="K35" i="16"/>
  <c r="I35" i="16"/>
  <c r="Z32" i="16"/>
  <c r="K32" i="16"/>
  <c r="I32" i="16"/>
  <c r="Z72" i="16"/>
  <c r="K72" i="16"/>
  <c r="I72" i="16"/>
  <c r="Z76" i="16"/>
  <c r="K76" i="16"/>
  <c r="I76" i="16"/>
  <c r="Z69" i="16"/>
  <c r="K69" i="16"/>
  <c r="I69" i="16"/>
  <c r="Z71" i="16"/>
  <c r="K71" i="16"/>
  <c r="I71" i="16"/>
  <c r="Z34" i="16"/>
  <c r="K34" i="16"/>
  <c r="I34" i="16"/>
  <c r="Z70" i="16"/>
  <c r="K70" i="16"/>
  <c r="I70" i="16"/>
  <c r="Z56" i="16"/>
  <c r="K56" i="16"/>
  <c r="I56" i="16"/>
  <c r="Z101" i="16"/>
  <c r="K101" i="16"/>
  <c r="I101" i="16"/>
  <c r="Z65" i="16"/>
  <c r="K65" i="16"/>
  <c r="I65" i="16"/>
  <c r="Z64" i="16"/>
  <c r="K64" i="16"/>
  <c r="I64" i="16"/>
  <c r="Z63" i="16"/>
  <c r="K63" i="16"/>
  <c r="I63" i="16"/>
  <c r="Z62" i="16"/>
  <c r="K62" i="16"/>
  <c r="I62" i="16"/>
  <c r="Z61" i="16"/>
  <c r="K61" i="16"/>
  <c r="I61" i="16"/>
  <c r="Z60" i="16"/>
  <c r="K60" i="16"/>
  <c r="I60" i="16"/>
  <c r="Z59" i="16"/>
  <c r="K59" i="16"/>
  <c r="I59" i="16"/>
  <c r="Z58" i="16"/>
  <c r="K58" i="16"/>
  <c r="I58" i="16"/>
  <c r="Z57" i="16"/>
  <c r="K57" i="16"/>
  <c r="I57" i="16"/>
  <c r="Z68" i="16"/>
  <c r="K68" i="16"/>
  <c r="I68" i="16"/>
  <c r="Z67" i="16"/>
  <c r="K67" i="16"/>
  <c r="I67" i="16"/>
  <c r="Z73" i="16"/>
  <c r="K73" i="16"/>
  <c r="I73" i="16"/>
  <c r="Z31" i="16"/>
  <c r="K31" i="16"/>
  <c r="I31" i="16"/>
  <c r="R66" i="16"/>
  <c r="Z66" i="16" s="1"/>
  <c r="K66" i="16"/>
  <c r="I66" i="16"/>
  <c r="Z92" i="16"/>
  <c r="K92" i="16"/>
  <c r="I92" i="16"/>
  <c r="Z91" i="16"/>
  <c r="K91" i="16"/>
  <c r="I91" i="16"/>
  <c r="Z55" i="16"/>
  <c r="K55" i="16"/>
  <c r="I55" i="16"/>
  <c r="Z27" i="16"/>
  <c r="K27" i="16"/>
  <c r="I27" i="16"/>
  <c r="Z26" i="16"/>
  <c r="K26" i="16"/>
  <c r="I26" i="16"/>
  <c r="Z86" i="16"/>
  <c r="K86" i="16"/>
  <c r="I86" i="16"/>
  <c r="Z54" i="16"/>
  <c r="K54" i="16"/>
  <c r="I54" i="16"/>
  <c r="Z79" i="16"/>
  <c r="K79" i="16"/>
  <c r="I79" i="16"/>
  <c r="Z25" i="16"/>
  <c r="K25" i="16"/>
  <c r="I25" i="16"/>
  <c r="Z53" i="16"/>
  <c r="K53" i="16"/>
  <c r="I53" i="16"/>
  <c r="Z52" i="16"/>
  <c r="K52" i="16"/>
  <c r="I52" i="16"/>
  <c r="Z51" i="16"/>
  <c r="K51" i="16"/>
  <c r="I51" i="16"/>
  <c r="Z24" i="16"/>
  <c r="K24" i="16"/>
  <c r="I24" i="16"/>
  <c r="Z78" i="16"/>
  <c r="K78" i="16"/>
  <c r="I78" i="16"/>
  <c r="Z22" i="16"/>
  <c r="K22" i="16"/>
  <c r="I22" i="16"/>
  <c r="Z50" i="16"/>
  <c r="K50" i="16"/>
  <c r="I50" i="16"/>
  <c r="Z77" i="16"/>
  <c r="K77" i="16"/>
  <c r="I77" i="16"/>
  <c r="Z21" i="16"/>
  <c r="K21" i="16"/>
  <c r="I21" i="16"/>
  <c r="Z49" i="16"/>
  <c r="AL49" i="16" s="1"/>
  <c r="K49" i="16"/>
  <c r="I49" i="16"/>
  <c r="Z48" i="16"/>
  <c r="K48" i="16"/>
  <c r="I48" i="16"/>
  <c r="Z19" i="16"/>
  <c r="K19" i="16"/>
  <c r="I19" i="16"/>
  <c r="Z20" i="16"/>
  <c r="K20" i="16"/>
  <c r="I20" i="16"/>
  <c r="K85" i="16"/>
  <c r="I85" i="16"/>
  <c r="Z18" i="16"/>
  <c r="K18" i="16"/>
  <c r="I18" i="16"/>
  <c r="Z17" i="16"/>
  <c r="AL17" i="16" s="1"/>
  <c r="K17" i="16"/>
  <c r="I17" i="16"/>
  <c r="Z46" i="16"/>
  <c r="K46" i="16"/>
  <c r="I46" i="16"/>
  <c r="Z47" i="16"/>
  <c r="K47" i="16"/>
  <c r="I47" i="16"/>
  <c r="Z45" i="16"/>
  <c r="K45" i="16"/>
  <c r="I45" i="16"/>
  <c r="Z44" i="16"/>
  <c r="K44" i="16"/>
  <c r="I44" i="16"/>
  <c r="Z84" i="16"/>
  <c r="K84" i="16"/>
  <c r="I84" i="16"/>
  <c r="Z15" i="16"/>
  <c r="K15" i="16"/>
  <c r="I15" i="16"/>
  <c r="Z43" i="16"/>
  <c r="K43" i="16"/>
  <c r="I43" i="16"/>
  <c r="Z16" i="16"/>
  <c r="K16" i="16"/>
  <c r="I16" i="16"/>
  <c r="Z83" i="16"/>
  <c r="K83" i="16"/>
  <c r="I83" i="16"/>
  <c r="K82" i="16"/>
  <c r="I82" i="16"/>
  <c r="Z42" i="16"/>
  <c r="K42" i="16"/>
  <c r="I42" i="16"/>
  <c r="Z13" i="16"/>
  <c r="K13" i="16"/>
  <c r="I13" i="16"/>
  <c r="Z11" i="16"/>
  <c r="K11" i="16"/>
  <c r="I11" i="16"/>
  <c r="Z12" i="16"/>
  <c r="K12" i="16"/>
  <c r="I12" i="16"/>
  <c r="Z41" i="16"/>
  <c r="K41" i="16"/>
  <c r="I41" i="16"/>
  <c r="Z81" i="16"/>
  <c r="K81" i="16"/>
  <c r="I81" i="16"/>
  <c r="Z40" i="16"/>
  <c r="K40" i="16"/>
  <c r="I40" i="16"/>
  <c r="Z80" i="16"/>
  <c r="K80" i="16"/>
  <c r="I80" i="16"/>
  <c r="Z36" i="16"/>
  <c r="K36" i="16"/>
  <c r="I36" i="16"/>
  <c r="Z10" i="16"/>
  <c r="K10" i="16"/>
  <c r="I10" i="16"/>
  <c r="Z9" i="16"/>
  <c r="K9" i="16"/>
  <c r="I9" i="16"/>
  <c r="Z39" i="16"/>
  <c r="K39" i="16"/>
  <c r="I39" i="16"/>
  <c r="Z90" i="16"/>
  <c r="K90" i="16"/>
  <c r="I90" i="16"/>
  <c r="Z38" i="16"/>
  <c r="K38" i="16"/>
  <c r="I38" i="16"/>
  <c r="Z37" i="16"/>
  <c r="K37" i="16"/>
  <c r="I37" i="16"/>
  <c r="Z8" i="16"/>
  <c r="K8" i="16"/>
  <c r="I8" i="16"/>
  <c r="Z7" i="16"/>
  <c r="K7" i="16"/>
  <c r="I7" i="16"/>
  <c r="Z89" i="16"/>
  <c r="K89" i="16"/>
  <c r="I89" i="16"/>
  <c r="Z6" i="16"/>
  <c r="K6" i="16"/>
  <c r="I6" i="16"/>
  <c r="Z12" i="19"/>
  <c r="K12" i="19"/>
  <c r="I12" i="19"/>
  <c r="Z11" i="19"/>
  <c r="I11" i="19"/>
  <c r="Z10" i="19"/>
  <c r="K10" i="19"/>
  <c r="I10" i="19"/>
  <c r="K6" i="19"/>
  <c r="I6" i="19"/>
  <c r="K5" i="19"/>
  <c r="I5" i="19"/>
  <c r="K4" i="19"/>
  <c r="I4" i="19"/>
  <c r="K3" i="19"/>
  <c r="I3" i="19"/>
  <c r="K2" i="19"/>
  <c r="I2" i="19"/>
  <c r="Z7" i="20"/>
  <c r="K7" i="20"/>
  <c r="I7" i="20"/>
  <c r="K6" i="20"/>
  <c r="I6" i="20"/>
  <c r="Z5" i="20"/>
  <c r="K5" i="20"/>
  <c r="I5" i="20"/>
  <c r="Z4" i="20"/>
  <c r="K4" i="20"/>
  <c r="I4" i="20"/>
  <c r="Z3" i="20"/>
  <c r="K3" i="20"/>
  <c r="I3" i="20"/>
  <c r="Z2" i="20"/>
  <c r="K2" i="20"/>
  <c r="I2" i="20"/>
  <c r="Z47" i="18"/>
  <c r="K47" i="18"/>
  <c r="I47" i="18"/>
  <c r="Z46" i="18"/>
  <c r="K46" i="18"/>
  <c r="I46" i="18"/>
  <c r="Z45" i="18"/>
  <c r="K45" i="18"/>
  <c r="I45" i="18"/>
  <c r="Z44" i="18"/>
  <c r="K44" i="18"/>
  <c r="I44" i="18"/>
  <c r="Z43" i="18"/>
  <c r="K43" i="18"/>
  <c r="I43" i="18"/>
  <c r="Z42" i="18"/>
  <c r="K42" i="18"/>
  <c r="I42" i="18"/>
  <c r="Z41" i="18"/>
  <c r="K41" i="18"/>
  <c r="I41" i="18"/>
  <c r="Z40" i="18"/>
  <c r="K40" i="18"/>
  <c r="I40" i="18"/>
  <c r="Z39" i="18"/>
  <c r="K39" i="18"/>
  <c r="I39" i="18"/>
  <c r="Z38" i="18"/>
  <c r="K38" i="18"/>
  <c r="I38" i="18"/>
  <c r="Z37" i="18"/>
  <c r="K37" i="18"/>
  <c r="I37" i="18"/>
  <c r="Z36" i="18"/>
  <c r="K36" i="18"/>
  <c r="I36" i="18"/>
  <c r="Z35" i="18"/>
  <c r="K35" i="18"/>
  <c r="I35" i="18"/>
  <c r="Z34" i="18"/>
  <c r="K34" i="18"/>
  <c r="I34" i="18"/>
  <c r="Z33" i="18"/>
  <c r="K33" i="18"/>
  <c r="I33" i="18"/>
  <c r="Z32" i="18"/>
  <c r="K32" i="18"/>
  <c r="I32" i="18"/>
  <c r="Z31" i="18"/>
  <c r="K31" i="18"/>
  <c r="I31" i="18"/>
  <c r="Z30" i="18"/>
  <c r="K30" i="18"/>
  <c r="I30" i="18"/>
  <c r="Z29" i="18"/>
  <c r="K29" i="18"/>
  <c r="I29" i="18"/>
  <c r="Z28" i="18"/>
  <c r="K28" i="18"/>
  <c r="I28" i="18"/>
  <c r="Z27" i="18"/>
  <c r="K27" i="18"/>
  <c r="I27" i="18"/>
  <c r="Z26" i="18"/>
  <c r="K26" i="18"/>
  <c r="I26" i="18"/>
  <c r="Z25" i="18"/>
  <c r="K25" i="18"/>
  <c r="I25" i="18"/>
  <c r="Z24" i="18"/>
  <c r="K24" i="18"/>
  <c r="I24" i="18"/>
  <c r="Z23" i="18"/>
  <c r="K23" i="18"/>
  <c r="I23" i="18"/>
  <c r="Z22" i="18"/>
  <c r="K22" i="18"/>
  <c r="I22" i="18"/>
  <c r="Z21" i="18"/>
  <c r="K21" i="18"/>
  <c r="I21" i="18"/>
  <c r="Z20" i="18"/>
  <c r="K20" i="18"/>
  <c r="I20" i="18"/>
  <c r="Z19" i="18"/>
  <c r="K19" i="18"/>
  <c r="I19" i="18"/>
  <c r="Z18" i="18"/>
  <c r="K18" i="18"/>
  <c r="I18" i="18"/>
  <c r="Z17" i="18"/>
  <c r="K17" i="18"/>
  <c r="I17" i="18"/>
  <c r="Z16" i="18"/>
  <c r="K16" i="18"/>
  <c r="I16" i="18"/>
  <c r="Z15" i="18"/>
  <c r="K15" i="18"/>
  <c r="I15" i="18"/>
  <c r="Z14" i="18"/>
  <c r="K14" i="18"/>
  <c r="I14" i="18"/>
  <c r="Z13" i="18"/>
  <c r="K13" i="18"/>
  <c r="I13" i="18"/>
  <c r="Z12" i="18"/>
  <c r="K12" i="18"/>
  <c r="I12" i="18"/>
  <c r="Z11" i="18"/>
  <c r="K11" i="18"/>
  <c r="I11" i="18"/>
  <c r="Z10" i="18"/>
  <c r="K10" i="18"/>
  <c r="I10" i="18"/>
  <c r="Z9" i="18"/>
  <c r="K9" i="18"/>
  <c r="I9" i="18"/>
  <c r="Z8" i="18"/>
  <c r="K8" i="18"/>
  <c r="I8" i="18"/>
  <c r="Z7" i="18"/>
  <c r="K7" i="18"/>
  <c r="I7" i="18"/>
  <c r="Z6" i="18"/>
  <c r="K6" i="18"/>
  <c r="I6" i="18"/>
  <c r="Z5" i="18"/>
  <c r="K5" i="18"/>
  <c r="I5" i="18"/>
  <c r="Z4" i="18"/>
  <c r="K4" i="18"/>
  <c r="I4" i="18"/>
  <c r="Z3" i="18"/>
  <c r="K3" i="18"/>
  <c r="I3" i="18"/>
  <c r="Z2" i="18"/>
  <c r="K2" i="18"/>
  <c r="I2" i="18"/>
  <c r="Z78" i="15"/>
  <c r="Z87" i="15"/>
  <c r="R119" i="15"/>
  <c r="Z119" i="15" s="1"/>
  <c r="K119" i="15"/>
  <c r="I119" i="15"/>
  <c r="Z118" i="15"/>
  <c r="K118" i="15"/>
  <c r="I118" i="15"/>
  <c r="Z117" i="15"/>
  <c r="K117" i="15"/>
  <c r="I117" i="15"/>
  <c r="R114" i="15"/>
  <c r="Z114" i="15" s="1"/>
  <c r="K114" i="15"/>
  <c r="I114" i="15"/>
  <c r="R115" i="15"/>
  <c r="Z115" i="15" s="1"/>
  <c r="K115" i="15"/>
  <c r="I115" i="15"/>
  <c r="R116" i="15"/>
  <c r="Z116" i="15" s="1"/>
  <c r="K116" i="15"/>
  <c r="I116" i="15"/>
  <c r="Z112" i="15"/>
  <c r="K112" i="15"/>
  <c r="I112" i="15"/>
  <c r="Z113" i="15"/>
  <c r="K113" i="15"/>
  <c r="I113" i="15"/>
  <c r="Z111" i="15"/>
  <c r="K111" i="15"/>
  <c r="I111" i="15"/>
  <c r="Z109" i="15"/>
  <c r="K109" i="15"/>
  <c r="I109" i="15"/>
  <c r="Z110" i="15"/>
  <c r="K110" i="15"/>
  <c r="I110" i="15"/>
  <c r="R108" i="15"/>
  <c r="Z108" i="15" s="1"/>
  <c r="K108" i="15"/>
  <c r="I108" i="15"/>
  <c r="Z107" i="15"/>
  <c r="K107" i="15"/>
  <c r="I107" i="15"/>
  <c r="R101" i="15"/>
  <c r="Z101" i="15" s="1"/>
  <c r="R98" i="15"/>
  <c r="Z98" i="15" s="1"/>
  <c r="Z106" i="15"/>
  <c r="K106" i="15"/>
  <c r="I106" i="15"/>
  <c r="R105" i="15"/>
  <c r="Z105" i="15" s="1"/>
  <c r="Z96" i="15"/>
  <c r="K96" i="15"/>
  <c r="I96" i="15"/>
  <c r="Z94" i="15"/>
  <c r="K94" i="15"/>
  <c r="I94" i="15"/>
  <c r="Z95" i="15"/>
  <c r="K95" i="15"/>
  <c r="I95" i="15"/>
  <c r="Z97" i="15"/>
  <c r="K97" i="15"/>
  <c r="I97" i="15"/>
  <c r="Z92" i="15"/>
  <c r="K92" i="15"/>
  <c r="I92" i="15"/>
  <c r="Z93" i="15"/>
  <c r="K93" i="15"/>
  <c r="I93" i="15"/>
  <c r="Z91" i="15"/>
  <c r="K91" i="15"/>
  <c r="I91" i="15"/>
  <c r="Z80" i="15"/>
  <c r="K80" i="15"/>
  <c r="I80" i="15"/>
  <c r="Z83" i="15"/>
  <c r="K83" i="15"/>
  <c r="I83" i="15"/>
  <c r="Z85" i="15"/>
  <c r="K85" i="15"/>
  <c r="I85" i="15"/>
  <c r="Z82" i="15"/>
  <c r="K82" i="15"/>
  <c r="I82" i="15"/>
  <c r="Z81" i="15"/>
  <c r="K81" i="15"/>
  <c r="I81" i="15"/>
  <c r="Z90" i="15"/>
  <c r="K90" i="15"/>
  <c r="I90" i="15"/>
  <c r="Z75" i="15"/>
  <c r="K75" i="15"/>
  <c r="I75" i="15"/>
  <c r="Z88" i="15"/>
  <c r="K88" i="15"/>
  <c r="I88" i="15"/>
  <c r="Z84" i="15"/>
  <c r="K84" i="15"/>
  <c r="I84" i="15"/>
  <c r="Z76" i="15"/>
  <c r="K76" i="15"/>
  <c r="I76" i="15"/>
  <c r="Z86" i="15"/>
  <c r="K86" i="15"/>
  <c r="I86" i="15"/>
  <c r="Z74" i="15"/>
  <c r="K74" i="15"/>
  <c r="I74" i="15"/>
  <c r="Z79" i="15"/>
  <c r="K79" i="15"/>
  <c r="I79" i="15"/>
  <c r="Z89" i="15"/>
  <c r="AL89" i="15" s="1"/>
  <c r="K89" i="15"/>
  <c r="I89" i="15"/>
  <c r="Z77" i="15"/>
  <c r="AL77" i="15" s="1"/>
  <c r="K77" i="15"/>
  <c r="I77" i="15"/>
  <c r="Z73" i="15"/>
  <c r="K73" i="15"/>
  <c r="I73" i="15"/>
  <c r="R72" i="15"/>
  <c r="Z72" i="15" s="1"/>
  <c r="AL72" i="15" s="1"/>
  <c r="K72" i="15"/>
  <c r="I72" i="15"/>
  <c r="R71" i="15"/>
  <c r="Z71" i="15" s="1"/>
  <c r="K71" i="15"/>
  <c r="I71" i="15"/>
  <c r="R70" i="15"/>
  <c r="Z70" i="15" s="1"/>
  <c r="K70" i="15"/>
  <c r="I70" i="15"/>
  <c r="Z69" i="15"/>
  <c r="K69" i="15"/>
  <c r="I69" i="15"/>
  <c r="Z61" i="15"/>
  <c r="K61" i="15"/>
  <c r="I61" i="15"/>
  <c r="Z59" i="15"/>
  <c r="K59" i="15"/>
  <c r="I59" i="15"/>
  <c r="Z67" i="15"/>
  <c r="K67" i="15"/>
  <c r="I67" i="15"/>
  <c r="Z68" i="15"/>
  <c r="K68" i="15"/>
  <c r="I68" i="15"/>
  <c r="Z63" i="15"/>
  <c r="K63" i="15"/>
  <c r="I63" i="15"/>
  <c r="Z62" i="15"/>
  <c r="K62" i="15"/>
  <c r="I62" i="15"/>
  <c r="Z64" i="15"/>
  <c r="K64" i="15"/>
  <c r="I64" i="15"/>
  <c r="Z65" i="15"/>
  <c r="K65" i="15"/>
  <c r="I65" i="15"/>
  <c r="Z60" i="15"/>
  <c r="K60" i="15"/>
  <c r="I60" i="15"/>
  <c r="Z66" i="15"/>
  <c r="K66" i="15"/>
  <c r="I66" i="15"/>
  <c r="Z56" i="15"/>
  <c r="K56" i="15"/>
  <c r="I56" i="15"/>
  <c r="Z58" i="15"/>
  <c r="K58" i="15"/>
  <c r="I58" i="15"/>
  <c r="Z57" i="15"/>
  <c r="K57" i="15"/>
  <c r="I57" i="15"/>
  <c r="Z55" i="15"/>
  <c r="K55" i="15"/>
  <c r="I55" i="15"/>
  <c r="Z51" i="15"/>
  <c r="K51" i="15"/>
  <c r="I51" i="15"/>
  <c r="Z19" i="15"/>
  <c r="K19" i="15"/>
  <c r="I19" i="15"/>
  <c r="Z53" i="15"/>
  <c r="K53" i="15"/>
  <c r="I53" i="15"/>
  <c r="Z50" i="15"/>
  <c r="K50" i="15"/>
  <c r="I50" i="15"/>
  <c r="Z54" i="15"/>
  <c r="K54" i="15"/>
  <c r="I54" i="15"/>
  <c r="Z52" i="15"/>
  <c r="K52" i="15"/>
  <c r="I52" i="15"/>
  <c r="Z49" i="15"/>
  <c r="K49" i="15"/>
  <c r="I49" i="15"/>
  <c r="Z48" i="15"/>
  <c r="K48" i="15"/>
  <c r="I48" i="15"/>
  <c r="Z47" i="15"/>
  <c r="K47" i="15"/>
  <c r="I47" i="15"/>
  <c r="Z46" i="15"/>
  <c r="K46" i="15"/>
  <c r="I46" i="15"/>
  <c r="Z36" i="15"/>
  <c r="AL36" i="15" s="1"/>
  <c r="K36" i="15"/>
  <c r="I36" i="15"/>
  <c r="Z45" i="15"/>
  <c r="K45" i="15"/>
  <c r="I45" i="15"/>
  <c r="Z35" i="15"/>
  <c r="K35" i="15"/>
  <c r="I35" i="15"/>
  <c r="Z30" i="15"/>
  <c r="K30" i="15"/>
  <c r="I30" i="15"/>
  <c r="Z11" i="15"/>
  <c r="K11" i="15"/>
  <c r="I11" i="15"/>
  <c r="Z7" i="15"/>
  <c r="K7" i="15"/>
  <c r="I7" i="15"/>
  <c r="Z25" i="15"/>
  <c r="K25" i="15"/>
  <c r="I25" i="15"/>
  <c r="Z17" i="15"/>
  <c r="K17" i="15"/>
  <c r="I17" i="15"/>
  <c r="Z4" i="15"/>
  <c r="K4" i="15"/>
  <c r="I4" i="15"/>
  <c r="Z21" i="15"/>
  <c r="K21" i="15"/>
  <c r="I21" i="15"/>
  <c r="Z14" i="15"/>
  <c r="K14" i="15"/>
  <c r="I14" i="15"/>
  <c r="Z24" i="15"/>
  <c r="K24" i="15"/>
  <c r="I24" i="15"/>
  <c r="Z33" i="15"/>
  <c r="K33" i="15"/>
  <c r="I33" i="15"/>
  <c r="Z8" i="15"/>
  <c r="K8" i="15"/>
  <c r="I8" i="15"/>
  <c r="Z27" i="15"/>
  <c r="K27" i="15"/>
  <c r="I27" i="15"/>
  <c r="Z5" i="15"/>
  <c r="AL5" i="15" s="1"/>
  <c r="K5" i="15"/>
  <c r="I5" i="15"/>
  <c r="Z15" i="15"/>
  <c r="K15" i="15"/>
  <c r="I15" i="15"/>
  <c r="Z37" i="15"/>
  <c r="K37" i="15"/>
  <c r="I37" i="15"/>
  <c r="Z32" i="15"/>
  <c r="AL32" i="15" s="1"/>
  <c r="K32" i="15"/>
  <c r="I32" i="15"/>
  <c r="Z22" i="15"/>
  <c r="K22" i="15"/>
  <c r="I22" i="15"/>
  <c r="Z6" i="15"/>
  <c r="K6" i="15"/>
  <c r="I6" i="15"/>
  <c r="Z31" i="15"/>
  <c r="K31" i="15"/>
  <c r="I31" i="15"/>
  <c r="Z20" i="15"/>
  <c r="K20" i="15"/>
  <c r="I20" i="15"/>
  <c r="Z34" i="15"/>
  <c r="K34" i="15"/>
  <c r="I34" i="15"/>
  <c r="Z18" i="15"/>
  <c r="K18" i="15"/>
  <c r="I18" i="15"/>
  <c r="Z13" i="15"/>
  <c r="K13" i="15"/>
  <c r="I13" i="15"/>
  <c r="Z16" i="15"/>
  <c r="K16" i="15"/>
  <c r="I16" i="15"/>
  <c r="Z26" i="15"/>
  <c r="K26" i="15"/>
  <c r="I26" i="15"/>
  <c r="Z44" i="15"/>
  <c r="K44" i="15"/>
  <c r="I44" i="15"/>
  <c r="Z28" i="15"/>
  <c r="AL28" i="15" s="1"/>
  <c r="K28" i="15"/>
  <c r="I28" i="15"/>
  <c r="Z10" i="15"/>
  <c r="K10" i="15"/>
  <c r="I10" i="15"/>
  <c r="Z3" i="15"/>
  <c r="K3" i="15"/>
  <c r="I3" i="15"/>
  <c r="Z38" i="15"/>
  <c r="K38" i="15"/>
  <c r="I38" i="15"/>
  <c r="Z43" i="15"/>
  <c r="K43" i="15"/>
  <c r="I43" i="15"/>
  <c r="Z40" i="15"/>
  <c r="AL40" i="15" s="1"/>
  <c r="K40" i="15"/>
  <c r="I40" i="15"/>
  <c r="Z42" i="15"/>
  <c r="K42" i="15"/>
  <c r="I42" i="15"/>
  <c r="Z12" i="15"/>
  <c r="K12" i="15"/>
  <c r="I12" i="15"/>
  <c r="Z41" i="15"/>
  <c r="K41" i="15"/>
  <c r="I41" i="15"/>
  <c r="Z23" i="15"/>
  <c r="K23" i="15"/>
  <c r="I23" i="15"/>
  <c r="Z39" i="15"/>
  <c r="K39" i="15"/>
  <c r="I39" i="15"/>
  <c r="Z2" i="15"/>
  <c r="AL2" i="15" s="1"/>
  <c r="K2" i="15"/>
  <c r="I2" i="15"/>
  <c r="Z29" i="15"/>
  <c r="K29" i="15"/>
  <c r="I29" i="15"/>
  <c r="Z9" i="15"/>
  <c r="K9" i="15"/>
  <c r="I9" i="15"/>
  <c r="Z401" i="13"/>
  <c r="K401" i="13"/>
  <c r="I401" i="13"/>
  <c r="Z263" i="13"/>
  <c r="K263" i="13"/>
  <c r="I263" i="13"/>
  <c r="Z71" i="13"/>
  <c r="Z389" i="13"/>
  <c r="Z446" i="13"/>
  <c r="R7" i="13"/>
  <c r="Z7" i="13" s="1"/>
  <c r="K7" i="13"/>
  <c r="I7" i="13"/>
  <c r="Z12" i="13"/>
  <c r="K12" i="13"/>
  <c r="I12" i="13"/>
  <c r="Z436" i="13"/>
  <c r="K436" i="13"/>
  <c r="I436" i="13"/>
  <c r="Z387" i="13"/>
  <c r="K387" i="13"/>
  <c r="I387" i="13"/>
  <c r="Z46" i="13"/>
  <c r="K46" i="13"/>
  <c r="I46" i="13"/>
  <c r="Z23" i="13"/>
  <c r="K23" i="13"/>
  <c r="I23" i="13"/>
  <c r="Z25" i="13"/>
  <c r="K25" i="13"/>
  <c r="I25" i="13"/>
  <c r="C25" i="13"/>
  <c r="Z27" i="13"/>
  <c r="K27" i="13"/>
  <c r="I27" i="13"/>
  <c r="Z26" i="13"/>
  <c r="K26" i="13"/>
  <c r="I26" i="13"/>
  <c r="Z363" i="13"/>
  <c r="K363" i="13"/>
  <c r="I363" i="13"/>
  <c r="R475" i="13"/>
  <c r="Z475" i="13" s="1"/>
  <c r="K475" i="13"/>
  <c r="I475" i="13"/>
  <c r="Z530" i="13"/>
  <c r="K530" i="13"/>
  <c r="I530" i="13"/>
  <c r="Z529" i="13"/>
  <c r="K529" i="13"/>
  <c r="I529" i="13"/>
  <c r="Z571" i="13"/>
  <c r="K571" i="13"/>
  <c r="I571" i="13"/>
  <c r="Z584" i="13"/>
  <c r="K584" i="13"/>
  <c r="I584" i="13"/>
  <c r="R550" i="13"/>
  <c r="Z550" i="13" s="1"/>
  <c r="K550" i="13"/>
  <c r="I550" i="13"/>
  <c r="Z570" i="13"/>
  <c r="K570" i="13"/>
  <c r="I570" i="13"/>
  <c r="Z574" i="13"/>
  <c r="K574" i="13"/>
  <c r="I574" i="13"/>
  <c r="Z569" i="13"/>
  <c r="K569" i="13"/>
  <c r="I569" i="13"/>
  <c r="Z528" i="13"/>
  <c r="K528" i="13"/>
  <c r="I528" i="13"/>
  <c r="Z527" i="13"/>
  <c r="K527" i="13"/>
  <c r="I527" i="13"/>
  <c r="Z526" i="13"/>
  <c r="K526" i="13"/>
  <c r="I526" i="13"/>
  <c r="Z339" i="13"/>
  <c r="K339" i="13"/>
  <c r="I339" i="13"/>
  <c r="Z568" i="13"/>
  <c r="K568" i="13"/>
  <c r="I568" i="13"/>
  <c r="Z567" i="13"/>
  <c r="K567" i="13"/>
  <c r="I567" i="13"/>
  <c r="R313" i="13"/>
  <c r="Z313" i="13" s="1"/>
  <c r="K313" i="13"/>
  <c r="I313" i="13"/>
  <c r="R406" i="13"/>
  <c r="Z406" i="13" s="1"/>
  <c r="K406" i="13"/>
  <c r="I406" i="13"/>
  <c r="R464" i="13"/>
  <c r="Z464" i="13" s="1"/>
  <c r="K464" i="13"/>
  <c r="I464" i="13"/>
  <c r="Z556" i="13"/>
  <c r="K556" i="13"/>
  <c r="I556" i="13"/>
  <c r="Z555" i="13"/>
  <c r="K555" i="13"/>
  <c r="I555" i="13"/>
  <c r="Z554" i="13"/>
  <c r="K554" i="13"/>
  <c r="I554" i="13"/>
  <c r="R583" i="13"/>
  <c r="Z583" i="13" s="1"/>
  <c r="K583" i="13"/>
  <c r="I583" i="13"/>
  <c r="R582" i="13"/>
  <c r="Z582" i="13" s="1"/>
  <c r="K582" i="13"/>
  <c r="I582" i="13"/>
  <c r="Z578" i="13"/>
  <c r="K578" i="13"/>
  <c r="I578" i="13"/>
  <c r="R581" i="13"/>
  <c r="Z581" i="13" s="1"/>
  <c r="K581" i="13"/>
  <c r="I581" i="13"/>
  <c r="R561" i="13"/>
  <c r="Z561" i="13" s="1"/>
  <c r="K561" i="13"/>
  <c r="I561" i="13"/>
  <c r="Z580" i="13"/>
  <c r="K580" i="13"/>
  <c r="I580" i="13"/>
  <c r="Z579" i="13"/>
  <c r="K579" i="13"/>
  <c r="I579" i="13"/>
  <c r="R576" i="13"/>
  <c r="Z576" i="13" s="1"/>
  <c r="K576" i="13"/>
  <c r="I576" i="13"/>
  <c r="R577" i="13"/>
  <c r="Z577" i="13" s="1"/>
  <c r="K577" i="13"/>
  <c r="I577" i="13"/>
  <c r="Z103" i="13"/>
  <c r="K103" i="13"/>
  <c r="I103" i="13"/>
  <c r="Z102" i="13"/>
  <c r="K102" i="13"/>
  <c r="I102" i="13"/>
  <c r="Z101" i="13"/>
  <c r="K101" i="13"/>
  <c r="I101" i="13"/>
  <c r="Z249" i="13"/>
  <c r="K249" i="13"/>
  <c r="I249" i="13"/>
  <c r="Z563" i="13"/>
  <c r="K563" i="13"/>
  <c r="I563" i="13"/>
  <c r="Z48" i="13"/>
  <c r="K48" i="13"/>
  <c r="I48" i="13"/>
  <c r="Z96" i="13"/>
  <c r="K96" i="13"/>
  <c r="I96" i="13"/>
  <c r="Z220" i="13"/>
  <c r="K220" i="13"/>
  <c r="I220" i="13"/>
  <c r="Z62" i="13"/>
  <c r="K62" i="13"/>
  <c r="I62" i="13"/>
  <c r="Z113" i="13"/>
  <c r="K113" i="13"/>
  <c r="I113" i="13"/>
  <c r="Z107" i="13"/>
  <c r="K107" i="13"/>
  <c r="I107" i="13"/>
  <c r="Z136" i="13"/>
  <c r="K136" i="13"/>
  <c r="I136" i="13"/>
  <c r="Z122" i="13"/>
  <c r="K122" i="13"/>
  <c r="I122" i="13"/>
  <c r="Z82" i="13"/>
  <c r="K82" i="13"/>
  <c r="I82" i="13"/>
  <c r="Z104" i="13"/>
  <c r="K104" i="13"/>
  <c r="I104" i="13"/>
  <c r="Z329" i="13"/>
  <c r="K329" i="13"/>
  <c r="I329" i="13"/>
  <c r="Z8" i="13"/>
  <c r="K8" i="13"/>
  <c r="I8" i="13"/>
  <c r="Z43" i="13"/>
  <c r="K43" i="13"/>
  <c r="I43" i="13"/>
  <c r="Z81" i="13"/>
  <c r="K81" i="13"/>
  <c r="I81" i="13"/>
  <c r="Z222" i="13"/>
  <c r="K222" i="13"/>
  <c r="I222" i="13"/>
  <c r="Z59" i="13"/>
  <c r="K59" i="13"/>
  <c r="I59" i="13"/>
  <c r="Z9" i="13"/>
  <c r="K9" i="13"/>
  <c r="I9" i="13"/>
  <c r="Z445" i="13"/>
  <c r="K445" i="13"/>
  <c r="I445" i="13"/>
  <c r="Z139" i="13"/>
  <c r="K139" i="13"/>
  <c r="I139" i="13"/>
  <c r="Z73" i="13"/>
  <c r="K73" i="13"/>
  <c r="I73" i="13"/>
  <c r="Z281" i="13"/>
  <c r="K281" i="13"/>
  <c r="I281" i="13"/>
  <c r="Z18" i="13"/>
  <c r="K18" i="13"/>
  <c r="I18" i="13"/>
  <c r="Z110" i="13"/>
  <c r="K110" i="13"/>
  <c r="I110" i="13"/>
  <c r="Z49" i="13"/>
  <c r="K49" i="13"/>
  <c r="I49" i="13"/>
  <c r="Z50" i="13"/>
  <c r="K50" i="13"/>
  <c r="I50" i="13"/>
  <c r="Z126" i="13"/>
  <c r="K126" i="13"/>
  <c r="I126" i="13"/>
  <c r="Z11" i="13"/>
  <c r="K11" i="13"/>
  <c r="I11" i="13"/>
  <c r="Z129" i="13"/>
  <c r="K129" i="13"/>
  <c r="I129" i="13"/>
  <c r="Z53" i="13"/>
  <c r="K53" i="13"/>
  <c r="I53" i="13"/>
  <c r="Z38" i="13"/>
  <c r="K38" i="13"/>
  <c r="I38" i="13"/>
  <c r="Z39" i="13"/>
  <c r="K39" i="13"/>
  <c r="I39" i="13"/>
  <c r="Z52" i="13"/>
  <c r="K52" i="13"/>
  <c r="I52" i="13"/>
  <c r="Z65" i="13"/>
  <c r="K65" i="13"/>
  <c r="I65" i="13"/>
  <c r="Z67" i="13"/>
  <c r="K67" i="13"/>
  <c r="I67" i="13"/>
  <c r="Z5" i="13"/>
  <c r="K5" i="13"/>
  <c r="I5" i="13"/>
  <c r="Z74" i="13"/>
  <c r="K74" i="13"/>
  <c r="I74" i="13"/>
  <c r="Z51" i="13"/>
  <c r="K51" i="13"/>
  <c r="I51" i="13"/>
  <c r="Z117" i="13"/>
  <c r="K117" i="13"/>
  <c r="I117" i="13"/>
  <c r="Z94" i="13"/>
  <c r="K94" i="13"/>
  <c r="I94" i="13"/>
  <c r="Z75" i="13"/>
  <c r="K75" i="13"/>
  <c r="I75" i="13"/>
  <c r="Z172" i="13"/>
  <c r="K172" i="13"/>
  <c r="I172" i="13"/>
  <c r="Z397" i="13"/>
  <c r="K397" i="13"/>
  <c r="I397" i="13"/>
  <c r="Z44" i="13"/>
  <c r="K44" i="13"/>
  <c r="I44" i="13"/>
  <c r="Z115" i="13"/>
  <c r="K115" i="13"/>
  <c r="I115" i="13"/>
  <c r="Z19" i="13"/>
  <c r="K19" i="13"/>
  <c r="I19" i="13"/>
  <c r="Z20" i="13"/>
  <c r="K20" i="13"/>
  <c r="I20" i="13"/>
  <c r="Z32" i="13"/>
  <c r="K32" i="13"/>
  <c r="I32" i="13"/>
  <c r="Z34" i="13"/>
  <c r="K34" i="13"/>
  <c r="I34" i="13"/>
  <c r="Z89" i="13"/>
  <c r="K89" i="13"/>
  <c r="I89" i="13"/>
  <c r="Z95" i="13"/>
  <c r="K95" i="13"/>
  <c r="I95" i="13"/>
  <c r="Z16" i="13"/>
  <c r="K16" i="13"/>
  <c r="I16" i="13"/>
  <c r="Z30" i="13"/>
  <c r="K30" i="13"/>
  <c r="I30" i="13"/>
  <c r="Z208" i="13"/>
  <c r="K208" i="13"/>
  <c r="I208" i="13"/>
  <c r="Z207" i="13"/>
  <c r="K207" i="13"/>
  <c r="I207" i="13"/>
  <c r="Z79" i="13"/>
  <c r="K79" i="13"/>
  <c r="I79" i="13"/>
  <c r="Z178" i="13"/>
  <c r="K178" i="13"/>
  <c r="I178" i="13"/>
  <c r="Z170" i="13"/>
  <c r="K170" i="13"/>
  <c r="I170" i="13"/>
  <c r="Z422" i="13"/>
  <c r="K422" i="13"/>
  <c r="I422" i="13"/>
  <c r="Z155" i="13"/>
  <c r="K155" i="13"/>
  <c r="I155" i="13"/>
  <c r="Z284" i="13"/>
  <c r="K284" i="13"/>
  <c r="I284" i="13"/>
  <c r="Z169" i="13"/>
  <c r="K169" i="13"/>
  <c r="I169" i="13"/>
  <c r="Z22" i="13"/>
  <c r="K22" i="13"/>
  <c r="I22" i="13"/>
  <c r="Z41" i="13"/>
  <c r="K41" i="13"/>
  <c r="I41" i="13"/>
  <c r="Z229" i="13"/>
  <c r="K229" i="13"/>
  <c r="I229" i="13"/>
  <c r="Z228" i="13"/>
  <c r="K228" i="13"/>
  <c r="I228" i="13"/>
  <c r="Z78" i="13"/>
  <c r="K78" i="13"/>
  <c r="I78" i="13"/>
  <c r="Z21" i="13"/>
  <c r="K21" i="13"/>
  <c r="I21" i="13"/>
  <c r="Z153" i="13"/>
  <c r="K153" i="13"/>
  <c r="I153" i="13"/>
  <c r="Z311" i="13"/>
  <c r="K311" i="13"/>
  <c r="I311" i="13"/>
  <c r="Z66" i="13"/>
  <c r="K66" i="13"/>
  <c r="I66" i="13"/>
  <c r="Z17" i="13"/>
  <c r="K17" i="13"/>
  <c r="I17" i="13"/>
  <c r="Z63" i="13"/>
  <c r="K63" i="13"/>
  <c r="I63" i="13"/>
  <c r="Z121" i="13"/>
  <c r="K121" i="13"/>
  <c r="I121" i="13"/>
  <c r="Z477" i="13"/>
  <c r="K477" i="13"/>
  <c r="I477" i="13"/>
  <c r="Z31" i="13"/>
  <c r="K31" i="13"/>
  <c r="I31" i="13"/>
  <c r="Z328" i="13"/>
  <c r="K328" i="13"/>
  <c r="I328" i="13"/>
  <c r="Z221" i="13"/>
  <c r="K221" i="13"/>
  <c r="I221" i="13"/>
  <c r="Z368" i="13"/>
  <c r="K368" i="13"/>
  <c r="I368" i="13"/>
  <c r="Z342" i="13"/>
  <c r="K342" i="13"/>
  <c r="I342" i="13"/>
  <c r="Z60" i="13"/>
  <c r="K60" i="13"/>
  <c r="I60" i="13"/>
  <c r="Z158" i="13"/>
  <c r="K158" i="13"/>
  <c r="I158" i="13"/>
  <c r="Z134" i="13"/>
  <c r="K134" i="13"/>
  <c r="I134" i="13"/>
  <c r="Z186" i="13"/>
  <c r="K186" i="13"/>
  <c r="I186" i="13"/>
  <c r="Z271" i="13"/>
  <c r="K271" i="13"/>
  <c r="I271" i="13"/>
  <c r="Z305" i="13"/>
  <c r="K305" i="13"/>
  <c r="I305" i="13"/>
  <c r="Z42" i="13"/>
  <c r="K42" i="13"/>
  <c r="I42" i="13"/>
  <c r="Z36" i="13"/>
  <c r="K36" i="13"/>
  <c r="I36" i="13"/>
  <c r="Z64" i="13"/>
  <c r="K64" i="13"/>
  <c r="I64" i="13"/>
  <c r="Z156" i="13"/>
  <c r="K156" i="13"/>
  <c r="I156" i="13"/>
  <c r="Z272" i="13"/>
  <c r="K272" i="13"/>
  <c r="I272" i="13"/>
  <c r="Z261" i="13"/>
  <c r="K261" i="13"/>
  <c r="I261" i="13"/>
  <c r="Z13" i="13"/>
  <c r="K13" i="13"/>
  <c r="I13" i="13"/>
  <c r="Z4" i="13"/>
  <c r="K4" i="13"/>
  <c r="I4" i="13"/>
  <c r="Z10" i="13"/>
  <c r="K10" i="13"/>
  <c r="I10" i="13"/>
  <c r="Z367" i="13"/>
  <c r="K367" i="13"/>
  <c r="I367" i="13"/>
  <c r="Z98" i="13"/>
  <c r="K98" i="13"/>
  <c r="I98" i="13"/>
  <c r="Z37" i="13"/>
  <c r="K37" i="13"/>
  <c r="I37" i="13"/>
  <c r="Z225" i="13"/>
  <c r="K225" i="13"/>
  <c r="I225" i="13"/>
  <c r="Z70" i="13"/>
  <c r="K70" i="13"/>
  <c r="I70" i="13"/>
  <c r="Z163" i="13"/>
  <c r="K163" i="13"/>
  <c r="I163" i="13"/>
  <c r="Z28" i="13"/>
  <c r="K28" i="13"/>
  <c r="I28" i="13"/>
  <c r="Z233" i="13"/>
  <c r="K233" i="13"/>
  <c r="I233" i="13"/>
  <c r="Z72" i="13"/>
  <c r="K72" i="13"/>
  <c r="I72" i="13"/>
  <c r="Z108" i="13"/>
  <c r="K108" i="13"/>
  <c r="I108" i="13"/>
  <c r="Z109" i="13"/>
  <c r="K109" i="13"/>
  <c r="I109" i="13"/>
  <c r="Z202" i="13"/>
  <c r="K202" i="13"/>
  <c r="I202" i="13"/>
  <c r="Z87" i="13"/>
  <c r="K87" i="13"/>
  <c r="I87" i="13"/>
  <c r="Z35" i="13"/>
  <c r="K35" i="13"/>
  <c r="I35" i="13"/>
  <c r="Z61" i="13"/>
  <c r="K61" i="13"/>
  <c r="I61" i="13"/>
  <c r="Z160" i="13"/>
  <c r="K160" i="13"/>
  <c r="I160" i="13"/>
  <c r="Z3" i="13"/>
  <c r="K3" i="13"/>
  <c r="I3" i="13"/>
  <c r="Z2" i="13"/>
  <c r="K2" i="13"/>
  <c r="I2" i="13"/>
  <c r="Z6" i="13"/>
  <c r="K6" i="13"/>
  <c r="I6" i="13"/>
  <c r="Z68" i="13"/>
  <c r="K68" i="13"/>
  <c r="I68" i="13"/>
  <c r="Z54" i="13"/>
  <c r="K54" i="13"/>
  <c r="I54" i="13"/>
  <c r="Z90" i="13"/>
  <c r="K90" i="13"/>
  <c r="I90" i="13"/>
  <c r="Z116" i="13"/>
  <c r="K116" i="13"/>
  <c r="I116" i="13"/>
  <c r="Z40" i="13"/>
  <c r="K40" i="13"/>
  <c r="I40" i="13"/>
  <c r="Z24" i="13"/>
  <c r="K24" i="13"/>
  <c r="I24" i="13"/>
  <c r="Z29" i="13"/>
  <c r="K29" i="13"/>
  <c r="I29" i="13"/>
  <c r="Z15" i="13"/>
  <c r="K15" i="13"/>
  <c r="I15" i="13"/>
  <c r="Z183" i="13"/>
  <c r="K183" i="13"/>
  <c r="I183" i="13"/>
  <c r="Z418" i="13"/>
  <c r="K418" i="13"/>
  <c r="I418" i="13"/>
  <c r="Z565" i="13"/>
  <c r="K565" i="13"/>
  <c r="I565" i="13"/>
  <c r="Z543" i="13"/>
  <c r="K543" i="13"/>
  <c r="I543" i="13"/>
  <c r="R391" i="13"/>
  <c r="Z391" i="13" s="1"/>
  <c r="K391" i="13"/>
  <c r="I391" i="13"/>
  <c r="Z460" i="13"/>
  <c r="K460" i="13"/>
  <c r="I460" i="13"/>
  <c r="Z455" i="13"/>
  <c r="K455" i="13"/>
  <c r="I455" i="13"/>
  <c r="Z454" i="13"/>
  <c r="K454" i="13"/>
  <c r="I454" i="13"/>
  <c r="Z453" i="13"/>
  <c r="K453" i="13"/>
  <c r="I453" i="13"/>
  <c r="Z444" i="13"/>
  <c r="K444" i="13"/>
  <c r="I444" i="13"/>
  <c r="Z287" i="13"/>
  <c r="K287" i="13"/>
  <c r="I287" i="13"/>
  <c r="Z494" i="13"/>
  <c r="K494" i="13"/>
  <c r="I494" i="13"/>
  <c r="Z492" i="13"/>
  <c r="K492" i="13"/>
  <c r="I492" i="13"/>
  <c r="Z509" i="13"/>
  <c r="K509" i="13"/>
  <c r="I509" i="13"/>
  <c r="Z251" i="13"/>
  <c r="K251" i="13"/>
  <c r="I251" i="13"/>
  <c r="Z355" i="13"/>
  <c r="K355" i="13"/>
  <c r="I355" i="13"/>
  <c r="Z566" i="13"/>
  <c r="K566" i="13"/>
  <c r="I566" i="13"/>
  <c r="Z382" i="13"/>
  <c r="K382" i="13"/>
  <c r="I382" i="13"/>
  <c r="Z282" i="13"/>
  <c r="K282" i="13"/>
  <c r="I282" i="13"/>
  <c r="Z390" i="13"/>
  <c r="K390" i="13"/>
  <c r="I390" i="13"/>
  <c r="Z344" i="13"/>
  <c r="K344" i="13"/>
  <c r="I344" i="13"/>
  <c r="Z162" i="13"/>
  <c r="K162" i="13"/>
  <c r="I162" i="13"/>
  <c r="Z341" i="13"/>
  <c r="K341" i="13"/>
  <c r="I341" i="13"/>
  <c r="Z532" i="13"/>
  <c r="K532" i="13"/>
  <c r="I532" i="13"/>
  <c r="Z430" i="13"/>
  <c r="K430" i="13"/>
  <c r="I430" i="13"/>
  <c r="Z542" i="13"/>
  <c r="K542" i="13"/>
  <c r="I542" i="13"/>
  <c r="Z575" i="13"/>
  <c r="K575" i="13"/>
  <c r="I575" i="13"/>
  <c r="Z525" i="13"/>
  <c r="K525" i="13"/>
  <c r="I525" i="13"/>
  <c r="Z338" i="13"/>
  <c r="K338" i="13"/>
  <c r="I338" i="13"/>
  <c r="Z534" i="13"/>
  <c r="K534" i="13"/>
  <c r="I534" i="13"/>
  <c r="Z459" i="13"/>
  <c r="K459" i="13"/>
  <c r="I459" i="13"/>
  <c r="Z440" i="13"/>
  <c r="K440" i="13"/>
  <c r="I440" i="13"/>
  <c r="Z547" i="13"/>
  <c r="K547" i="13"/>
  <c r="I547" i="13"/>
  <c r="Z386" i="13"/>
  <c r="K386" i="13"/>
  <c r="I386" i="13"/>
  <c r="Z154" i="13"/>
  <c r="K154" i="13"/>
  <c r="I154" i="13"/>
  <c r="Z301" i="13"/>
  <c r="K301" i="13"/>
  <c r="I301" i="13"/>
  <c r="Z187" i="13"/>
  <c r="K187" i="13"/>
  <c r="I187" i="13"/>
  <c r="Z171" i="13"/>
  <c r="K171" i="13"/>
  <c r="I171" i="13"/>
  <c r="Z256" i="13"/>
  <c r="K256" i="13"/>
  <c r="I256" i="13"/>
  <c r="Z361" i="13"/>
  <c r="K361" i="13"/>
  <c r="I361" i="13"/>
  <c r="Z236" i="13"/>
  <c r="K236" i="13"/>
  <c r="I236" i="13"/>
  <c r="Z259" i="13"/>
  <c r="K259" i="13"/>
  <c r="I259" i="13"/>
  <c r="Z358" i="13"/>
  <c r="K358" i="13"/>
  <c r="I358" i="13"/>
  <c r="Z400" i="13"/>
  <c r="K400" i="13"/>
  <c r="I400" i="13"/>
  <c r="Z334" i="13"/>
  <c r="K334" i="13"/>
  <c r="I334" i="13"/>
  <c r="Z325" i="13"/>
  <c r="K325" i="13"/>
  <c r="I325" i="13"/>
  <c r="Z381" i="13"/>
  <c r="K381" i="13"/>
  <c r="I381" i="13"/>
  <c r="Z161" i="13"/>
  <c r="K161" i="13"/>
  <c r="I161" i="13"/>
  <c r="Z439" i="13"/>
  <c r="K439" i="13"/>
  <c r="I439" i="13"/>
  <c r="Z429" i="13"/>
  <c r="K429" i="13"/>
  <c r="I429" i="13"/>
  <c r="Z56" i="13"/>
  <c r="K56" i="13"/>
  <c r="I56" i="13"/>
  <c r="Z573" i="13"/>
  <c r="K573" i="13"/>
  <c r="I573" i="13"/>
  <c r="Z479" i="13"/>
  <c r="K479" i="13"/>
  <c r="I479" i="13"/>
  <c r="Z411" i="13"/>
  <c r="K411" i="13"/>
  <c r="I411" i="13"/>
  <c r="Z493" i="13"/>
  <c r="K493" i="13"/>
  <c r="I493" i="13"/>
  <c r="Z476" i="13"/>
  <c r="K476" i="13"/>
  <c r="I476" i="13"/>
  <c r="Z484" i="13"/>
  <c r="K484" i="13"/>
  <c r="I484" i="13"/>
  <c r="Z424" i="13"/>
  <c r="K424" i="13"/>
  <c r="I424" i="13"/>
  <c r="Z321" i="13"/>
  <c r="K321" i="13"/>
  <c r="I321" i="13"/>
  <c r="Z507" i="13"/>
  <c r="K507" i="13"/>
  <c r="I507" i="13"/>
  <c r="Z307" i="13"/>
  <c r="K307" i="13"/>
  <c r="I307" i="13"/>
  <c r="Z201" i="13"/>
  <c r="K201" i="13"/>
  <c r="I201" i="13"/>
  <c r="Z474" i="13"/>
  <c r="K474" i="13"/>
  <c r="I474" i="13"/>
  <c r="Z283" i="13"/>
  <c r="K283" i="13"/>
  <c r="I283" i="13"/>
  <c r="Z269" i="13"/>
  <c r="K269" i="13"/>
  <c r="I269" i="13"/>
  <c r="Z166" i="13"/>
  <c r="K166" i="13"/>
  <c r="I166" i="13"/>
  <c r="Z435" i="13"/>
  <c r="K435" i="13"/>
  <c r="I435" i="13"/>
  <c r="Z450" i="13"/>
  <c r="K450" i="13"/>
  <c r="I450" i="13"/>
  <c r="Z357" i="13"/>
  <c r="K357" i="13"/>
  <c r="I357" i="13"/>
  <c r="Z303" i="13"/>
  <c r="K303" i="13"/>
  <c r="I303" i="13"/>
  <c r="Z347" i="13"/>
  <c r="K347" i="13"/>
  <c r="I347" i="13"/>
  <c r="Z300" i="13"/>
  <c r="K300" i="13"/>
  <c r="I300" i="13"/>
  <c r="Z267" i="13"/>
  <c r="K267" i="13"/>
  <c r="I267" i="13"/>
  <c r="Z463" i="13"/>
  <c r="K463" i="13"/>
  <c r="I463" i="13"/>
  <c r="Z385" i="13"/>
  <c r="K385" i="13"/>
  <c r="I385" i="13"/>
  <c r="Z245" i="13"/>
  <c r="K245" i="13"/>
  <c r="I245" i="13"/>
  <c r="Z410" i="13"/>
  <c r="K410" i="13"/>
  <c r="I410" i="13"/>
  <c r="Z276" i="13"/>
  <c r="K276" i="13"/>
  <c r="I276" i="13"/>
  <c r="Z366" i="13"/>
  <c r="K366" i="13"/>
  <c r="I366" i="13"/>
  <c r="Z257" i="13"/>
  <c r="K257" i="13"/>
  <c r="I257" i="13"/>
  <c r="Z359" i="13"/>
  <c r="K359" i="13"/>
  <c r="I359" i="13"/>
  <c r="Z215" i="13"/>
  <c r="K215" i="13"/>
  <c r="I215" i="13"/>
  <c r="Z467" i="13"/>
  <c r="K467" i="13"/>
  <c r="I467" i="13"/>
  <c r="Z323" i="13"/>
  <c r="K323" i="13"/>
  <c r="I323" i="13"/>
  <c r="Z299" i="13"/>
  <c r="K299" i="13"/>
  <c r="I299" i="13"/>
  <c r="Z438" i="13"/>
  <c r="K438" i="13"/>
  <c r="I438" i="13"/>
  <c r="Z250" i="13"/>
  <c r="K250" i="13"/>
  <c r="I250" i="13"/>
  <c r="Z470" i="13"/>
  <c r="K470" i="13"/>
  <c r="I470" i="13"/>
  <c r="Z469" i="13"/>
  <c r="K469" i="13"/>
  <c r="I469" i="13"/>
  <c r="Z330" i="13"/>
  <c r="K330" i="13"/>
  <c r="I330" i="13"/>
  <c r="Z533" i="13"/>
  <c r="K533" i="13"/>
  <c r="I533" i="13"/>
  <c r="Z548" i="13"/>
  <c r="K548" i="13"/>
  <c r="I548" i="13"/>
  <c r="Z399" i="13"/>
  <c r="K399" i="13"/>
  <c r="I399" i="13"/>
  <c r="Z371" i="13"/>
  <c r="K371" i="13"/>
  <c r="I371" i="13"/>
  <c r="Z504" i="13"/>
  <c r="K504" i="13"/>
  <c r="I504" i="13"/>
  <c r="Z137" i="13"/>
  <c r="K137" i="13"/>
  <c r="I137" i="13"/>
  <c r="Z396" i="13"/>
  <c r="K396" i="13"/>
  <c r="I396" i="13"/>
  <c r="Z343" i="13"/>
  <c r="K343" i="13"/>
  <c r="I343" i="13"/>
  <c r="Z125" i="13"/>
  <c r="K125" i="13"/>
  <c r="I125" i="13"/>
  <c r="Z112" i="13"/>
  <c r="K112" i="13"/>
  <c r="I112" i="13"/>
  <c r="Z541" i="13"/>
  <c r="K541" i="13"/>
  <c r="I541" i="13"/>
  <c r="Z409" i="13"/>
  <c r="K409" i="13"/>
  <c r="I409" i="13"/>
  <c r="Z449" i="13"/>
  <c r="K449" i="13"/>
  <c r="I449" i="13"/>
  <c r="Z292" i="13"/>
  <c r="K292" i="13"/>
  <c r="I292" i="13"/>
  <c r="Z407" i="13"/>
  <c r="K407" i="13"/>
  <c r="I407" i="13"/>
  <c r="Z246" i="13"/>
  <c r="K246" i="13"/>
  <c r="I246" i="13"/>
  <c r="Z443" i="13"/>
  <c r="K443" i="13"/>
  <c r="I443" i="13"/>
  <c r="Z291" i="13"/>
  <c r="K291" i="13"/>
  <c r="I291" i="13"/>
  <c r="Z209" i="13"/>
  <c r="K209" i="13"/>
  <c r="I209" i="13"/>
  <c r="Z310" i="13"/>
  <c r="K310" i="13"/>
  <c r="I310" i="13"/>
  <c r="Z273" i="13"/>
  <c r="K273" i="13"/>
  <c r="I273" i="13"/>
  <c r="Z332" i="13"/>
  <c r="K332" i="13"/>
  <c r="I332" i="13"/>
  <c r="Z237" i="13"/>
  <c r="K237" i="13"/>
  <c r="I237" i="13"/>
  <c r="Z306" i="13"/>
  <c r="K306" i="13"/>
  <c r="I306" i="13"/>
  <c r="Z336" i="13"/>
  <c r="K336" i="13"/>
  <c r="I336" i="13"/>
  <c r="Z260" i="13"/>
  <c r="K260" i="13"/>
  <c r="I260" i="13"/>
  <c r="Z337" i="13"/>
  <c r="K337" i="13"/>
  <c r="I337" i="13"/>
  <c r="Z168" i="13"/>
  <c r="K168" i="13"/>
  <c r="I168" i="13"/>
  <c r="Z248" i="13"/>
  <c r="K248" i="13"/>
  <c r="I248" i="13"/>
  <c r="Z427" i="13"/>
  <c r="K427" i="13"/>
  <c r="I427" i="13"/>
  <c r="Z304" i="13"/>
  <c r="K304" i="13"/>
  <c r="I304" i="13"/>
  <c r="Z369" i="13"/>
  <c r="K369" i="13"/>
  <c r="I369" i="13"/>
  <c r="Z320" i="13"/>
  <c r="K320" i="13"/>
  <c r="I320" i="13"/>
  <c r="Z346" i="13"/>
  <c r="K346" i="13"/>
  <c r="I346" i="13"/>
  <c r="Z370" i="13"/>
  <c r="K370" i="13"/>
  <c r="I370" i="13"/>
  <c r="Z226" i="13"/>
  <c r="K226" i="13"/>
  <c r="I226" i="13"/>
  <c r="Z264" i="13"/>
  <c r="K264" i="13"/>
  <c r="I264" i="13"/>
  <c r="Z353" i="13"/>
  <c r="K353" i="13"/>
  <c r="I353" i="13"/>
  <c r="Z457" i="13"/>
  <c r="K457" i="13"/>
  <c r="I457" i="13"/>
  <c r="Z204" i="13"/>
  <c r="K204" i="13"/>
  <c r="I204" i="13"/>
  <c r="Z298" i="13"/>
  <c r="K298" i="13"/>
  <c r="I298" i="13"/>
  <c r="Z235" i="13"/>
  <c r="K235" i="13"/>
  <c r="I235" i="13"/>
  <c r="Z384" i="13"/>
  <c r="K384" i="13"/>
  <c r="I384" i="13"/>
  <c r="Z147" i="13"/>
  <c r="K147" i="13"/>
  <c r="I147" i="13"/>
  <c r="Z93" i="13"/>
  <c r="K93" i="13"/>
  <c r="I93" i="13"/>
  <c r="Z55" i="13"/>
  <c r="K55" i="13"/>
  <c r="I55" i="13"/>
  <c r="Z412" i="13"/>
  <c r="K412" i="13"/>
  <c r="I412" i="13"/>
  <c r="Z466" i="13"/>
  <c r="K466" i="13"/>
  <c r="I466" i="13"/>
  <c r="Z498" i="13"/>
  <c r="K498" i="13"/>
  <c r="I498" i="13"/>
  <c r="Z452" i="13"/>
  <c r="K452" i="13"/>
  <c r="I452" i="13"/>
  <c r="Z500" i="13"/>
  <c r="K500" i="13"/>
  <c r="I500" i="13"/>
  <c r="Z536" i="13"/>
  <c r="K536" i="13"/>
  <c r="I536" i="13"/>
  <c r="Z497" i="13"/>
  <c r="K497" i="13"/>
  <c r="I497" i="13"/>
  <c r="Z564" i="13"/>
  <c r="K564" i="13"/>
  <c r="I564" i="13"/>
  <c r="Z483" i="13"/>
  <c r="K483" i="13"/>
  <c r="I483" i="13"/>
  <c r="Z472" i="13"/>
  <c r="K472" i="13"/>
  <c r="I472" i="13"/>
  <c r="Z362" i="13"/>
  <c r="K362" i="13"/>
  <c r="I362" i="13"/>
  <c r="Z506" i="13"/>
  <c r="K506" i="13"/>
  <c r="I506" i="13"/>
  <c r="Z512" i="13"/>
  <c r="K512" i="13"/>
  <c r="I512" i="13"/>
  <c r="Z546" i="13"/>
  <c r="K546" i="13"/>
  <c r="I546" i="13"/>
  <c r="Z553" i="13"/>
  <c r="K553" i="13"/>
  <c r="I553" i="13"/>
  <c r="Z508" i="13"/>
  <c r="K508" i="13"/>
  <c r="I508" i="13"/>
  <c r="Z519" i="13"/>
  <c r="K519" i="13"/>
  <c r="I519" i="13"/>
  <c r="Z544" i="13"/>
  <c r="K544" i="13"/>
  <c r="I544" i="13"/>
  <c r="Z408" i="13"/>
  <c r="K408" i="13"/>
  <c r="I408" i="13"/>
  <c r="Z417" i="13"/>
  <c r="K417" i="13"/>
  <c r="I417" i="13"/>
  <c r="Z538" i="13"/>
  <c r="K538" i="13"/>
  <c r="I538" i="13"/>
  <c r="Z537" i="13"/>
  <c r="K537" i="13"/>
  <c r="I537" i="13"/>
  <c r="Z523" i="13"/>
  <c r="K523" i="13"/>
  <c r="I523" i="13"/>
  <c r="Z488" i="13"/>
  <c r="K488" i="13"/>
  <c r="I488" i="13"/>
  <c r="Z433" i="13"/>
  <c r="K433" i="13"/>
  <c r="I433" i="13"/>
  <c r="Z416" i="13"/>
  <c r="K416" i="13"/>
  <c r="I416" i="13"/>
  <c r="Z535" i="13"/>
  <c r="K535" i="13"/>
  <c r="I535" i="13"/>
  <c r="Z327" i="13"/>
  <c r="K327" i="13"/>
  <c r="I327" i="13"/>
  <c r="Z373" i="13"/>
  <c r="K373" i="13"/>
  <c r="I373" i="13"/>
  <c r="Z557" i="13"/>
  <c r="K557" i="13"/>
  <c r="I557" i="13"/>
  <c r="Z420" i="13"/>
  <c r="K420" i="13"/>
  <c r="I420" i="13"/>
  <c r="Z426" i="13"/>
  <c r="K426" i="13"/>
  <c r="I426" i="13"/>
  <c r="Z501" i="13"/>
  <c r="K501" i="13"/>
  <c r="I501" i="13"/>
  <c r="Z182" i="13"/>
  <c r="K182" i="13"/>
  <c r="I182" i="13"/>
  <c r="Z86" i="13"/>
  <c r="K86" i="13"/>
  <c r="I86" i="13"/>
  <c r="Z393" i="13"/>
  <c r="K393" i="13"/>
  <c r="I393" i="13"/>
  <c r="Z487" i="13"/>
  <c r="K487" i="13"/>
  <c r="I487" i="13"/>
  <c r="Z425" i="13"/>
  <c r="K425" i="13"/>
  <c r="I425" i="13"/>
  <c r="Z521" i="13"/>
  <c r="K521" i="13"/>
  <c r="I521" i="13"/>
  <c r="Z244" i="13"/>
  <c r="K244" i="13"/>
  <c r="I244" i="13"/>
  <c r="Z402" i="13"/>
  <c r="K402" i="13"/>
  <c r="I402" i="13"/>
  <c r="Z442" i="13"/>
  <c r="K442" i="13"/>
  <c r="I442" i="13"/>
  <c r="Z266" i="13"/>
  <c r="K266" i="13"/>
  <c r="I266" i="13"/>
  <c r="Z383" i="13"/>
  <c r="K383" i="13"/>
  <c r="I383" i="13"/>
  <c r="Z106" i="13"/>
  <c r="K106" i="13"/>
  <c r="I106" i="13"/>
  <c r="Z296" i="13"/>
  <c r="K296" i="13"/>
  <c r="I296" i="13"/>
  <c r="Z141" i="13"/>
  <c r="K141" i="13"/>
  <c r="I141" i="13"/>
  <c r="Z173" i="13"/>
  <c r="K173" i="13"/>
  <c r="I173" i="13"/>
  <c r="Z111" i="13"/>
  <c r="K111" i="13"/>
  <c r="I111" i="13"/>
  <c r="Z218" i="13"/>
  <c r="K218" i="13"/>
  <c r="I218" i="13"/>
  <c r="Z318" i="13"/>
  <c r="K318" i="13"/>
  <c r="I318" i="13"/>
  <c r="Z340" i="13"/>
  <c r="K340" i="13"/>
  <c r="I340" i="13"/>
  <c r="Z242" i="13"/>
  <c r="K242" i="13"/>
  <c r="I242" i="13"/>
  <c r="Z482" i="13"/>
  <c r="K482" i="13"/>
  <c r="I482" i="13"/>
  <c r="Z192" i="13"/>
  <c r="K192" i="13"/>
  <c r="I192" i="13"/>
  <c r="Z85" i="13"/>
  <c r="K85" i="13"/>
  <c r="I85" i="13"/>
  <c r="Z131" i="13"/>
  <c r="K131" i="13"/>
  <c r="I131" i="13"/>
  <c r="Z345" i="13"/>
  <c r="K345" i="13"/>
  <c r="I345" i="13"/>
  <c r="Z152" i="13"/>
  <c r="K152" i="13"/>
  <c r="I152" i="13"/>
  <c r="Z105" i="13"/>
  <c r="K105" i="13"/>
  <c r="I105" i="13"/>
  <c r="Z47" i="13"/>
  <c r="K47" i="13"/>
  <c r="I47" i="13"/>
  <c r="Z138" i="13"/>
  <c r="K138" i="13"/>
  <c r="I138" i="13"/>
  <c r="Z262" i="13"/>
  <c r="K262" i="13"/>
  <c r="I262" i="13"/>
  <c r="Z239" i="13"/>
  <c r="K239" i="13"/>
  <c r="I239" i="13"/>
  <c r="Z231" i="13"/>
  <c r="K231" i="13"/>
  <c r="I231" i="13"/>
  <c r="Z140" i="13"/>
  <c r="K140" i="13"/>
  <c r="I140" i="13"/>
  <c r="Z224" i="13"/>
  <c r="K224" i="13"/>
  <c r="I224" i="13"/>
  <c r="Z255" i="13"/>
  <c r="K255" i="13"/>
  <c r="I255" i="13"/>
  <c r="Z253" i="13"/>
  <c r="K253" i="13"/>
  <c r="I253" i="13"/>
  <c r="Z118" i="13"/>
  <c r="K118" i="13"/>
  <c r="I118" i="13"/>
  <c r="Z351" i="13"/>
  <c r="K351" i="13"/>
  <c r="I351" i="13"/>
  <c r="Z268" i="13"/>
  <c r="K268" i="13"/>
  <c r="I268" i="13"/>
  <c r="Z189" i="13"/>
  <c r="K189" i="13"/>
  <c r="I189" i="13"/>
  <c r="Z217" i="13"/>
  <c r="K217" i="13"/>
  <c r="I217" i="13"/>
  <c r="Z143" i="13"/>
  <c r="K143" i="13"/>
  <c r="I143" i="13"/>
  <c r="Z181" i="13"/>
  <c r="K181" i="13"/>
  <c r="I181" i="13"/>
  <c r="Z199" i="13"/>
  <c r="K199" i="13"/>
  <c r="I199" i="13"/>
  <c r="Z513" i="13"/>
  <c r="K513" i="13"/>
  <c r="I513" i="13"/>
  <c r="Z92" i="13"/>
  <c r="K92" i="13"/>
  <c r="I92" i="13"/>
  <c r="Z481" i="13"/>
  <c r="K481" i="13"/>
  <c r="I481" i="13"/>
  <c r="Z388" i="13"/>
  <c r="K388" i="13"/>
  <c r="I388" i="13"/>
  <c r="Z398" i="13"/>
  <c r="K398" i="13"/>
  <c r="I398" i="13"/>
  <c r="Z241" i="13"/>
  <c r="K241" i="13"/>
  <c r="I241" i="13"/>
  <c r="Z280" i="13"/>
  <c r="K280" i="13"/>
  <c r="I280" i="13"/>
  <c r="Z461" i="13"/>
  <c r="K461" i="13"/>
  <c r="I461" i="13"/>
  <c r="Z428" i="13"/>
  <c r="K428" i="13"/>
  <c r="I428" i="13"/>
  <c r="Z502" i="13"/>
  <c r="K502" i="13"/>
  <c r="I502" i="13"/>
  <c r="Z496" i="13"/>
  <c r="K496" i="13"/>
  <c r="I496" i="13"/>
  <c r="Z419" i="13"/>
  <c r="K419" i="13"/>
  <c r="I419" i="13"/>
  <c r="Z333" i="13"/>
  <c r="K333" i="13"/>
  <c r="I333" i="13"/>
  <c r="Z447" i="13"/>
  <c r="K447" i="13"/>
  <c r="I447" i="13"/>
  <c r="Z559" i="13"/>
  <c r="K559" i="13"/>
  <c r="I559" i="13"/>
  <c r="Z405" i="13"/>
  <c r="K405" i="13"/>
  <c r="I405" i="13"/>
  <c r="Z312" i="13"/>
  <c r="K312" i="13"/>
  <c r="I312" i="13"/>
  <c r="Z415" i="13"/>
  <c r="K415" i="13"/>
  <c r="I415" i="13"/>
  <c r="Z176" i="13"/>
  <c r="K176" i="13"/>
  <c r="I176" i="13"/>
  <c r="Z145" i="13"/>
  <c r="K145" i="13"/>
  <c r="I145" i="13"/>
  <c r="Z360" i="13"/>
  <c r="K360" i="13"/>
  <c r="I360" i="13"/>
  <c r="Z462" i="13"/>
  <c r="K462" i="13"/>
  <c r="I462" i="13"/>
  <c r="Z491" i="13"/>
  <c r="K491" i="13"/>
  <c r="I491" i="13"/>
  <c r="Z413" i="13"/>
  <c r="K413" i="13"/>
  <c r="I413" i="13"/>
  <c r="Z378" i="13"/>
  <c r="K378" i="13"/>
  <c r="I378" i="13"/>
  <c r="Z319" i="13"/>
  <c r="K319" i="13"/>
  <c r="I319" i="13"/>
  <c r="Z232" i="13"/>
  <c r="K232" i="13"/>
  <c r="I232" i="13"/>
  <c r="Z395" i="13"/>
  <c r="K395" i="13"/>
  <c r="I395" i="13"/>
  <c r="Z190" i="13"/>
  <c r="K190" i="13"/>
  <c r="I190" i="13"/>
  <c r="Z45" i="13"/>
  <c r="K45" i="13"/>
  <c r="I45" i="13"/>
  <c r="Z159" i="13"/>
  <c r="K159" i="13"/>
  <c r="I159" i="13"/>
  <c r="Z219" i="13"/>
  <c r="K219" i="13"/>
  <c r="I219" i="13"/>
  <c r="Z33" i="13"/>
  <c r="K33" i="13"/>
  <c r="I33" i="13"/>
  <c r="Z240" i="13"/>
  <c r="K240" i="13"/>
  <c r="I240" i="13"/>
  <c r="Z331" i="13"/>
  <c r="K331" i="13"/>
  <c r="I331" i="13"/>
  <c r="Z335" i="13"/>
  <c r="K335" i="13"/>
  <c r="I335" i="13"/>
  <c r="Z197" i="13"/>
  <c r="K197" i="13"/>
  <c r="I197" i="13"/>
  <c r="Z151" i="13"/>
  <c r="K151" i="13"/>
  <c r="I151" i="13"/>
  <c r="Z223" i="13"/>
  <c r="K223" i="13"/>
  <c r="I223" i="13"/>
  <c r="Z324" i="13"/>
  <c r="K324" i="13"/>
  <c r="I324" i="13"/>
  <c r="Z144" i="13"/>
  <c r="K144" i="13"/>
  <c r="I144" i="13"/>
  <c r="Z175" i="13"/>
  <c r="K175" i="13"/>
  <c r="I175" i="13"/>
  <c r="Z365" i="13"/>
  <c r="K365" i="13"/>
  <c r="I365" i="13"/>
  <c r="Z123" i="13"/>
  <c r="K123" i="13"/>
  <c r="I123" i="13"/>
  <c r="Z227" i="13"/>
  <c r="K227" i="13"/>
  <c r="I227" i="13"/>
  <c r="Z69" i="13"/>
  <c r="K69" i="13"/>
  <c r="I69" i="13"/>
  <c r="Z76" i="13"/>
  <c r="K76" i="13"/>
  <c r="I76" i="13"/>
  <c r="Z179" i="13"/>
  <c r="K179" i="13"/>
  <c r="I179" i="13"/>
  <c r="Z258" i="13"/>
  <c r="K258" i="13"/>
  <c r="I258" i="13"/>
  <c r="Z316" i="13"/>
  <c r="K316" i="13"/>
  <c r="I316" i="13"/>
  <c r="Z119" i="13"/>
  <c r="K119" i="13"/>
  <c r="I119" i="13"/>
  <c r="Z185" i="13"/>
  <c r="K185" i="13"/>
  <c r="I185" i="13"/>
  <c r="Z212" i="13"/>
  <c r="K212" i="13"/>
  <c r="I212" i="13"/>
  <c r="Z80" i="13"/>
  <c r="K80" i="13"/>
  <c r="I80" i="13"/>
  <c r="Z315" i="13"/>
  <c r="K315" i="13"/>
  <c r="I315" i="13"/>
  <c r="Z317" i="13"/>
  <c r="K317" i="13"/>
  <c r="I317" i="13"/>
  <c r="Z57" i="13"/>
  <c r="K57" i="13"/>
  <c r="I57" i="13"/>
  <c r="Z348" i="13"/>
  <c r="K348" i="13"/>
  <c r="I348" i="13"/>
  <c r="Z560" i="13"/>
  <c r="K560" i="13"/>
  <c r="I560" i="13"/>
  <c r="Z437" i="13"/>
  <c r="K437" i="13"/>
  <c r="I437" i="13"/>
  <c r="Z289" i="13"/>
  <c r="K289" i="13"/>
  <c r="I289" i="13"/>
  <c r="Z572" i="13"/>
  <c r="K572" i="13"/>
  <c r="I572" i="13"/>
  <c r="Z515" i="13"/>
  <c r="K515" i="13"/>
  <c r="I515" i="13"/>
  <c r="Z524" i="13"/>
  <c r="K524" i="13"/>
  <c r="I524" i="13"/>
  <c r="Z441" i="13"/>
  <c r="K441" i="13"/>
  <c r="I441" i="13"/>
  <c r="Z540" i="13"/>
  <c r="K540" i="13"/>
  <c r="I540" i="13"/>
  <c r="Z404" i="13"/>
  <c r="K404" i="13"/>
  <c r="I404" i="13"/>
  <c r="Z503" i="13"/>
  <c r="K503" i="13"/>
  <c r="I503" i="13"/>
  <c r="Z495" i="13"/>
  <c r="K495" i="13"/>
  <c r="I495" i="13"/>
  <c r="Z518" i="13"/>
  <c r="K518" i="13"/>
  <c r="I518" i="13"/>
  <c r="Z486" i="13"/>
  <c r="K486" i="13"/>
  <c r="I486" i="13"/>
  <c r="Z545" i="13"/>
  <c r="K545" i="13"/>
  <c r="I545" i="13"/>
  <c r="Z392" i="13"/>
  <c r="K392" i="13"/>
  <c r="I392" i="13"/>
  <c r="Z558" i="13"/>
  <c r="K558" i="13"/>
  <c r="I558" i="13"/>
  <c r="Z350" i="13"/>
  <c r="K350" i="13"/>
  <c r="I350" i="13"/>
  <c r="Z489" i="13"/>
  <c r="K489" i="13"/>
  <c r="I489" i="13"/>
  <c r="Z511" i="13"/>
  <c r="K511" i="13"/>
  <c r="I511" i="13"/>
  <c r="Z374" i="13"/>
  <c r="K374" i="13"/>
  <c r="I374" i="13"/>
  <c r="Z539" i="13"/>
  <c r="K539" i="13"/>
  <c r="I539" i="13"/>
  <c r="Z379" i="13"/>
  <c r="K379" i="13"/>
  <c r="I379" i="13"/>
  <c r="Z499" i="13"/>
  <c r="K499" i="13"/>
  <c r="I499" i="13"/>
  <c r="Z375" i="13"/>
  <c r="K375" i="13"/>
  <c r="I375" i="13"/>
  <c r="Z120" i="13"/>
  <c r="K120" i="13"/>
  <c r="I120" i="13"/>
  <c r="Z421" i="13"/>
  <c r="K421" i="13"/>
  <c r="I421" i="13"/>
  <c r="Z84" i="13"/>
  <c r="K84" i="13"/>
  <c r="I84" i="13"/>
  <c r="Z274" i="13"/>
  <c r="K274" i="13"/>
  <c r="I274" i="13"/>
  <c r="Z91" i="13"/>
  <c r="K91" i="13"/>
  <c r="I91" i="13"/>
  <c r="Z191" i="13"/>
  <c r="K191" i="13"/>
  <c r="I191" i="13"/>
  <c r="Z135" i="13"/>
  <c r="K135" i="13"/>
  <c r="I135" i="13"/>
  <c r="Z286" i="13"/>
  <c r="K286" i="13"/>
  <c r="I286" i="13"/>
  <c r="Z302" i="13"/>
  <c r="K302" i="13"/>
  <c r="I302" i="13"/>
  <c r="Z127" i="13"/>
  <c r="K127" i="13"/>
  <c r="I127" i="13"/>
  <c r="Z148" i="13"/>
  <c r="K148" i="13"/>
  <c r="I148" i="13"/>
  <c r="Z403" i="13"/>
  <c r="K403" i="13"/>
  <c r="I403" i="13"/>
  <c r="Z254" i="13"/>
  <c r="K254" i="13"/>
  <c r="I254" i="13"/>
  <c r="Z377" i="13"/>
  <c r="K377" i="13"/>
  <c r="I377" i="13"/>
  <c r="Z99" i="13"/>
  <c r="K99" i="13"/>
  <c r="I99" i="13"/>
  <c r="Z216" i="13"/>
  <c r="K216" i="13"/>
  <c r="I216" i="13"/>
  <c r="Z150" i="13"/>
  <c r="K150" i="13"/>
  <c r="I150" i="13"/>
  <c r="Z124" i="13"/>
  <c r="K124" i="13"/>
  <c r="I124" i="13"/>
  <c r="Z180" i="13"/>
  <c r="K180" i="13"/>
  <c r="I180" i="13"/>
  <c r="Z77" i="13"/>
  <c r="K77" i="13"/>
  <c r="I77" i="13"/>
  <c r="Z376" i="13"/>
  <c r="K376" i="13"/>
  <c r="I376" i="13"/>
  <c r="Z142" i="13"/>
  <c r="K142" i="13"/>
  <c r="I142" i="13"/>
  <c r="Z238" i="13"/>
  <c r="K238" i="13"/>
  <c r="I238" i="13"/>
  <c r="Z58" i="13"/>
  <c r="K58" i="13"/>
  <c r="I58" i="13"/>
  <c r="Z205" i="13"/>
  <c r="K205" i="13"/>
  <c r="I205" i="13"/>
  <c r="Z265" i="13"/>
  <c r="K265" i="13"/>
  <c r="I265" i="13"/>
  <c r="Z364" i="13"/>
  <c r="K364" i="13"/>
  <c r="I364" i="13"/>
  <c r="Z270" i="13"/>
  <c r="K270" i="13"/>
  <c r="I270" i="13"/>
  <c r="Z203" i="13"/>
  <c r="K203" i="13"/>
  <c r="I203" i="13"/>
  <c r="Z247" i="13"/>
  <c r="K247" i="13"/>
  <c r="I247" i="13"/>
  <c r="Z157" i="13"/>
  <c r="K157" i="13"/>
  <c r="I157" i="13"/>
  <c r="Z133" i="13"/>
  <c r="K133" i="13"/>
  <c r="I133" i="13"/>
  <c r="Z206" i="13"/>
  <c r="K206" i="13"/>
  <c r="I206" i="13"/>
  <c r="Z295" i="13"/>
  <c r="K295" i="13"/>
  <c r="I295" i="13"/>
  <c r="Z314" i="13"/>
  <c r="K314" i="13"/>
  <c r="I314" i="13"/>
  <c r="Z193" i="13"/>
  <c r="K193" i="13"/>
  <c r="I193" i="13"/>
  <c r="Z200" i="13"/>
  <c r="K200" i="13"/>
  <c r="I200" i="13"/>
  <c r="Z196" i="13"/>
  <c r="K196" i="13"/>
  <c r="I196" i="13"/>
  <c r="Z164" i="13"/>
  <c r="K164" i="13"/>
  <c r="I164" i="13"/>
  <c r="Z198" i="13"/>
  <c r="K198" i="13"/>
  <c r="I198" i="13"/>
  <c r="Z456" i="13"/>
  <c r="K456" i="13"/>
  <c r="I456" i="13"/>
  <c r="Z473" i="13"/>
  <c r="K473" i="13"/>
  <c r="I473" i="13"/>
  <c r="Z480" i="13"/>
  <c r="K480" i="13"/>
  <c r="I480" i="13"/>
  <c r="Z432" i="13"/>
  <c r="K432" i="13"/>
  <c r="I432" i="13"/>
  <c r="Z431" i="13"/>
  <c r="K431" i="13"/>
  <c r="I431" i="13"/>
  <c r="Z434" i="13"/>
  <c r="K434" i="13"/>
  <c r="I434" i="13"/>
  <c r="Z531" i="13"/>
  <c r="K531" i="13"/>
  <c r="I531" i="13"/>
  <c r="Z290" i="13"/>
  <c r="K290" i="13"/>
  <c r="I290" i="13"/>
  <c r="Z485" i="13"/>
  <c r="K485" i="13"/>
  <c r="I485" i="13"/>
  <c r="Z490" i="13"/>
  <c r="K490" i="13"/>
  <c r="I490" i="13"/>
  <c r="Z478" i="13"/>
  <c r="K478" i="13"/>
  <c r="I478" i="13"/>
  <c r="Z514" i="13"/>
  <c r="K514" i="13"/>
  <c r="I514" i="13"/>
  <c r="Z465" i="13"/>
  <c r="K465" i="13"/>
  <c r="I465" i="13"/>
  <c r="Z423" i="13"/>
  <c r="K423" i="13"/>
  <c r="I423" i="13"/>
  <c r="Z471" i="13"/>
  <c r="K471" i="13"/>
  <c r="I471" i="13"/>
  <c r="Z451" i="13"/>
  <c r="K451" i="13"/>
  <c r="I451" i="13"/>
  <c r="Z520" i="13"/>
  <c r="K520" i="13"/>
  <c r="I520" i="13"/>
  <c r="Z288" i="13"/>
  <c r="K288" i="13"/>
  <c r="I288" i="13"/>
  <c r="Z354" i="13"/>
  <c r="K354" i="13"/>
  <c r="I354" i="13"/>
  <c r="Z322" i="13"/>
  <c r="K322" i="13"/>
  <c r="I322" i="13"/>
  <c r="Z517" i="13"/>
  <c r="K517" i="13"/>
  <c r="I517" i="13"/>
  <c r="Z549" i="13"/>
  <c r="K549" i="13"/>
  <c r="I549" i="13"/>
  <c r="Z510" i="13"/>
  <c r="K510" i="13"/>
  <c r="I510" i="13"/>
  <c r="Z394" i="13"/>
  <c r="K394" i="13"/>
  <c r="I394" i="13"/>
  <c r="Z252" i="13"/>
  <c r="K252" i="13"/>
  <c r="I252" i="13"/>
  <c r="Z83" i="13"/>
  <c r="K83" i="13"/>
  <c r="I83" i="13"/>
  <c r="Z146" i="13"/>
  <c r="K146" i="13"/>
  <c r="I146" i="13"/>
  <c r="Z356" i="13"/>
  <c r="K356" i="13"/>
  <c r="I356" i="13"/>
  <c r="Z88" i="13"/>
  <c r="K88" i="13"/>
  <c r="I88" i="13"/>
  <c r="Z100" i="13"/>
  <c r="K100" i="13"/>
  <c r="I100" i="13"/>
  <c r="Z277" i="13"/>
  <c r="K277" i="13"/>
  <c r="I277" i="13"/>
  <c r="Z184" i="13"/>
  <c r="K184" i="13"/>
  <c r="I184" i="13"/>
  <c r="Z309" i="13"/>
  <c r="K309" i="13"/>
  <c r="I309" i="13"/>
  <c r="Z278" i="13"/>
  <c r="K278" i="13"/>
  <c r="I278" i="13"/>
  <c r="Z352" i="13"/>
  <c r="K352" i="13"/>
  <c r="I352" i="13"/>
  <c r="Z194" i="13"/>
  <c r="K194" i="13"/>
  <c r="I194" i="13"/>
  <c r="Z210" i="13"/>
  <c r="K210" i="13"/>
  <c r="I210" i="13"/>
  <c r="Z279" i="13"/>
  <c r="K279" i="13"/>
  <c r="I279" i="13"/>
  <c r="Z165" i="13"/>
  <c r="K165" i="13"/>
  <c r="I165" i="13"/>
  <c r="Z448" i="13"/>
  <c r="K448" i="13"/>
  <c r="I448" i="13"/>
  <c r="Z132" i="13"/>
  <c r="K132" i="13"/>
  <c r="I132" i="13"/>
  <c r="Z177" i="13"/>
  <c r="K177" i="13"/>
  <c r="I177" i="13"/>
  <c r="Z234" i="13"/>
  <c r="K234" i="13"/>
  <c r="I234" i="13"/>
  <c r="Z130" i="13"/>
  <c r="K130" i="13"/>
  <c r="I130" i="13"/>
  <c r="Z149" i="13"/>
  <c r="K149" i="13"/>
  <c r="I149" i="13"/>
  <c r="Z97" i="13"/>
  <c r="K97" i="13"/>
  <c r="I97" i="13"/>
  <c r="Z167" i="13"/>
  <c r="K167" i="13"/>
  <c r="I167" i="13"/>
  <c r="Z308" i="13"/>
  <c r="K308" i="13"/>
  <c r="I308" i="13"/>
  <c r="Z243" i="13"/>
  <c r="K243" i="13"/>
  <c r="I243" i="13"/>
  <c r="Z213" i="13"/>
  <c r="K213" i="13"/>
  <c r="I213" i="13"/>
  <c r="Z562" i="13"/>
  <c r="K562" i="13"/>
  <c r="I562" i="13"/>
  <c r="Z195" i="13"/>
  <c r="K195" i="13"/>
  <c r="I195" i="13"/>
  <c r="Z188" i="13"/>
  <c r="K188" i="13"/>
  <c r="I188" i="13"/>
  <c r="Z214" i="13"/>
  <c r="K214" i="13"/>
  <c r="I214" i="13"/>
  <c r="Z114" i="13"/>
  <c r="K114" i="13"/>
  <c r="I114" i="13"/>
  <c r="Z380" i="13"/>
  <c r="K380" i="13"/>
  <c r="I380" i="13"/>
  <c r="Z516" i="13"/>
  <c r="K516" i="13"/>
  <c r="I516" i="13"/>
  <c r="Z458" i="13"/>
  <c r="K458" i="13"/>
  <c r="I458" i="13"/>
  <c r="Z552" i="13"/>
  <c r="K552" i="13"/>
  <c r="I552" i="13"/>
  <c r="Z522" i="13"/>
  <c r="K522" i="13"/>
  <c r="I522" i="13"/>
  <c r="Z275" i="13"/>
  <c r="K275" i="13"/>
  <c r="I275" i="13"/>
  <c r="Z468" i="13"/>
  <c r="K468" i="13"/>
  <c r="I468" i="13"/>
  <c r="Z372" i="13"/>
  <c r="K372" i="13"/>
  <c r="I372" i="13"/>
  <c r="Z551" i="13"/>
  <c r="K551" i="13"/>
  <c r="I551" i="13"/>
  <c r="Z505" i="13"/>
  <c r="K505" i="13"/>
  <c r="I505" i="13"/>
  <c r="Z349" i="13"/>
  <c r="K349" i="13"/>
  <c r="I349" i="13"/>
  <c r="Z414" i="13"/>
  <c r="K414" i="13"/>
  <c r="I414" i="13"/>
  <c r="Z294" i="13"/>
  <c r="K294" i="13"/>
  <c r="I294" i="13"/>
  <c r="Z326" i="13"/>
  <c r="K326" i="13"/>
  <c r="I326" i="13"/>
  <c r="Z297" i="13"/>
  <c r="K297" i="13"/>
  <c r="I297" i="13"/>
  <c r="Z230" i="13"/>
  <c r="K230" i="13"/>
  <c r="I230" i="13"/>
  <c r="Z211" i="13"/>
  <c r="K211" i="13"/>
  <c r="I211" i="13"/>
  <c r="Z293" i="13"/>
  <c r="K293" i="13"/>
  <c r="I293" i="13"/>
  <c r="Z285" i="13"/>
  <c r="K285" i="13"/>
  <c r="I285" i="13"/>
  <c r="Z128" i="13"/>
  <c r="K128" i="13"/>
  <c r="I128" i="13"/>
  <c r="Z14" i="13"/>
  <c r="K14" i="13"/>
  <c r="I14" i="13"/>
  <c r="Z174" i="13"/>
  <c r="K174" i="13"/>
  <c r="I174" i="13"/>
  <c r="Z2" i="22"/>
  <c r="K2" i="22"/>
  <c r="I2" i="22"/>
  <c r="Z67" i="14"/>
  <c r="K67" i="14"/>
  <c r="I67" i="14"/>
  <c r="Z66" i="14"/>
  <c r="K66" i="14"/>
  <c r="I66" i="14"/>
  <c r="Z65" i="14"/>
  <c r="K65" i="14"/>
  <c r="I65" i="14"/>
  <c r="Z64" i="14"/>
  <c r="K64" i="14"/>
  <c r="I64" i="14"/>
  <c r="Z63" i="14"/>
  <c r="K63" i="14"/>
  <c r="I63" i="14"/>
  <c r="Z62" i="14"/>
  <c r="K62" i="14"/>
  <c r="I62" i="14"/>
  <c r="Z61" i="14"/>
  <c r="K61" i="14"/>
  <c r="I61" i="14"/>
  <c r="Z60" i="14"/>
  <c r="K60" i="14"/>
  <c r="I60" i="14"/>
  <c r="Z59" i="14"/>
  <c r="K59" i="14"/>
  <c r="I59" i="14"/>
  <c r="Z58" i="14"/>
  <c r="K58" i="14"/>
  <c r="I58" i="14"/>
  <c r="Z57" i="14"/>
  <c r="K57" i="14"/>
  <c r="I57" i="14"/>
  <c r="Z56" i="14"/>
  <c r="K56" i="14"/>
  <c r="I56" i="14"/>
  <c r="Z55" i="14"/>
  <c r="K55" i="14"/>
  <c r="I55" i="14"/>
  <c r="Z54" i="14"/>
  <c r="K54" i="14"/>
  <c r="I54" i="14"/>
  <c r="Z53" i="14"/>
  <c r="K53" i="14"/>
  <c r="I53" i="14"/>
  <c r="Z52" i="14"/>
  <c r="K52" i="14"/>
  <c r="I52" i="14"/>
  <c r="Z51" i="14"/>
  <c r="K51" i="14"/>
  <c r="I51" i="14"/>
  <c r="Z50" i="14"/>
  <c r="K50" i="14"/>
  <c r="I50" i="14"/>
  <c r="Z49" i="14"/>
  <c r="K49" i="14"/>
  <c r="I49" i="14"/>
  <c r="Z48" i="14"/>
  <c r="K48" i="14"/>
  <c r="I48" i="14"/>
  <c r="Z47" i="14"/>
  <c r="K47" i="14"/>
  <c r="I47" i="14"/>
  <c r="Z46" i="14"/>
  <c r="K46" i="14"/>
  <c r="I46" i="14"/>
  <c r="Z45" i="14"/>
  <c r="K45" i="14"/>
  <c r="I45" i="14"/>
  <c r="Z44" i="14"/>
  <c r="K44" i="14"/>
  <c r="I44" i="14"/>
  <c r="Z43" i="14"/>
  <c r="K43" i="14"/>
  <c r="I43" i="14"/>
  <c r="Z42" i="14"/>
  <c r="K42" i="14"/>
  <c r="I42" i="14"/>
  <c r="Z41" i="14"/>
  <c r="K41" i="14"/>
  <c r="I41" i="14"/>
  <c r="Z40" i="14"/>
  <c r="K40" i="14"/>
  <c r="I40" i="14"/>
  <c r="Z39" i="14"/>
  <c r="K39" i="14"/>
  <c r="I39" i="14"/>
  <c r="Z38" i="14"/>
  <c r="K38" i="14"/>
  <c r="I38" i="14"/>
  <c r="Z37" i="14"/>
  <c r="K37" i="14"/>
  <c r="I37" i="14"/>
  <c r="Z36" i="14"/>
  <c r="K36" i="14"/>
  <c r="I36" i="14"/>
  <c r="Z35" i="14"/>
  <c r="K35" i="14"/>
  <c r="I35" i="14"/>
  <c r="Z34" i="14"/>
  <c r="K34" i="14"/>
  <c r="I34" i="14"/>
  <c r="Z33" i="14"/>
  <c r="K33" i="14"/>
  <c r="I33" i="14"/>
  <c r="Z32" i="14"/>
  <c r="K32" i="14"/>
  <c r="I32" i="14"/>
  <c r="Z31" i="14"/>
  <c r="K31" i="14"/>
  <c r="I31" i="14"/>
  <c r="Z30" i="14"/>
  <c r="K30" i="14"/>
  <c r="I30" i="14"/>
  <c r="Z29" i="14"/>
  <c r="K29" i="14"/>
  <c r="I29" i="14"/>
  <c r="Z28" i="14"/>
  <c r="K28" i="14"/>
  <c r="I28" i="14"/>
  <c r="Z27" i="14"/>
  <c r="K27" i="14"/>
  <c r="I27" i="14"/>
  <c r="Z26" i="14"/>
  <c r="K26" i="14"/>
  <c r="I26" i="14"/>
  <c r="Z25" i="14"/>
  <c r="K25" i="14"/>
  <c r="I25" i="14"/>
  <c r="Z24" i="14"/>
  <c r="K24" i="14"/>
  <c r="I24" i="14"/>
  <c r="Z23" i="14"/>
  <c r="K23" i="14"/>
  <c r="I23" i="14"/>
  <c r="Z22" i="14"/>
  <c r="K22" i="14"/>
  <c r="I22" i="14"/>
  <c r="Z21" i="14"/>
  <c r="K21" i="14"/>
  <c r="I21" i="14"/>
  <c r="Z20" i="14"/>
  <c r="K20" i="14"/>
  <c r="I20" i="14"/>
  <c r="Z19" i="14"/>
  <c r="K19" i="14"/>
  <c r="I19" i="14"/>
  <c r="Z18" i="14"/>
  <c r="K18" i="14"/>
  <c r="I18" i="14"/>
  <c r="Z17" i="14"/>
  <c r="K17" i="14"/>
  <c r="I17" i="14"/>
  <c r="Z16" i="14"/>
  <c r="K16" i="14"/>
  <c r="I16" i="14"/>
  <c r="Z15" i="14"/>
  <c r="K15" i="14"/>
  <c r="I15" i="14"/>
  <c r="Z14" i="14"/>
  <c r="K14" i="14"/>
  <c r="I14" i="14"/>
  <c r="Z13" i="14"/>
  <c r="K13" i="14"/>
  <c r="I13" i="14"/>
  <c r="Z12" i="14"/>
  <c r="K12" i="14"/>
  <c r="I12" i="14"/>
  <c r="Z11" i="14"/>
  <c r="K11" i="14"/>
  <c r="I11" i="14"/>
  <c r="Z10" i="14"/>
  <c r="K10" i="14"/>
  <c r="I10" i="14"/>
  <c r="Z9" i="14"/>
  <c r="K9" i="14"/>
  <c r="I9" i="14"/>
  <c r="Z8" i="14"/>
  <c r="K8" i="14"/>
  <c r="I8" i="14"/>
  <c r="Z7" i="14"/>
  <c r="K7" i="14"/>
  <c r="I7" i="14"/>
  <c r="Z6" i="14"/>
  <c r="K6" i="14"/>
  <c r="I6" i="14"/>
  <c r="Z5" i="14"/>
  <c r="K5" i="14"/>
  <c r="I5" i="14"/>
  <c r="Z4" i="14"/>
  <c r="K4" i="14"/>
  <c r="I4" i="14"/>
  <c r="Z3" i="14"/>
  <c r="K3" i="14"/>
  <c r="I3" i="14"/>
  <c r="Z2" i="14"/>
  <c r="K2" i="14"/>
  <c r="I2" i="14"/>
  <c r="K25" i="17"/>
  <c r="I25" i="17"/>
  <c r="K24" i="17"/>
  <c r="I24" i="17"/>
  <c r="K23" i="17"/>
  <c r="I23" i="17"/>
  <c r="K22" i="17"/>
  <c r="I22" i="17"/>
  <c r="K21" i="17"/>
  <c r="I21" i="17"/>
  <c r="K20" i="17"/>
  <c r="I20" i="17"/>
  <c r="K19" i="17"/>
  <c r="I19" i="17"/>
  <c r="K18" i="17"/>
  <c r="I18" i="17"/>
  <c r="K17" i="17"/>
  <c r="I17" i="17"/>
  <c r="K16" i="17"/>
  <c r="I16" i="17"/>
  <c r="K15" i="17"/>
  <c r="I15" i="17"/>
  <c r="K14" i="17"/>
  <c r="I14" i="17"/>
  <c r="K13" i="17"/>
  <c r="I13" i="17"/>
  <c r="K12" i="17"/>
  <c r="I12" i="17"/>
  <c r="K11" i="17"/>
  <c r="I11" i="17"/>
  <c r="K10" i="17"/>
  <c r="I10" i="17"/>
  <c r="K9" i="17"/>
  <c r="I9" i="17"/>
  <c r="K8" i="17"/>
  <c r="I8" i="17"/>
  <c r="K7" i="17"/>
  <c r="I7" i="17"/>
  <c r="K6" i="17"/>
  <c r="I6" i="17"/>
  <c r="K5" i="17"/>
  <c r="I5" i="17"/>
  <c r="K4" i="17"/>
  <c r="I4" i="17"/>
  <c r="K3" i="17"/>
  <c r="I3" i="17"/>
  <c r="K2" i="17"/>
  <c r="I2" i="17"/>
  <c r="K94" i="12"/>
  <c r="I94" i="12"/>
  <c r="K12" i="12"/>
  <c r="I12" i="12"/>
  <c r="K460" i="12"/>
  <c r="I460" i="12"/>
  <c r="K172" i="12"/>
  <c r="I172" i="12"/>
  <c r="K495" i="12"/>
  <c r="I495" i="12"/>
  <c r="K49" i="12"/>
  <c r="I49" i="12"/>
  <c r="K24" i="12"/>
  <c r="I24" i="12"/>
  <c r="K93" i="12"/>
  <c r="I93" i="12"/>
  <c r="K375" i="12"/>
  <c r="I375" i="12"/>
  <c r="K80" i="12"/>
  <c r="I80" i="12"/>
  <c r="K97" i="12"/>
  <c r="I97" i="12"/>
  <c r="K14" i="12"/>
  <c r="I14" i="12"/>
  <c r="K6" i="12"/>
  <c r="I6" i="12"/>
  <c r="R526" i="12"/>
  <c r="K526" i="12"/>
  <c r="I526" i="12"/>
  <c r="R388" i="12"/>
  <c r="K388" i="12"/>
  <c r="I388" i="12"/>
  <c r="R442" i="12"/>
  <c r="K442" i="12"/>
  <c r="I442" i="12"/>
  <c r="R44" i="12"/>
  <c r="K44" i="12"/>
  <c r="I44" i="12"/>
  <c r="R518" i="12"/>
  <c r="K518" i="12"/>
  <c r="I518" i="12"/>
  <c r="R572" i="12"/>
  <c r="K572" i="12"/>
  <c r="I572" i="12"/>
  <c r="R271" i="12"/>
  <c r="K271" i="12"/>
  <c r="I271" i="12"/>
  <c r="R282" i="12"/>
  <c r="Z282" i="12" s="1"/>
  <c r="K282" i="12"/>
  <c r="I282" i="12"/>
  <c r="R578" i="12"/>
  <c r="K578" i="12"/>
  <c r="I578" i="12"/>
  <c r="R575" i="12"/>
  <c r="K575" i="12"/>
  <c r="I575" i="12"/>
  <c r="R570" i="12"/>
  <c r="K570" i="12"/>
  <c r="I570" i="12"/>
  <c r="R577" i="12"/>
  <c r="K577" i="12"/>
  <c r="I577" i="12"/>
  <c r="R513" i="12"/>
  <c r="K513" i="12"/>
  <c r="I513" i="12"/>
  <c r="R120" i="12"/>
  <c r="K120" i="12"/>
  <c r="I120" i="12"/>
  <c r="R569" i="12"/>
  <c r="Z569" i="12" s="1"/>
  <c r="K569" i="12"/>
  <c r="I569" i="12"/>
  <c r="R512" i="12"/>
  <c r="K512" i="12"/>
  <c r="I512" i="12"/>
  <c r="R574" i="12"/>
  <c r="K574" i="12"/>
  <c r="I574" i="12"/>
  <c r="R573" i="12"/>
  <c r="K573" i="12"/>
  <c r="I573" i="12"/>
  <c r="R162" i="12"/>
  <c r="K162" i="12"/>
  <c r="I162" i="12"/>
  <c r="R330" i="12"/>
  <c r="K330" i="12"/>
  <c r="I330" i="12"/>
  <c r="R26" i="12"/>
  <c r="K26" i="12"/>
  <c r="I26" i="12"/>
  <c r="R320" i="12"/>
  <c r="K320" i="12"/>
  <c r="I320" i="12"/>
  <c r="R310" i="12"/>
  <c r="K310" i="12"/>
  <c r="I310" i="12"/>
  <c r="R511" i="12"/>
  <c r="K511" i="12"/>
  <c r="I511" i="12"/>
  <c r="K576" i="12"/>
  <c r="I576" i="12"/>
  <c r="R525" i="12"/>
  <c r="K525" i="12"/>
  <c r="I525" i="12"/>
  <c r="R446" i="12"/>
  <c r="K446" i="12"/>
  <c r="I446" i="12"/>
  <c r="R510" i="12"/>
  <c r="K510" i="12"/>
  <c r="I510" i="12"/>
  <c r="R58" i="12"/>
  <c r="K58" i="12"/>
  <c r="I58" i="12"/>
  <c r="R203" i="12"/>
  <c r="K203" i="12"/>
  <c r="I203" i="12"/>
  <c r="R543" i="12"/>
  <c r="K543" i="12"/>
  <c r="I543" i="12"/>
  <c r="K257" i="12"/>
  <c r="I257" i="12"/>
  <c r="R542" i="12"/>
  <c r="K542" i="12"/>
  <c r="I542" i="12"/>
  <c r="R541" i="12"/>
  <c r="K541" i="12"/>
  <c r="I541" i="12"/>
  <c r="K567" i="12"/>
  <c r="I567" i="12"/>
  <c r="K226" i="12"/>
  <c r="I226" i="12"/>
  <c r="R334" i="12"/>
  <c r="K334" i="12"/>
  <c r="I334" i="12"/>
  <c r="R380" i="12"/>
  <c r="K380" i="12"/>
  <c r="I380" i="12"/>
  <c r="K102" i="12"/>
  <c r="I102" i="12"/>
  <c r="R509" i="12"/>
  <c r="K509" i="12"/>
  <c r="I509" i="12"/>
  <c r="R488" i="12"/>
  <c r="K488" i="12"/>
  <c r="I488" i="12"/>
  <c r="R487" i="12"/>
  <c r="K487" i="12"/>
  <c r="I487" i="12"/>
  <c r="R468" i="12"/>
  <c r="K468" i="12"/>
  <c r="I468" i="12"/>
  <c r="R524" i="12"/>
  <c r="K524" i="12"/>
  <c r="I524" i="12"/>
  <c r="R445" i="12"/>
  <c r="Z445" i="12" s="1"/>
  <c r="K445" i="12"/>
  <c r="I445" i="12"/>
  <c r="R561" i="12"/>
  <c r="K561" i="12"/>
  <c r="I561" i="12"/>
  <c r="R540" i="12"/>
  <c r="Z540" i="12" s="1"/>
  <c r="K540" i="12"/>
  <c r="I540" i="12"/>
  <c r="R539" i="12"/>
  <c r="K539" i="12"/>
  <c r="I539" i="12"/>
  <c r="K55" i="12"/>
  <c r="I55" i="12"/>
  <c r="R486" i="12"/>
  <c r="K486" i="12"/>
  <c r="I486" i="12"/>
  <c r="K60" i="12"/>
  <c r="I60" i="12"/>
  <c r="R424" i="12"/>
  <c r="K424" i="12"/>
  <c r="I424" i="12"/>
  <c r="R444" i="12"/>
  <c r="K444" i="12"/>
  <c r="I444" i="12"/>
  <c r="R508" i="12"/>
  <c r="K508" i="12"/>
  <c r="I508" i="12"/>
  <c r="R538" i="12"/>
  <c r="K538" i="12"/>
  <c r="I538" i="12"/>
  <c r="R396" i="12"/>
  <c r="K396" i="12"/>
  <c r="I396" i="12"/>
  <c r="K459" i="12"/>
  <c r="I459" i="12"/>
  <c r="R379" i="12"/>
  <c r="K379" i="12"/>
  <c r="I379" i="12"/>
  <c r="R432" i="12"/>
  <c r="K432" i="12"/>
  <c r="I432" i="12"/>
  <c r="R537" i="12"/>
  <c r="K537" i="12"/>
  <c r="I537" i="12"/>
  <c r="K3" i="12"/>
  <c r="I3" i="12"/>
  <c r="K5" i="12"/>
  <c r="I5" i="12"/>
  <c r="K254" i="12"/>
  <c r="I254" i="12"/>
  <c r="K43" i="12"/>
  <c r="I43" i="12"/>
  <c r="K8" i="12"/>
  <c r="I8" i="12"/>
  <c r="K368" i="12"/>
  <c r="I368" i="12"/>
  <c r="K113" i="12"/>
  <c r="I113" i="12"/>
  <c r="K52" i="12"/>
  <c r="I52" i="12"/>
  <c r="K566" i="12"/>
  <c r="I566" i="12"/>
  <c r="K192" i="12"/>
  <c r="I192" i="12"/>
  <c r="K7" i="12"/>
  <c r="I7" i="12"/>
  <c r="K40" i="12"/>
  <c r="I40" i="12"/>
  <c r="K110" i="12"/>
  <c r="I110" i="12"/>
  <c r="K13" i="12"/>
  <c r="I13" i="12"/>
  <c r="K213" i="12"/>
  <c r="I213" i="12"/>
  <c r="K61" i="12"/>
  <c r="I61" i="12"/>
  <c r="R560" i="12"/>
  <c r="K560" i="12"/>
  <c r="I560" i="12"/>
  <c r="K74" i="12"/>
  <c r="I74" i="12"/>
  <c r="K30" i="12"/>
  <c r="I30" i="12"/>
  <c r="K66" i="12"/>
  <c r="I66" i="12"/>
  <c r="K68" i="12"/>
  <c r="I68" i="12"/>
  <c r="K106" i="12"/>
  <c r="I106" i="12"/>
  <c r="K9" i="12"/>
  <c r="I9" i="12"/>
  <c r="K112" i="12"/>
  <c r="I112" i="12"/>
  <c r="K65" i="12"/>
  <c r="I65" i="12"/>
  <c r="K239" i="12"/>
  <c r="I239" i="12"/>
  <c r="R294" i="12"/>
  <c r="K294" i="12"/>
  <c r="I294" i="12"/>
  <c r="K16" i="12"/>
  <c r="I16" i="12"/>
  <c r="K38" i="12"/>
  <c r="I38" i="12"/>
  <c r="R559" i="12"/>
  <c r="Z559" i="12" s="1"/>
  <c r="K559" i="12"/>
  <c r="I559" i="12"/>
  <c r="R457" i="12"/>
  <c r="K457" i="12"/>
  <c r="I457" i="12"/>
  <c r="R378" i="12"/>
  <c r="K378" i="12"/>
  <c r="I378" i="12"/>
  <c r="K309" i="12"/>
  <c r="I309" i="12"/>
  <c r="K492" i="12"/>
  <c r="I492" i="12"/>
  <c r="R485" i="12"/>
  <c r="K485" i="12"/>
  <c r="I485" i="12"/>
  <c r="K21" i="12"/>
  <c r="I21" i="12"/>
  <c r="R536" i="12"/>
  <c r="K536" i="12"/>
  <c r="I536" i="12"/>
  <c r="R431" i="12"/>
  <c r="K431" i="12"/>
  <c r="I431" i="12"/>
  <c r="R535" i="12"/>
  <c r="K535" i="12"/>
  <c r="I535" i="12"/>
  <c r="R456" i="12"/>
  <c r="K456" i="12"/>
  <c r="I456" i="12"/>
  <c r="R308" i="12"/>
  <c r="K308" i="12"/>
  <c r="I308" i="12"/>
  <c r="R523" i="12"/>
  <c r="K523" i="12"/>
  <c r="I523" i="12"/>
  <c r="R395" i="12"/>
  <c r="Z395" i="12" s="1"/>
  <c r="K395" i="12"/>
  <c r="I395" i="12"/>
  <c r="K17" i="12"/>
  <c r="I17" i="12"/>
  <c r="R534" i="12"/>
  <c r="K534" i="12"/>
  <c r="I534" i="12"/>
  <c r="K36" i="12"/>
  <c r="I36" i="12"/>
  <c r="K46" i="12"/>
  <c r="I46" i="12"/>
  <c r="K33" i="12"/>
  <c r="I33" i="12"/>
  <c r="K4" i="12"/>
  <c r="I4" i="12"/>
  <c r="R533" i="12"/>
  <c r="K533" i="12"/>
  <c r="I533" i="12"/>
  <c r="K563" i="12"/>
  <c r="I563" i="12"/>
  <c r="K129" i="12"/>
  <c r="I129" i="12"/>
  <c r="K20" i="12"/>
  <c r="I20" i="12"/>
  <c r="K35" i="12"/>
  <c r="I35" i="12"/>
  <c r="K288" i="12"/>
  <c r="I288" i="12"/>
  <c r="K287" i="12"/>
  <c r="I287" i="12"/>
  <c r="K261" i="12"/>
  <c r="I261" i="12"/>
  <c r="K253" i="12"/>
  <c r="I253" i="12"/>
  <c r="K491" i="12"/>
  <c r="I491" i="12"/>
  <c r="K399" i="12"/>
  <c r="I399" i="12"/>
  <c r="R467" i="12"/>
  <c r="K467" i="12"/>
  <c r="I467" i="12"/>
  <c r="R522" i="12"/>
  <c r="K522" i="12"/>
  <c r="I522" i="12"/>
  <c r="R443" i="12"/>
  <c r="K443" i="12"/>
  <c r="I443" i="12"/>
  <c r="R484" i="12"/>
  <c r="K484" i="12"/>
  <c r="I484" i="12"/>
  <c r="K252" i="12"/>
  <c r="I252" i="12"/>
  <c r="K22" i="12"/>
  <c r="I22" i="12"/>
  <c r="K51" i="12"/>
  <c r="I51" i="12"/>
  <c r="K101" i="12"/>
  <c r="I101" i="12"/>
  <c r="K56" i="12"/>
  <c r="I56" i="12"/>
  <c r="R532" i="12"/>
  <c r="K532" i="12"/>
  <c r="I532" i="12"/>
  <c r="K298" i="12"/>
  <c r="I298" i="12"/>
  <c r="K430" i="12"/>
  <c r="I430" i="12"/>
  <c r="R558" i="12"/>
  <c r="K558" i="12"/>
  <c r="I558" i="12"/>
  <c r="K118" i="12"/>
  <c r="I118" i="12"/>
  <c r="K15" i="12"/>
  <c r="I15" i="12"/>
  <c r="R483" i="12"/>
  <c r="K483" i="12"/>
  <c r="I483" i="12"/>
  <c r="R531" i="12"/>
  <c r="K531" i="12"/>
  <c r="I531" i="12"/>
  <c r="R507" i="12"/>
  <c r="K507" i="12"/>
  <c r="I507" i="12"/>
  <c r="K81" i="12"/>
  <c r="I81" i="12"/>
  <c r="R506" i="12"/>
  <c r="K506" i="12"/>
  <c r="I506" i="12"/>
  <c r="R407" i="12"/>
  <c r="K407" i="12"/>
  <c r="I407" i="12"/>
  <c r="R499" i="12"/>
  <c r="K499" i="12"/>
  <c r="I499" i="12"/>
  <c r="R394" i="12"/>
  <c r="K394" i="12"/>
  <c r="I394" i="12"/>
  <c r="K562" i="12"/>
  <c r="I562" i="12"/>
  <c r="K18" i="12"/>
  <c r="I18" i="12"/>
  <c r="K565" i="12"/>
  <c r="I565" i="12"/>
  <c r="R455" i="12"/>
  <c r="K455" i="12"/>
  <c r="I455" i="12"/>
  <c r="R505" i="12"/>
  <c r="K505" i="12"/>
  <c r="I505" i="12"/>
  <c r="R557" i="12"/>
  <c r="K557" i="12"/>
  <c r="I557" i="12"/>
  <c r="R568" i="12"/>
  <c r="K568" i="12"/>
  <c r="I568" i="12"/>
  <c r="K355" i="12"/>
  <c r="I355" i="12"/>
  <c r="R556" i="12"/>
  <c r="K556" i="12"/>
  <c r="I556" i="12"/>
  <c r="K45" i="12"/>
  <c r="I45" i="12"/>
  <c r="K25" i="12"/>
  <c r="I25" i="12"/>
  <c r="K286" i="12"/>
  <c r="I286" i="12"/>
  <c r="R409" i="12"/>
  <c r="K409" i="12"/>
  <c r="I409" i="12"/>
  <c r="R521" i="12"/>
  <c r="K521" i="12"/>
  <c r="I521" i="12"/>
  <c r="K191" i="12"/>
  <c r="I191" i="12"/>
  <c r="K516" i="12"/>
  <c r="I516" i="12"/>
  <c r="R504" i="12"/>
  <c r="K504" i="12"/>
  <c r="I504" i="12"/>
  <c r="R377" i="12"/>
  <c r="K377" i="12"/>
  <c r="I377" i="12"/>
  <c r="R520" i="12"/>
  <c r="K520" i="12"/>
  <c r="I520" i="12"/>
  <c r="R503" i="12"/>
  <c r="K503" i="12"/>
  <c r="I503" i="12"/>
  <c r="K23" i="12"/>
  <c r="I23" i="12"/>
  <c r="R555" i="12"/>
  <c r="K555" i="12"/>
  <c r="I555" i="12"/>
  <c r="R482" i="12"/>
  <c r="K482" i="12"/>
  <c r="I482" i="12"/>
  <c r="R393" i="12"/>
  <c r="K393" i="12"/>
  <c r="I393" i="12"/>
  <c r="R429" i="12"/>
  <c r="K429" i="12"/>
  <c r="I429" i="12"/>
  <c r="K363" i="12"/>
  <c r="I363" i="12"/>
  <c r="K73" i="12"/>
  <c r="I73" i="12"/>
  <c r="R428" i="12"/>
  <c r="K428" i="12"/>
  <c r="I428" i="12"/>
  <c r="R427" i="12"/>
  <c r="K427" i="12"/>
  <c r="I427" i="12"/>
  <c r="R466" i="12"/>
  <c r="K466" i="12"/>
  <c r="I466" i="12"/>
  <c r="R465" i="12"/>
  <c r="K465" i="12"/>
  <c r="I465" i="12"/>
  <c r="R231" i="12"/>
  <c r="K231" i="12"/>
  <c r="I231" i="12"/>
  <c r="R333" i="12"/>
  <c r="Z333" i="12" s="1"/>
  <c r="K333" i="12"/>
  <c r="I333" i="12"/>
  <c r="R293" i="12"/>
  <c r="K293" i="12"/>
  <c r="I293" i="12"/>
  <c r="K385" i="12"/>
  <c r="I385" i="12"/>
  <c r="K280" i="12"/>
  <c r="I280" i="12"/>
  <c r="K279" i="12"/>
  <c r="I279" i="12"/>
  <c r="K10" i="12"/>
  <c r="I10" i="12"/>
  <c r="R481" i="12"/>
  <c r="K481" i="12"/>
  <c r="I481" i="12"/>
  <c r="R519" i="12"/>
  <c r="K519" i="12"/>
  <c r="I519" i="12"/>
  <c r="K174" i="12"/>
  <c r="I174" i="12"/>
  <c r="K462" i="12"/>
  <c r="I462" i="12"/>
  <c r="K173" i="12"/>
  <c r="I173" i="12"/>
  <c r="R502" i="12"/>
  <c r="K502" i="12"/>
  <c r="I502" i="12"/>
  <c r="R480" i="12"/>
  <c r="K480" i="12"/>
  <c r="I480" i="12"/>
  <c r="K202" i="12"/>
  <c r="I202" i="12"/>
  <c r="R454" i="12"/>
  <c r="Z454" i="12" s="1"/>
  <c r="K454" i="12"/>
  <c r="I454" i="12"/>
  <c r="R479" i="12"/>
  <c r="K479" i="12"/>
  <c r="I479" i="12"/>
  <c r="K117" i="12"/>
  <c r="I117" i="12"/>
  <c r="K11" i="12"/>
  <c r="I11" i="12"/>
  <c r="R408" i="12"/>
  <c r="K408" i="12"/>
  <c r="I408" i="12"/>
  <c r="K121" i="12"/>
  <c r="I121" i="12"/>
  <c r="K28" i="12"/>
  <c r="I28" i="12"/>
  <c r="R545" i="12"/>
  <c r="K545" i="12"/>
  <c r="I545" i="12"/>
  <c r="K313" i="12"/>
  <c r="I313" i="12"/>
  <c r="K291" i="12"/>
  <c r="I291" i="12"/>
  <c r="K194" i="12"/>
  <c r="I194" i="12"/>
  <c r="K281" i="12"/>
  <c r="I281" i="12"/>
  <c r="K207" i="12"/>
  <c r="I207" i="12"/>
  <c r="K165" i="12"/>
  <c r="I165" i="12"/>
  <c r="K32" i="12"/>
  <c r="I32" i="12"/>
  <c r="K83" i="12"/>
  <c r="I83" i="12"/>
  <c r="K233" i="12"/>
  <c r="I233" i="12"/>
  <c r="R553" i="12"/>
  <c r="K553" i="12"/>
  <c r="I553" i="12"/>
  <c r="K2" i="12"/>
  <c r="I2" i="12"/>
  <c r="R301" i="12"/>
  <c r="Z301" i="12" s="1"/>
  <c r="K301" i="12"/>
  <c r="I301" i="12"/>
  <c r="R552" i="12"/>
  <c r="K552" i="12"/>
  <c r="I552" i="12"/>
  <c r="R284" i="12"/>
  <c r="K284" i="12"/>
  <c r="I284" i="12"/>
  <c r="R551" i="12"/>
  <c r="K551" i="12"/>
  <c r="I551" i="12"/>
  <c r="R501" i="12"/>
  <c r="K501" i="12"/>
  <c r="I501" i="12"/>
  <c r="R530" i="12"/>
  <c r="Z530" i="12" s="1"/>
  <c r="K530" i="12"/>
  <c r="I530" i="12"/>
  <c r="K476" i="12"/>
  <c r="I476" i="12"/>
  <c r="K475" i="12"/>
  <c r="I475" i="12"/>
  <c r="R478" i="12"/>
  <c r="Z478" i="12" s="1"/>
  <c r="K478" i="12"/>
  <c r="I478" i="12"/>
  <c r="R426" i="12"/>
  <c r="K426" i="12"/>
  <c r="I426" i="12"/>
  <c r="R529" i="12"/>
  <c r="K529" i="12"/>
  <c r="I529" i="12"/>
  <c r="K195" i="12"/>
  <c r="I195" i="12"/>
  <c r="K449" i="12"/>
  <c r="I449" i="12"/>
  <c r="K41" i="12"/>
  <c r="I41" i="12"/>
  <c r="K27" i="12"/>
  <c r="I27" i="12"/>
  <c r="K63" i="12"/>
  <c r="I63" i="12"/>
  <c r="R452" i="12"/>
  <c r="Z452" i="12" s="1"/>
  <c r="K452" i="12"/>
  <c r="I452" i="12"/>
  <c r="K419" i="12"/>
  <c r="I419" i="12"/>
  <c r="K54" i="12"/>
  <c r="I54" i="12"/>
  <c r="K422" i="12"/>
  <c r="I422" i="12"/>
  <c r="K447" i="12"/>
  <c r="I447" i="12"/>
  <c r="K515" i="12"/>
  <c r="I515" i="12"/>
  <c r="K306" i="12"/>
  <c r="I306" i="12"/>
  <c r="K216" i="12"/>
  <c r="I216" i="12"/>
  <c r="K53" i="12"/>
  <c r="I53" i="12"/>
  <c r="K405" i="12"/>
  <c r="I405" i="12"/>
  <c r="K295" i="12"/>
  <c r="I295" i="12"/>
  <c r="K79" i="12"/>
  <c r="I79" i="12"/>
  <c r="K290" i="12"/>
  <c r="I290" i="12"/>
  <c r="Z490" i="12"/>
  <c r="Z527" i="12"/>
  <c r="Z94" i="12"/>
  <c r="Z12" i="12"/>
  <c r="Z460" i="12"/>
  <c r="Z172" i="12"/>
  <c r="Z495" i="12"/>
  <c r="Z49" i="12"/>
  <c r="Z24" i="12"/>
  <c r="Z93" i="12"/>
  <c r="Z375" i="12"/>
  <c r="Z80" i="12"/>
  <c r="Z97" i="12"/>
  <c r="Z14" i="12"/>
  <c r="Z6" i="12"/>
  <c r="Z576" i="12"/>
  <c r="Z257" i="12"/>
  <c r="Z567" i="12"/>
  <c r="Z226" i="12"/>
  <c r="Z102" i="12"/>
  <c r="Z55" i="12"/>
  <c r="Z60" i="12"/>
  <c r="Z459" i="12"/>
  <c r="Z3" i="12"/>
  <c r="Z5" i="12"/>
  <c r="Z254" i="12"/>
  <c r="Z43" i="12"/>
  <c r="Z8" i="12"/>
  <c r="Z368" i="12"/>
  <c r="Z113" i="12"/>
  <c r="Z52" i="12"/>
  <c r="Z566" i="12"/>
  <c r="Z192" i="12"/>
  <c r="Z7" i="12"/>
  <c r="Z40" i="12"/>
  <c r="Z110" i="12"/>
  <c r="Z13" i="12"/>
  <c r="Z213" i="12"/>
  <c r="Z61" i="12"/>
  <c r="Z74" i="12"/>
  <c r="Z30" i="12"/>
  <c r="Z66" i="12"/>
  <c r="Z68" i="12"/>
  <c r="Z106" i="12"/>
  <c r="Z9" i="12"/>
  <c r="Z112" i="12"/>
  <c r="Z65" i="12"/>
  <c r="Z239" i="12"/>
  <c r="Z16" i="12"/>
  <c r="Z38" i="12"/>
  <c r="Z309" i="12"/>
  <c r="Z492" i="12"/>
  <c r="Z21" i="12"/>
  <c r="Z17" i="12"/>
  <c r="Z36" i="12"/>
  <c r="Z46" i="12"/>
  <c r="Z33" i="12"/>
  <c r="Z4" i="12"/>
  <c r="Z563" i="12"/>
  <c r="Z129" i="12"/>
  <c r="Z20" i="12"/>
  <c r="Z35" i="12"/>
  <c r="Z288" i="12"/>
  <c r="Z287" i="12"/>
  <c r="Z261" i="12"/>
  <c r="Z253" i="12"/>
  <c r="Z491" i="12"/>
  <c r="Z399" i="12"/>
  <c r="Z252" i="12"/>
  <c r="Z22" i="12"/>
  <c r="Z51" i="12"/>
  <c r="Z101" i="12"/>
  <c r="Z56" i="12"/>
  <c r="Z298" i="12"/>
  <c r="Z430" i="12"/>
  <c r="Z118" i="12"/>
  <c r="Z15" i="12"/>
  <c r="Z81" i="12"/>
  <c r="Z562" i="12"/>
  <c r="Z18" i="12"/>
  <c r="Z565" i="12"/>
  <c r="Z355" i="12"/>
  <c r="Z45" i="12"/>
  <c r="Z25" i="12"/>
  <c r="Z286" i="12"/>
  <c r="Z191" i="12"/>
  <c r="Z516" i="12"/>
  <c r="Z23" i="12"/>
  <c r="Z363" i="12"/>
  <c r="Z73" i="12"/>
  <c r="Z385" i="12"/>
  <c r="Z280" i="12"/>
  <c r="Z279" i="12"/>
  <c r="Z10" i="12"/>
  <c r="Z174" i="12"/>
  <c r="Z462" i="12"/>
  <c r="Z173" i="12"/>
  <c r="Z202" i="12"/>
  <c r="Z117" i="12"/>
  <c r="Z11" i="12"/>
  <c r="Z121" i="12"/>
  <c r="Z28" i="12"/>
  <c r="Z313" i="12"/>
  <c r="Z291" i="12"/>
  <c r="Z194" i="12"/>
  <c r="Z281" i="12"/>
  <c r="Z207" i="12"/>
  <c r="Z165" i="12"/>
  <c r="Z32" i="12"/>
  <c r="Z83" i="12"/>
  <c r="Z233" i="12"/>
  <c r="Z2" i="12"/>
  <c r="Z476" i="12"/>
  <c r="Z475" i="12"/>
  <c r="Z195" i="12"/>
  <c r="Z449" i="12"/>
  <c r="Z41" i="12"/>
  <c r="Z27" i="12"/>
  <c r="Z63" i="12"/>
  <c r="Z419" i="12"/>
  <c r="Z54" i="12"/>
  <c r="Z422" i="12"/>
  <c r="Z447" i="12"/>
  <c r="Z515" i="12"/>
  <c r="Z306" i="12"/>
  <c r="Z216" i="12"/>
  <c r="Z53" i="12"/>
  <c r="Z405" i="12"/>
  <c r="Z295" i="12"/>
  <c r="Z79" i="12"/>
  <c r="Z290" i="12"/>
  <c r="Z418" i="12"/>
  <c r="Z339" i="12"/>
  <c r="Z196" i="12"/>
  <c r="Z146" i="12"/>
  <c r="Z242" i="12"/>
  <c r="Z156" i="12"/>
  <c r="Z439" i="12"/>
  <c r="Z193" i="12"/>
  <c r="Z143" i="12"/>
  <c r="Z461" i="12"/>
  <c r="Z470" i="12"/>
  <c r="Z307" i="12"/>
  <c r="Z546" i="12"/>
  <c r="Z362" i="12"/>
  <c r="Z347" i="12"/>
  <c r="Z315" i="12"/>
  <c r="Z496" i="12"/>
  <c r="Z235" i="12"/>
  <c r="Z354" i="12"/>
  <c r="Z344" i="12"/>
  <c r="Z425" i="12"/>
  <c r="Z550" i="12"/>
  <c r="Z463" i="12"/>
  <c r="Z381" i="12"/>
  <c r="K418" i="12"/>
  <c r="I418" i="12"/>
  <c r="Z265" i="12"/>
  <c r="K339" i="12"/>
  <c r="I339" i="12"/>
  <c r="Z371" i="12"/>
  <c r="K196" i="12"/>
  <c r="I196" i="12"/>
  <c r="Z210" i="12"/>
  <c r="K146" i="12"/>
  <c r="I146" i="12"/>
  <c r="Z398" i="12"/>
  <c r="K242" i="12"/>
  <c r="I242" i="12"/>
  <c r="Z215" i="12"/>
  <c r="K156" i="12"/>
  <c r="I156" i="12"/>
  <c r="Z401" i="12"/>
  <c r="K439" i="12"/>
  <c r="I439" i="12"/>
  <c r="Z119" i="12"/>
  <c r="K193" i="12"/>
  <c r="I193" i="12"/>
  <c r="Z241" i="12"/>
  <c r="K143" i="12"/>
  <c r="I143" i="12"/>
  <c r="Z274" i="12"/>
  <c r="K461" i="12"/>
  <c r="I461" i="12"/>
  <c r="Z434" i="12"/>
  <c r="K470" i="12"/>
  <c r="I470" i="12"/>
  <c r="Z436" i="12"/>
  <c r="K307" i="12"/>
  <c r="I307" i="12"/>
  <c r="Z369" i="12"/>
  <c r="K546" i="12"/>
  <c r="I546" i="12"/>
  <c r="Z359" i="12"/>
  <c r="K362" i="12"/>
  <c r="I362" i="12"/>
  <c r="Z179" i="12"/>
  <c r="K347" i="12"/>
  <c r="I347" i="12"/>
  <c r="Z221" i="12"/>
  <c r="K315" i="12"/>
  <c r="I315" i="12"/>
  <c r="Z158" i="12"/>
  <c r="K496" i="12"/>
  <c r="I496" i="12"/>
  <c r="Z124" i="12"/>
  <c r="K235" i="12"/>
  <c r="I235" i="12"/>
  <c r="Z367" i="12"/>
  <c r="K354" i="12"/>
  <c r="I354" i="12"/>
  <c r="Z351" i="12"/>
  <c r="K344" i="12"/>
  <c r="I344" i="12"/>
  <c r="Z155" i="12"/>
  <c r="K425" i="12"/>
  <c r="I425" i="12"/>
  <c r="Z48" i="12"/>
  <c r="K550" i="12"/>
  <c r="I550" i="12"/>
  <c r="Z100" i="12"/>
  <c r="K463" i="12"/>
  <c r="I463" i="12"/>
  <c r="Z249" i="12"/>
  <c r="K381" i="12"/>
  <c r="I381" i="12"/>
  <c r="Z361" i="12"/>
  <c r="K265" i="12"/>
  <c r="I265" i="12"/>
  <c r="Z349" i="12"/>
  <c r="K371" i="12"/>
  <c r="I371" i="12"/>
  <c r="Z266" i="12"/>
  <c r="K210" i="12"/>
  <c r="I210" i="12"/>
  <c r="Z497" i="12"/>
  <c r="K398" i="12"/>
  <c r="I398" i="12"/>
  <c r="Z31" i="12"/>
  <c r="K215" i="12"/>
  <c r="I215" i="12"/>
  <c r="Z135" i="12"/>
  <c r="K401" i="12"/>
  <c r="I401" i="12"/>
  <c r="Z251" i="12"/>
  <c r="K119" i="12"/>
  <c r="I119" i="12"/>
  <c r="Z353" i="12"/>
  <c r="K241" i="12"/>
  <c r="I241" i="12"/>
  <c r="Z528" i="12"/>
  <c r="K274" i="12"/>
  <c r="I274" i="12"/>
  <c r="Z547" i="12"/>
  <c r="K434" i="12"/>
  <c r="I434" i="12"/>
  <c r="Z564" i="12"/>
  <c r="K436" i="12"/>
  <c r="I436" i="12"/>
  <c r="Z493" i="12"/>
  <c r="K369" i="12"/>
  <c r="I369" i="12"/>
  <c r="Z352" i="12"/>
  <c r="K359" i="12"/>
  <c r="I359" i="12"/>
  <c r="Z332" i="12"/>
  <c r="K179" i="12"/>
  <c r="I179" i="12"/>
  <c r="Z464" i="12"/>
  <c r="K221" i="12"/>
  <c r="I221" i="12"/>
  <c r="Z116" i="12"/>
  <c r="K158" i="12"/>
  <c r="I158" i="12"/>
  <c r="Z474" i="12"/>
  <c r="K124" i="12"/>
  <c r="I124" i="12"/>
  <c r="Z185" i="12"/>
  <c r="K367" i="12"/>
  <c r="I367" i="12"/>
  <c r="Z305" i="12"/>
  <c r="K351" i="12"/>
  <c r="I351" i="12"/>
  <c r="Z260" i="12"/>
  <c r="K155" i="12"/>
  <c r="I155" i="12"/>
  <c r="Z109" i="12"/>
  <c r="K48" i="12"/>
  <c r="I48" i="12"/>
  <c r="Z72" i="12"/>
  <c r="K100" i="12"/>
  <c r="I100" i="12"/>
  <c r="Z423" i="12"/>
  <c r="K249" i="12"/>
  <c r="I249" i="12"/>
  <c r="Z451" i="12"/>
  <c r="K361" i="12"/>
  <c r="I361" i="12"/>
  <c r="Z91" i="12"/>
  <c r="K349" i="12"/>
  <c r="I349" i="12"/>
  <c r="Z469" i="12"/>
  <c r="K266" i="12"/>
  <c r="I266" i="12"/>
  <c r="Z441" i="12"/>
  <c r="K497" i="12"/>
  <c r="I497" i="12"/>
  <c r="Z437" i="12"/>
  <c r="K31" i="12"/>
  <c r="I31" i="12"/>
  <c r="Z340" i="12"/>
  <c r="K135" i="12"/>
  <c r="I135" i="12"/>
  <c r="Z152" i="12"/>
  <c r="K251" i="12"/>
  <c r="I251" i="12"/>
  <c r="Z84" i="12"/>
  <c r="K353" i="12"/>
  <c r="I353" i="12"/>
  <c r="Z250" i="12"/>
  <c r="K528" i="12"/>
  <c r="I528" i="12"/>
  <c r="Z205" i="12"/>
  <c r="K547" i="12"/>
  <c r="I547" i="12"/>
  <c r="Z421" i="12"/>
  <c r="K564" i="12"/>
  <c r="I564" i="12"/>
  <c r="Z142" i="12"/>
  <c r="K493" i="12"/>
  <c r="I493" i="12"/>
  <c r="Z383" i="12"/>
  <c r="K352" i="12"/>
  <c r="I352" i="12"/>
  <c r="Z382" i="12"/>
  <c r="K332" i="12"/>
  <c r="I332" i="12"/>
  <c r="Z327" i="12"/>
  <c r="K464" i="12"/>
  <c r="I464" i="12"/>
  <c r="Z130" i="12"/>
  <c r="K116" i="12"/>
  <c r="I116" i="12"/>
  <c r="Z223" i="12"/>
  <c r="K474" i="12"/>
  <c r="I474" i="12"/>
  <c r="Z154" i="12"/>
  <c r="K185" i="12"/>
  <c r="I185" i="12"/>
  <c r="Z358" i="12"/>
  <c r="K305" i="12"/>
  <c r="I305" i="12"/>
  <c r="Z264" i="12"/>
  <c r="K260" i="12"/>
  <c r="I260" i="12"/>
  <c r="Z390" i="12"/>
  <c r="K109" i="12"/>
  <c r="I109" i="12"/>
  <c r="Z255" i="12"/>
  <c r="K72" i="12"/>
  <c r="I72" i="12"/>
  <c r="Z319" i="12"/>
  <c r="K423" i="12"/>
  <c r="I423" i="12"/>
  <c r="Z514" i="12"/>
  <c r="K451" i="12"/>
  <c r="I451" i="12"/>
  <c r="Z201" i="12"/>
  <c r="K91" i="12"/>
  <c r="I91" i="12"/>
  <c r="Z473" i="12"/>
  <c r="K469" i="12"/>
  <c r="I469" i="12"/>
  <c r="Z322" i="12"/>
  <c r="K441" i="12"/>
  <c r="I441" i="12"/>
  <c r="Z549" i="12"/>
  <c r="K437" i="12"/>
  <c r="I437" i="12"/>
  <c r="Z458" i="12"/>
  <c r="K340" i="12"/>
  <c r="I340" i="12"/>
  <c r="Z338" i="12"/>
  <c r="K152" i="12"/>
  <c r="I152" i="12"/>
  <c r="Z317" i="12"/>
  <c r="K84" i="12"/>
  <c r="I84" i="12"/>
  <c r="Z416" i="12"/>
  <c r="K250" i="12"/>
  <c r="I250" i="12"/>
  <c r="Z71" i="12"/>
  <c r="K205" i="12"/>
  <c r="I205" i="12"/>
  <c r="Z273" i="12"/>
  <c r="K421" i="12"/>
  <c r="I421" i="12"/>
  <c r="Z209" i="12"/>
  <c r="K142" i="12"/>
  <c r="I142" i="12"/>
  <c r="Z346" i="12"/>
  <c r="K383" i="12"/>
  <c r="I383" i="12"/>
  <c r="Z331" i="12"/>
  <c r="K382" i="12"/>
  <c r="I382" i="12"/>
  <c r="Z297" i="12"/>
  <c r="K327" i="12"/>
  <c r="I327" i="12"/>
  <c r="Z62" i="12"/>
  <c r="K130" i="12"/>
  <c r="I130" i="12"/>
  <c r="Z181" i="12"/>
  <c r="K223" i="12"/>
  <c r="I223" i="12"/>
  <c r="Z42" i="12"/>
  <c r="K154" i="12"/>
  <c r="I154" i="12"/>
  <c r="Z342" i="12"/>
  <c r="K358" i="12"/>
  <c r="I358" i="12"/>
  <c r="Z238" i="12"/>
  <c r="K264" i="12"/>
  <c r="I264" i="12"/>
  <c r="Z276" i="12"/>
  <c r="K390" i="12"/>
  <c r="I390" i="12"/>
  <c r="Z285" i="12"/>
  <c r="K255" i="12"/>
  <c r="I255" i="12"/>
  <c r="Z420" i="12"/>
  <c r="K319" i="12"/>
  <c r="I319" i="12"/>
  <c r="Z500" i="12"/>
  <c r="K514" i="12"/>
  <c r="I514" i="12"/>
  <c r="Z372" i="12"/>
  <c r="K201" i="12"/>
  <c r="I201" i="12"/>
  <c r="Z389" i="12"/>
  <c r="K473" i="12"/>
  <c r="I473" i="12"/>
  <c r="Z517" i="12"/>
  <c r="K322" i="12"/>
  <c r="I322" i="12"/>
  <c r="Z374" i="12"/>
  <c r="K549" i="12"/>
  <c r="I549" i="12"/>
  <c r="Z222" i="12"/>
  <c r="K458" i="12"/>
  <c r="I458" i="12"/>
  <c r="Z350" i="12"/>
  <c r="K338" i="12"/>
  <c r="I338" i="12"/>
  <c r="Z364" i="12"/>
  <c r="K317" i="12"/>
  <c r="I317" i="12"/>
  <c r="Z127" i="12"/>
  <c r="K416" i="12"/>
  <c r="I416" i="12"/>
  <c r="Z132" i="12"/>
  <c r="K71" i="12"/>
  <c r="I71" i="12"/>
  <c r="Z157" i="12"/>
  <c r="K273" i="12"/>
  <c r="I273" i="12"/>
  <c r="Z259" i="12"/>
  <c r="K209" i="12"/>
  <c r="I209" i="12"/>
  <c r="Z186" i="12"/>
  <c r="K346" i="12"/>
  <c r="I346" i="12"/>
  <c r="Z95" i="12"/>
  <c r="K331" i="12"/>
  <c r="I331" i="12"/>
  <c r="Z141" i="12"/>
  <c r="K297" i="12"/>
  <c r="I297" i="12"/>
  <c r="Z199" i="12"/>
  <c r="K62" i="12"/>
  <c r="I62" i="12"/>
  <c r="Z472" i="12"/>
  <c r="K181" i="12"/>
  <c r="I181" i="12"/>
  <c r="Z406" i="12"/>
  <c r="K42" i="12"/>
  <c r="I42" i="12"/>
  <c r="Z178" i="12"/>
  <c r="K342" i="12"/>
  <c r="I342" i="12"/>
  <c r="Z105" i="12"/>
  <c r="K238" i="12"/>
  <c r="I238" i="12"/>
  <c r="Z149" i="12"/>
  <c r="K276" i="12"/>
  <c r="I276" i="12"/>
  <c r="Z151" i="12"/>
  <c r="K285" i="12"/>
  <c r="I285" i="12"/>
  <c r="Z77" i="12"/>
  <c r="K420" i="12"/>
  <c r="I420" i="12"/>
  <c r="Z171" i="12"/>
  <c r="K500" i="12"/>
  <c r="I500" i="12"/>
  <c r="Z168" i="12"/>
  <c r="K372" i="12"/>
  <c r="I372" i="12"/>
  <c r="Z169" i="12"/>
  <c r="K389" i="12"/>
  <c r="I389" i="12"/>
  <c r="Z170" i="12"/>
  <c r="K517" i="12"/>
  <c r="I517" i="12"/>
  <c r="Z128" i="12"/>
  <c r="K374" i="12"/>
  <c r="I374" i="12"/>
  <c r="Z412" i="12"/>
  <c r="K222" i="12"/>
  <c r="I222" i="12"/>
  <c r="Z140" i="12"/>
  <c r="K350" i="12"/>
  <c r="I350" i="12"/>
  <c r="Z98" i="12"/>
  <c r="K364" i="12"/>
  <c r="I364" i="12"/>
  <c r="Z145" i="12"/>
  <c r="K127" i="12"/>
  <c r="I127" i="12"/>
  <c r="Z180" i="12"/>
  <c r="K132" i="12"/>
  <c r="I132" i="12"/>
  <c r="Z47" i="12"/>
  <c r="K157" i="12"/>
  <c r="I157" i="12"/>
  <c r="Z357" i="12"/>
  <c r="K259" i="12"/>
  <c r="I259" i="12"/>
  <c r="Z345" i="12"/>
  <c r="K186" i="12"/>
  <c r="I186" i="12"/>
  <c r="Z134" i="12"/>
  <c r="K95" i="12"/>
  <c r="I95" i="12"/>
  <c r="Z415" i="12"/>
  <c r="K141" i="12"/>
  <c r="I141" i="12"/>
  <c r="Z410" i="12"/>
  <c r="K199" i="12"/>
  <c r="I199" i="12"/>
  <c r="Z400" i="12"/>
  <c r="K472" i="12"/>
  <c r="I472" i="12"/>
  <c r="Z404" i="12"/>
  <c r="K406" i="12"/>
  <c r="I406" i="12"/>
  <c r="Z477" i="12"/>
  <c r="K178" i="12"/>
  <c r="I178" i="12"/>
  <c r="Z337" i="12"/>
  <c r="K105" i="12"/>
  <c r="I105" i="12"/>
  <c r="Z229" i="12"/>
  <c r="K149" i="12"/>
  <c r="I149" i="12"/>
  <c r="Z153" i="12"/>
  <c r="K151" i="12"/>
  <c r="I151" i="12"/>
  <c r="Z471" i="12"/>
  <c r="K77" i="12"/>
  <c r="I77" i="12"/>
  <c r="Z494" i="12"/>
  <c r="K171" i="12"/>
  <c r="I171" i="12"/>
  <c r="Z277" i="12"/>
  <c r="K168" i="12"/>
  <c r="I168" i="12"/>
  <c r="Z391" i="12"/>
  <c r="K169" i="12"/>
  <c r="I169" i="12"/>
  <c r="Z397" i="12"/>
  <c r="K170" i="12"/>
  <c r="I170" i="12"/>
  <c r="Z269" i="12"/>
  <c r="K128" i="12"/>
  <c r="I128" i="12"/>
  <c r="Z39" i="12"/>
  <c r="K412" i="12"/>
  <c r="I412" i="12"/>
  <c r="Z283" i="12"/>
  <c r="K140" i="12"/>
  <c r="I140" i="12"/>
  <c r="Z268" i="12"/>
  <c r="K98" i="12"/>
  <c r="I98" i="12"/>
  <c r="Z189" i="12"/>
  <c r="K145" i="12"/>
  <c r="I145" i="12"/>
  <c r="Z417" i="12"/>
  <c r="K180" i="12"/>
  <c r="I180" i="12"/>
  <c r="Z321" i="12"/>
  <c r="K47" i="12"/>
  <c r="I47" i="12"/>
  <c r="Z326" i="12"/>
  <c r="K357" i="12"/>
  <c r="I357" i="12"/>
  <c r="Z159" i="12"/>
  <c r="K345" i="12"/>
  <c r="I345" i="12"/>
  <c r="Z166" i="12"/>
  <c r="K134" i="12"/>
  <c r="I134" i="12"/>
  <c r="Z111" i="12"/>
  <c r="K415" i="12"/>
  <c r="I415" i="12"/>
  <c r="Z356" i="12"/>
  <c r="K410" i="12"/>
  <c r="I410" i="12"/>
  <c r="Z88" i="12"/>
  <c r="K400" i="12"/>
  <c r="I400" i="12"/>
  <c r="Z64" i="12"/>
  <c r="K404" i="12"/>
  <c r="I404" i="12"/>
  <c r="Z29" i="12"/>
  <c r="K477" i="12"/>
  <c r="I477" i="12"/>
  <c r="Z246" i="12"/>
  <c r="K337" i="12"/>
  <c r="I337" i="12"/>
  <c r="Z228" i="12"/>
  <c r="K229" i="12"/>
  <c r="I229" i="12"/>
  <c r="Z164" i="12"/>
  <c r="K153" i="12"/>
  <c r="I153" i="12"/>
  <c r="Z278" i="12"/>
  <c r="K471" i="12"/>
  <c r="I471" i="12"/>
  <c r="Z90" i="12"/>
  <c r="K494" i="12"/>
  <c r="I494" i="12"/>
  <c r="Z78" i="12"/>
  <c r="K277" i="12"/>
  <c r="I277" i="12"/>
  <c r="Z206" i="12"/>
  <c r="K391" i="12"/>
  <c r="I391" i="12"/>
  <c r="Z214" i="12"/>
  <c r="K397" i="12"/>
  <c r="I397" i="12"/>
  <c r="Z554" i="12"/>
  <c r="K269" i="12"/>
  <c r="I269" i="12"/>
  <c r="Z343" i="12"/>
  <c r="K39" i="12"/>
  <c r="I39" i="12"/>
  <c r="Z224" i="12"/>
  <c r="K283" i="12"/>
  <c r="I283" i="12"/>
  <c r="Z187" i="12"/>
  <c r="K268" i="12"/>
  <c r="I268" i="12"/>
  <c r="Z114" i="12"/>
  <c r="K189" i="12"/>
  <c r="I189" i="12"/>
  <c r="Z386" i="12"/>
  <c r="K417" i="12"/>
  <c r="I417" i="12"/>
  <c r="Z232" i="12"/>
  <c r="K321" i="12"/>
  <c r="I321" i="12"/>
  <c r="Z324" i="12"/>
  <c r="K326" i="12"/>
  <c r="I326" i="12"/>
  <c r="Z548" i="12"/>
  <c r="K159" i="12"/>
  <c r="I159" i="12"/>
  <c r="Z217" i="12"/>
  <c r="K166" i="12"/>
  <c r="I166" i="12"/>
  <c r="Z219" i="12"/>
  <c r="K111" i="12"/>
  <c r="I111" i="12"/>
  <c r="Z453" i="12"/>
  <c r="K356" i="12"/>
  <c r="I356" i="12"/>
  <c r="Z240" i="12"/>
  <c r="K88" i="12"/>
  <c r="I88" i="12"/>
  <c r="Z318" i="12"/>
  <c r="K64" i="12"/>
  <c r="I64" i="12"/>
  <c r="Z414" i="12"/>
  <c r="K29" i="12"/>
  <c r="I29" i="12"/>
  <c r="Z267" i="12"/>
  <c r="K246" i="12"/>
  <c r="I246" i="12"/>
  <c r="Z263" i="12"/>
  <c r="K228" i="12"/>
  <c r="I228" i="12"/>
  <c r="Z366" i="12"/>
  <c r="K164" i="12"/>
  <c r="I164" i="12"/>
  <c r="Z413" i="12"/>
  <c r="K278" i="12"/>
  <c r="I278" i="12"/>
  <c r="Z489" i="12"/>
  <c r="K90" i="12"/>
  <c r="I90" i="12"/>
  <c r="Z325" i="12"/>
  <c r="K78" i="12"/>
  <c r="I78" i="12"/>
  <c r="Z136" i="12"/>
  <c r="K206" i="12"/>
  <c r="I206" i="12"/>
  <c r="Z37" i="12"/>
  <c r="K214" i="12"/>
  <c r="I214" i="12"/>
  <c r="Z212" i="12"/>
  <c r="K554" i="12"/>
  <c r="I554" i="12"/>
  <c r="Z175" i="12"/>
  <c r="K343" i="12"/>
  <c r="I343" i="12"/>
  <c r="Z67" i="12"/>
  <c r="K224" i="12"/>
  <c r="I224" i="12"/>
  <c r="Z248" i="12"/>
  <c r="K187" i="12"/>
  <c r="I187" i="12"/>
  <c r="Z262" i="12"/>
  <c r="K114" i="12"/>
  <c r="I114" i="12"/>
  <c r="Z147" i="12"/>
  <c r="K386" i="12"/>
  <c r="I386" i="12"/>
  <c r="Z34" i="12"/>
  <c r="K232" i="12"/>
  <c r="I232" i="12"/>
  <c r="Z296" i="12"/>
  <c r="K324" i="12"/>
  <c r="I324" i="12"/>
  <c r="Z438" i="12"/>
  <c r="K548" i="12"/>
  <c r="I548" i="12"/>
  <c r="Z544" i="12"/>
  <c r="K217" i="12"/>
  <c r="I217" i="12"/>
  <c r="Z245" i="12"/>
  <c r="K219" i="12"/>
  <c r="I219" i="12"/>
  <c r="Z122" i="12"/>
  <c r="K453" i="12"/>
  <c r="I453" i="12"/>
  <c r="Z133" i="12"/>
  <c r="K240" i="12"/>
  <c r="I240" i="12"/>
  <c r="Z440" i="12"/>
  <c r="K318" i="12"/>
  <c r="I318" i="12"/>
  <c r="Z197" i="12"/>
  <c r="K414" i="12"/>
  <c r="I414" i="12"/>
  <c r="Z76" i="12"/>
  <c r="K267" i="12"/>
  <c r="I267" i="12"/>
  <c r="Z188" i="12"/>
  <c r="K263" i="12"/>
  <c r="I263" i="12"/>
  <c r="Z314" i="12"/>
  <c r="K366" i="12"/>
  <c r="I366" i="12"/>
  <c r="Z87" i="12"/>
  <c r="K413" i="12"/>
  <c r="I413" i="12"/>
  <c r="Z200" i="12"/>
  <c r="K489" i="12"/>
  <c r="I489" i="12"/>
  <c r="Z348" i="12"/>
  <c r="K325" i="12"/>
  <c r="I325" i="12"/>
  <c r="Z336" i="12"/>
  <c r="K136" i="12"/>
  <c r="I136" i="12"/>
  <c r="Z230" i="12"/>
  <c r="K37" i="12"/>
  <c r="I37" i="12"/>
  <c r="Z218" i="12"/>
  <c r="K212" i="12"/>
  <c r="I212" i="12"/>
  <c r="Z244" i="12"/>
  <c r="K175" i="12"/>
  <c r="I175" i="12"/>
  <c r="Z433" i="12"/>
  <c r="K67" i="12"/>
  <c r="I67" i="12"/>
  <c r="Z392" i="12"/>
  <c r="K248" i="12"/>
  <c r="I248" i="12"/>
  <c r="Z312" i="12"/>
  <c r="K262" i="12"/>
  <c r="I262" i="12"/>
  <c r="Z299" i="12"/>
  <c r="K147" i="12"/>
  <c r="I147" i="12"/>
  <c r="Z571" i="12"/>
  <c r="K34" i="12"/>
  <c r="I34" i="12"/>
  <c r="Z272" i="12"/>
  <c r="K296" i="12"/>
  <c r="I296" i="12"/>
  <c r="Z70" i="12"/>
  <c r="K438" i="12"/>
  <c r="I438" i="12"/>
  <c r="Z370" i="12"/>
  <c r="K544" i="12"/>
  <c r="I544" i="12"/>
  <c r="Z50" i="12"/>
  <c r="K245" i="12"/>
  <c r="I245" i="12"/>
  <c r="Z96" i="12"/>
  <c r="K122" i="12"/>
  <c r="I122" i="12"/>
  <c r="Z289" i="12"/>
  <c r="K133" i="12"/>
  <c r="I133" i="12"/>
  <c r="Z144" i="12"/>
  <c r="K440" i="12"/>
  <c r="I440" i="12"/>
  <c r="Z182" i="12"/>
  <c r="K197" i="12"/>
  <c r="I197" i="12"/>
  <c r="Z304" i="12"/>
  <c r="K76" i="12"/>
  <c r="I76" i="12"/>
  <c r="Z329" i="12"/>
  <c r="K188" i="12"/>
  <c r="I188" i="12"/>
  <c r="Z139" i="12"/>
  <c r="K314" i="12"/>
  <c r="I314" i="12"/>
  <c r="Z167" i="12"/>
  <c r="K87" i="12"/>
  <c r="I87" i="12"/>
  <c r="Z176" i="12"/>
  <c r="K200" i="12"/>
  <c r="I200" i="12"/>
  <c r="Z211" i="12"/>
  <c r="K348" i="12"/>
  <c r="I348" i="12"/>
  <c r="Z256" i="12"/>
  <c r="K336" i="12"/>
  <c r="I336" i="12"/>
  <c r="Z292" i="12"/>
  <c r="K230" i="12"/>
  <c r="I230" i="12"/>
  <c r="Z163" i="12"/>
  <c r="K218" i="12"/>
  <c r="I218" i="12"/>
  <c r="Z247" i="12"/>
  <c r="K244" i="12"/>
  <c r="I244" i="12"/>
  <c r="Z335" i="12"/>
  <c r="K433" i="12"/>
  <c r="I433" i="12"/>
  <c r="Z341" i="12"/>
  <c r="K392" i="12"/>
  <c r="I392" i="12"/>
  <c r="Z85" i="12"/>
  <c r="K312" i="12"/>
  <c r="I312" i="12"/>
  <c r="Z104" i="12"/>
  <c r="K299" i="12"/>
  <c r="I299" i="12"/>
  <c r="Z99" i="12"/>
  <c r="K571" i="12"/>
  <c r="I571" i="12"/>
  <c r="Z103" i="12"/>
  <c r="K272" i="12"/>
  <c r="I272" i="12"/>
  <c r="Z69" i="12"/>
  <c r="K70" i="12"/>
  <c r="I70" i="12"/>
  <c r="Z373" i="12"/>
  <c r="K370" i="12"/>
  <c r="I370" i="12"/>
  <c r="Z82" i="12"/>
  <c r="K50" i="12"/>
  <c r="I50" i="12"/>
  <c r="Z160" i="12"/>
  <c r="K96" i="12"/>
  <c r="I96" i="12"/>
  <c r="Z150" i="12"/>
  <c r="K289" i="12"/>
  <c r="I289" i="12"/>
  <c r="Z198" i="12"/>
  <c r="K144" i="12"/>
  <c r="I144" i="12"/>
  <c r="Z89" i="12"/>
  <c r="K182" i="12"/>
  <c r="I182" i="12"/>
  <c r="Z376" i="12"/>
  <c r="K304" i="12"/>
  <c r="I304" i="12"/>
  <c r="Z161" i="12"/>
  <c r="K329" i="12"/>
  <c r="I329" i="12"/>
  <c r="Z108" i="12"/>
  <c r="K139" i="12"/>
  <c r="I139" i="12"/>
  <c r="Z92" i="12"/>
  <c r="K167" i="12"/>
  <c r="I167" i="12"/>
  <c r="Z123" i="12"/>
  <c r="K176" i="12"/>
  <c r="I176" i="12"/>
  <c r="Z183" i="12"/>
  <c r="K211" i="12"/>
  <c r="I211" i="12"/>
  <c r="Z184" i="12"/>
  <c r="K256" i="12"/>
  <c r="I256" i="12"/>
  <c r="Z107" i="12"/>
  <c r="K292" i="12"/>
  <c r="I292" i="12"/>
  <c r="Z323" i="12"/>
  <c r="K163" i="12"/>
  <c r="I163" i="12"/>
  <c r="Z148" i="12"/>
  <c r="K247" i="12"/>
  <c r="I247" i="12"/>
  <c r="Z402" i="12"/>
  <c r="K335" i="12"/>
  <c r="I335" i="12"/>
  <c r="Z236" i="12"/>
  <c r="K341" i="12"/>
  <c r="I341" i="12"/>
  <c r="Z303" i="12"/>
  <c r="K85" i="12"/>
  <c r="I85" i="12"/>
  <c r="Z57" i="12"/>
  <c r="K104" i="12"/>
  <c r="I104" i="12"/>
  <c r="Z300" i="12"/>
  <c r="K99" i="12"/>
  <c r="I99" i="12"/>
  <c r="Z131" i="12"/>
  <c r="K103" i="12"/>
  <c r="I103" i="12"/>
  <c r="Z403" i="12"/>
  <c r="K69" i="12"/>
  <c r="I69" i="12"/>
  <c r="Z190" i="12"/>
  <c r="K373" i="12"/>
  <c r="I373" i="12"/>
  <c r="Z450" i="12"/>
  <c r="K82" i="12"/>
  <c r="I82" i="12"/>
  <c r="Z243" i="12"/>
  <c r="K160" i="12"/>
  <c r="I160" i="12"/>
  <c r="Z411" i="12"/>
  <c r="K150" i="12"/>
  <c r="I150" i="12"/>
  <c r="Z316" i="12"/>
  <c r="K198" i="12"/>
  <c r="I198" i="12"/>
  <c r="Z177" i="12"/>
  <c r="K89" i="12"/>
  <c r="I89" i="12"/>
  <c r="Z220" i="12"/>
  <c r="K376" i="12"/>
  <c r="I376" i="12"/>
  <c r="Z204" i="12"/>
  <c r="K161" i="12"/>
  <c r="I161" i="12"/>
  <c r="Z387" i="12"/>
  <c r="K108" i="12"/>
  <c r="I108" i="12"/>
  <c r="Z225" i="12"/>
  <c r="K92" i="12"/>
  <c r="I92" i="12"/>
  <c r="Z115" i="12"/>
  <c r="K123" i="12"/>
  <c r="I123" i="12"/>
  <c r="Z365" i="12"/>
  <c r="K183" i="12"/>
  <c r="I183" i="12"/>
  <c r="Z59" i="12"/>
  <c r="K184" i="12"/>
  <c r="I184" i="12"/>
  <c r="Z270" i="12"/>
  <c r="K107" i="12"/>
  <c r="I107" i="12"/>
  <c r="Z448" i="12"/>
  <c r="K323" i="12"/>
  <c r="I323" i="12"/>
  <c r="Z237" i="12"/>
  <c r="K148" i="12"/>
  <c r="I148" i="12"/>
  <c r="Z208" i="12"/>
  <c r="K402" i="12"/>
  <c r="I402" i="12"/>
  <c r="Z234" i="12"/>
  <c r="K236" i="12"/>
  <c r="I236" i="12"/>
  <c r="Z227" i="12"/>
  <c r="K303" i="12"/>
  <c r="I303" i="12"/>
  <c r="Z138" i="12"/>
  <c r="K57" i="12"/>
  <c r="I57" i="12"/>
  <c r="Z125" i="12"/>
  <c r="K300" i="12"/>
  <c r="I300" i="12"/>
  <c r="Z75" i="12"/>
  <c r="K131" i="12"/>
  <c r="I131" i="12"/>
  <c r="Z384" i="12"/>
  <c r="K403" i="12"/>
  <c r="I403" i="12"/>
  <c r="Z275" i="12"/>
  <c r="K190" i="12"/>
  <c r="I190" i="12"/>
  <c r="Z435" i="12"/>
  <c r="K450" i="12"/>
  <c r="I450" i="12"/>
  <c r="Z86" i="12"/>
  <c r="K243" i="12"/>
  <c r="I243" i="12"/>
  <c r="Z19" i="12"/>
  <c r="K411" i="12"/>
  <c r="I411" i="12"/>
  <c r="Z328" i="12"/>
  <c r="K316" i="12"/>
  <c r="I316" i="12"/>
  <c r="Z126" i="12"/>
  <c r="K177" i="12"/>
  <c r="I177" i="12"/>
  <c r="Z360" i="12"/>
  <c r="K220" i="12"/>
  <c r="I220" i="12"/>
  <c r="Z498" i="12"/>
  <c r="K204" i="12"/>
  <c r="I204" i="12"/>
  <c r="Z258" i="12"/>
  <c r="K387" i="12"/>
  <c r="I387" i="12"/>
  <c r="Z302" i="12"/>
  <c r="K225" i="12"/>
  <c r="I225" i="12"/>
  <c r="Z137" i="12"/>
  <c r="K115" i="12"/>
  <c r="I115" i="12"/>
  <c r="Z311" i="12"/>
  <c r="K365" i="12"/>
  <c r="I365" i="12"/>
  <c r="K59" i="12"/>
  <c r="I59" i="12"/>
  <c r="K270" i="12"/>
  <c r="I270" i="12"/>
  <c r="K448" i="12"/>
  <c r="I448" i="12"/>
  <c r="K237" i="12"/>
  <c r="I237" i="12"/>
  <c r="K208" i="12"/>
  <c r="I208" i="12"/>
  <c r="K234" i="12"/>
  <c r="I234" i="12"/>
  <c r="K227" i="12"/>
  <c r="I227" i="12"/>
  <c r="K138" i="12"/>
  <c r="I138" i="12"/>
  <c r="K125" i="12"/>
  <c r="I125" i="12"/>
  <c r="K75" i="12"/>
  <c r="I75" i="12"/>
  <c r="K384" i="12"/>
  <c r="I384" i="12"/>
  <c r="K275" i="12"/>
  <c r="I275" i="12"/>
  <c r="K435" i="12"/>
  <c r="I435" i="12"/>
  <c r="K86" i="12"/>
  <c r="I86" i="12"/>
  <c r="K19" i="12"/>
  <c r="I19" i="12"/>
  <c r="K328" i="12"/>
  <c r="I328" i="12"/>
  <c r="K126" i="12"/>
  <c r="I126" i="12"/>
  <c r="K360" i="12"/>
  <c r="I360" i="12"/>
  <c r="K498" i="12"/>
  <c r="I498" i="12"/>
  <c r="K258" i="12"/>
  <c r="I258" i="12"/>
  <c r="K302" i="12"/>
  <c r="I302" i="12"/>
  <c r="K137" i="12"/>
  <c r="I137" i="12"/>
  <c r="K311" i="12"/>
  <c r="I311" i="12"/>
  <c r="R1764" i="1"/>
  <c r="R1757" i="1"/>
  <c r="R1756" i="1"/>
  <c r="R1755" i="1"/>
  <c r="R1754" i="1"/>
  <c r="R1749" i="1"/>
  <c r="R1748" i="1"/>
  <c r="D5" i="28" l="1"/>
  <c r="B7" i="28"/>
  <c r="L17" i="26"/>
  <c r="L18" i="26" s="1"/>
  <c r="L19" i="26" s="1"/>
  <c r="L20" i="26" s="1"/>
  <c r="L21" i="26" s="1"/>
  <c r="L22" i="26" s="1"/>
  <c r="L23" i="26" s="1"/>
  <c r="L24" i="26" s="1"/>
  <c r="L25" i="26" s="1"/>
  <c r="M17" i="26"/>
  <c r="M18" i="26" s="1"/>
  <c r="M19" i="26" s="1"/>
  <c r="M20" i="26" s="1"/>
  <c r="M21" i="26" s="1"/>
  <c r="M22" i="26" s="1"/>
  <c r="M23" i="26" s="1"/>
  <c r="M24" i="26" s="1"/>
  <c r="M25" i="26" s="1"/>
  <c r="K6" i="26"/>
  <c r="D4" i="28"/>
  <c r="AF5" i="14"/>
  <c r="AE5" i="14"/>
  <c r="AF13" i="14"/>
  <c r="AE13" i="14"/>
  <c r="AF21" i="14"/>
  <c r="AE21" i="14"/>
  <c r="AF29" i="14"/>
  <c r="AE29" i="14"/>
  <c r="AF37" i="14"/>
  <c r="AE37" i="14"/>
  <c r="AF45" i="14"/>
  <c r="AE45" i="14"/>
  <c r="AF53" i="14"/>
  <c r="AE53" i="14"/>
  <c r="AF61" i="14"/>
  <c r="AE61" i="14"/>
  <c r="AE8" i="18"/>
  <c r="AF8" i="18"/>
  <c r="AE16" i="18"/>
  <c r="AF16" i="18"/>
  <c r="AE24" i="18"/>
  <c r="AF24" i="18"/>
  <c r="AE32" i="18"/>
  <c r="AF32" i="18"/>
  <c r="AE40" i="18"/>
  <c r="AF40" i="18"/>
  <c r="AF2" i="20"/>
  <c r="AE2" i="20"/>
  <c r="AE5" i="23"/>
  <c r="AF5" i="23"/>
  <c r="AE13" i="23"/>
  <c r="AF13" i="23"/>
  <c r="AE21" i="23"/>
  <c r="AF21" i="23"/>
  <c r="AE29" i="23"/>
  <c r="AF29" i="23"/>
  <c r="AE37" i="23"/>
  <c r="AF37" i="23"/>
  <c r="AE45" i="23"/>
  <c r="AF45" i="23"/>
  <c r="AE53" i="23"/>
  <c r="AF53" i="23"/>
  <c r="AE61" i="23"/>
  <c r="AF61" i="23"/>
  <c r="AE69" i="23"/>
  <c r="AF69" i="23"/>
  <c r="AE77" i="23"/>
  <c r="AF77" i="23"/>
  <c r="AE85" i="23"/>
  <c r="AF85" i="23"/>
  <c r="AE93" i="23"/>
  <c r="AF93" i="23"/>
  <c r="AE9" i="22"/>
  <c r="AF9" i="22"/>
  <c r="AE17" i="22"/>
  <c r="AF17" i="22"/>
  <c r="AE95" i="23"/>
  <c r="AF95" i="23"/>
  <c r="AE11" i="24"/>
  <c r="AF11" i="24"/>
  <c r="AE47" i="24"/>
  <c r="AF47" i="24"/>
  <c r="AE33" i="24"/>
  <c r="AF33" i="24"/>
  <c r="AE52" i="24"/>
  <c r="AF52" i="24"/>
  <c r="AE58" i="24"/>
  <c r="AF58" i="24"/>
  <c r="AF42" i="24"/>
  <c r="AE42" i="24"/>
  <c r="AE4" i="24"/>
  <c r="AF4" i="24"/>
  <c r="AF14" i="25"/>
  <c r="AE14" i="25"/>
  <c r="AF6" i="25"/>
  <c r="AE6" i="25"/>
  <c r="AF97" i="23"/>
  <c r="AE97" i="23"/>
  <c r="AE7" i="21"/>
  <c r="AF7" i="21"/>
  <c r="AE22" i="24"/>
  <c r="AF22" i="24"/>
  <c r="AE10" i="24"/>
  <c r="AF10" i="24"/>
  <c r="AF8" i="14"/>
  <c r="AE8" i="14"/>
  <c r="AF16" i="14"/>
  <c r="AE16" i="14"/>
  <c r="AF24" i="14"/>
  <c r="AE24" i="14"/>
  <c r="AF32" i="14"/>
  <c r="AE32" i="14"/>
  <c r="AF40" i="14"/>
  <c r="AE40" i="14"/>
  <c r="AF48" i="14"/>
  <c r="AE48" i="14"/>
  <c r="AF56" i="14"/>
  <c r="AE56" i="14"/>
  <c r="AF64" i="14"/>
  <c r="AE64" i="14"/>
  <c r="AF3" i="18"/>
  <c r="AE3" i="18"/>
  <c r="AF11" i="18"/>
  <c r="AE11" i="18"/>
  <c r="AF19" i="18"/>
  <c r="AE19" i="18"/>
  <c r="AF27" i="18"/>
  <c r="AE27" i="18"/>
  <c r="AF35" i="18"/>
  <c r="AE35" i="18"/>
  <c r="AF43" i="18"/>
  <c r="AE43" i="18"/>
  <c r="AE5" i="20"/>
  <c r="AF5" i="20"/>
  <c r="AE8" i="23"/>
  <c r="AF8" i="23"/>
  <c r="AE16" i="23"/>
  <c r="AF16" i="23"/>
  <c r="AE24" i="23"/>
  <c r="AF24" i="23"/>
  <c r="AE32" i="23"/>
  <c r="AF32" i="23"/>
  <c r="AE40" i="23"/>
  <c r="AF40" i="23"/>
  <c r="AE48" i="23"/>
  <c r="AF48" i="23"/>
  <c r="AE56" i="23"/>
  <c r="AF56" i="23"/>
  <c r="AE64" i="23"/>
  <c r="AF64" i="23"/>
  <c r="AE72" i="23"/>
  <c r="AF72" i="23"/>
  <c r="AE80" i="23"/>
  <c r="AF80" i="23"/>
  <c r="AE88" i="23"/>
  <c r="AF88" i="23"/>
  <c r="AE4" i="22"/>
  <c r="AF4" i="22"/>
  <c r="AE12" i="22"/>
  <c r="AF12" i="22"/>
  <c r="AE20" i="22"/>
  <c r="AF20" i="22"/>
  <c r="AE14" i="24"/>
  <c r="AF14" i="24"/>
  <c r="AE28" i="24"/>
  <c r="AF28" i="24"/>
  <c r="AE36" i="24"/>
  <c r="AF36" i="24"/>
  <c r="AE55" i="24"/>
  <c r="AF55" i="24"/>
  <c r="AE39" i="24"/>
  <c r="AF39" i="24"/>
  <c r="AF61" i="24"/>
  <c r="AE61" i="24"/>
  <c r="AE3" i="24"/>
  <c r="AF3" i="24"/>
  <c r="AF19" i="25"/>
  <c r="AE19" i="25"/>
  <c r="AF16" i="25"/>
  <c r="AE16" i="25"/>
  <c r="AE99" i="23"/>
  <c r="AF99" i="23"/>
  <c r="AE3" i="21"/>
  <c r="AF3" i="21"/>
  <c r="AE44" i="24"/>
  <c r="AF44" i="24"/>
  <c r="AE5" i="24"/>
  <c r="AF5" i="24"/>
  <c r="AF6" i="18"/>
  <c r="AE6" i="18"/>
  <c r="AF30" i="18"/>
  <c r="AE30" i="18"/>
  <c r="AE75" i="23"/>
  <c r="AF75" i="23"/>
  <c r="AE7" i="22"/>
  <c r="AF7" i="22"/>
  <c r="AF45" i="24"/>
  <c r="AE45" i="24"/>
  <c r="AF11" i="25"/>
  <c r="AE11" i="25"/>
  <c r="AF8" i="25"/>
  <c r="AE8" i="25"/>
  <c r="AE10" i="21"/>
  <c r="AF10" i="21"/>
  <c r="AE18" i="21"/>
  <c r="AF18" i="21"/>
  <c r="AE6" i="14"/>
  <c r="AF6" i="14"/>
  <c r="AE14" i="14"/>
  <c r="AF14" i="14"/>
  <c r="AE22" i="14"/>
  <c r="AF22" i="14"/>
  <c r="AE30" i="14"/>
  <c r="AF30" i="14"/>
  <c r="AE38" i="14"/>
  <c r="AF38" i="14"/>
  <c r="AE46" i="14"/>
  <c r="AF46" i="14"/>
  <c r="AE54" i="14"/>
  <c r="AF54" i="14"/>
  <c r="AE62" i="14"/>
  <c r="AF62" i="14"/>
  <c r="AE9" i="18"/>
  <c r="AF9" i="18"/>
  <c r="AE17" i="18"/>
  <c r="AF17" i="18"/>
  <c r="AE25" i="18"/>
  <c r="AF25" i="18"/>
  <c r="AE33" i="18"/>
  <c r="AF33" i="18"/>
  <c r="AE41" i="18"/>
  <c r="AF41" i="18"/>
  <c r="AF3" i="20"/>
  <c r="AE3" i="20"/>
  <c r="AF6" i="23"/>
  <c r="AE6" i="23"/>
  <c r="AF14" i="23"/>
  <c r="AE14" i="23"/>
  <c r="AF22" i="23"/>
  <c r="AE22" i="23"/>
  <c r="AF30" i="23"/>
  <c r="AE30" i="23"/>
  <c r="AF38" i="23"/>
  <c r="AE38" i="23"/>
  <c r="AF46" i="23"/>
  <c r="AE46" i="23"/>
  <c r="AF54" i="23"/>
  <c r="AE54" i="23"/>
  <c r="AF62" i="23"/>
  <c r="AE62" i="23"/>
  <c r="AF70" i="23"/>
  <c r="AE70" i="23"/>
  <c r="AF78" i="23"/>
  <c r="AE78" i="23"/>
  <c r="AF86" i="23"/>
  <c r="AE86" i="23"/>
  <c r="AF94" i="23"/>
  <c r="AE94" i="23"/>
  <c r="AF10" i="22"/>
  <c r="AE10" i="22"/>
  <c r="AF18" i="22"/>
  <c r="AE18" i="22"/>
  <c r="AE12" i="24"/>
  <c r="AF12" i="24"/>
  <c r="AE26" i="24"/>
  <c r="AF26" i="24"/>
  <c r="AE34" i="24"/>
  <c r="AF34" i="24"/>
  <c r="AE53" i="24"/>
  <c r="AF53" i="24"/>
  <c r="AE37" i="24"/>
  <c r="AF37" i="24"/>
  <c r="AE43" i="24"/>
  <c r="AF43" i="24"/>
  <c r="AE21" i="25"/>
  <c r="AF21" i="25"/>
  <c r="AE5" i="25"/>
  <c r="AF5" i="25"/>
  <c r="AE23" i="24"/>
  <c r="AF23" i="24"/>
  <c r="AE67" i="24"/>
  <c r="AF67" i="24"/>
  <c r="AE69" i="24"/>
  <c r="AF69" i="24"/>
  <c r="AE3" i="14"/>
  <c r="AF3" i="14"/>
  <c r="AE11" i="14"/>
  <c r="AF11" i="14"/>
  <c r="AE19" i="14"/>
  <c r="AF19" i="14"/>
  <c r="AE27" i="14"/>
  <c r="AF27" i="14"/>
  <c r="AE35" i="14"/>
  <c r="AF35" i="14"/>
  <c r="AE43" i="14"/>
  <c r="AF43" i="14"/>
  <c r="AE51" i="14"/>
  <c r="AF51" i="14"/>
  <c r="AE59" i="14"/>
  <c r="AF59" i="14"/>
  <c r="AE67" i="14"/>
  <c r="AF67" i="14"/>
  <c r="AF14" i="18"/>
  <c r="AE14" i="18"/>
  <c r="AF22" i="18"/>
  <c r="AE22" i="18"/>
  <c r="AF38" i="18"/>
  <c r="AE38" i="18"/>
  <c r="AF46" i="18"/>
  <c r="AE46" i="18"/>
  <c r="AE3" i="23"/>
  <c r="AF3" i="23"/>
  <c r="AE11" i="23"/>
  <c r="AF11" i="23"/>
  <c r="AE19" i="23"/>
  <c r="AF19" i="23"/>
  <c r="AE27" i="23"/>
  <c r="AF27" i="23"/>
  <c r="AE35" i="23"/>
  <c r="AF35" i="23"/>
  <c r="AE43" i="23"/>
  <c r="AF43" i="23"/>
  <c r="AE51" i="23"/>
  <c r="AF51" i="23"/>
  <c r="AE59" i="23"/>
  <c r="AF59" i="23"/>
  <c r="AE67" i="23"/>
  <c r="AF67" i="23"/>
  <c r="AE83" i="23"/>
  <c r="AF83" i="23"/>
  <c r="AE91" i="23"/>
  <c r="AF91" i="23"/>
  <c r="AE15" i="22"/>
  <c r="AF15" i="22"/>
  <c r="AE31" i="24"/>
  <c r="AF31" i="24"/>
  <c r="AE50" i="24"/>
  <c r="AF50" i="24"/>
  <c r="AE56" i="24"/>
  <c r="AF56" i="24"/>
  <c r="AF40" i="24"/>
  <c r="AE40" i="24"/>
  <c r="AF64" i="24"/>
  <c r="AE64" i="24"/>
  <c r="AF6" i="21"/>
  <c r="AE6" i="21"/>
  <c r="AF12" i="21"/>
  <c r="AE12" i="21"/>
  <c r="AF14" i="21"/>
  <c r="AE14" i="21"/>
  <c r="AE16" i="21"/>
  <c r="AF16" i="21"/>
  <c r="AE20" i="24"/>
  <c r="AF20" i="24"/>
  <c r="AE8" i="24"/>
  <c r="AF8" i="24"/>
  <c r="AE9" i="14"/>
  <c r="AF9" i="14"/>
  <c r="AE17" i="14"/>
  <c r="AF17" i="14"/>
  <c r="AE25" i="14"/>
  <c r="AF25" i="14"/>
  <c r="AE33" i="14"/>
  <c r="AF33" i="14"/>
  <c r="AE41" i="14"/>
  <c r="AF41" i="14"/>
  <c r="AE49" i="14"/>
  <c r="AF49" i="14"/>
  <c r="AE57" i="14"/>
  <c r="AF57" i="14"/>
  <c r="AE65" i="14"/>
  <c r="AF65" i="14"/>
  <c r="AE4" i="18"/>
  <c r="AF4" i="18"/>
  <c r="AE12" i="18"/>
  <c r="AF12" i="18"/>
  <c r="AE20" i="18"/>
  <c r="AF20" i="18"/>
  <c r="AE28" i="18"/>
  <c r="AF28" i="18"/>
  <c r="AF36" i="18"/>
  <c r="AE36" i="18"/>
  <c r="AE44" i="18"/>
  <c r="AF44" i="18"/>
  <c r="AF9" i="23"/>
  <c r="AE9" i="23"/>
  <c r="AF17" i="23"/>
  <c r="AE17" i="23"/>
  <c r="AF25" i="23"/>
  <c r="AE25" i="23"/>
  <c r="AF33" i="23"/>
  <c r="AE33" i="23"/>
  <c r="AF41" i="23"/>
  <c r="AE41" i="23"/>
  <c r="AF49" i="23"/>
  <c r="AE49" i="23"/>
  <c r="AF57" i="23"/>
  <c r="AE57" i="23"/>
  <c r="AF65" i="23"/>
  <c r="AE65" i="23"/>
  <c r="AF73" i="23"/>
  <c r="AE73" i="23"/>
  <c r="AF81" i="23"/>
  <c r="AE81" i="23"/>
  <c r="AF89" i="23"/>
  <c r="AE89" i="23"/>
  <c r="AF5" i="22"/>
  <c r="AE5" i="22"/>
  <c r="AF13" i="22"/>
  <c r="AE13" i="22"/>
  <c r="AF21" i="22"/>
  <c r="AE21" i="22"/>
  <c r="AE15" i="24"/>
  <c r="AF15" i="24"/>
  <c r="AE29" i="24"/>
  <c r="AF29" i="24"/>
  <c r="AE48" i="24"/>
  <c r="AF48" i="24"/>
  <c r="AF18" i="24"/>
  <c r="AE18" i="24"/>
  <c r="AE62" i="24"/>
  <c r="AF62" i="24"/>
  <c r="AE18" i="25"/>
  <c r="AF18" i="25"/>
  <c r="AF15" i="25"/>
  <c r="AE15" i="25"/>
  <c r="AE96" i="23"/>
  <c r="AF96" i="23"/>
  <c r="AF4" i="21"/>
  <c r="AE4" i="21"/>
  <c r="AE8" i="21"/>
  <c r="AF8" i="21"/>
  <c r="AE6" i="24"/>
  <c r="AF6" i="24"/>
  <c r="AF7" i="25"/>
  <c r="AE7" i="25"/>
  <c r="AF66" i="24"/>
  <c r="AE66" i="24"/>
  <c r="AE9" i="24"/>
  <c r="AF9" i="24"/>
  <c r="AE7" i="14"/>
  <c r="AF7" i="14"/>
  <c r="AE15" i="14"/>
  <c r="AF15" i="14"/>
  <c r="AE23" i="14"/>
  <c r="AF23" i="14"/>
  <c r="AE31" i="14"/>
  <c r="AF31" i="14"/>
  <c r="AE39" i="14"/>
  <c r="AF39" i="14"/>
  <c r="AE47" i="14"/>
  <c r="AF47" i="14"/>
  <c r="AE55" i="14"/>
  <c r="AF55" i="14"/>
  <c r="AE63" i="14"/>
  <c r="AF63" i="14"/>
  <c r="AF10" i="18"/>
  <c r="AE10" i="18"/>
  <c r="AF18" i="18"/>
  <c r="AE18" i="18"/>
  <c r="AF26" i="18"/>
  <c r="AE26" i="18"/>
  <c r="AF34" i="18"/>
  <c r="AE34" i="18"/>
  <c r="AF42" i="18"/>
  <c r="AE42" i="18"/>
  <c r="AE4" i="20"/>
  <c r="AF4" i="20"/>
  <c r="AE7" i="23"/>
  <c r="AF7" i="23"/>
  <c r="AE15" i="23"/>
  <c r="AF15" i="23"/>
  <c r="AE23" i="23"/>
  <c r="AF23" i="23"/>
  <c r="AE31" i="23"/>
  <c r="AF31" i="23"/>
  <c r="AE39" i="23"/>
  <c r="AF39" i="23"/>
  <c r="AE47" i="23"/>
  <c r="AF47" i="23"/>
  <c r="AE55" i="23"/>
  <c r="AF55" i="23"/>
  <c r="AE63" i="23"/>
  <c r="AF63" i="23"/>
  <c r="AE71" i="23"/>
  <c r="AF71" i="23"/>
  <c r="AE79" i="23"/>
  <c r="AF79" i="23"/>
  <c r="AE87" i="23"/>
  <c r="AF87" i="23"/>
  <c r="AF3" i="22"/>
  <c r="AE3" i="22"/>
  <c r="AF11" i="22"/>
  <c r="AE11" i="22"/>
  <c r="AF19" i="22"/>
  <c r="AE19" i="22"/>
  <c r="AE13" i="24"/>
  <c r="AF13" i="24"/>
  <c r="AE27" i="24"/>
  <c r="AF27" i="24"/>
  <c r="AE35" i="24"/>
  <c r="AF35" i="24"/>
  <c r="AE54" i="24"/>
  <c r="AF54" i="24"/>
  <c r="AE38" i="24"/>
  <c r="AF38" i="24"/>
  <c r="AE60" i="24"/>
  <c r="AF60" i="24"/>
  <c r="AE20" i="25"/>
  <c r="AF20" i="25"/>
  <c r="AE12" i="25"/>
  <c r="AF12" i="25"/>
  <c r="AE11" i="21"/>
  <c r="AF11" i="21"/>
  <c r="AE13" i="21"/>
  <c r="AF13" i="21"/>
  <c r="AE15" i="21"/>
  <c r="AF15" i="21"/>
  <c r="AF17" i="21"/>
  <c r="AE17" i="21"/>
  <c r="AE19" i="21"/>
  <c r="AF19" i="21"/>
  <c r="AE25" i="24"/>
  <c r="AF25" i="24"/>
  <c r="AE4" i="14"/>
  <c r="AF4" i="14"/>
  <c r="AE12" i="14"/>
  <c r="AF12" i="14"/>
  <c r="AE20" i="14"/>
  <c r="AF20" i="14"/>
  <c r="AE28" i="14"/>
  <c r="AF28" i="14"/>
  <c r="AE36" i="14"/>
  <c r="AF36" i="14"/>
  <c r="AE44" i="14"/>
  <c r="AF44" i="14"/>
  <c r="AE52" i="14"/>
  <c r="AF52" i="14"/>
  <c r="AE60" i="14"/>
  <c r="AF60" i="14"/>
  <c r="AE7" i="18"/>
  <c r="AF7" i="18"/>
  <c r="AE15" i="18"/>
  <c r="AF15" i="18"/>
  <c r="AE23" i="18"/>
  <c r="AF23" i="18"/>
  <c r="AE31" i="18"/>
  <c r="AF31" i="18"/>
  <c r="AE39" i="18"/>
  <c r="AF39" i="18"/>
  <c r="AE47" i="18"/>
  <c r="AF47" i="18"/>
  <c r="AF4" i="23"/>
  <c r="AE4" i="23"/>
  <c r="AF12" i="23"/>
  <c r="AE12" i="23"/>
  <c r="AF20" i="23"/>
  <c r="AE20" i="23"/>
  <c r="AF28" i="23"/>
  <c r="AE28" i="23"/>
  <c r="AF36" i="23"/>
  <c r="AE36" i="23"/>
  <c r="AF44" i="23"/>
  <c r="AE44" i="23"/>
  <c r="AF52" i="23"/>
  <c r="AE52" i="23"/>
  <c r="AF60" i="23"/>
  <c r="AE60" i="23"/>
  <c r="AF68" i="23"/>
  <c r="AE68" i="23"/>
  <c r="AF76" i="23"/>
  <c r="AE76" i="23"/>
  <c r="AF84" i="23"/>
  <c r="AE84" i="23"/>
  <c r="AF92" i="23"/>
  <c r="AE92" i="23"/>
  <c r="AE8" i="22"/>
  <c r="AF8" i="22"/>
  <c r="AE16" i="22"/>
  <c r="AF16" i="22"/>
  <c r="AF24" i="24"/>
  <c r="AE24" i="24"/>
  <c r="AE46" i="24"/>
  <c r="AF46" i="24"/>
  <c r="AE32" i="24"/>
  <c r="AF32" i="24"/>
  <c r="AE51" i="24"/>
  <c r="AF51" i="24"/>
  <c r="AE57" i="24"/>
  <c r="AF57" i="24"/>
  <c r="AE41" i="24"/>
  <c r="AF41" i="24"/>
  <c r="AE65" i="24"/>
  <c r="AF65" i="24"/>
  <c r="AE10" i="25"/>
  <c r="AF10" i="25"/>
  <c r="AF21" i="24"/>
  <c r="AE21" i="24"/>
  <c r="Z68" i="14"/>
  <c r="G23" i="28" s="1"/>
  <c r="AF10" i="14"/>
  <c r="AE10" i="14"/>
  <c r="AF18" i="14"/>
  <c r="AE18" i="14"/>
  <c r="AF26" i="14"/>
  <c r="AE26" i="14"/>
  <c r="AF34" i="14"/>
  <c r="AE34" i="14"/>
  <c r="AF42" i="14"/>
  <c r="AE42" i="14"/>
  <c r="AF50" i="14"/>
  <c r="AE50" i="14"/>
  <c r="AF58" i="14"/>
  <c r="AE58" i="14"/>
  <c r="AF66" i="14"/>
  <c r="AE66" i="14"/>
  <c r="Z585" i="13"/>
  <c r="G22" i="28" s="1"/>
  <c r="AF5" i="18"/>
  <c r="AE5" i="18"/>
  <c r="AF13" i="18"/>
  <c r="AE13" i="18"/>
  <c r="AF21" i="18"/>
  <c r="AE21" i="18"/>
  <c r="AF29" i="18"/>
  <c r="AE29" i="18"/>
  <c r="AF37" i="18"/>
  <c r="AE37" i="18"/>
  <c r="AF45" i="18"/>
  <c r="AE45" i="18"/>
  <c r="AE7" i="20"/>
  <c r="AF7" i="20"/>
  <c r="Z100" i="23"/>
  <c r="G24" i="28" s="1"/>
  <c r="AE10" i="23"/>
  <c r="AF10" i="23"/>
  <c r="AE18" i="23"/>
  <c r="AF18" i="23"/>
  <c r="AE26" i="23"/>
  <c r="AF26" i="23"/>
  <c r="AE34" i="23"/>
  <c r="AF34" i="23"/>
  <c r="AE42" i="23"/>
  <c r="AF42" i="23"/>
  <c r="AE50" i="23"/>
  <c r="AF50" i="23"/>
  <c r="AE58" i="23"/>
  <c r="AF58" i="23"/>
  <c r="AE66" i="23"/>
  <c r="AF66" i="23"/>
  <c r="AE74" i="23"/>
  <c r="AF74" i="23"/>
  <c r="AE82" i="23"/>
  <c r="AF82" i="23"/>
  <c r="AE90" i="23"/>
  <c r="AF90" i="23"/>
  <c r="AF6" i="22"/>
  <c r="AE6" i="22"/>
  <c r="AF14" i="22"/>
  <c r="AE14" i="22"/>
  <c r="AF22" i="22"/>
  <c r="AE22" i="22"/>
  <c r="AE16" i="24"/>
  <c r="AF16" i="24"/>
  <c r="AE30" i="24"/>
  <c r="AF30" i="24"/>
  <c r="AE49" i="24"/>
  <c r="AF49" i="24"/>
  <c r="AE17" i="24"/>
  <c r="AF17" i="24"/>
  <c r="AE59" i="24"/>
  <c r="AF59" i="24"/>
  <c r="AE63" i="24"/>
  <c r="AF63" i="24"/>
  <c r="AE17" i="25"/>
  <c r="AF17" i="25"/>
  <c r="AE13" i="25"/>
  <c r="AF13" i="25"/>
  <c r="AE98" i="23"/>
  <c r="AF98" i="23"/>
  <c r="AE5" i="21"/>
  <c r="AF5" i="21"/>
  <c r="AF9" i="21"/>
  <c r="AE9" i="21"/>
  <c r="AE19" i="24"/>
  <c r="AF19" i="24"/>
  <c r="AE7" i="24"/>
  <c r="AF7" i="24"/>
  <c r="AE68" i="24"/>
  <c r="AF68" i="24"/>
  <c r="AL70" i="15"/>
  <c r="AF70" i="15"/>
  <c r="AE70" i="15"/>
  <c r="AL86" i="15"/>
  <c r="AF86" i="15"/>
  <c r="AE86" i="15"/>
  <c r="AL85" i="15"/>
  <c r="AF85" i="15"/>
  <c r="AE85" i="15"/>
  <c r="AL26" i="15"/>
  <c r="AF26" i="15"/>
  <c r="AE26" i="15"/>
  <c r="AL30" i="15"/>
  <c r="AF30" i="15"/>
  <c r="AE30" i="15"/>
  <c r="AL18" i="15"/>
  <c r="AF18" i="15"/>
  <c r="AE18" i="15"/>
  <c r="AL4" i="15"/>
  <c r="AF4" i="15"/>
  <c r="AE4" i="15"/>
  <c r="AH4" i="15" s="1"/>
  <c r="AE36" i="15"/>
  <c r="AF36" i="15"/>
  <c r="AF53" i="15"/>
  <c r="AE53" i="15"/>
  <c r="AL60" i="15"/>
  <c r="AF60" i="15"/>
  <c r="AE60" i="15"/>
  <c r="AL109" i="15"/>
  <c r="AF109" i="15"/>
  <c r="AE109" i="15"/>
  <c r="AF28" i="15"/>
  <c r="AE28" i="15"/>
  <c r="AL31" i="15"/>
  <c r="AE31" i="15"/>
  <c r="AF31" i="15"/>
  <c r="AL62" i="15"/>
  <c r="AF62" i="15"/>
  <c r="AE62" i="15"/>
  <c r="AL96" i="15"/>
  <c r="AF96" i="15"/>
  <c r="AE96" i="15"/>
  <c r="AL101" i="15"/>
  <c r="AF101" i="15"/>
  <c r="AE101" i="15"/>
  <c r="AL112" i="15"/>
  <c r="AF112" i="15"/>
  <c r="AE112" i="15"/>
  <c r="AF29" i="15"/>
  <c r="AE29" i="15"/>
  <c r="AE43" i="15"/>
  <c r="AF43" i="15"/>
  <c r="AL13" i="15"/>
  <c r="AF13" i="15"/>
  <c r="AE13" i="15"/>
  <c r="AL37" i="15"/>
  <c r="AE37" i="15"/>
  <c r="AF37" i="15"/>
  <c r="AL21" i="15"/>
  <c r="AE21" i="15"/>
  <c r="AF21" i="15"/>
  <c r="AL45" i="15"/>
  <c r="AF45" i="15"/>
  <c r="AE45" i="15"/>
  <c r="AL50" i="15"/>
  <c r="AF50" i="15"/>
  <c r="AE50" i="15"/>
  <c r="AL66" i="15"/>
  <c r="AF66" i="15"/>
  <c r="AE66" i="15"/>
  <c r="AL59" i="15"/>
  <c r="AF59" i="15"/>
  <c r="AE59" i="15"/>
  <c r="AE89" i="15"/>
  <c r="AF89" i="15"/>
  <c r="AL90" i="15"/>
  <c r="AE90" i="15"/>
  <c r="AF90" i="15"/>
  <c r="AL92" i="15"/>
  <c r="AF92" i="15"/>
  <c r="AE92" i="15"/>
  <c r="AF110" i="15"/>
  <c r="AE110" i="15"/>
  <c r="AE117" i="15"/>
  <c r="AF117" i="15"/>
  <c r="AL78" i="15"/>
  <c r="AF78" i="15"/>
  <c r="AE78" i="15"/>
  <c r="AL23" i="15"/>
  <c r="AE23" i="15"/>
  <c r="AF23" i="15"/>
  <c r="AL64" i="15"/>
  <c r="AE64" i="15"/>
  <c r="AF64" i="15"/>
  <c r="AL98" i="15"/>
  <c r="AE98" i="15"/>
  <c r="AF98" i="15"/>
  <c r="AL22" i="15"/>
  <c r="AE22" i="15"/>
  <c r="AF22" i="15"/>
  <c r="AL91" i="15"/>
  <c r="AE91" i="15"/>
  <c r="AF91" i="15"/>
  <c r="AL38" i="15"/>
  <c r="AE38" i="15"/>
  <c r="AF38" i="15"/>
  <c r="AL81" i="15"/>
  <c r="AE81" i="15"/>
  <c r="AF81" i="15"/>
  <c r="AL97" i="15"/>
  <c r="AE97" i="15"/>
  <c r="AF97" i="15"/>
  <c r="AL118" i="15"/>
  <c r="AF118" i="15"/>
  <c r="AE118" i="15"/>
  <c r="AL7" i="15"/>
  <c r="AE7" i="15"/>
  <c r="AF7" i="15"/>
  <c r="AL55" i="15"/>
  <c r="AF55" i="15"/>
  <c r="AE55" i="15"/>
  <c r="AL71" i="15"/>
  <c r="AF71" i="15"/>
  <c r="AE71" i="15"/>
  <c r="AL9" i="15"/>
  <c r="AF9" i="15"/>
  <c r="AE9" i="15"/>
  <c r="AF40" i="15"/>
  <c r="AE40" i="15"/>
  <c r="AL16" i="15"/>
  <c r="AE16" i="15"/>
  <c r="AF16" i="15"/>
  <c r="AJ16" i="15" s="1"/>
  <c r="AE32" i="15"/>
  <c r="AF32" i="15"/>
  <c r="AL14" i="15"/>
  <c r="AE14" i="15"/>
  <c r="AF14" i="15"/>
  <c r="AL35" i="15"/>
  <c r="AE35" i="15"/>
  <c r="AF35" i="15"/>
  <c r="AL54" i="15"/>
  <c r="AF54" i="15"/>
  <c r="AE54" i="15"/>
  <c r="AL56" i="15"/>
  <c r="AF56" i="15"/>
  <c r="AE56" i="15"/>
  <c r="AL67" i="15"/>
  <c r="AE67" i="15"/>
  <c r="AF67" i="15"/>
  <c r="AE77" i="15"/>
  <c r="AF77" i="15"/>
  <c r="AL75" i="15"/>
  <c r="AE75" i="15"/>
  <c r="AF75" i="15"/>
  <c r="AE93" i="15"/>
  <c r="AF93" i="15"/>
  <c r="AL108" i="15"/>
  <c r="AF108" i="15"/>
  <c r="AE108" i="15"/>
  <c r="AL114" i="15"/>
  <c r="AF114" i="15"/>
  <c r="AE114" i="15"/>
  <c r="AL20" i="15"/>
  <c r="AE20" i="15"/>
  <c r="AF20" i="15"/>
  <c r="AL27" i="15"/>
  <c r="AE27" i="15"/>
  <c r="AJ27" i="15" s="1"/>
  <c r="AF27" i="15"/>
  <c r="AK27" i="15" s="1"/>
  <c r="AL94" i="15"/>
  <c r="AE94" i="15"/>
  <c r="AF94" i="15"/>
  <c r="AL113" i="15"/>
  <c r="AE113" i="15"/>
  <c r="AF113" i="15"/>
  <c r="AL88" i="15"/>
  <c r="AF88" i="15"/>
  <c r="AE88" i="15"/>
  <c r="AL106" i="15"/>
  <c r="AF106" i="15"/>
  <c r="AE106" i="15"/>
  <c r="AL107" i="15"/>
  <c r="AE107" i="15"/>
  <c r="AF107" i="15"/>
  <c r="AL115" i="15"/>
  <c r="AE115" i="15"/>
  <c r="AF115" i="15"/>
  <c r="AL61" i="15"/>
  <c r="AF61" i="15"/>
  <c r="AE61" i="15"/>
  <c r="AL8" i="15"/>
  <c r="AE8" i="15"/>
  <c r="AF8" i="15"/>
  <c r="AE48" i="15"/>
  <c r="AF48" i="15"/>
  <c r="AL76" i="15"/>
  <c r="AE76" i="15"/>
  <c r="AF76" i="15"/>
  <c r="AL83" i="15"/>
  <c r="AE83" i="15"/>
  <c r="AF83" i="15"/>
  <c r="AL39" i="15"/>
  <c r="AF39" i="15"/>
  <c r="AE39" i="15"/>
  <c r="AL3" i="15"/>
  <c r="AE3" i="15"/>
  <c r="AF3" i="15"/>
  <c r="AK3" i="15" s="1"/>
  <c r="AL34" i="15"/>
  <c r="AF34" i="15"/>
  <c r="AE34" i="15"/>
  <c r="AF5" i="15"/>
  <c r="AE5" i="15"/>
  <c r="AL17" i="15"/>
  <c r="AF17" i="15"/>
  <c r="AE17" i="15"/>
  <c r="AF46" i="15"/>
  <c r="AE46" i="15"/>
  <c r="AF19" i="15"/>
  <c r="AE19" i="15"/>
  <c r="AL65" i="15"/>
  <c r="AE65" i="15"/>
  <c r="AF65" i="15"/>
  <c r="AL69" i="15"/>
  <c r="AF69" i="15"/>
  <c r="AE69" i="15"/>
  <c r="AL74" i="15"/>
  <c r="AF74" i="15"/>
  <c r="AE74" i="15"/>
  <c r="AL82" i="15"/>
  <c r="AF82" i="15"/>
  <c r="AE82" i="15"/>
  <c r="AE95" i="15"/>
  <c r="AF95" i="15"/>
  <c r="AL111" i="15"/>
  <c r="AE111" i="15"/>
  <c r="AF111" i="15"/>
  <c r="AL119" i="15"/>
  <c r="AF119" i="15"/>
  <c r="AE119" i="15"/>
  <c r="AL10" i="15"/>
  <c r="AF10" i="15"/>
  <c r="AE10" i="15"/>
  <c r="AL25" i="15"/>
  <c r="AF25" i="15"/>
  <c r="AE25" i="15"/>
  <c r="AE47" i="15"/>
  <c r="AF47" i="15"/>
  <c r="AF51" i="15"/>
  <c r="AE51" i="15"/>
  <c r="AF42" i="15"/>
  <c r="AE42" i="15"/>
  <c r="AL24" i="15"/>
  <c r="AF24" i="15"/>
  <c r="AE24" i="15"/>
  <c r="AL52" i="15"/>
  <c r="AF52" i="15"/>
  <c r="AE52" i="15"/>
  <c r="AL58" i="15"/>
  <c r="AF58" i="15"/>
  <c r="AE58" i="15"/>
  <c r="AL68" i="15"/>
  <c r="AE68" i="15"/>
  <c r="AF68" i="15"/>
  <c r="AL73" i="15"/>
  <c r="AE73" i="15"/>
  <c r="AF73" i="15"/>
  <c r="AE15" i="15"/>
  <c r="AF15" i="15"/>
  <c r="AL79" i="15"/>
  <c r="AF79" i="15"/>
  <c r="AE79" i="15"/>
  <c r="AL41" i="15"/>
  <c r="AF41" i="15"/>
  <c r="AE41" i="15"/>
  <c r="AL12" i="15"/>
  <c r="AE12" i="15"/>
  <c r="AF12" i="15"/>
  <c r="AF44" i="15"/>
  <c r="AE44" i="15"/>
  <c r="AL6" i="15"/>
  <c r="AE6" i="15"/>
  <c r="AF6" i="15"/>
  <c r="AL33" i="15"/>
  <c r="AF33" i="15"/>
  <c r="AE33" i="15"/>
  <c r="AF11" i="15"/>
  <c r="AE11" i="15"/>
  <c r="AL49" i="15"/>
  <c r="AF49" i="15"/>
  <c r="AE49" i="15"/>
  <c r="AL57" i="15"/>
  <c r="AF57" i="15"/>
  <c r="AE57" i="15"/>
  <c r="AL63" i="15"/>
  <c r="AF63" i="15"/>
  <c r="AE63" i="15"/>
  <c r="AJ63" i="15" s="1"/>
  <c r="AE72" i="15"/>
  <c r="AF72" i="15"/>
  <c r="AL84" i="15"/>
  <c r="AE84" i="15"/>
  <c r="AF84" i="15"/>
  <c r="AL80" i="15"/>
  <c r="AF80" i="15"/>
  <c r="AE80" i="15"/>
  <c r="AL105" i="15"/>
  <c r="AE105" i="15"/>
  <c r="AF105" i="15"/>
  <c r="AL116" i="15"/>
  <c r="AE116" i="15"/>
  <c r="AF116" i="15"/>
  <c r="AL87" i="15"/>
  <c r="AE87" i="15"/>
  <c r="AF87" i="15"/>
  <c r="AL3" i="19"/>
  <c r="AL6" i="19"/>
  <c r="AE12" i="19"/>
  <c r="AL12" i="19"/>
  <c r="AL4" i="19"/>
  <c r="AE10" i="19"/>
  <c r="AL10" i="19"/>
  <c r="AL2" i="19"/>
  <c r="AL5" i="19"/>
  <c r="AE11" i="19"/>
  <c r="AL11" i="19"/>
  <c r="AL37" i="16"/>
  <c r="AE37" i="16"/>
  <c r="AF37" i="16"/>
  <c r="AL77" i="16"/>
  <c r="AF77" i="16"/>
  <c r="AE77" i="16"/>
  <c r="AL84" i="16"/>
  <c r="AF84" i="16"/>
  <c r="AE84" i="16"/>
  <c r="AL80" i="16"/>
  <c r="AE80" i="16"/>
  <c r="AF80" i="16"/>
  <c r="AL82" i="16"/>
  <c r="AE82" i="16"/>
  <c r="AF82" i="16"/>
  <c r="AI82" i="16" s="1"/>
  <c r="AL72" i="16"/>
  <c r="AF72" i="16"/>
  <c r="AE72" i="16"/>
  <c r="AL83" i="16"/>
  <c r="AE83" i="16"/>
  <c r="AF83" i="16"/>
  <c r="AL88" i="16"/>
  <c r="AF88" i="16"/>
  <c r="AE88" i="16"/>
  <c r="AL35" i="16"/>
  <c r="AF35" i="16"/>
  <c r="AE35" i="16"/>
  <c r="AL78" i="16"/>
  <c r="AF78" i="16"/>
  <c r="AE78" i="16"/>
  <c r="AL86" i="16"/>
  <c r="AE86" i="16"/>
  <c r="AF86" i="16"/>
  <c r="AL71" i="16"/>
  <c r="AF71" i="16"/>
  <c r="AE71" i="16"/>
  <c r="AL90" i="16"/>
  <c r="AE90" i="16"/>
  <c r="AF90" i="16"/>
  <c r="AL79" i="16"/>
  <c r="AE79" i="16"/>
  <c r="AF79" i="16"/>
  <c r="AL70" i="16"/>
  <c r="AF70" i="16"/>
  <c r="AE70" i="16"/>
  <c r="AL34" i="16"/>
  <c r="AE34" i="16"/>
  <c r="AF34" i="16"/>
  <c r="AL73" i="16"/>
  <c r="AF73" i="16"/>
  <c r="AE73" i="16"/>
  <c r="AL89" i="16"/>
  <c r="AF89" i="16"/>
  <c r="AE89" i="16"/>
  <c r="AL67" i="16"/>
  <c r="AF67" i="16"/>
  <c r="AE67" i="16"/>
  <c r="AL21" i="16"/>
  <c r="AE21" i="16"/>
  <c r="AF21" i="16"/>
  <c r="AL22" i="16"/>
  <c r="AF22" i="16"/>
  <c r="AE22" i="16"/>
  <c r="AL25" i="16"/>
  <c r="AF25" i="16"/>
  <c r="AE25" i="16"/>
  <c r="AL24" i="16"/>
  <c r="AE24" i="16"/>
  <c r="AF24" i="16"/>
  <c r="AL16" i="16"/>
  <c r="AF16" i="16"/>
  <c r="AE16" i="16"/>
  <c r="AE17" i="16"/>
  <c r="AF17" i="16"/>
  <c r="AL11" i="16"/>
  <c r="AF11" i="16"/>
  <c r="AE11" i="16"/>
  <c r="AL20" i="16"/>
  <c r="AF20" i="16"/>
  <c r="AE20" i="16"/>
  <c r="AL15" i="16"/>
  <c r="AF15" i="16"/>
  <c r="AE15" i="16"/>
  <c r="AL18" i="16"/>
  <c r="AF18" i="16"/>
  <c r="AE18" i="16"/>
  <c r="AL12" i="16"/>
  <c r="AE12" i="16"/>
  <c r="AH12" i="16" s="1"/>
  <c r="AF12" i="16"/>
  <c r="AL10" i="16"/>
  <c r="AF10" i="16"/>
  <c r="AE10" i="16"/>
  <c r="AL13" i="16"/>
  <c r="AF13" i="16"/>
  <c r="AE13" i="16"/>
  <c r="AH13" i="16" s="1"/>
  <c r="AL19" i="16"/>
  <c r="AF19" i="16"/>
  <c r="AE19" i="16"/>
  <c r="AL23" i="16"/>
  <c r="AF23" i="16"/>
  <c r="AE23" i="16"/>
  <c r="AL76" i="16"/>
  <c r="AF76" i="16"/>
  <c r="AE76" i="16"/>
  <c r="AL93" i="16"/>
  <c r="AE93" i="16"/>
  <c r="AF93" i="16"/>
  <c r="AL56" i="16"/>
  <c r="AF56" i="16"/>
  <c r="AE56" i="16"/>
  <c r="AL14" i="16"/>
  <c r="AF14" i="16"/>
  <c r="AE14" i="16"/>
  <c r="AL30" i="16"/>
  <c r="AF30" i="16"/>
  <c r="AE30" i="16"/>
  <c r="AL66" i="16"/>
  <c r="AF66" i="16"/>
  <c r="AE66" i="16"/>
  <c r="AL31" i="16"/>
  <c r="AE31" i="16"/>
  <c r="AF31" i="16"/>
  <c r="AL4" i="16"/>
  <c r="AE4" i="16"/>
  <c r="AF4" i="16"/>
  <c r="AL51" i="16"/>
  <c r="AF51" i="16"/>
  <c r="AE51" i="16"/>
  <c r="AL27" i="16"/>
  <c r="AF27" i="16"/>
  <c r="AE27" i="16"/>
  <c r="AL68" i="16"/>
  <c r="AE68" i="16"/>
  <c r="AF68" i="16"/>
  <c r="AL28" i="16"/>
  <c r="AF28" i="16"/>
  <c r="AE28" i="16"/>
  <c r="AL57" i="16"/>
  <c r="AF57" i="16"/>
  <c r="AE57" i="16"/>
  <c r="AL29" i="16"/>
  <c r="AE29" i="16"/>
  <c r="AF29" i="16"/>
  <c r="AL60" i="16"/>
  <c r="AF60" i="16"/>
  <c r="AE60" i="16"/>
  <c r="AL26" i="16"/>
  <c r="AF26" i="16"/>
  <c r="AE26" i="16"/>
  <c r="AL63" i="16"/>
  <c r="AF63" i="16"/>
  <c r="AK63" i="16" s="1"/>
  <c r="AE63" i="16"/>
  <c r="AL9" i="16"/>
  <c r="AF9" i="16"/>
  <c r="AE9" i="16"/>
  <c r="AL62" i="16"/>
  <c r="AE62" i="16"/>
  <c r="AH62" i="16" s="1"/>
  <c r="AF62" i="16"/>
  <c r="AI62" i="16" s="1"/>
  <c r="AL5" i="16"/>
  <c r="AF5" i="16"/>
  <c r="AE5" i="16"/>
  <c r="AL101" i="16"/>
  <c r="AF101" i="16"/>
  <c r="AE101" i="16"/>
  <c r="AL6" i="16"/>
  <c r="AE6" i="16"/>
  <c r="AF6" i="16"/>
  <c r="AL7" i="16"/>
  <c r="AE7" i="16"/>
  <c r="AF7" i="16"/>
  <c r="AL64" i="16"/>
  <c r="AF64" i="16"/>
  <c r="AE64" i="16"/>
  <c r="AL8" i="16"/>
  <c r="AF8" i="16"/>
  <c r="AE8" i="16"/>
  <c r="AL65" i="16"/>
  <c r="AE65" i="16"/>
  <c r="AF65" i="16"/>
  <c r="AL87" i="16"/>
  <c r="AE87" i="16"/>
  <c r="AF87" i="16"/>
  <c r="AL53" i="16"/>
  <c r="AF53" i="16"/>
  <c r="AE53" i="16"/>
  <c r="AL58" i="16"/>
  <c r="AE58" i="16"/>
  <c r="AF58" i="16"/>
  <c r="AE3" i="16"/>
  <c r="AF3" i="16"/>
  <c r="AL55" i="16"/>
  <c r="AE55" i="16"/>
  <c r="AF55" i="16"/>
  <c r="AL61" i="16"/>
  <c r="AF61" i="16"/>
  <c r="AE61" i="16"/>
  <c r="AL36" i="16"/>
  <c r="AF36" i="16"/>
  <c r="AE36" i="16"/>
  <c r="AL75" i="16"/>
  <c r="AF75" i="16"/>
  <c r="AE75" i="16"/>
  <c r="AL59" i="16"/>
  <c r="AE59" i="16"/>
  <c r="AF59" i="16"/>
  <c r="AL2" i="16"/>
  <c r="AF2" i="16"/>
  <c r="AH2" i="16" s="1"/>
  <c r="AE2" i="16"/>
  <c r="AL46" i="16"/>
  <c r="AF46" i="16"/>
  <c r="AE46" i="16"/>
  <c r="AL39" i="16"/>
  <c r="AF39" i="16"/>
  <c r="AE39" i="16"/>
  <c r="AL47" i="16"/>
  <c r="AE47" i="16"/>
  <c r="AF47" i="16"/>
  <c r="AL40" i="16"/>
  <c r="AE40" i="16"/>
  <c r="AF40" i="16"/>
  <c r="AL38" i="16"/>
  <c r="AE38" i="16"/>
  <c r="AF38" i="16"/>
  <c r="AL41" i="16"/>
  <c r="AE41" i="16"/>
  <c r="AF41" i="16"/>
  <c r="AL43" i="16"/>
  <c r="AE43" i="16"/>
  <c r="AF43" i="16"/>
  <c r="AL50" i="16"/>
  <c r="AE50" i="16"/>
  <c r="AF50" i="16"/>
  <c r="AL44" i="16"/>
  <c r="AF44" i="16"/>
  <c r="AE44" i="16"/>
  <c r="AL42" i="16"/>
  <c r="AF42" i="16"/>
  <c r="AE42" i="16"/>
  <c r="AL45" i="16"/>
  <c r="AE45" i="16"/>
  <c r="AF45" i="16"/>
  <c r="AL48" i="16"/>
  <c r="AF48" i="16"/>
  <c r="AE48" i="16"/>
  <c r="AL33" i="16"/>
  <c r="AE33" i="16"/>
  <c r="AF33" i="16"/>
  <c r="AE49" i="16"/>
  <c r="AF49" i="16"/>
  <c r="AL69" i="16"/>
  <c r="AE69" i="16"/>
  <c r="AF69" i="16"/>
  <c r="AL74" i="16"/>
  <c r="AE74" i="16"/>
  <c r="AF74" i="16"/>
  <c r="AL52" i="16"/>
  <c r="AE52" i="16"/>
  <c r="AF52" i="16"/>
  <c r="AL54" i="16"/>
  <c r="AF54" i="16"/>
  <c r="AE54" i="16"/>
  <c r="AL91" i="16"/>
  <c r="AF91" i="16"/>
  <c r="AE91" i="16"/>
  <c r="AL95" i="16"/>
  <c r="AF95" i="16"/>
  <c r="AE95" i="16"/>
  <c r="AF99" i="16"/>
  <c r="AE99" i="16"/>
  <c r="AL92" i="16"/>
  <c r="AF92" i="16"/>
  <c r="AE92" i="16"/>
  <c r="AL96" i="16"/>
  <c r="AE96" i="16"/>
  <c r="AF96" i="16"/>
  <c r="AL32" i="16"/>
  <c r="AF32" i="16"/>
  <c r="AE32" i="16"/>
  <c r="AL94" i="16"/>
  <c r="AF94" i="16"/>
  <c r="AE94" i="16"/>
  <c r="AL81" i="16"/>
  <c r="AF81" i="16"/>
  <c r="AE81" i="16"/>
  <c r="AF85" i="16"/>
  <c r="AJ85" i="16" s="1"/>
  <c r="AE85" i="16"/>
  <c r="AH85" i="16" s="1"/>
  <c r="AE554" i="12"/>
  <c r="AF554" i="12"/>
  <c r="AE326" i="12"/>
  <c r="AF326" i="12"/>
  <c r="AE423" i="12"/>
  <c r="AF423" i="12"/>
  <c r="AE339" i="12"/>
  <c r="AF339" i="12"/>
  <c r="AE41" i="12"/>
  <c r="AF41" i="12"/>
  <c r="AE279" i="12"/>
  <c r="AF279" i="12"/>
  <c r="AE20" i="12"/>
  <c r="AF20" i="12"/>
  <c r="AE13" i="12"/>
  <c r="AF13" i="12"/>
  <c r="AE55" i="12"/>
  <c r="AF55" i="12"/>
  <c r="AE460" i="12"/>
  <c r="AF460" i="12"/>
  <c r="AE301" i="12"/>
  <c r="AF301" i="12"/>
  <c r="AF208" i="12"/>
  <c r="AE208" i="12"/>
  <c r="AE148" i="12"/>
  <c r="AF148" i="12"/>
  <c r="AE161" i="12"/>
  <c r="AF161" i="12"/>
  <c r="AE136" i="12"/>
  <c r="AF136" i="12"/>
  <c r="AE318" i="12"/>
  <c r="AF318" i="12"/>
  <c r="AF458" i="12"/>
  <c r="AE458" i="12"/>
  <c r="AF383" i="12"/>
  <c r="AE383" i="12"/>
  <c r="AE437" i="12"/>
  <c r="AF437" i="12"/>
  <c r="AE436" i="12"/>
  <c r="AF436" i="12"/>
  <c r="AE515" i="12"/>
  <c r="AF515" i="12"/>
  <c r="AE11" i="12"/>
  <c r="AF11" i="12"/>
  <c r="AE25" i="12"/>
  <c r="AF25" i="12"/>
  <c r="AE492" i="12"/>
  <c r="AF492" i="12"/>
  <c r="AE102" i="12"/>
  <c r="AF102" i="12"/>
  <c r="AE80" i="12"/>
  <c r="AF80" i="12"/>
  <c r="AE75" i="12"/>
  <c r="AF75" i="12"/>
  <c r="AE270" i="12"/>
  <c r="AF270" i="12"/>
  <c r="AF177" i="12"/>
  <c r="AE177" i="12"/>
  <c r="AE122" i="12"/>
  <c r="AF122" i="12"/>
  <c r="AF248" i="12"/>
  <c r="AE248" i="12"/>
  <c r="AE164" i="12"/>
  <c r="AF164" i="12"/>
  <c r="AF166" i="12"/>
  <c r="AE166" i="12"/>
  <c r="AE229" i="12"/>
  <c r="AF229" i="12"/>
  <c r="AF105" i="12"/>
  <c r="AE105" i="12"/>
  <c r="AE342" i="12"/>
  <c r="AF342" i="12"/>
  <c r="AE273" i="12"/>
  <c r="AF273" i="12"/>
  <c r="AE473" i="12"/>
  <c r="AF473" i="12"/>
  <c r="AE528" i="12"/>
  <c r="AF528" i="12"/>
  <c r="AF241" i="12"/>
  <c r="AE241" i="12"/>
  <c r="AE290" i="12"/>
  <c r="AF290" i="12"/>
  <c r="AE207" i="12"/>
  <c r="AF207" i="12"/>
  <c r="AE430" i="12"/>
  <c r="AF430" i="12"/>
  <c r="AE491" i="12"/>
  <c r="AF491" i="12"/>
  <c r="AE68" i="12"/>
  <c r="AF68" i="12"/>
  <c r="AF226" i="12"/>
  <c r="AE226" i="12"/>
  <c r="AE94" i="12"/>
  <c r="AF94" i="12"/>
  <c r="AE478" i="12"/>
  <c r="AF478" i="12"/>
  <c r="AE282" i="12"/>
  <c r="AF282" i="12"/>
  <c r="AE370" i="12"/>
  <c r="AF370" i="12"/>
  <c r="AE319" i="12"/>
  <c r="AF319" i="12"/>
  <c r="AE347" i="12"/>
  <c r="AF347" i="12"/>
  <c r="AE439" i="12"/>
  <c r="AF439" i="12"/>
  <c r="AE281" i="12"/>
  <c r="AF281" i="12"/>
  <c r="AE73" i="12"/>
  <c r="AF73" i="12"/>
  <c r="AF253" i="12"/>
  <c r="AE253" i="12"/>
  <c r="AE38" i="12"/>
  <c r="AF38" i="12"/>
  <c r="AF567" i="12"/>
  <c r="AE567" i="12"/>
  <c r="AF93" i="12"/>
  <c r="AE93" i="12"/>
  <c r="AE454" i="12"/>
  <c r="AF454" i="12"/>
  <c r="AF258" i="12"/>
  <c r="AE258" i="12"/>
  <c r="AF275" i="12"/>
  <c r="AE275" i="12"/>
  <c r="AF237" i="12"/>
  <c r="AE237" i="12"/>
  <c r="AE204" i="12"/>
  <c r="AF204" i="12"/>
  <c r="AE403" i="12"/>
  <c r="AF403" i="12"/>
  <c r="AE323" i="12"/>
  <c r="AF323" i="12"/>
  <c r="AF376" i="12"/>
  <c r="AE376" i="12"/>
  <c r="AE103" i="12"/>
  <c r="AF103" i="12"/>
  <c r="AE292" i="12"/>
  <c r="AF292" i="12"/>
  <c r="AF182" i="12"/>
  <c r="AE182" i="12"/>
  <c r="AE571" i="12"/>
  <c r="AF571" i="12"/>
  <c r="AF336" i="12"/>
  <c r="AE336" i="12"/>
  <c r="AE440" i="12"/>
  <c r="AF440" i="12"/>
  <c r="AE147" i="12"/>
  <c r="AF147" i="12"/>
  <c r="AE325" i="12"/>
  <c r="AF325" i="12"/>
  <c r="AE240" i="12"/>
  <c r="AF240" i="12"/>
  <c r="AF114" i="12"/>
  <c r="AE114" i="12"/>
  <c r="AE90" i="12"/>
  <c r="AF90" i="12"/>
  <c r="AF356" i="12"/>
  <c r="AE356" i="12"/>
  <c r="AE268" i="12"/>
  <c r="AF268" i="12"/>
  <c r="AF471" i="12"/>
  <c r="AE471" i="12"/>
  <c r="AF415" i="12"/>
  <c r="AE415" i="12"/>
  <c r="AE140" i="12"/>
  <c r="AF140" i="12"/>
  <c r="AF151" i="12"/>
  <c r="AE151" i="12"/>
  <c r="AE95" i="12"/>
  <c r="AF95" i="12"/>
  <c r="AE222" i="12"/>
  <c r="AF222" i="12"/>
  <c r="AE276" i="12"/>
  <c r="AF276" i="12"/>
  <c r="AE346" i="12"/>
  <c r="AF346" i="12"/>
  <c r="AF549" i="12"/>
  <c r="AE549" i="12"/>
  <c r="AE264" i="12"/>
  <c r="AF264" i="12"/>
  <c r="AF142" i="12"/>
  <c r="AE142" i="12"/>
  <c r="AE441" i="12"/>
  <c r="AF441" i="12"/>
  <c r="AF305" i="12"/>
  <c r="AE305" i="12"/>
  <c r="AE564" i="12"/>
  <c r="AF564" i="12"/>
  <c r="AF266" i="12"/>
  <c r="AE266" i="12"/>
  <c r="AE367" i="12"/>
  <c r="AF367" i="12"/>
  <c r="AE434" i="12"/>
  <c r="AF434" i="12"/>
  <c r="AE371" i="12"/>
  <c r="AF371" i="12"/>
  <c r="AE550" i="12"/>
  <c r="AF550" i="12"/>
  <c r="AE362" i="12"/>
  <c r="AF362" i="12"/>
  <c r="AE156" i="12"/>
  <c r="AF156" i="12"/>
  <c r="AE295" i="12"/>
  <c r="AF295" i="12"/>
  <c r="AE54" i="12"/>
  <c r="AF54" i="12"/>
  <c r="AF476" i="12"/>
  <c r="AE476" i="12"/>
  <c r="AF194" i="12"/>
  <c r="AE194" i="12"/>
  <c r="AE173" i="12"/>
  <c r="AF173" i="12"/>
  <c r="AE363" i="12"/>
  <c r="AF363" i="12"/>
  <c r="AE565" i="12"/>
  <c r="AF565" i="12"/>
  <c r="AE56" i="12"/>
  <c r="AF56" i="12"/>
  <c r="AF261" i="12"/>
  <c r="AE261" i="12"/>
  <c r="AE33" i="12"/>
  <c r="AF33" i="12"/>
  <c r="AE16" i="12"/>
  <c r="AF16" i="12"/>
  <c r="AE30" i="12"/>
  <c r="AF30" i="12"/>
  <c r="AE192" i="12"/>
  <c r="AF192" i="12"/>
  <c r="AE5" i="12"/>
  <c r="AF5" i="12"/>
  <c r="AE257" i="12"/>
  <c r="AF257" i="12"/>
  <c r="AE24" i="12"/>
  <c r="AF24" i="12"/>
  <c r="AE490" i="12"/>
  <c r="AF490" i="12"/>
  <c r="AE84" i="12"/>
  <c r="AF84" i="12"/>
  <c r="AE464" i="12"/>
  <c r="AF464" i="12"/>
  <c r="AE251" i="12"/>
  <c r="AF251" i="12"/>
  <c r="AF306" i="12"/>
  <c r="AE306" i="12"/>
  <c r="AE286" i="12"/>
  <c r="AF286" i="12"/>
  <c r="AE368" i="12"/>
  <c r="AF368" i="12"/>
  <c r="AE69" i="12"/>
  <c r="AF69" i="12"/>
  <c r="AE197" i="12"/>
  <c r="AF197" i="12"/>
  <c r="AE285" i="12"/>
  <c r="AF285" i="12"/>
  <c r="AE210" i="12"/>
  <c r="AF210" i="12"/>
  <c r="AE418" i="12"/>
  <c r="AF418" i="12"/>
  <c r="AE280" i="12"/>
  <c r="AF280" i="12"/>
  <c r="AE129" i="12"/>
  <c r="AF129" i="12"/>
  <c r="AE106" i="12"/>
  <c r="AF106" i="12"/>
  <c r="AE12" i="12"/>
  <c r="AF12" i="12"/>
  <c r="AE360" i="12"/>
  <c r="AF360" i="12"/>
  <c r="AE300" i="12"/>
  <c r="AF300" i="12"/>
  <c r="AE312" i="12"/>
  <c r="AF312" i="12"/>
  <c r="AE413" i="12"/>
  <c r="AF413" i="12"/>
  <c r="AF345" i="12"/>
  <c r="AE345" i="12"/>
  <c r="AE154" i="12"/>
  <c r="AF154" i="12"/>
  <c r="AE205" i="12"/>
  <c r="AF205" i="12"/>
  <c r="AE91" i="12"/>
  <c r="AF91" i="12"/>
  <c r="AF361" i="12"/>
  <c r="AE361" i="12"/>
  <c r="AE158" i="12"/>
  <c r="AF158" i="12"/>
  <c r="AE381" i="12"/>
  <c r="AF381" i="12"/>
  <c r="AE117" i="12"/>
  <c r="AF117" i="12"/>
  <c r="AE40" i="12"/>
  <c r="AF40" i="12"/>
  <c r="AF311" i="12"/>
  <c r="AE311" i="12"/>
  <c r="AE19" i="12"/>
  <c r="AF19" i="12"/>
  <c r="AE227" i="12"/>
  <c r="AF227" i="12"/>
  <c r="AE82" i="12"/>
  <c r="AF82" i="12"/>
  <c r="AE321" i="12"/>
  <c r="AF321" i="12"/>
  <c r="AF500" i="12"/>
  <c r="AE500" i="12"/>
  <c r="AE332" i="12"/>
  <c r="AF332" i="12"/>
  <c r="AE135" i="12"/>
  <c r="AF135" i="12"/>
  <c r="AE48" i="12"/>
  <c r="AF48" i="12"/>
  <c r="AE359" i="12"/>
  <c r="AF359" i="12"/>
  <c r="AF215" i="12"/>
  <c r="AE215" i="12"/>
  <c r="AE79" i="12"/>
  <c r="AF79" i="12"/>
  <c r="AE202" i="12"/>
  <c r="AF202" i="12"/>
  <c r="AE4" i="12"/>
  <c r="AF4" i="12"/>
  <c r="AE254" i="12"/>
  <c r="AF254" i="12"/>
  <c r="AE527" i="12"/>
  <c r="AF527" i="12"/>
  <c r="AE395" i="12"/>
  <c r="AF395" i="12"/>
  <c r="AE126" i="12"/>
  <c r="AF126" i="12"/>
  <c r="AE59" i="12"/>
  <c r="AF59" i="12"/>
  <c r="AE57" i="12"/>
  <c r="AF57" i="12"/>
  <c r="AF150" i="12"/>
  <c r="AE150" i="12"/>
  <c r="AE176" i="12"/>
  <c r="AF176" i="12"/>
  <c r="AF87" i="12"/>
  <c r="AE87" i="12"/>
  <c r="AE245" i="12"/>
  <c r="AF245" i="12"/>
  <c r="AF67" i="12"/>
  <c r="AE67" i="12"/>
  <c r="AE366" i="12"/>
  <c r="AF366" i="12"/>
  <c r="AE217" i="12"/>
  <c r="AF217" i="12"/>
  <c r="AE343" i="12"/>
  <c r="AF343" i="12"/>
  <c r="AE228" i="12"/>
  <c r="AF228" i="12"/>
  <c r="AF159" i="12"/>
  <c r="AE159" i="12"/>
  <c r="AE269" i="12"/>
  <c r="AF269" i="12"/>
  <c r="AE337" i="12"/>
  <c r="AF337" i="12"/>
  <c r="AE357" i="12"/>
  <c r="AF357" i="12"/>
  <c r="AE170" i="12"/>
  <c r="AF170" i="12"/>
  <c r="AE178" i="12"/>
  <c r="AF178" i="12"/>
  <c r="AE157" i="12"/>
  <c r="AF157" i="12"/>
  <c r="AF389" i="12"/>
  <c r="AE389" i="12"/>
  <c r="AE42" i="12"/>
  <c r="AF42" i="12"/>
  <c r="AE71" i="12"/>
  <c r="AF71" i="12"/>
  <c r="AE201" i="12"/>
  <c r="AF201" i="12"/>
  <c r="AE223" i="12"/>
  <c r="AF223" i="12"/>
  <c r="AE250" i="12"/>
  <c r="AF250" i="12"/>
  <c r="AE451" i="12"/>
  <c r="AF451" i="12"/>
  <c r="AE116" i="12"/>
  <c r="AF116" i="12"/>
  <c r="AE353" i="12"/>
  <c r="AF353" i="12"/>
  <c r="AE249" i="12"/>
  <c r="AF249" i="12"/>
  <c r="AE221" i="12"/>
  <c r="AF221" i="12"/>
  <c r="AE119" i="12"/>
  <c r="AF119" i="12"/>
  <c r="AE425" i="12"/>
  <c r="AF425" i="12"/>
  <c r="AF546" i="12"/>
  <c r="AE546" i="12"/>
  <c r="AE242" i="12"/>
  <c r="AF242" i="12"/>
  <c r="AF405" i="12"/>
  <c r="AE405" i="12"/>
  <c r="AE419" i="12"/>
  <c r="AF419" i="12"/>
  <c r="AE2" i="12"/>
  <c r="AF2" i="12"/>
  <c r="AE291" i="12"/>
  <c r="AF291" i="12"/>
  <c r="AE462" i="12"/>
  <c r="AF462" i="12"/>
  <c r="AE23" i="12"/>
  <c r="AF23" i="12"/>
  <c r="AE18" i="12"/>
  <c r="AF18" i="12"/>
  <c r="AE101" i="12"/>
  <c r="AF101" i="12"/>
  <c r="AF287" i="12"/>
  <c r="AE287" i="12"/>
  <c r="AE46" i="12"/>
  <c r="AF46" i="12"/>
  <c r="AE239" i="12"/>
  <c r="AF239" i="12"/>
  <c r="AE74" i="12"/>
  <c r="AF74" i="12"/>
  <c r="AE566" i="12"/>
  <c r="AF566" i="12"/>
  <c r="AE3" i="12"/>
  <c r="AF3" i="12"/>
  <c r="AE576" i="12"/>
  <c r="AF576" i="12"/>
  <c r="AE49" i="12"/>
  <c r="AF49" i="12"/>
  <c r="AE333" i="12"/>
  <c r="AF333" i="12"/>
  <c r="AE569" i="12"/>
  <c r="AF569" i="12"/>
  <c r="AE328" i="12"/>
  <c r="AF328" i="12"/>
  <c r="AE411" i="12"/>
  <c r="AF411" i="12"/>
  <c r="AE341" i="12"/>
  <c r="AF341" i="12"/>
  <c r="AE167" i="12"/>
  <c r="AF167" i="12"/>
  <c r="AE50" i="12"/>
  <c r="AF50" i="12"/>
  <c r="AE169" i="12"/>
  <c r="AF169" i="12"/>
  <c r="AE406" i="12"/>
  <c r="AF406" i="12"/>
  <c r="AF372" i="12"/>
  <c r="AE372" i="12"/>
  <c r="AE181" i="12"/>
  <c r="AF181" i="12"/>
  <c r="AE416" i="12"/>
  <c r="AF416" i="12"/>
  <c r="AE514" i="12"/>
  <c r="AF514" i="12"/>
  <c r="AE130" i="12"/>
  <c r="AF130" i="12"/>
  <c r="AE235" i="12"/>
  <c r="AF235" i="12"/>
  <c r="AE32" i="12"/>
  <c r="AF32" i="12"/>
  <c r="AE15" i="12"/>
  <c r="AF15" i="12"/>
  <c r="AF9" i="12"/>
  <c r="AE9" i="12"/>
  <c r="AE445" i="12"/>
  <c r="AF445" i="12"/>
  <c r="AE387" i="12"/>
  <c r="AF387" i="12"/>
  <c r="AE190" i="12"/>
  <c r="AF190" i="12"/>
  <c r="AE163" i="12"/>
  <c r="AF163" i="12"/>
  <c r="AE304" i="12"/>
  <c r="AF304" i="12"/>
  <c r="AE272" i="12"/>
  <c r="AF272" i="12"/>
  <c r="AE189" i="12"/>
  <c r="AF189" i="12"/>
  <c r="AF494" i="12"/>
  <c r="AE494" i="12"/>
  <c r="AE98" i="12"/>
  <c r="AF98" i="12"/>
  <c r="AF77" i="12"/>
  <c r="AE77" i="12"/>
  <c r="AE141" i="12"/>
  <c r="AF141" i="12"/>
  <c r="AE350" i="12"/>
  <c r="AF350" i="12"/>
  <c r="AE331" i="12"/>
  <c r="AF331" i="12"/>
  <c r="AF260" i="12"/>
  <c r="AE260" i="12"/>
  <c r="AE493" i="12"/>
  <c r="AF493" i="12"/>
  <c r="AE497" i="12"/>
  <c r="AF497" i="12"/>
  <c r="AE351" i="12"/>
  <c r="AF351" i="12"/>
  <c r="AE496" i="12"/>
  <c r="AF496" i="12"/>
  <c r="AE165" i="12"/>
  <c r="AF165" i="12"/>
  <c r="AE399" i="12"/>
  <c r="AF399" i="12"/>
  <c r="AE8" i="12"/>
  <c r="AF8" i="12"/>
  <c r="AF530" i="12"/>
  <c r="AE530" i="12"/>
  <c r="AE184" i="12"/>
  <c r="AF184" i="12"/>
  <c r="AF198" i="12"/>
  <c r="AE198" i="12"/>
  <c r="AE104" i="12"/>
  <c r="AF104" i="12"/>
  <c r="AE211" i="12"/>
  <c r="AF211" i="12"/>
  <c r="AF289" i="12"/>
  <c r="AE289" i="12"/>
  <c r="AE219" i="12"/>
  <c r="AF219" i="12"/>
  <c r="AF224" i="12"/>
  <c r="AE224" i="12"/>
  <c r="AF517" i="12"/>
  <c r="AE517" i="12"/>
  <c r="AE474" i="12"/>
  <c r="AF474" i="12"/>
  <c r="AE193" i="12"/>
  <c r="AF193" i="12"/>
  <c r="AE195" i="12"/>
  <c r="AF195" i="12"/>
  <c r="AE385" i="12"/>
  <c r="AF385" i="12"/>
  <c r="AE309" i="12"/>
  <c r="AF309" i="12"/>
  <c r="AF375" i="12"/>
  <c r="AE375" i="12"/>
  <c r="AE115" i="12"/>
  <c r="AF115" i="12"/>
  <c r="AE243" i="12"/>
  <c r="AF243" i="12"/>
  <c r="AE438" i="12"/>
  <c r="AF438" i="12"/>
  <c r="AE324" i="12"/>
  <c r="AF324" i="12"/>
  <c r="AE180" i="12"/>
  <c r="AF180" i="12"/>
  <c r="AE152" i="12"/>
  <c r="AF152" i="12"/>
  <c r="AE72" i="12"/>
  <c r="AF72" i="12"/>
  <c r="AE463" i="12"/>
  <c r="AF463" i="12"/>
  <c r="AF475" i="12"/>
  <c r="AE475" i="12"/>
  <c r="AE355" i="12"/>
  <c r="AF355" i="12"/>
  <c r="AE66" i="12"/>
  <c r="AF66" i="12"/>
  <c r="AF125" i="12"/>
  <c r="AE125" i="12"/>
  <c r="AE316" i="12"/>
  <c r="AF316" i="12"/>
  <c r="AE183" i="12"/>
  <c r="AF183" i="12"/>
  <c r="AE85" i="12"/>
  <c r="AF85" i="12"/>
  <c r="AF137" i="12"/>
  <c r="AE137" i="12"/>
  <c r="AF86" i="12"/>
  <c r="AE86" i="12"/>
  <c r="AF234" i="12"/>
  <c r="AE234" i="12"/>
  <c r="AE225" i="12"/>
  <c r="AF225" i="12"/>
  <c r="AE450" i="12"/>
  <c r="AF450" i="12"/>
  <c r="AE402" i="12"/>
  <c r="AF402" i="12"/>
  <c r="AE108" i="12"/>
  <c r="AF108" i="12"/>
  <c r="AE373" i="12"/>
  <c r="AF373" i="12"/>
  <c r="AE247" i="12"/>
  <c r="AF247" i="12"/>
  <c r="AE329" i="12"/>
  <c r="AF329" i="12"/>
  <c r="AE70" i="12"/>
  <c r="AF70" i="12"/>
  <c r="AE218" i="12"/>
  <c r="AF218" i="12"/>
  <c r="AE76" i="12"/>
  <c r="AF76" i="12"/>
  <c r="AE296" i="12"/>
  <c r="AF296" i="12"/>
  <c r="AE37" i="12"/>
  <c r="AF37" i="12"/>
  <c r="AE414" i="12"/>
  <c r="AF414" i="12"/>
  <c r="AF232" i="12"/>
  <c r="AE232" i="12"/>
  <c r="AE206" i="12"/>
  <c r="AF206" i="12"/>
  <c r="AE64" i="12"/>
  <c r="AF64" i="12"/>
  <c r="AE417" i="12"/>
  <c r="AF417" i="12"/>
  <c r="AF277" i="12"/>
  <c r="AE277" i="12"/>
  <c r="AE400" i="12"/>
  <c r="AF400" i="12"/>
  <c r="AE145" i="12"/>
  <c r="AF145" i="12"/>
  <c r="AE171" i="12"/>
  <c r="AF171" i="12"/>
  <c r="AE199" i="12"/>
  <c r="AF199" i="12"/>
  <c r="AF364" i="12"/>
  <c r="AE364" i="12"/>
  <c r="AE420" i="12"/>
  <c r="AF420" i="12"/>
  <c r="AE297" i="12"/>
  <c r="AF297" i="12"/>
  <c r="AF338" i="12"/>
  <c r="AE338" i="12"/>
  <c r="AE255" i="12"/>
  <c r="AF255" i="12"/>
  <c r="AF382" i="12"/>
  <c r="AE382" i="12"/>
  <c r="AE340" i="12"/>
  <c r="AF340" i="12"/>
  <c r="AF109" i="12"/>
  <c r="AE109" i="12"/>
  <c r="AE352" i="12"/>
  <c r="AF352" i="12"/>
  <c r="AF31" i="12"/>
  <c r="AE31" i="12"/>
  <c r="AE155" i="12"/>
  <c r="AF155" i="12"/>
  <c r="AE369" i="12"/>
  <c r="AF369" i="12"/>
  <c r="AF398" i="12"/>
  <c r="AE398" i="12"/>
  <c r="AE344" i="12"/>
  <c r="AF344" i="12"/>
  <c r="AF307" i="12"/>
  <c r="AE307" i="12"/>
  <c r="AE146" i="12"/>
  <c r="AF146" i="12"/>
  <c r="AE53" i="12"/>
  <c r="AF53" i="12"/>
  <c r="AE63" i="12"/>
  <c r="AF63" i="12"/>
  <c r="AE233" i="12"/>
  <c r="AF233" i="12"/>
  <c r="AF313" i="12"/>
  <c r="AE313" i="12"/>
  <c r="AF174" i="12"/>
  <c r="AE174" i="12"/>
  <c r="AE516" i="12"/>
  <c r="AF516" i="12"/>
  <c r="AE562" i="12"/>
  <c r="AF562" i="12"/>
  <c r="AE51" i="12"/>
  <c r="AF51" i="12"/>
  <c r="AE288" i="12"/>
  <c r="AF288" i="12"/>
  <c r="AE36" i="12"/>
  <c r="AF36" i="12"/>
  <c r="AF65" i="12"/>
  <c r="AE65" i="12"/>
  <c r="AE61" i="12"/>
  <c r="AF61" i="12"/>
  <c r="AE52" i="12"/>
  <c r="AF52" i="12"/>
  <c r="AE459" i="12"/>
  <c r="AF459" i="12"/>
  <c r="AE6" i="12"/>
  <c r="AF6" i="12"/>
  <c r="AE495" i="12"/>
  <c r="AF495" i="12"/>
  <c r="AE138" i="12"/>
  <c r="AF138" i="12"/>
  <c r="AE365" i="12"/>
  <c r="AF365" i="12"/>
  <c r="AE303" i="12"/>
  <c r="AF303" i="12"/>
  <c r="AE123" i="12"/>
  <c r="AF123" i="12"/>
  <c r="AE160" i="12"/>
  <c r="AF160" i="12"/>
  <c r="AE433" i="12"/>
  <c r="AF433" i="12"/>
  <c r="AE314" i="12"/>
  <c r="AF314" i="12"/>
  <c r="AE544" i="12"/>
  <c r="AF544" i="12"/>
  <c r="AE263" i="12"/>
  <c r="AF263" i="12"/>
  <c r="AE548" i="12"/>
  <c r="AF548" i="12"/>
  <c r="AE246" i="12"/>
  <c r="AF246" i="12"/>
  <c r="AF397" i="12"/>
  <c r="AE397" i="12"/>
  <c r="AE477" i="12"/>
  <c r="AF477" i="12"/>
  <c r="AE47" i="12"/>
  <c r="AF47" i="12"/>
  <c r="AE132" i="12"/>
  <c r="AF132" i="12"/>
  <c r="AE100" i="12"/>
  <c r="AF100" i="12"/>
  <c r="AE179" i="12"/>
  <c r="AF179" i="12"/>
  <c r="AF401" i="12"/>
  <c r="AE401" i="12"/>
  <c r="AF461" i="12"/>
  <c r="AE461" i="12"/>
  <c r="AE121" i="12"/>
  <c r="AF121" i="12"/>
  <c r="AE252" i="12"/>
  <c r="AF252" i="12"/>
  <c r="AE21" i="12"/>
  <c r="AF21" i="12"/>
  <c r="AE97" i="12"/>
  <c r="AF97" i="12"/>
  <c r="AF302" i="12"/>
  <c r="AE302" i="12"/>
  <c r="AF435" i="12"/>
  <c r="AE435" i="12"/>
  <c r="AE230" i="12"/>
  <c r="AF230" i="12"/>
  <c r="AE34" i="12"/>
  <c r="AF34" i="12"/>
  <c r="AE386" i="12"/>
  <c r="AF386" i="12"/>
  <c r="AE78" i="12"/>
  <c r="AF78" i="12"/>
  <c r="AE88" i="12"/>
  <c r="AF88" i="12"/>
  <c r="AF410" i="12"/>
  <c r="AE410" i="12"/>
  <c r="AE390" i="12"/>
  <c r="AF390" i="12"/>
  <c r="AE143" i="12"/>
  <c r="AF143" i="12"/>
  <c r="AE449" i="12"/>
  <c r="AF449" i="12"/>
  <c r="AE118" i="12"/>
  <c r="AF118" i="12"/>
  <c r="AE110" i="12"/>
  <c r="AF110" i="12"/>
  <c r="AF200" i="12"/>
  <c r="AE200" i="12"/>
  <c r="AE39" i="12"/>
  <c r="AF39" i="12"/>
  <c r="AE128" i="12"/>
  <c r="AF128" i="12"/>
  <c r="AE259" i="12"/>
  <c r="AF259" i="12"/>
  <c r="AE315" i="12"/>
  <c r="AF315" i="12"/>
  <c r="AE447" i="12"/>
  <c r="AF447" i="12"/>
  <c r="AE45" i="12"/>
  <c r="AF45" i="12"/>
  <c r="AE563" i="12"/>
  <c r="AF563" i="12"/>
  <c r="AE43" i="12"/>
  <c r="AF43" i="12"/>
  <c r="AE540" i="12"/>
  <c r="AF540" i="12"/>
  <c r="AE236" i="12"/>
  <c r="AF236" i="12"/>
  <c r="AE92" i="12"/>
  <c r="AF92" i="12"/>
  <c r="AE335" i="12"/>
  <c r="AF335" i="12"/>
  <c r="AE139" i="12"/>
  <c r="AF139" i="12"/>
  <c r="AE244" i="12"/>
  <c r="AF244" i="12"/>
  <c r="AE188" i="12"/>
  <c r="AF188" i="12"/>
  <c r="AF212" i="12"/>
  <c r="AE212" i="12"/>
  <c r="AE267" i="12"/>
  <c r="AF267" i="12"/>
  <c r="AE214" i="12"/>
  <c r="AF214" i="12"/>
  <c r="AE29" i="12"/>
  <c r="AF29" i="12"/>
  <c r="AE391" i="12"/>
  <c r="AF391" i="12"/>
  <c r="AE404" i="12"/>
  <c r="AF404" i="12"/>
  <c r="AE168" i="12"/>
  <c r="AF168" i="12"/>
  <c r="AE472" i="12"/>
  <c r="AF472" i="12"/>
  <c r="AE127" i="12"/>
  <c r="AF127" i="12"/>
  <c r="AE62" i="12"/>
  <c r="AF62" i="12"/>
  <c r="AF317" i="12"/>
  <c r="AE317" i="12"/>
  <c r="AF327" i="12"/>
  <c r="AE327" i="12"/>
  <c r="AE422" i="12"/>
  <c r="AF422" i="12"/>
  <c r="AE298" i="12"/>
  <c r="AF298" i="12"/>
  <c r="AE7" i="12"/>
  <c r="AF7" i="12"/>
  <c r="AF96" i="12"/>
  <c r="AE96" i="12"/>
  <c r="AE392" i="12"/>
  <c r="AF392" i="12"/>
  <c r="AE498" i="12"/>
  <c r="AF498" i="12"/>
  <c r="AE384" i="12"/>
  <c r="AF384" i="12"/>
  <c r="AF448" i="12"/>
  <c r="AE448" i="12"/>
  <c r="AE220" i="12"/>
  <c r="AF220" i="12"/>
  <c r="AE131" i="12"/>
  <c r="AF131" i="12"/>
  <c r="AE107" i="12"/>
  <c r="AF107" i="12"/>
  <c r="AF89" i="12"/>
  <c r="AE89" i="12"/>
  <c r="AE99" i="12"/>
  <c r="AF99" i="12"/>
  <c r="AE256" i="12"/>
  <c r="AF256" i="12"/>
  <c r="AF144" i="12"/>
  <c r="AE144" i="12"/>
  <c r="AE299" i="12"/>
  <c r="AF299" i="12"/>
  <c r="AF348" i="12"/>
  <c r="AE348" i="12"/>
  <c r="AE133" i="12"/>
  <c r="AF133" i="12"/>
  <c r="AF262" i="12"/>
  <c r="AE262" i="12"/>
  <c r="AE489" i="12"/>
  <c r="AF489" i="12"/>
  <c r="AE453" i="12"/>
  <c r="AF453" i="12"/>
  <c r="AF187" i="12"/>
  <c r="AE187" i="12"/>
  <c r="AE278" i="12"/>
  <c r="AF278" i="12"/>
  <c r="AF111" i="12"/>
  <c r="AE111" i="12"/>
  <c r="AE283" i="12"/>
  <c r="AF283" i="12"/>
  <c r="AE153" i="12"/>
  <c r="AF153" i="12"/>
  <c r="AF134" i="12"/>
  <c r="AE134" i="12"/>
  <c r="AE412" i="12"/>
  <c r="AF412" i="12"/>
  <c r="AF149" i="12"/>
  <c r="AE149" i="12"/>
  <c r="AE186" i="12"/>
  <c r="AF186" i="12"/>
  <c r="AE374" i="12"/>
  <c r="AF374" i="12"/>
  <c r="AE238" i="12"/>
  <c r="AF238" i="12"/>
  <c r="AE209" i="12"/>
  <c r="AF209" i="12"/>
  <c r="AE322" i="12"/>
  <c r="AF322" i="12"/>
  <c r="AE358" i="12"/>
  <c r="AF358" i="12"/>
  <c r="AE421" i="12"/>
  <c r="AF421" i="12"/>
  <c r="AE469" i="12"/>
  <c r="AF469" i="12"/>
  <c r="AF185" i="12"/>
  <c r="AE185" i="12"/>
  <c r="AE547" i="12"/>
  <c r="AF547" i="12"/>
  <c r="AF349" i="12"/>
  <c r="AE349" i="12"/>
  <c r="AE124" i="12"/>
  <c r="AF124" i="12"/>
  <c r="AE274" i="12"/>
  <c r="AF274" i="12"/>
  <c r="AE265" i="12"/>
  <c r="AF265" i="12"/>
  <c r="AE354" i="12"/>
  <c r="AF354" i="12"/>
  <c r="AF470" i="12"/>
  <c r="AE470" i="12"/>
  <c r="AE196" i="12"/>
  <c r="AF196" i="12"/>
  <c r="AF216" i="12"/>
  <c r="AE216" i="12"/>
  <c r="AE27" i="12"/>
  <c r="AF27" i="12"/>
  <c r="AE83" i="12"/>
  <c r="AF83" i="12"/>
  <c r="AE28" i="12"/>
  <c r="AF28" i="12"/>
  <c r="AF10" i="12"/>
  <c r="AE10" i="12"/>
  <c r="AE191" i="12"/>
  <c r="AF191" i="12"/>
  <c r="AE81" i="12"/>
  <c r="AF81" i="12"/>
  <c r="AE22" i="12"/>
  <c r="AF22" i="12"/>
  <c r="AE35" i="12"/>
  <c r="AF35" i="12"/>
  <c r="AE17" i="12"/>
  <c r="AF17" i="12"/>
  <c r="AF112" i="12"/>
  <c r="AE112" i="12"/>
  <c r="AE213" i="12"/>
  <c r="AF213" i="12"/>
  <c r="AE113" i="12"/>
  <c r="AF113" i="12"/>
  <c r="AF60" i="12"/>
  <c r="AE60" i="12"/>
  <c r="AE14" i="12"/>
  <c r="AF14" i="12"/>
  <c r="AE172" i="12"/>
  <c r="AF172" i="12"/>
  <c r="AE452" i="12"/>
  <c r="AF452" i="12"/>
  <c r="AE559" i="12"/>
  <c r="AF559" i="12"/>
  <c r="AF97" i="13"/>
  <c r="AE97" i="13"/>
  <c r="AF423" i="13"/>
  <c r="AE423" i="13"/>
  <c r="AE434" i="13"/>
  <c r="AF434" i="13"/>
  <c r="AF317" i="13"/>
  <c r="AE317" i="13"/>
  <c r="AF461" i="13"/>
  <c r="AE461" i="13"/>
  <c r="AF253" i="13"/>
  <c r="AE253" i="13"/>
  <c r="AE47" i="13"/>
  <c r="AF47" i="13"/>
  <c r="AF487" i="13"/>
  <c r="AE487" i="13"/>
  <c r="AE373" i="13"/>
  <c r="AF373" i="13"/>
  <c r="AF410" i="13"/>
  <c r="AE410" i="13"/>
  <c r="AF334" i="13"/>
  <c r="AE334" i="13"/>
  <c r="AF40" i="13"/>
  <c r="AE40" i="13"/>
  <c r="AF160" i="13"/>
  <c r="AE160" i="13"/>
  <c r="AF233" i="13"/>
  <c r="AE233" i="13"/>
  <c r="AF207" i="13"/>
  <c r="AE207" i="13"/>
  <c r="AF20" i="13"/>
  <c r="AE20" i="13"/>
  <c r="AF23" i="13"/>
  <c r="AE23" i="13"/>
  <c r="AF446" i="13"/>
  <c r="AE446" i="13"/>
  <c r="AF14" i="13"/>
  <c r="AE14" i="13"/>
  <c r="AF294" i="13"/>
  <c r="AE294" i="13"/>
  <c r="AF522" i="13"/>
  <c r="AE522" i="13"/>
  <c r="AF195" i="13"/>
  <c r="AE195" i="13"/>
  <c r="AF130" i="13"/>
  <c r="AE130" i="13"/>
  <c r="AF194" i="13"/>
  <c r="AE194" i="13"/>
  <c r="AF356" i="13"/>
  <c r="AE356" i="13"/>
  <c r="AF322" i="13"/>
  <c r="AE322" i="13"/>
  <c r="AF514" i="13"/>
  <c r="AE514" i="13"/>
  <c r="AF432" i="13"/>
  <c r="AE432" i="13"/>
  <c r="AF193" i="13"/>
  <c r="AE193" i="13"/>
  <c r="AF270" i="13"/>
  <c r="AE270" i="13"/>
  <c r="AF77" i="13"/>
  <c r="AE77" i="13"/>
  <c r="AF403" i="13"/>
  <c r="AE403" i="13"/>
  <c r="AF274" i="13"/>
  <c r="AE274" i="13"/>
  <c r="AF374" i="13"/>
  <c r="AE374" i="13"/>
  <c r="AF518" i="13"/>
  <c r="AE518" i="13"/>
  <c r="AF572" i="13"/>
  <c r="AE572" i="13"/>
  <c r="AF80" i="13"/>
  <c r="AE80" i="13"/>
  <c r="AF69" i="13"/>
  <c r="AE69" i="13"/>
  <c r="AF151" i="13"/>
  <c r="AE151" i="13"/>
  <c r="AF45" i="13"/>
  <c r="AE45" i="13"/>
  <c r="AF462" i="13"/>
  <c r="AE462" i="13"/>
  <c r="AF447" i="13"/>
  <c r="AE447" i="13"/>
  <c r="AF241" i="13"/>
  <c r="AE241" i="13"/>
  <c r="AF143" i="13"/>
  <c r="AE143" i="13"/>
  <c r="AF224" i="13"/>
  <c r="AE224" i="13"/>
  <c r="AF152" i="13"/>
  <c r="AE152" i="13"/>
  <c r="AF318" i="13"/>
  <c r="AE318" i="13"/>
  <c r="AF266" i="13"/>
  <c r="AE266" i="13"/>
  <c r="AF86" i="13"/>
  <c r="AE86" i="13"/>
  <c r="AF535" i="13"/>
  <c r="AE535" i="13"/>
  <c r="AF408" i="13"/>
  <c r="AE408" i="13"/>
  <c r="AF362" i="13"/>
  <c r="AE362" i="13"/>
  <c r="AF498" i="13"/>
  <c r="AE498" i="13"/>
  <c r="AF298" i="13"/>
  <c r="AE298" i="13"/>
  <c r="AF320" i="13"/>
  <c r="AE320" i="13"/>
  <c r="AF336" i="13"/>
  <c r="AE336" i="13"/>
  <c r="AF443" i="13"/>
  <c r="AE443" i="13"/>
  <c r="AF125" i="13"/>
  <c r="AE125" i="13"/>
  <c r="AF533" i="13"/>
  <c r="AE533" i="13"/>
  <c r="AF467" i="13"/>
  <c r="AE467" i="13"/>
  <c r="AF385" i="13"/>
  <c r="AE385" i="13"/>
  <c r="AF435" i="13"/>
  <c r="AE435" i="13"/>
  <c r="AF321" i="13"/>
  <c r="AE321" i="13"/>
  <c r="AF56" i="13"/>
  <c r="AE56" i="13"/>
  <c r="AF358" i="13"/>
  <c r="AE358" i="13"/>
  <c r="AF154" i="13"/>
  <c r="AE154" i="13"/>
  <c r="AF575" i="13"/>
  <c r="AE575" i="13"/>
  <c r="AF282" i="13"/>
  <c r="AE282" i="13"/>
  <c r="AF287" i="13"/>
  <c r="AE287" i="13"/>
  <c r="AF565" i="13"/>
  <c r="AE565" i="13"/>
  <c r="AF90" i="13"/>
  <c r="AE90" i="13"/>
  <c r="AF35" i="13"/>
  <c r="AE35" i="13"/>
  <c r="AF163" i="13"/>
  <c r="AE163" i="13"/>
  <c r="AF13" i="13"/>
  <c r="AE13" i="13"/>
  <c r="AF271" i="13"/>
  <c r="AE271" i="13"/>
  <c r="AF328" i="13"/>
  <c r="AE328" i="13"/>
  <c r="AF153" i="13"/>
  <c r="AE153" i="13"/>
  <c r="AF284" i="13"/>
  <c r="AE284" i="13"/>
  <c r="AF30" i="13"/>
  <c r="AE30" i="13"/>
  <c r="AF115" i="13"/>
  <c r="AE115" i="13"/>
  <c r="AF74" i="13"/>
  <c r="AE74" i="13"/>
  <c r="AF129" i="13"/>
  <c r="AE129" i="13"/>
  <c r="AF73" i="13"/>
  <c r="AE73" i="13"/>
  <c r="AF8" i="13"/>
  <c r="AE8" i="13"/>
  <c r="AF62" i="13"/>
  <c r="AE62" i="13"/>
  <c r="AF103" i="13"/>
  <c r="AE103" i="13"/>
  <c r="AF582" i="13"/>
  <c r="AE582" i="13"/>
  <c r="AF567" i="13"/>
  <c r="AE567" i="13"/>
  <c r="AF570" i="13"/>
  <c r="AE570" i="13"/>
  <c r="AF26" i="13"/>
  <c r="AE26" i="13"/>
  <c r="AF387" i="13"/>
  <c r="AE387" i="13"/>
  <c r="AF293" i="13"/>
  <c r="AE293" i="13"/>
  <c r="AF505" i="13"/>
  <c r="AE505" i="13"/>
  <c r="AF516" i="13"/>
  <c r="AE516" i="13"/>
  <c r="AF243" i="13"/>
  <c r="AE243" i="13"/>
  <c r="AF132" i="13"/>
  <c r="AE132" i="13"/>
  <c r="AF309" i="13"/>
  <c r="AE309" i="13"/>
  <c r="AF252" i="13"/>
  <c r="AE252" i="13"/>
  <c r="AF520" i="13"/>
  <c r="AE520" i="13"/>
  <c r="AF485" i="13"/>
  <c r="AE485" i="13"/>
  <c r="AF456" i="13"/>
  <c r="AE456" i="13"/>
  <c r="AF206" i="13"/>
  <c r="AE206" i="13"/>
  <c r="AF205" i="13"/>
  <c r="AE205" i="13"/>
  <c r="AF150" i="13"/>
  <c r="AE150" i="13"/>
  <c r="AF302" i="13"/>
  <c r="AE302" i="13"/>
  <c r="AF120" i="13"/>
  <c r="AE120" i="13"/>
  <c r="AF350" i="13"/>
  <c r="AE350" i="13"/>
  <c r="AF404" i="13"/>
  <c r="AE404" i="13"/>
  <c r="AF560" i="13"/>
  <c r="AE560" i="13"/>
  <c r="AF119" i="13"/>
  <c r="AE119" i="13"/>
  <c r="AF365" i="13"/>
  <c r="AE365" i="13"/>
  <c r="AF331" i="13"/>
  <c r="AE331" i="13"/>
  <c r="AF232" i="13"/>
  <c r="AE232" i="13"/>
  <c r="AF176" i="13"/>
  <c r="AE176" i="13"/>
  <c r="AF496" i="13"/>
  <c r="AE496" i="13"/>
  <c r="AF481" i="13"/>
  <c r="AE481" i="13"/>
  <c r="AF268" i="13"/>
  <c r="AE268" i="13"/>
  <c r="AF239" i="13"/>
  <c r="AE239" i="13"/>
  <c r="AF85" i="13"/>
  <c r="AE85" i="13"/>
  <c r="AF173" i="13"/>
  <c r="AE173" i="13"/>
  <c r="AF244" i="13"/>
  <c r="AE244" i="13"/>
  <c r="AF426" i="13"/>
  <c r="AE426" i="13"/>
  <c r="AF488" i="13"/>
  <c r="AE488" i="13"/>
  <c r="AF508" i="13"/>
  <c r="AE508" i="13"/>
  <c r="AF564" i="13"/>
  <c r="AE564" i="13"/>
  <c r="AF55" i="13"/>
  <c r="AE55" i="13"/>
  <c r="AF353" i="13"/>
  <c r="AE353" i="13"/>
  <c r="AF427" i="13"/>
  <c r="AE427" i="13"/>
  <c r="AF332" i="13"/>
  <c r="AE332" i="13"/>
  <c r="AF292" i="13"/>
  <c r="AE292" i="13"/>
  <c r="AF137" i="13"/>
  <c r="AE137" i="13"/>
  <c r="AF470" i="13"/>
  <c r="AE470" i="13"/>
  <c r="AF257" i="13"/>
  <c r="AE257" i="13"/>
  <c r="AF300" i="13"/>
  <c r="AE300" i="13"/>
  <c r="AF283" i="13"/>
  <c r="AE283" i="13"/>
  <c r="AF476" i="13"/>
  <c r="AE476" i="13"/>
  <c r="AF161" i="13"/>
  <c r="AE161" i="13"/>
  <c r="AF361" i="13"/>
  <c r="AE361" i="13"/>
  <c r="AF440" i="13"/>
  <c r="AE440" i="13"/>
  <c r="AF532" i="13"/>
  <c r="AE532" i="13"/>
  <c r="AF355" i="13"/>
  <c r="AE355" i="13"/>
  <c r="AF454" i="13"/>
  <c r="AE454" i="13"/>
  <c r="AF15" i="13"/>
  <c r="AE15" i="13"/>
  <c r="AF6" i="13"/>
  <c r="AE6" i="13"/>
  <c r="AF109" i="13"/>
  <c r="AE109" i="13"/>
  <c r="AF37" i="13"/>
  <c r="AE37" i="13"/>
  <c r="AF156" i="13"/>
  <c r="AE156" i="13"/>
  <c r="AF158" i="13"/>
  <c r="AE158" i="13"/>
  <c r="AF121" i="13"/>
  <c r="AE121" i="13"/>
  <c r="AF228" i="13"/>
  <c r="AE228" i="13"/>
  <c r="AF170" i="13"/>
  <c r="AE170" i="13"/>
  <c r="AF89" i="13"/>
  <c r="AE89" i="13"/>
  <c r="AF172" i="13"/>
  <c r="AE172" i="13"/>
  <c r="AF65" i="13"/>
  <c r="AE65" i="13"/>
  <c r="AF50" i="13"/>
  <c r="AE50" i="13"/>
  <c r="AF9" i="13"/>
  <c r="AE9" i="13"/>
  <c r="AF82" i="13"/>
  <c r="AE82" i="13"/>
  <c r="AF48" i="13"/>
  <c r="AE48" i="13"/>
  <c r="AF579" i="13"/>
  <c r="AE579" i="13"/>
  <c r="AF555" i="13"/>
  <c r="AE555" i="13"/>
  <c r="AF526" i="13"/>
  <c r="AE526" i="13"/>
  <c r="AF571" i="13"/>
  <c r="AE571" i="13"/>
  <c r="AF7" i="13"/>
  <c r="AE7" i="13"/>
  <c r="AE549" i="13"/>
  <c r="AF549" i="13"/>
  <c r="AF196" i="13"/>
  <c r="AE196" i="13"/>
  <c r="AE247" i="13"/>
  <c r="AF247" i="13"/>
  <c r="AE379" i="13"/>
  <c r="AF379" i="13"/>
  <c r="AF545" i="13"/>
  <c r="AE545" i="13"/>
  <c r="AE179" i="13"/>
  <c r="AF179" i="13"/>
  <c r="AF324" i="13"/>
  <c r="AE324" i="13"/>
  <c r="AE219" i="13"/>
  <c r="AF219" i="13"/>
  <c r="AE199" i="13"/>
  <c r="AF199" i="13"/>
  <c r="AF242" i="13"/>
  <c r="AE242" i="13"/>
  <c r="AE106" i="13"/>
  <c r="AF106" i="13"/>
  <c r="AF538" i="13"/>
  <c r="AE538" i="13"/>
  <c r="AF384" i="13"/>
  <c r="AE384" i="13"/>
  <c r="AF370" i="13"/>
  <c r="AE370" i="13"/>
  <c r="AF337" i="13"/>
  <c r="AE337" i="13"/>
  <c r="AF209" i="13"/>
  <c r="AE209" i="13"/>
  <c r="AF541" i="13"/>
  <c r="AE541" i="13"/>
  <c r="AF399" i="13"/>
  <c r="AE399" i="13"/>
  <c r="AE299" i="13"/>
  <c r="AF299" i="13"/>
  <c r="AF307" i="13"/>
  <c r="AE307" i="13"/>
  <c r="AF187" i="13"/>
  <c r="AE187" i="13"/>
  <c r="AF338" i="13"/>
  <c r="AE338" i="13"/>
  <c r="AE344" i="13"/>
  <c r="AF344" i="13"/>
  <c r="AF391" i="13"/>
  <c r="AE391" i="13"/>
  <c r="AF10" i="13"/>
  <c r="AE10" i="13"/>
  <c r="AF42" i="13"/>
  <c r="AE42" i="13"/>
  <c r="AF18" i="13"/>
  <c r="AE18" i="13"/>
  <c r="AF81" i="13"/>
  <c r="AE81" i="13"/>
  <c r="AF401" i="13"/>
  <c r="AE401" i="13"/>
  <c r="AE128" i="13"/>
  <c r="AF128" i="13"/>
  <c r="AF414" i="13"/>
  <c r="AE414" i="13"/>
  <c r="AF552" i="13"/>
  <c r="AE552" i="13"/>
  <c r="AE562" i="13"/>
  <c r="AF562" i="13"/>
  <c r="AF234" i="13"/>
  <c r="AE234" i="13"/>
  <c r="AF352" i="13"/>
  <c r="AE352" i="13"/>
  <c r="AF146" i="13"/>
  <c r="AE146" i="13"/>
  <c r="AE354" i="13"/>
  <c r="AF354" i="13"/>
  <c r="AF478" i="13"/>
  <c r="AE478" i="13"/>
  <c r="AE480" i="13"/>
  <c r="AF480" i="13"/>
  <c r="AF314" i="13"/>
  <c r="AE314" i="13"/>
  <c r="AF364" i="13"/>
  <c r="AE364" i="13"/>
  <c r="AF180" i="13"/>
  <c r="AE180" i="13"/>
  <c r="AF148" i="13"/>
  <c r="AE148" i="13"/>
  <c r="AF84" i="13"/>
  <c r="AE84" i="13"/>
  <c r="AE511" i="13"/>
  <c r="AF511" i="13"/>
  <c r="AF495" i="13"/>
  <c r="AE495" i="13"/>
  <c r="AE289" i="13"/>
  <c r="AF289" i="13"/>
  <c r="AF212" i="13"/>
  <c r="AE212" i="13"/>
  <c r="AE227" i="13"/>
  <c r="AF227" i="13"/>
  <c r="AF197" i="13"/>
  <c r="AE197" i="13"/>
  <c r="AF190" i="13"/>
  <c r="AE190" i="13"/>
  <c r="AF360" i="13"/>
  <c r="AE360" i="13"/>
  <c r="AE333" i="13"/>
  <c r="AF333" i="13"/>
  <c r="AF398" i="13"/>
  <c r="AE398" i="13"/>
  <c r="AE217" i="13"/>
  <c r="AF217" i="13"/>
  <c r="AF140" i="13"/>
  <c r="AE140" i="13"/>
  <c r="AE345" i="13"/>
  <c r="AF345" i="13"/>
  <c r="AF218" i="13"/>
  <c r="AE218" i="13"/>
  <c r="AF442" i="13"/>
  <c r="AE442" i="13"/>
  <c r="AF182" i="13"/>
  <c r="AE182" i="13"/>
  <c r="AE416" i="13"/>
  <c r="AF416" i="13"/>
  <c r="AF544" i="13"/>
  <c r="AE544" i="13"/>
  <c r="AF472" i="13"/>
  <c r="AE472" i="13"/>
  <c r="AF466" i="13"/>
  <c r="AE466" i="13"/>
  <c r="AE204" i="13"/>
  <c r="AF204" i="13"/>
  <c r="AF369" i="13"/>
  <c r="AE369" i="13"/>
  <c r="AF306" i="13"/>
  <c r="AE306" i="13"/>
  <c r="AF246" i="13"/>
  <c r="AE246" i="13"/>
  <c r="AF343" i="13"/>
  <c r="AE343" i="13"/>
  <c r="AF330" i="13"/>
  <c r="AE330" i="13"/>
  <c r="AE215" i="13"/>
  <c r="AF215" i="13"/>
  <c r="AF463" i="13"/>
  <c r="AE463" i="13"/>
  <c r="AE166" i="13"/>
  <c r="AF166" i="13"/>
  <c r="AF424" i="13"/>
  <c r="AE424" i="13"/>
  <c r="AF429" i="13"/>
  <c r="AE429" i="13"/>
  <c r="AF259" i="13"/>
  <c r="AE259" i="13"/>
  <c r="AF386" i="13"/>
  <c r="AE386" i="13"/>
  <c r="AF542" i="13"/>
  <c r="AE542" i="13"/>
  <c r="AF382" i="13"/>
  <c r="AE382" i="13"/>
  <c r="AF444" i="13"/>
  <c r="AE444" i="13"/>
  <c r="AE418" i="13"/>
  <c r="AF418" i="13"/>
  <c r="AF54" i="13"/>
  <c r="AE54" i="13"/>
  <c r="AE87" i="13"/>
  <c r="AF87" i="13"/>
  <c r="AF70" i="13"/>
  <c r="AE70" i="13"/>
  <c r="AE261" i="13"/>
  <c r="AF261" i="13"/>
  <c r="AF186" i="13"/>
  <c r="AE186" i="13"/>
  <c r="AE31" i="13"/>
  <c r="AF31" i="13"/>
  <c r="AF21" i="13"/>
  <c r="AE21" i="13"/>
  <c r="AE155" i="13"/>
  <c r="AF155" i="13"/>
  <c r="AF16" i="13"/>
  <c r="AE16" i="13"/>
  <c r="AE44" i="13"/>
  <c r="AF44" i="13"/>
  <c r="AF5" i="13"/>
  <c r="AE5" i="13"/>
  <c r="AE11" i="13"/>
  <c r="AF11" i="13"/>
  <c r="AF139" i="13"/>
  <c r="AE139" i="13"/>
  <c r="AE329" i="13"/>
  <c r="AF329" i="13"/>
  <c r="AF220" i="13"/>
  <c r="AE220" i="13"/>
  <c r="AE577" i="13"/>
  <c r="AF577" i="13"/>
  <c r="AF583" i="13"/>
  <c r="AE583" i="13"/>
  <c r="AE568" i="13"/>
  <c r="AF568" i="13"/>
  <c r="AF550" i="13"/>
  <c r="AE550" i="13"/>
  <c r="AE27" i="13"/>
  <c r="AF27" i="13"/>
  <c r="AF436" i="13"/>
  <c r="AE436" i="13"/>
  <c r="AF389" i="13"/>
  <c r="AE389" i="13"/>
  <c r="AE211" i="13"/>
  <c r="AF211" i="13"/>
  <c r="AE551" i="13"/>
  <c r="AF551" i="13"/>
  <c r="AF380" i="13"/>
  <c r="AE380" i="13"/>
  <c r="AF308" i="13"/>
  <c r="AE308" i="13"/>
  <c r="AE448" i="13"/>
  <c r="AF448" i="13"/>
  <c r="AE184" i="13"/>
  <c r="AF184" i="13"/>
  <c r="AF394" i="13"/>
  <c r="AE394" i="13"/>
  <c r="AF451" i="13"/>
  <c r="AE451" i="13"/>
  <c r="AE290" i="13"/>
  <c r="AF290" i="13"/>
  <c r="AE198" i="13"/>
  <c r="AF198" i="13"/>
  <c r="AF133" i="13"/>
  <c r="AE133" i="13"/>
  <c r="AF58" i="13"/>
  <c r="AE58" i="13"/>
  <c r="AF216" i="13"/>
  <c r="AE216" i="13"/>
  <c r="AE286" i="13"/>
  <c r="AF286" i="13"/>
  <c r="AF375" i="13"/>
  <c r="AE375" i="13"/>
  <c r="AF558" i="13"/>
  <c r="AE558" i="13"/>
  <c r="AF540" i="13"/>
  <c r="AE540" i="13"/>
  <c r="AE348" i="13"/>
  <c r="AF348" i="13"/>
  <c r="AF316" i="13"/>
  <c r="AE316" i="13"/>
  <c r="AF175" i="13"/>
  <c r="AE175" i="13"/>
  <c r="AF240" i="13"/>
  <c r="AE240" i="13"/>
  <c r="AE319" i="13"/>
  <c r="AF319" i="13"/>
  <c r="AF415" i="13"/>
  <c r="AE415" i="13"/>
  <c r="AF502" i="13"/>
  <c r="AE502" i="13"/>
  <c r="AF92" i="13"/>
  <c r="AE92" i="13"/>
  <c r="AE351" i="13"/>
  <c r="AF351" i="13"/>
  <c r="AF262" i="13"/>
  <c r="AE262" i="13"/>
  <c r="AF192" i="13"/>
  <c r="AE192" i="13"/>
  <c r="AF141" i="13"/>
  <c r="AE141" i="13"/>
  <c r="AE521" i="13"/>
  <c r="AF521" i="13"/>
  <c r="AF420" i="13"/>
  <c r="AE420" i="13"/>
  <c r="AF523" i="13"/>
  <c r="AE523" i="13"/>
  <c r="AF553" i="13"/>
  <c r="AE553" i="13"/>
  <c r="AE497" i="13"/>
  <c r="AF497" i="13"/>
  <c r="AF93" i="13"/>
  <c r="AE93" i="13"/>
  <c r="AF264" i="13"/>
  <c r="AE264" i="13"/>
  <c r="AF248" i="13"/>
  <c r="AE248" i="13"/>
  <c r="AE273" i="13"/>
  <c r="AF273" i="13"/>
  <c r="AF449" i="13"/>
  <c r="AE449" i="13"/>
  <c r="AF504" i="13"/>
  <c r="AE504" i="13"/>
  <c r="AF250" i="13"/>
  <c r="AE250" i="13"/>
  <c r="AE366" i="13"/>
  <c r="AF366" i="13"/>
  <c r="AF347" i="13"/>
  <c r="AE347" i="13"/>
  <c r="AF474" i="13"/>
  <c r="AE474" i="13"/>
  <c r="AF493" i="13"/>
  <c r="AE493" i="13"/>
  <c r="AE381" i="13"/>
  <c r="AF381" i="13"/>
  <c r="AF256" i="13"/>
  <c r="AE256" i="13"/>
  <c r="AF459" i="13"/>
  <c r="AE459" i="13"/>
  <c r="AF341" i="13"/>
  <c r="AE341" i="13"/>
  <c r="AE251" i="13"/>
  <c r="AF251" i="13"/>
  <c r="AF455" i="13"/>
  <c r="AE455" i="13"/>
  <c r="AF29" i="13"/>
  <c r="AE29" i="13"/>
  <c r="AF2" i="13"/>
  <c r="AE2" i="13"/>
  <c r="AF108" i="13"/>
  <c r="AE108" i="13"/>
  <c r="AF98" i="13"/>
  <c r="AE98" i="13"/>
  <c r="AF64" i="13"/>
  <c r="AE64" i="13"/>
  <c r="AF60" i="13"/>
  <c r="AE60" i="13"/>
  <c r="AF63" i="13"/>
  <c r="AE63" i="13"/>
  <c r="AF229" i="13"/>
  <c r="AE229" i="13"/>
  <c r="AF178" i="13"/>
  <c r="AE178" i="13"/>
  <c r="AF34" i="13"/>
  <c r="AE34" i="13"/>
  <c r="AF75" i="13"/>
  <c r="AE75" i="13"/>
  <c r="AF52" i="13"/>
  <c r="AE52" i="13"/>
  <c r="AF49" i="13"/>
  <c r="AE49" i="13"/>
  <c r="AF59" i="13"/>
  <c r="AE59" i="13"/>
  <c r="AF122" i="13"/>
  <c r="AE122" i="13"/>
  <c r="AF563" i="13"/>
  <c r="AE563" i="13"/>
  <c r="AF580" i="13"/>
  <c r="AE580" i="13"/>
  <c r="AF556" i="13"/>
  <c r="AE556" i="13"/>
  <c r="AF527" i="13"/>
  <c r="AE527" i="13"/>
  <c r="AF529" i="13"/>
  <c r="AE529" i="13"/>
  <c r="AF71" i="13"/>
  <c r="AE71" i="13"/>
  <c r="AF279" i="13"/>
  <c r="AE279" i="13"/>
  <c r="AE524" i="13"/>
  <c r="AF524" i="13"/>
  <c r="AF357" i="13"/>
  <c r="AE357" i="13"/>
  <c r="AF326" i="13"/>
  <c r="AE326" i="13"/>
  <c r="AF181" i="13"/>
  <c r="AE181" i="13"/>
  <c r="AF255" i="13"/>
  <c r="AE255" i="13"/>
  <c r="AF327" i="13"/>
  <c r="AE327" i="13"/>
  <c r="AF525" i="13"/>
  <c r="AE525" i="13"/>
  <c r="AF390" i="13"/>
  <c r="AE390" i="13"/>
  <c r="AF305" i="13"/>
  <c r="AE305" i="13"/>
  <c r="AF113" i="13"/>
  <c r="AE113" i="13"/>
  <c r="AF313" i="13"/>
  <c r="AE313" i="13"/>
  <c r="AE295" i="13"/>
  <c r="AF295" i="13"/>
  <c r="AF419" i="13"/>
  <c r="AE419" i="13"/>
  <c r="AF189" i="13"/>
  <c r="AE189" i="13"/>
  <c r="AE231" i="13"/>
  <c r="AF231" i="13"/>
  <c r="AF131" i="13"/>
  <c r="AE131" i="13"/>
  <c r="AE111" i="13"/>
  <c r="AF111" i="13"/>
  <c r="AF402" i="13"/>
  <c r="AE402" i="13"/>
  <c r="AE501" i="13"/>
  <c r="AF501" i="13"/>
  <c r="AF433" i="13"/>
  <c r="AE433" i="13"/>
  <c r="AF519" i="13"/>
  <c r="AE519" i="13"/>
  <c r="AF483" i="13"/>
  <c r="AE483" i="13"/>
  <c r="AF412" i="13"/>
  <c r="AE412" i="13"/>
  <c r="AF457" i="13"/>
  <c r="AE457" i="13"/>
  <c r="AF304" i="13"/>
  <c r="AE304" i="13"/>
  <c r="AF237" i="13"/>
  <c r="AE237" i="13"/>
  <c r="AF407" i="13"/>
  <c r="AE407" i="13"/>
  <c r="AF396" i="13"/>
  <c r="AE396" i="13"/>
  <c r="AF469" i="13"/>
  <c r="AE469" i="13"/>
  <c r="AF359" i="13"/>
  <c r="AE359" i="13"/>
  <c r="AE267" i="13"/>
  <c r="AF267" i="13"/>
  <c r="AF269" i="13"/>
  <c r="AE269" i="13"/>
  <c r="AF484" i="13"/>
  <c r="AE484" i="13"/>
  <c r="AF439" i="13"/>
  <c r="AE439" i="13"/>
  <c r="AE236" i="13"/>
  <c r="AF236" i="13"/>
  <c r="AF547" i="13"/>
  <c r="AE547" i="13"/>
  <c r="AF430" i="13"/>
  <c r="AE430" i="13"/>
  <c r="AF566" i="13"/>
  <c r="AE566" i="13"/>
  <c r="AF453" i="13"/>
  <c r="AE453" i="13"/>
  <c r="AF183" i="13"/>
  <c r="AE183" i="13"/>
  <c r="AF68" i="13"/>
  <c r="AE68" i="13"/>
  <c r="AF202" i="13"/>
  <c r="AE202" i="13"/>
  <c r="AE225" i="13"/>
  <c r="AF225" i="13"/>
  <c r="AF272" i="13"/>
  <c r="AE272" i="13"/>
  <c r="AF134" i="13"/>
  <c r="AE134" i="13"/>
  <c r="AF477" i="13"/>
  <c r="AE477" i="13"/>
  <c r="AE78" i="13"/>
  <c r="AF78" i="13"/>
  <c r="AF422" i="13"/>
  <c r="AE422" i="13"/>
  <c r="AF95" i="13"/>
  <c r="AE95" i="13"/>
  <c r="AF397" i="13"/>
  <c r="AE397" i="13"/>
  <c r="AE67" i="13"/>
  <c r="AF67" i="13"/>
  <c r="AF126" i="13"/>
  <c r="AE126" i="13"/>
  <c r="AF445" i="13"/>
  <c r="AE445" i="13"/>
  <c r="AF104" i="13"/>
  <c r="AE104" i="13"/>
  <c r="AE96" i="13"/>
  <c r="AF96" i="13"/>
  <c r="AF576" i="13"/>
  <c r="AE576" i="13"/>
  <c r="AF554" i="13"/>
  <c r="AE554" i="13"/>
  <c r="AF339" i="13"/>
  <c r="AE339" i="13"/>
  <c r="AE584" i="13"/>
  <c r="AF584" i="13"/>
  <c r="AF12" i="13"/>
  <c r="AE12" i="13"/>
  <c r="AF297" i="13"/>
  <c r="AE297" i="13"/>
  <c r="AF468" i="13"/>
  <c r="AE468" i="13"/>
  <c r="AE214" i="13"/>
  <c r="AF214" i="13"/>
  <c r="AF100" i="13"/>
  <c r="AE100" i="13"/>
  <c r="AF142" i="13"/>
  <c r="AE142" i="13"/>
  <c r="AE377" i="13"/>
  <c r="AF377" i="13"/>
  <c r="AF191" i="13"/>
  <c r="AE191" i="13"/>
  <c r="AF413" i="13"/>
  <c r="AE413" i="13"/>
  <c r="AE405" i="13"/>
  <c r="AF405" i="13"/>
  <c r="AE512" i="13"/>
  <c r="AF512" i="13"/>
  <c r="AF500" i="13"/>
  <c r="AE500" i="13"/>
  <c r="AF479" i="13"/>
  <c r="AE479" i="13"/>
  <c r="AF492" i="13"/>
  <c r="AE492" i="13"/>
  <c r="AF368" i="13"/>
  <c r="AE368" i="13"/>
  <c r="AF66" i="13"/>
  <c r="AE66" i="13"/>
  <c r="AF22" i="13"/>
  <c r="AE22" i="13"/>
  <c r="AF117" i="13"/>
  <c r="AE117" i="13"/>
  <c r="AF38" i="13"/>
  <c r="AE38" i="13"/>
  <c r="AF107" i="13"/>
  <c r="AE107" i="13"/>
  <c r="AF101" i="13"/>
  <c r="AE101" i="13"/>
  <c r="AF581" i="13"/>
  <c r="AE581" i="13"/>
  <c r="AF406" i="13"/>
  <c r="AE406" i="13"/>
  <c r="AF569" i="13"/>
  <c r="AE569" i="13"/>
  <c r="AF475" i="13"/>
  <c r="AE475" i="13"/>
  <c r="AF275" i="13"/>
  <c r="AE275" i="13"/>
  <c r="AF188" i="13"/>
  <c r="AE188" i="13"/>
  <c r="AF149" i="13"/>
  <c r="AE149" i="13"/>
  <c r="AF210" i="13"/>
  <c r="AE210" i="13"/>
  <c r="AF88" i="13"/>
  <c r="AE88" i="13"/>
  <c r="AF517" i="13"/>
  <c r="AE517" i="13"/>
  <c r="AF465" i="13"/>
  <c r="AE465" i="13"/>
  <c r="AF431" i="13"/>
  <c r="AE431" i="13"/>
  <c r="AF200" i="13"/>
  <c r="AE200" i="13"/>
  <c r="AF203" i="13"/>
  <c r="AE203" i="13"/>
  <c r="AF376" i="13"/>
  <c r="AE376" i="13"/>
  <c r="AF254" i="13"/>
  <c r="AE254" i="13"/>
  <c r="AF91" i="13"/>
  <c r="AE91" i="13"/>
  <c r="AF539" i="13"/>
  <c r="AE539" i="13"/>
  <c r="AF486" i="13"/>
  <c r="AE486" i="13"/>
  <c r="AF515" i="13"/>
  <c r="AE515" i="13"/>
  <c r="AF315" i="13"/>
  <c r="AE315" i="13"/>
  <c r="AF76" i="13"/>
  <c r="AE76" i="13"/>
  <c r="AF223" i="13"/>
  <c r="AE223" i="13"/>
  <c r="AF159" i="13"/>
  <c r="AE159" i="13"/>
  <c r="AF491" i="13"/>
  <c r="AE491" i="13"/>
  <c r="AF559" i="13"/>
  <c r="AE559" i="13"/>
  <c r="AF280" i="13"/>
  <c r="AE280" i="13"/>
  <c r="AF105" i="13"/>
  <c r="AE105" i="13"/>
  <c r="AF340" i="13"/>
  <c r="AE340" i="13"/>
  <c r="AF383" i="13"/>
  <c r="AE383" i="13"/>
  <c r="AF393" i="13"/>
  <c r="AE393" i="13"/>
  <c r="AF417" i="13"/>
  <c r="AE417" i="13"/>
  <c r="AF506" i="13"/>
  <c r="AE506" i="13"/>
  <c r="AF452" i="13"/>
  <c r="AE452" i="13"/>
  <c r="AF235" i="13"/>
  <c r="AE235" i="13"/>
  <c r="AF346" i="13"/>
  <c r="AE346" i="13"/>
  <c r="AF260" i="13"/>
  <c r="AE260" i="13"/>
  <c r="AF291" i="13"/>
  <c r="AE291" i="13"/>
  <c r="AF112" i="13"/>
  <c r="AE112" i="13"/>
  <c r="AF548" i="13"/>
  <c r="AE548" i="13"/>
  <c r="AF323" i="13"/>
  <c r="AE323" i="13"/>
  <c r="AF245" i="13"/>
  <c r="AE245" i="13"/>
  <c r="AF450" i="13"/>
  <c r="AE450" i="13"/>
  <c r="AF507" i="13"/>
  <c r="AE507" i="13"/>
  <c r="AF573" i="13"/>
  <c r="AE573" i="13"/>
  <c r="AF400" i="13"/>
  <c r="AE400" i="13"/>
  <c r="AF301" i="13"/>
  <c r="AE301" i="13"/>
  <c r="AF494" i="13"/>
  <c r="AE494" i="13"/>
  <c r="AF543" i="13"/>
  <c r="AE543" i="13"/>
  <c r="AF116" i="13"/>
  <c r="AE116" i="13"/>
  <c r="AF61" i="13"/>
  <c r="AE61" i="13"/>
  <c r="AF28" i="13"/>
  <c r="AE28" i="13"/>
  <c r="AF4" i="13"/>
  <c r="AE4" i="13"/>
  <c r="AF221" i="13"/>
  <c r="AE221" i="13"/>
  <c r="AF311" i="13"/>
  <c r="AE311" i="13"/>
  <c r="AF169" i="13"/>
  <c r="AE169" i="13"/>
  <c r="AF208" i="13"/>
  <c r="AE208" i="13"/>
  <c r="AF19" i="13"/>
  <c r="AE19" i="13"/>
  <c r="AF51" i="13"/>
  <c r="AE51" i="13"/>
  <c r="AF53" i="13"/>
  <c r="AE53" i="13"/>
  <c r="AF281" i="13"/>
  <c r="AE281" i="13"/>
  <c r="AF43" i="13"/>
  <c r="AE43" i="13"/>
  <c r="AF102" i="13"/>
  <c r="AE102" i="13"/>
  <c r="AF578" i="13"/>
  <c r="AE578" i="13"/>
  <c r="AF574" i="13"/>
  <c r="AE574" i="13"/>
  <c r="AF363" i="13"/>
  <c r="AE363" i="13"/>
  <c r="AF46" i="13"/>
  <c r="AE46" i="13"/>
  <c r="AE285" i="13"/>
  <c r="AF285" i="13"/>
  <c r="AE349" i="13"/>
  <c r="AF349" i="13"/>
  <c r="AE458" i="13"/>
  <c r="AF458" i="13"/>
  <c r="AE213" i="13"/>
  <c r="AF213" i="13"/>
  <c r="AE177" i="13"/>
  <c r="AF177" i="13"/>
  <c r="AE278" i="13"/>
  <c r="AF278" i="13"/>
  <c r="AE83" i="13"/>
  <c r="AF83" i="13"/>
  <c r="AE288" i="13"/>
  <c r="AF288" i="13"/>
  <c r="AE490" i="13"/>
  <c r="AF490" i="13"/>
  <c r="AF473" i="13"/>
  <c r="AE473" i="13"/>
  <c r="AE265" i="13"/>
  <c r="AF265" i="13"/>
  <c r="AE124" i="13"/>
  <c r="AF124" i="13"/>
  <c r="AF127" i="13"/>
  <c r="AE127" i="13"/>
  <c r="AE421" i="13"/>
  <c r="AF421" i="13"/>
  <c r="AF489" i="13"/>
  <c r="AE489" i="13"/>
  <c r="AF503" i="13"/>
  <c r="AE503" i="13"/>
  <c r="AF437" i="13"/>
  <c r="AE437" i="13"/>
  <c r="AE185" i="13"/>
  <c r="AF185" i="13"/>
  <c r="AF123" i="13"/>
  <c r="AE123" i="13"/>
  <c r="AE335" i="13"/>
  <c r="AF335" i="13"/>
  <c r="AF395" i="13"/>
  <c r="AE395" i="13"/>
  <c r="AE145" i="13"/>
  <c r="AF145" i="13"/>
  <c r="AF388" i="13"/>
  <c r="AE388" i="13"/>
  <c r="AF230" i="13"/>
  <c r="AE230" i="13"/>
  <c r="AF372" i="13"/>
  <c r="AE372" i="13"/>
  <c r="AF114" i="13"/>
  <c r="AE114" i="13"/>
  <c r="AF167" i="13"/>
  <c r="AE167" i="13"/>
  <c r="AF165" i="13"/>
  <c r="AE165" i="13"/>
  <c r="AF277" i="13"/>
  <c r="AE277" i="13"/>
  <c r="AF510" i="13"/>
  <c r="AE510" i="13"/>
  <c r="AF471" i="13"/>
  <c r="AE471" i="13"/>
  <c r="AF531" i="13"/>
  <c r="AE531" i="13"/>
  <c r="AF164" i="13"/>
  <c r="AE164" i="13"/>
  <c r="AF157" i="13"/>
  <c r="AE157" i="13"/>
  <c r="AF238" i="13"/>
  <c r="AE238" i="13"/>
  <c r="AF99" i="13"/>
  <c r="AE99" i="13"/>
  <c r="AF135" i="13"/>
  <c r="AE135" i="13"/>
  <c r="AF499" i="13"/>
  <c r="AE499" i="13"/>
  <c r="AF392" i="13"/>
  <c r="AE392" i="13"/>
  <c r="AF441" i="13"/>
  <c r="AE441" i="13"/>
  <c r="AF57" i="13"/>
  <c r="AE57" i="13"/>
  <c r="AF258" i="13"/>
  <c r="AE258" i="13"/>
  <c r="AF144" i="13"/>
  <c r="AE144" i="13"/>
  <c r="AF33" i="13"/>
  <c r="AE33" i="13"/>
  <c r="AF378" i="13"/>
  <c r="AE378" i="13"/>
  <c r="AF312" i="13"/>
  <c r="AE312" i="13"/>
  <c r="AF428" i="13"/>
  <c r="AE428" i="13"/>
  <c r="AF513" i="13"/>
  <c r="AE513" i="13"/>
  <c r="AF118" i="13"/>
  <c r="AE118" i="13"/>
  <c r="AF138" i="13"/>
  <c r="AE138" i="13"/>
  <c r="AF482" i="13"/>
  <c r="AE482" i="13"/>
  <c r="AF296" i="13"/>
  <c r="AE296" i="13"/>
  <c r="AF425" i="13"/>
  <c r="AE425" i="13"/>
  <c r="AF557" i="13"/>
  <c r="AE557" i="13"/>
  <c r="AF537" i="13"/>
  <c r="AE537" i="13"/>
  <c r="AF546" i="13"/>
  <c r="AE546" i="13"/>
  <c r="AF536" i="13"/>
  <c r="AE536" i="13"/>
  <c r="AF147" i="13"/>
  <c r="AE147" i="13"/>
  <c r="AF226" i="13"/>
  <c r="AE226" i="13"/>
  <c r="AF168" i="13"/>
  <c r="AE168" i="13"/>
  <c r="AF310" i="13"/>
  <c r="AE310" i="13"/>
  <c r="AF409" i="13"/>
  <c r="AE409" i="13"/>
  <c r="AF371" i="13"/>
  <c r="AE371" i="13"/>
  <c r="AF438" i="13"/>
  <c r="AE438" i="13"/>
  <c r="AF276" i="13"/>
  <c r="AE276" i="13"/>
  <c r="AF303" i="13"/>
  <c r="AE303" i="13"/>
  <c r="AF201" i="13"/>
  <c r="AE201" i="13"/>
  <c r="AF411" i="13"/>
  <c r="AE411" i="13"/>
  <c r="AF325" i="13"/>
  <c r="AE325" i="13"/>
  <c r="AF171" i="13"/>
  <c r="AE171" i="13"/>
  <c r="AF534" i="13"/>
  <c r="AE534" i="13"/>
  <c r="AF162" i="13"/>
  <c r="AE162" i="13"/>
  <c r="AF509" i="13"/>
  <c r="AE509" i="13"/>
  <c r="AF460" i="13"/>
  <c r="AE460" i="13"/>
  <c r="AF24" i="13"/>
  <c r="AE24" i="13"/>
  <c r="AF3" i="13"/>
  <c r="AE3" i="13"/>
  <c r="AF72" i="13"/>
  <c r="AE72" i="13"/>
  <c r="AF367" i="13"/>
  <c r="AE367" i="13"/>
  <c r="AF36" i="13"/>
  <c r="AE36" i="13"/>
  <c r="AF342" i="13"/>
  <c r="AE342" i="13"/>
  <c r="AF17" i="13"/>
  <c r="AE17" i="13"/>
  <c r="AF41" i="13"/>
  <c r="AE41" i="13"/>
  <c r="AF79" i="13"/>
  <c r="AE79" i="13"/>
  <c r="AF32" i="13"/>
  <c r="AE32" i="13"/>
  <c r="AF94" i="13"/>
  <c r="AE94" i="13"/>
  <c r="AF39" i="13"/>
  <c r="AE39" i="13"/>
  <c r="AF110" i="13"/>
  <c r="AE110" i="13"/>
  <c r="AF222" i="13"/>
  <c r="AE222" i="13"/>
  <c r="AF136" i="13"/>
  <c r="AE136" i="13"/>
  <c r="AF249" i="13"/>
  <c r="AE249" i="13"/>
  <c r="AF561" i="13"/>
  <c r="AE561" i="13"/>
  <c r="AF464" i="13"/>
  <c r="AE464" i="13"/>
  <c r="AF528" i="13"/>
  <c r="AE528" i="13"/>
  <c r="AF530" i="13"/>
  <c r="AE530" i="13"/>
  <c r="AF25" i="13"/>
  <c r="AE25" i="13"/>
  <c r="AF263" i="13"/>
  <c r="AE263" i="13"/>
  <c r="AF2" i="24"/>
  <c r="AE2" i="24"/>
  <c r="AF2" i="18"/>
  <c r="AE2" i="18"/>
  <c r="AF2" i="22"/>
  <c r="AE2" i="22"/>
  <c r="AF2" i="21"/>
  <c r="AE2" i="21"/>
  <c r="AF175" i="12"/>
  <c r="AE175" i="12"/>
  <c r="AF174" i="13"/>
  <c r="AE174" i="13"/>
  <c r="AF2" i="14"/>
  <c r="AE2" i="14"/>
  <c r="AF2" i="23"/>
  <c r="AE2" i="23"/>
  <c r="AF2" i="15"/>
  <c r="AE2" i="15"/>
  <c r="K7" i="26"/>
  <c r="N6" i="26"/>
  <c r="AF10" i="19"/>
  <c r="AF12" i="19"/>
  <c r="AF11" i="19"/>
  <c r="C4" i="26"/>
  <c r="B3" i="26"/>
  <c r="C3" i="26" s="1"/>
  <c r="Z58" i="12"/>
  <c r="Z162" i="12"/>
  <c r="Z572" i="12"/>
  <c r="Z526" i="12"/>
  <c r="Z507" i="12"/>
  <c r="Z541" i="12"/>
  <c r="Z484" i="12"/>
  <c r="Z467" i="12"/>
  <c r="Z486" i="12"/>
  <c r="Z543" i="12"/>
  <c r="Z293" i="12"/>
  <c r="Z231" i="12"/>
  <c r="Z506" i="12"/>
  <c r="Z26" i="12"/>
  <c r="Z409" i="12"/>
  <c r="Z427" i="12"/>
  <c r="Z505" i="12"/>
  <c r="Z538" i="12"/>
  <c r="Z573" i="12"/>
  <c r="Z394" i="12"/>
  <c r="Z513" i="12"/>
  <c r="Z525" i="12"/>
  <c r="Z518" i="12"/>
  <c r="Z377" i="12"/>
  <c r="Z531" i="12"/>
  <c r="Z294" i="12"/>
  <c r="Z446" i="12"/>
  <c r="Z120" i="12"/>
  <c r="Z485" i="12"/>
  <c r="Z466" i="12"/>
  <c r="Z393" i="12"/>
  <c r="Z534" i="12"/>
  <c r="Z378" i="12"/>
  <c r="Z487" i="12"/>
  <c r="Z456" i="12"/>
  <c r="Z557" i="12"/>
  <c r="Z560" i="12"/>
  <c r="Z388" i="12"/>
  <c r="Z501" i="12"/>
  <c r="Z552" i="12"/>
  <c r="Z408" i="12"/>
  <c r="Z519" i="12"/>
  <c r="Z545" i="12"/>
  <c r="Z308" i="12"/>
  <c r="Z539" i="12"/>
  <c r="Z479" i="12"/>
  <c r="Z555" i="12"/>
  <c r="Z520" i="12"/>
  <c r="Z396" i="12"/>
  <c r="Z480" i="12"/>
  <c r="Z558" i="12"/>
  <c r="Z522" i="12"/>
  <c r="Z521" i="12"/>
  <c r="Z431" i="12"/>
  <c r="Z426" i="12"/>
  <c r="Z553" i="12"/>
  <c r="Z444" i="12"/>
  <c r="Z551" i="12"/>
  <c r="Z481" i="12"/>
  <c r="Z407" i="12"/>
  <c r="Z532" i="12"/>
  <c r="Z379" i="12"/>
  <c r="Z509" i="12"/>
  <c r="Z334" i="12"/>
  <c r="Z320" i="12"/>
  <c r="Z575" i="12"/>
  <c r="Z271" i="12"/>
  <c r="Z537" i="12"/>
  <c r="Z424" i="12"/>
  <c r="Z524" i="12"/>
  <c r="Z510" i="12"/>
  <c r="Z330" i="12"/>
  <c r="Z577" i="12"/>
  <c r="Z44" i="12"/>
  <c r="Z536" i="12"/>
  <c r="Z488" i="12"/>
  <c r="Z542" i="12"/>
  <c r="Z574" i="12"/>
  <c r="Z578" i="12"/>
  <c r="Z310" i="12"/>
  <c r="Z482" i="12"/>
  <c r="Z523" i="12"/>
  <c r="Z380" i="12"/>
  <c r="Z203" i="12"/>
  <c r="Z529" i="12"/>
  <c r="Z284" i="12"/>
  <c r="Z502" i="12"/>
  <c r="Z428" i="12"/>
  <c r="Z503" i="12"/>
  <c r="Z455" i="12"/>
  <c r="Z443" i="12"/>
  <c r="Z535" i="12"/>
  <c r="Z457" i="12"/>
  <c r="Z432" i="12"/>
  <c r="Z468" i="12"/>
  <c r="Z570" i="12"/>
  <c r="Z442" i="12"/>
  <c r="Z465" i="12"/>
  <c r="Z568" i="12"/>
  <c r="Z499" i="12"/>
  <c r="Z533" i="12"/>
  <c r="Z508" i="12"/>
  <c r="Z561" i="12"/>
  <c r="Z429" i="12"/>
  <c r="Z504" i="12"/>
  <c r="Z556" i="12"/>
  <c r="Z483" i="12"/>
  <c r="Z511" i="12"/>
  <c r="Z512" i="12"/>
  <c r="R1070" i="1"/>
  <c r="AI110" i="15" l="1"/>
  <c r="E5" i="28"/>
  <c r="G5" i="28" s="1"/>
  <c r="E4" i="28"/>
  <c r="G4" i="28" s="1"/>
  <c r="AJ63" i="16"/>
  <c r="AH16" i="15"/>
  <c r="AH57" i="16"/>
  <c r="Z579" i="12"/>
  <c r="G21" i="28" s="1"/>
  <c r="F10" i="28" s="1"/>
  <c r="AH11" i="19"/>
  <c r="AH64" i="16"/>
  <c r="AK28" i="15"/>
  <c r="AI25" i="15"/>
  <c r="AK19" i="15"/>
  <c r="AI46" i="15"/>
  <c r="AH18" i="15"/>
  <c r="AI17" i="15"/>
  <c r="AJ32" i="15"/>
  <c r="AK32" i="15"/>
  <c r="AK31" i="15"/>
  <c r="AK22" i="15"/>
  <c r="AJ22" i="15"/>
  <c r="AJ12" i="15"/>
  <c r="AK12" i="15"/>
  <c r="AI16" i="15"/>
  <c r="AH19" i="15"/>
  <c r="AK96" i="16"/>
  <c r="AJ96" i="16"/>
  <c r="AI41" i="16"/>
  <c r="AK70" i="16"/>
  <c r="AJ119" i="15"/>
  <c r="AK34" i="15"/>
  <c r="AJ109" i="15"/>
  <c r="AJ56" i="15"/>
  <c r="AJ113" i="15"/>
  <c r="AJ98" i="15"/>
  <c r="AK11" i="15"/>
  <c r="AI44" i="15"/>
  <c r="AH29" i="15"/>
  <c r="AJ105" i="15"/>
  <c r="AH89" i="15"/>
  <c r="AJ108" i="15"/>
  <c r="AJ76" i="15"/>
  <c r="AH107" i="15"/>
  <c r="AJ114" i="15"/>
  <c r="AK15" i="15"/>
  <c r="AI43" i="15"/>
  <c r="AJ117" i="15"/>
  <c r="AK95" i="15"/>
  <c r="AK72" i="15"/>
  <c r="AI40" i="15"/>
  <c r="AJ36" i="15"/>
  <c r="AI42" i="15"/>
  <c r="AI48" i="15"/>
  <c r="AI47" i="15"/>
  <c r="AK93" i="15"/>
  <c r="AI51" i="15"/>
  <c r="AK5" i="15"/>
  <c r="AI77" i="15"/>
  <c r="AI28" i="15"/>
  <c r="AI53" i="15"/>
  <c r="AI10" i="19"/>
  <c r="AK31" i="16"/>
  <c r="AK14" i="16"/>
  <c r="AH14" i="16"/>
  <c r="AK11" i="16"/>
  <c r="AH11" i="16"/>
  <c r="AK13" i="16"/>
  <c r="AK12" i="16"/>
  <c r="AJ53" i="16"/>
  <c r="AJ44" i="16"/>
  <c r="AI47" i="16"/>
  <c r="AH90" i="16"/>
  <c r="AH87" i="16"/>
  <c r="AJ5" i="19"/>
  <c r="AJ4" i="19"/>
  <c r="AJ10" i="19"/>
  <c r="AH12" i="19"/>
  <c r="AK3" i="19"/>
  <c r="AK13" i="19" s="1"/>
  <c r="E13" i="28" s="1"/>
  <c r="AL13" i="19"/>
  <c r="F13" i="28" s="1"/>
  <c r="AH42" i="16"/>
  <c r="AH46" i="16"/>
  <c r="AJ6" i="16"/>
  <c r="AK81" i="16"/>
  <c r="AJ84" i="16"/>
  <c r="AH81" i="16"/>
  <c r="AJ81" i="16"/>
  <c r="AH99" i="16"/>
  <c r="AK99" i="16"/>
  <c r="AI99" i="16"/>
  <c r="AH82" i="16"/>
  <c r="AI96" i="16"/>
  <c r="AI3" i="16"/>
  <c r="AH17" i="16"/>
  <c r="AL102" i="16"/>
  <c r="F8" i="28" s="1"/>
  <c r="AI85" i="16"/>
  <c r="AK85" i="16"/>
  <c r="AE284" i="12"/>
  <c r="AF284" i="12"/>
  <c r="AE379" i="12"/>
  <c r="AF379" i="12"/>
  <c r="AE388" i="12"/>
  <c r="AF388" i="12"/>
  <c r="AE26" i="12"/>
  <c r="AF26" i="12"/>
  <c r="AE533" i="12"/>
  <c r="AF533" i="12"/>
  <c r="AE542" i="12"/>
  <c r="AF542" i="12"/>
  <c r="AE521" i="12"/>
  <c r="AF521" i="12"/>
  <c r="AE513" i="12"/>
  <c r="AF513" i="12"/>
  <c r="AE511" i="12"/>
  <c r="AF511" i="12"/>
  <c r="AE203" i="12"/>
  <c r="AF203" i="12"/>
  <c r="AF407" i="12"/>
  <c r="AE407" i="12"/>
  <c r="AE522" i="12"/>
  <c r="AF522" i="12"/>
  <c r="AE394" i="12"/>
  <c r="AF394" i="12"/>
  <c r="AE483" i="12"/>
  <c r="AF483" i="12"/>
  <c r="AE536" i="12"/>
  <c r="AF536" i="12"/>
  <c r="AE558" i="12"/>
  <c r="AF558" i="12"/>
  <c r="AE572" i="12"/>
  <c r="AF572" i="12"/>
  <c r="AE556" i="12"/>
  <c r="AF556" i="12"/>
  <c r="AE465" i="12"/>
  <c r="AF465" i="12"/>
  <c r="AE455" i="12"/>
  <c r="AF455" i="12"/>
  <c r="AE523" i="12"/>
  <c r="AF523" i="12"/>
  <c r="AE44" i="12"/>
  <c r="AF44" i="12"/>
  <c r="AE575" i="12"/>
  <c r="AF575" i="12"/>
  <c r="AE551" i="12"/>
  <c r="AF551" i="12"/>
  <c r="AE480" i="12"/>
  <c r="AF480" i="12"/>
  <c r="AE519" i="12"/>
  <c r="AF519" i="12"/>
  <c r="AE487" i="12"/>
  <c r="AF487" i="12"/>
  <c r="AE294" i="12"/>
  <c r="AF294" i="12"/>
  <c r="AE538" i="12"/>
  <c r="AF538" i="12"/>
  <c r="AE543" i="12"/>
  <c r="AF543" i="12"/>
  <c r="AE162" i="12"/>
  <c r="AF162" i="12"/>
  <c r="AE431" i="12"/>
  <c r="AF431" i="12"/>
  <c r="AE512" i="12"/>
  <c r="AF512" i="12"/>
  <c r="AE539" i="12"/>
  <c r="AF539" i="12"/>
  <c r="AF535" i="12"/>
  <c r="AE535" i="12"/>
  <c r="AE120" i="12"/>
  <c r="AF120" i="12"/>
  <c r="AE380" i="12"/>
  <c r="AF380" i="12"/>
  <c r="AE446" i="12"/>
  <c r="AF446" i="12"/>
  <c r="AE504" i="12"/>
  <c r="AF504" i="12"/>
  <c r="AE442" i="12"/>
  <c r="AF442" i="12"/>
  <c r="AE503" i="12"/>
  <c r="AF503" i="12"/>
  <c r="AF482" i="12"/>
  <c r="AE482" i="12"/>
  <c r="AE577" i="12"/>
  <c r="AF577" i="12"/>
  <c r="AE320" i="12"/>
  <c r="AF320" i="12"/>
  <c r="AF444" i="12"/>
  <c r="AE444" i="12"/>
  <c r="AE396" i="12"/>
  <c r="AF396" i="12"/>
  <c r="AE408" i="12"/>
  <c r="AF408" i="12"/>
  <c r="AE378" i="12"/>
  <c r="AF378" i="12"/>
  <c r="AE531" i="12"/>
  <c r="AF531" i="12"/>
  <c r="AE505" i="12"/>
  <c r="AF505" i="12"/>
  <c r="AE486" i="12"/>
  <c r="AF486" i="12"/>
  <c r="AE58" i="12"/>
  <c r="AF58" i="12"/>
  <c r="AE432" i="12"/>
  <c r="AF432" i="12"/>
  <c r="AE574" i="12"/>
  <c r="AF574" i="12"/>
  <c r="AE479" i="12"/>
  <c r="AF479" i="12"/>
  <c r="AE525" i="12"/>
  <c r="AF525" i="12"/>
  <c r="AE529" i="12"/>
  <c r="AF529" i="12"/>
  <c r="AE424" i="12"/>
  <c r="AF424" i="12"/>
  <c r="AE560" i="12"/>
  <c r="AF560" i="12"/>
  <c r="AE506" i="12"/>
  <c r="AF506" i="12"/>
  <c r="AF499" i="12"/>
  <c r="AE499" i="12"/>
  <c r="AE537" i="12"/>
  <c r="AF537" i="12"/>
  <c r="AF557" i="12"/>
  <c r="AE557" i="12"/>
  <c r="AE231" i="12"/>
  <c r="AF231" i="12"/>
  <c r="AE443" i="12"/>
  <c r="AF443" i="12"/>
  <c r="AF481" i="12"/>
  <c r="AE481" i="12"/>
  <c r="AF456" i="12"/>
  <c r="AE456" i="12"/>
  <c r="AF573" i="12"/>
  <c r="AE573" i="12"/>
  <c r="AF429" i="12"/>
  <c r="AE429" i="12"/>
  <c r="AE570" i="12"/>
  <c r="AF570" i="12"/>
  <c r="AE428" i="12"/>
  <c r="AF428" i="12"/>
  <c r="AE310" i="12"/>
  <c r="AF310" i="12"/>
  <c r="AE330" i="12"/>
  <c r="AF330" i="12"/>
  <c r="AE334" i="12"/>
  <c r="AF334" i="12"/>
  <c r="AE553" i="12"/>
  <c r="AF553" i="12"/>
  <c r="AE520" i="12"/>
  <c r="AF520" i="12"/>
  <c r="AE552" i="12"/>
  <c r="AF552" i="12"/>
  <c r="AE534" i="12"/>
  <c r="AF534" i="12"/>
  <c r="AE377" i="12"/>
  <c r="AF377" i="12"/>
  <c r="AE427" i="12"/>
  <c r="AF427" i="12"/>
  <c r="AE467" i="12"/>
  <c r="AF467" i="12"/>
  <c r="AF508" i="12"/>
  <c r="AE508" i="12"/>
  <c r="AE524" i="12"/>
  <c r="AF524" i="12"/>
  <c r="AE466" i="12"/>
  <c r="AF466" i="12"/>
  <c r="AF541" i="12"/>
  <c r="AE541" i="12"/>
  <c r="AE457" i="12"/>
  <c r="AF457" i="12"/>
  <c r="AE532" i="12"/>
  <c r="AF532" i="12"/>
  <c r="AE485" i="12"/>
  <c r="AF485" i="12"/>
  <c r="AE507" i="12"/>
  <c r="AF507" i="12"/>
  <c r="AE488" i="12"/>
  <c r="AF488" i="12"/>
  <c r="AF308" i="12"/>
  <c r="AE308" i="12"/>
  <c r="AE526" i="12"/>
  <c r="AF526" i="12"/>
  <c r="AF568" i="12"/>
  <c r="AE568" i="12"/>
  <c r="AE271" i="12"/>
  <c r="AF271" i="12"/>
  <c r="AE545" i="12"/>
  <c r="AF545" i="12"/>
  <c r="AE293" i="12"/>
  <c r="AF293" i="12"/>
  <c r="AE561" i="12"/>
  <c r="AF561" i="12"/>
  <c r="AE468" i="12"/>
  <c r="AF468" i="12"/>
  <c r="AE502" i="12"/>
  <c r="AF502" i="12"/>
  <c r="AE578" i="12"/>
  <c r="AF578" i="12"/>
  <c r="AE510" i="12"/>
  <c r="AF510" i="12"/>
  <c r="AE509" i="12"/>
  <c r="AF509" i="12"/>
  <c r="AE426" i="12"/>
  <c r="AF426" i="12"/>
  <c r="AF555" i="12"/>
  <c r="AE555" i="12"/>
  <c r="AE501" i="12"/>
  <c r="AF501" i="12"/>
  <c r="AE393" i="12"/>
  <c r="AF393" i="12"/>
  <c r="AE518" i="12"/>
  <c r="AF518" i="12"/>
  <c r="AE409" i="12"/>
  <c r="AF409" i="12"/>
  <c r="AE484" i="12"/>
  <c r="AF484" i="12"/>
  <c r="K8" i="26"/>
  <c r="N7" i="26"/>
  <c r="R1800" i="1"/>
  <c r="Z1800" i="1" s="1"/>
  <c r="R1799" i="1"/>
  <c r="Z1799" i="1" s="1"/>
  <c r="R1777" i="1"/>
  <c r="Z1777" i="1" s="1"/>
  <c r="R1776" i="1"/>
  <c r="Z1776" i="1" s="1"/>
  <c r="R1775" i="1"/>
  <c r="Z1775" i="1" s="1"/>
  <c r="Z1813" i="1"/>
  <c r="Z1850" i="1"/>
  <c r="Z1849" i="1"/>
  <c r="Z1848" i="1"/>
  <c r="Z1847" i="1"/>
  <c r="Z1846" i="1"/>
  <c r="Z1845" i="1"/>
  <c r="Z1844" i="1"/>
  <c r="Z1843" i="1"/>
  <c r="Z1842" i="1"/>
  <c r="Z1841" i="1"/>
  <c r="Z1840" i="1"/>
  <c r="Z1839" i="1"/>
  <c r="Z1838" i="1"/>
  <c r="Z1837" i="1"/>
  <c r="Z1836" i="1"/>
  <c r="Z1851" i="1"/>
  <c r="Z1804" i="1"/>
  <c r="Z1803" i="1"/>
  <c r="R1808" i="1"/>
  <c r="Z1808" i="1" s="1"/>
  <c r="R1807" i="1"/>
  <c r="Z1807" i="1" s="1"/>
  <c r="R1806" i="1"/>
  <c r="Z1806" i="1" s="1"/>
  <c r="R1805" i="1"/>
  <c r="Z1805" i="1" s="1"/>
  <c r="R1767" i="1"/>
  <c r="Z1767" i="1" s="1"/>
  <c r="R1760" i="1"/>
  <c r="Z1760" i="1" s="1"/>
  <c r="R1751" i="1"/>
  <c r="Z1751" i="1" s="1"/>
  <c r="R1745" i="1"/>
  <c r="Z1745" i="1" s="1"/>
  <c r="Z173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4" i="1"/>
  <c r="Z3" i="1"/>
  <c r="Z1646" i="1"/>
  <c r="Z1665" i="1"/>
  <c r="Z1664" i="1"/>
  <c r="Z1516" i="1"/>
  <c r="Z1645" i="1"/>
  <c r="Z1515" i="1"/>
  <c r="Z1644" i="1"/>
  <c r="Z1066" i="1"/>
  <c r="Z1857" i="1"/>
  <c r="Z1856" i="1"/>
  <c r="Z1855" i="1"/>
  <c r="Z1854" i="1"/>
  <c r="Z1853" i="1"/>
  <c r="Z1852" i="1"/>
  <c r="Z837" i="1"/>
  <c r="Z335" i="1"/>
  <c r="Z1281" i="1"/>
  <c r="Z1063" i="1"/>
  <c r="R1835" i="1"/>
  <c r="Z1835" i="1" s="1"/>
  <c r="R1834" i="1"/>
  <c r="Z1834" i="1" s="1"/>
  <c r="R1833" i="1"/>
  <c r="Z1833" i="1" s="1"/>
  <c r="Z1822" i="1"/>
  <c r="Z1821" i="1"/>
  <c r="Z1820" i="1"/>
  <c r="Z1819" i="1"/>
  <c r="Z1818" i="1"/>
  <c r="Z1816" i="1"/>
  <c r="Z1814" i="1"/>
  <c r="Z1815" i="1"/>
  <c r="Z1812" i="1"/>
  <c r="Z1811" i="1"/>
  <c r="Z1809" i="1"/>
  <c r="R1787" i="1"/>
  <c r="Z1787" i="1" s="1"/>
  <c r="R1762" i="1"/>
  <c r="Z1762" i="1" s="1"/>
  <c r="R1761" i="1"/>
  <c r="Z1761" i="1" s="1"/>
  <c r="C34" i="10"/>
  <c r="R1759" i="1"/>
  <c r="Z1759" i="1" s="1"/>
  <c r="R1758" i="1"/>
  <c r="Z1758" i="1" s="1"/>
  <c r="R1744" i="1"/>
  <c r="Z1744" i="1" s="1"/>
  <c r="R1747" i="1"/>
  <c r="Z1747" i="1" s="1"/>
  <c r="R1792" i="1"/>
  <c r="Z1792" i="1" s="1"/>
  <c r="R1770" i="1"/>
  <c r="Z1770" i="1" s="1"/>
  <c r="Z1764" i="1"/>
  <c r="R1763" i="1"/>
  <c r="Z1763" i="1" s="1"/>
  <c r="R1737" i="1"/>
  <c r="Z1737" i="1" s="1"/>
  <c r="Z1749" i="1"/>
  <c r="Z1748" i="1"/>
  <c r="Z1772" i="1"/>
  <c r="Z1769" i="1"/>
  <c r="R1768" i="1"/>
  <c r="Z1768" i="1" s="1"/>
  <c r="R1771" i="1"/>
  <c r="Z1771" i="1" s="1"/>
  <c r="Z1765" i="1"/>
  <c r="R1742" i="1"/>
  <c r="Z1742" i="1" s="1"/>
  <c r="R1753" i="1"/>
  <c r="Z1753" i="1" s="1"/>
  <c r="R1752" i="1"/>
  <c r="Z1752" i="1" s="1"/>
  <c r="R1750" i="1"/>
  <c r="Z1750" i="1" s="1"/>
  <c r="R1746" i="1"/>
  <c r="Z1746" i="1" s="1"/>
  <c r="R1743" i="1"/>
  <c r="Z1743" i="1" s="1"/>
  <c r="Z1741" i="1"/>
  <c r="R1740" i="1"/>
  <c r="Z1740" i="1" s="1"/>
  <c r="R1739" i="1"/>
  <c r="Z1739" i="1" s="1"/>
  <c r="R1738" i="1"/>
  <c r="Z1738" i="1" s="1"/>
  <c r="Z1791" i="1"/>
  <c r="Z1790" i="1"/>
  <c r="Z1789" i="1"/>
  <c r="Z1788" i="1"/>
  <c r="Z1786" i="1"/>
  <c r="Z1785" i="1"/>
  <c r="Z1784" i="1"/>
  <c r="Z1783" i="1"/>
  <c r="Z1782" i="1"/>
  <c r="Z1794" i="1"/>
  <c r="Z1781" i="1"/>
  <c r="Z1780" i="1"/>
  <c r="Z1779" i="1"/>
  <c r="Z1778" i="1"/>
  <c r="Z1757" i="1"/>
  <c r="Z1756" i="1"/>
  <c r="Z1755" i="1"/>
  <c r="Z1754" i="1"/>
  <c r="Z1793" i="1"/>
  <c r="Z1774" i="1"/>
  <c r="Z1773" i="1"/>
  <c r="Z1766" i="1"/>
  <c r="Z1735" i="1"/>
  <c r="Z1734" i="1"/>
  <c r="Z1733" i="1"/>
  <c r="Z1728" i="1"/>
  <c r="Z1727" i="1"/>
  <c r="Z1726" i="1"/>
  <c r="Z1732" i="1"/>
  <c r="Z1731" i="1"/>
  <c r="Z1730" i="1"/>
  <c r="Z1729" i="1"/>
  <c r="Z1123" i="1"/>
  <c r="Z1118" i="1"/>
  <c r="Z1117" i="1"/>
  <c r="Z1116" i="1"/>
  <c r="Z1115" i="1"/>
  <c r="Z1114" i="1"/>
  <c r="Z1113" i="1"/>
  <c r="Z1112" i="1"/>
  <c r="Z1111" i="1"/>
  <c r="Z1110" i="1"/>
  <c r="Z1109" i="1"/>
  <c r="Z1106" i="1"/>
  <c r="Z1105" i="1"/>
  <c r="Z1104" i="1"/>
  <c r="Z925" i="1"/>
  <c r="Z338" i="1"/>
  <c r="Z1103" i="1"/>
  <c r="Z1102" i="1"/>
  <c r="Z1101" i="1"/>
  <c r="Z1100" i="1"/>
  <c r="Z1099" i="1"/>
  <c r="Z1098" i="1"/>
  <c r="Z1097" i="1"/>
  <c r="Z1096" i="1"/>
  <c r="Z1095" i="1"/>
  <c r="Z1094" i="1"/>
  <c r="Z1093" i="1"/>
  <c r="Z1092" i="1"/>
  <c r="Z1091" i="1"/>
  <c r="Z1273" i="1"/>
  <c r="Z1272" i="1"/>
  <c r="Z1271" i="1"/>
  <c r="Z1270" i="1"/>
  <c r="Z1269" i="1"/>
  <c r="Z1268" i="1"/>
  <c r="Z1267" i="1"/>
  <c r="Z1266" i="1"/>
  <c r="Z1265" i="1"/>
  <c r="Z1264" i="1"/>
  <c r="Z1263" i="1"/>
  <c r="Z1262" i="1"/>
  <c r="Z1261" i="1"/>
  <c r="Z1090" i="1"/>
  <c r="Z1089" i="1"/>
  <c r="Z1088" i="1"/>
  <c r="Z1087" i="1"/>
  <c r="Z1086" i="1"/>
  <c r="Z1085" i="1"/>
  <c r="Z899" i="1"/>
  <c r="Z898" i="1"/>
  <c r="Z388" i="1"/>
  <c r="Z897" i="1"/>
  <c r="Z387" i="1"/>
  <c r="Z924" i="1"/>
  <c r="Z896" i="1"/>
  <c r="Z967" i="1"/>
  <c r="Z895" i="1"/>
  <c r="Z386" i="1"/>
  <c r="Z385" i="1"/>
  <c r="Z966" i="1"/>
  <c r="Z894" i="1"/>
  <c r="Z893" i="1"/>
  <c r="Z892" i="1"/>
  <c r="Z891" i="1"/>
  <c r="Z890" i="1"/>
  <c r="Z889" i="1"/>
  <c r="Z888" i="1"/>
  <c r="Z887" i="1"/>
  <c r="Z886" i="1"/>
  <c r="Z885" i="1"/>
  <c r="Z884" i="1"/>
  <c r="Z883" i="1"/>
  <c r="Z882" i="1"/>
  <c r="Z881" i="1"/>
  <c r="Z1260" i="1"/>
  <c r="Z1259" i="1"/>
  <c r="Z1258" i="1"/>
  <c r="Z1257" i="1"/>
  <c r="Z880" i="1"/>
  <c r="Z879" i="1"/>
  <c r="Z878" i="1"/>
  <c r="Z877" i="1"/>
  <c r="Z876" i="1"/>
  <c r="Z875" i="1"/>
  <c r="Z874" i="1"/>
  <c r="Z873" i="1"/>
  <c r="Z872" i="1"/>
  <c r="Z871" i="1"/>
  <c r="Z870" i="1"/>
  <c r="Z869" i="1"/>
  <c r="Z868" i="1"/>
  <c r="Z867" i="1"/>
  <c r="Z866" i="1"/>
  <c r="Z865" i="1"/>
  <c r="Z864" i="1"/>
  <c r="Z863" i="1"/>
  <c r="Z862" i="1"/>
  <c r="Z861" i="1"/>
  <c r="Z860" i="1"/>
  <c r="Z859" i="1"/>
  <c r="Z828" i="1"/>
  <c r="Z858" i="1"/>
  <c r="Z857" i="1"/>
  <c r="Z856" i="1"/>
  <c r="Z855" i="1"/>
  <c r="Z854" i="1"/>
  <c r="Z853" i="1"/>
  <c r="Z852" i="1"/>
  <c r="Z851" i="1"/>
  <c r="Z850" i="1"/>
  <c r="Z849" i="1"/>
  <c r="Z848" i="1"/>
  <c r="Z847" i="1"/>
  <c r="Z333" i="1"/>
  <c r="Z846" i="1"/>
  <c r="Z845" i="1"/>
  <c r="Z844" i="1"/>
  <c r="Z843" i="1"/>
  <c r="Z842" i="1"/>
  <c r="Z332" i="1"/>
  <c r="Z331" i="1"/>
  <c r="Z330" i="1"/>
  <c r="Z1256" i="1"/>
  <c r="Z965" i="1"/>
  <c r="Z329" i="1"/>
  <c r="Z328" i="1"/>
  <c r="Z327" i="1"/>
  <c r="Z326" i="1"/>
  <c r="Z325" i="1"/>
  <c r="Z324" i="1"/>
  <c r="Z323" i="1"/>
  <c r="Z322" i="1"/>
  <c r="Z321" i="1"/>
  <c r="Z964" i="1"/>
  <c r="Z320" i="1"/>
  <c r="Z319" i="1"/>
  <c r="Z384" i="1"/>
  <c r="Z318" i="1"/>
  <c r="Z317" i="1"/>
  <c r="Z827" i="1"/>
  <c r="Z316" i="1"/>
  <c r="Z315" i="1"/>
  <c r="Z383" i="1"/>
  <c r="Z382" i="1"/>
  <c r="Z314" i="1"/>
  <c r="Z381" i="1"/>
  <c r="Z313" i="1"/>
  <c r="Z312" i="1"/>
  <c r="Z311" i="1"/>
  <c r="Z310" i="1"/>
  <c r="Z309" i="1"/>
  <c r="Z308" i="1"/>
  <c r="Z307" i="1"/>
  <c r="Z306" i="1"/>
  <c r="Z305" i="1"/>
  <c r="Z304" i="1"/>
  <c r="Z963" i="1"/>
  <c r="Z303" i="1"/>
  <c r="Z302" i="1"/>
  <c r="Z301" i="1"/>
  <c r="Z300" i="1"/>
  <c r="Z299" i="1"/>
  <c r="Z298" i="1"/>
  <c r="Z297" i="1"/>
  <c r="Z296" i="1"/>
  <c r="Z295" i="1"/>
  <c r="Z294" i="1"/>
  <c r="Z293" i="1"/>
  <c r="Z292" i="1"/>
  <c r="Z291" i="1"/>
  <c r="Z290" i="1"/>
  <c r="Z289" i="1"/>
  <c r="Z288" i="1"/>
  <c r="Z287" i="1"/>
  <c r="Z286" i="1"/>
  <c r="Z380" i="1"/>
  <c r="Z379" i="1"/>
  <c r="Z378" i="1"/>
  <c r="Z285" i="1"/>
  <c r="Z284" i="1"/>
  <c r="Z283" i="1"/>
  <c r="Z282" i="1"/>
  <c r="Z281" i="1"/>
  <c r="Z962" i="1"/>
  <c r="Z280" i="1"/>
  <c r="Z279" i="1"/>
  <c r="Z278" i="1"/>
  <c r="Z277" i="1"/>
  <c r="Z276" i="1"/>
  <c r="Z275" i="1"/>
  <c r="Z274" i="1"/>
  <c r="Z273" i="1"/>
  <c r="Z1131" i="1"/>
  <c r="Z272" i="1"/>
  <c r="Z377" i="1"/>
  <c r="Z92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376" i="1"/>
  <c r="Z271" i="1"/>
  <c r="Z961" i="1"/>
  <c r="Z270" i="1"/>
  <c r="Z269" i="1"/>
  <c r="Z268" i="1"/>
  <c r="Z267" i="1"/>
  <c r="Z266" i="1"/>
  <c r="Z265" i="1"/>
  <c r="Z264" i="1"/>
  <c r="Z263" i="1"/>
  <c r="Z262" i="1"/>
  <c r="Z261" i="1"/>
  <c r="Z260" i="1"/>
  <c r="Z960" i="1"/>
  <c r="Z1108" i="1"/>
  <c r="Z259" i="1"/>
  <c r="Z258" i="1"/>
  <c r="Z257" i="1"/>
  <c r="Z256" i="1"/>
  <c r="Z255" i="1"/>
  <c r="Z254" i="1"/>
  <c r="Z253" i="1"/>
  <c r="Z252" i="1"/>
  <c r="Z251" i="1"/>
  <c r="Z250" i="1"/>
  <c r="Z249" i="1"/>
  <c r="Z248" i="1"/>
  <c r="Z247" i="1"/>
  <c r="Z246" i="1"/>
  <c r="Z245" i="1"/>
  <c r="Z244" i="1"/>
  <c r="Z243" i="1"/>
  <c r="Z922"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826" i="1"/>
  <c r="Z191" i="1"/>
  <c r="Z190" i="1"/>
  <c r="Z189" i="1"/>
  <c r="Z188" i="1"/>
  <c r="Z375"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959"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825" i="1"/>
  <c r="Z38" i="1"/>
  <c r="Z37" i="1"/>
  <c r="Z36" i="1"/>
  <c r="Z35" i="1"/>
  <c r="Z34" i="1"/>
  <c r="Z33" i="1"/>
  <c r="Z32" i="1"/>
  <c r="Z31" i="1"/>
  <c r="Z30" i="1"/>
  <c r="Z29" i="1"/>
  <c r="Z374" i="1"/>
  <c r="Z1075" i="1"/>
  <c r="Z28" i="1"/>
  <c r="Z27" i="1"/>
  <c r="Z26" i="1"/>
  <c r="Z25" i="1"/>
  <c r="Z24" i="1"/>
  <c r="Z23" i="1"/>
  <c r="Z958" i="1"/>
  <c r="Z1107" i="1"/>
  <c r="Z22" i="1"/>
  <c r="Z21" i="1"/>
  <c r="Z20" i="1"/>
  <c r="Z19" i="1"/>
  <c r="Z18" i="1"/>
  <c r="Z17" i="1"/>
  <c r="Z16" i="1"/>
  <c r="Z15" i="1"/>
  <c r="Z14" i="1"/>
  <c r="Z13" i="1"/>
  <c r="Z12" i="1"/>
  <c r="Z11" i="1"/>
  <c r="Z10" i="1"/>
  <c r="Z9" i="1"/>
  <c r="Z8" i="1"/>
  <c r="Z7"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841"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12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1121" i="1"/>
  <c r="Z373" i="1"/>
  <c r="Z372" i="1"/>
  <c r="Z957" i="1"/>
  <c r="Z956" i="1"/>
  <c r="Z955" i="1"/>
  <c r="Z954" i="1"/>
  <c r="Z953" i="1"/>
  <c r="Z711" i="1"/>
  <c r="Z710" i="1"/>
  <c r="Z709" i="1"/>
  <c r="Z708" i="1"/>
  <c r="Z707" i="1"/>
  <c r="Z706" i="1"/>
  <c r="Z705" i="1"/>
  <c r="Z704" i="1"/>
  <c r="Z703" i="1"/>
  <c r="Z702" i="1"/>
  <c r="Z921" i="1"/>
  <c r="Z920" i="1"/>
  <c r="Z701" i="1"/>
  <c r="Z700" i="1"/>
  <c r="Z699" i="1"/>
  <c r="Z698" i="1"/>
  <c r="Z697" i="1"/>
  <c r="Z696" i="1"/>
  <c r="Z695" i="1"/>
  <c r="Z694" i="1"/>
  <c r="Z1074" i="1"/>
  <c r="Z952" i="1"/>
  <c r="Z951" i="1"/>
  <c r="Z950" i="1"/>
  <c r="Z693" i="1"/>
  <c r="Z692" i="1"/>
  <c r="Z691" i="1"/>
  <c r="Z690" i="1"/>
  <c r="Z689" i="1"/>
  <c r="Z688" i="1"/>
  <c r="Z687" i="1"/>
  <c r="Z1073" i="1"/>
  <c r="Z686" i="1"/>
  <c r="Z685" i="1"/>
  <c r="Z684" i="1"/>
  <c r="Z683" i="1"/>
  <c r="Z682" i="1"/>
  <c r="Z681" i="1"/>
  <c r="Z919" i="1"/>
  <c r="Z680" i="1"/>
  <c r="Z679" i="1"/>
  <c r="Z1072" i="1"/>
  <c r="Z678" i="1"/>
  <c r="Z677" i="1"/>
  <c r="Z676" i="1"/>
  <c r="Z675" i="1"/>
  <c r="Z674" i="1"/>
  <c r="Z673" i="1"/>
  <c r="Z672" i="1"/>
  <c r="Z671" i="1"/>
  <c r="Z670" i="1"/>
  <c r="Z669" i="1"/>
  <c r="Z668" i="1"/>
  <c r="Z371"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918" i="1"/>
  <c r="Z628" i="1"/>
  <c r="Z949" i="1"/>
  <c r="Z627" i="1"/>
  <c r="Z6" i="1"/>
  <c r="Z412" i="1"/>
  <c r="Z626" i="1"/>
  <c r="Z625" i="1"/>
  <c r="Z624" i="1"/>
  <c r="Z370" i="1"/>
  <c r="Z623" i="1"/>
  <c r="Z369" i="1"/>
  <c r="Z368" i="1"/>
  <c r="Z367" i="1"/>
  <c r="Z622" i="1"/>
  <c r="Z621" i="1"/>
  <c r="Z620" i="1"/>
  <c r="Z619" i="1"/>
  <c r="Z618" i="1"/>
  <c r="Z617" i="1"/>
  <c r="Z616" i="1"/>
  <c r="Z615" i="1"/>
  <c r="Z614" i="1"/>
  <c r="Z613" i="1"/>
  <c r="Z612" i="1"/>
  <c r="Z611" i="1"/>
  <c r="Z366" i="1"/>
  <c r="Z365" i="1"/>
  <c r="Z610" i="1"/>
  <c r="Z609" i="1"/>
  <c r="Z608" i="1"/>
  <c r="Z607" i="1"/>
  <c r="Z606" i="1"/>
  <c r="Z605" i="1"/>
  <c r="Z604" i="1"/>
  <c r="Z603" i="1"/>
  <c r="Z602" i="1"/>
  <c r="Z601" i="1"/>
  <c r="Z364" i="1"/>
  <c r="Z363" i="1"/>
  <c r="Z362" i="1"/>
  <c r="Z600" i="1"/>
  <c r="Z599" i="1"/>
  <c r="Z598" i="1"/>
  <c r="Z597" i="1"/>
  <c r="Z1305" i="1"/>
  <c r="Z1304" i="1"/>
  <c r="Z1303" i="1"/>
  <c r="Z1302" i="1"/>
  <c r="Z1301" i="1"/>
  <c r="Z1300" i="1"/>
  <c r="Z596" i="1"/>
  <c r="Z1254" i="1"/>
  <c r="Z595" i="1"/>
  <c r="Z1130" i="1"/>
  <c r="Z1129" i="1"/>
  <c r="Z1128" i="1"/>
  <c r="Z1127" i="1"/>
  <c r="Z1299" i="1"/>
  <c r="Z1298" i="1"/>
  <c r="Z594" i="1"/>
  <c r="Z593" i="1"/>
  <c r="Z592" i="1"/>
  <c r="Z591" i="1"/>
  <c r="Z590" i="1"/>
  <c r="Z589" i="1"/>
  <c r="Z588" i="1"/>
  <c r="Z587" i="1"/>
  <c r="Z586" i="1"/>
  <c r="Z585" i="1"/>
  <c r="Z337" i="1"/>
  <c r="Z1253" i="1"/>
  <c r="Z1252" i="1"/>
  <c r="Z1251" i="1"/>
  <c r="Z1250" i="1"/>
  <c r="Z1249" i="1"/>
  <c r="Z1248" i="1"/>
  <c r="Z1247" i="1"/>
  <c r="Z1246" i="1"/>
  <c r="Z584" i="1"/>
  <c r="Z583" i="1"/>
  <c r="Z582" i="1"/>
  <c r="Z581" i="1"/>
  <c r="Z580" i="1"/>
  <c r="Z840" i="1"/>
  <c r="Z579" i="1"/>
  <c r="Z578" i="1"/>
  <c r="Z577" i="1"/>
  <c r="Z576" i="1"/>
  <c r="Z575" i="1"/>
  <c r="Z5" i="1"/>
  <c r="Z574" i="1"/>
  <c r="Z573" i="1"/>
  <c r="Z572" i="1"/>
  <c r="Z839" i="1"/>
  <c r="Z571" i="1"/>
  <c r="Z570" i="1"/>
  <c r="Z569" i="1"/>
  <c r="Z568" i="1"/>
  <c r="Z1120" i="1"/>
  <c r="Z1817" i="1"/>
  <c r="Z567" i="1"/>
  <c r="Z566" i="1"/>
  <c r="Z361" i="1"/>
  <c r="Z360" i="1"/>
  <c r="Z359" i="1"/>
  <c r="Z358" i="1"/>
  <c r="Z357" i="1"/>
  <c r="Z356" i="1"/>
  <c r="Z948" i="1"/>
  <c r="Z947" i="1"/>
  <c r="Z565" i="1"/>
  <c r="Z564" i="1"/>
  <c r="Z563" i="1"/>
  <c r="Z562" i="1"/>
  <c r="Z561" i="1"/>
  <c r="Z560" i="1"/>
  <c r="Z937" i="1"/>
  <c r="Z559" i="1"/>
  <c r="Z917" i="1"/>
  <c r="Z558" i="1"/>
  <c r="Z557" i="1"/>
  <c r="Z556" i="1"/>
  <c r="Z555" i="1"/>
  <c r="Z554" i="1"/>
  <c r="Z553" i="1"/>
  <c r="Z552" i="1"/>
  <c r="Z551" i="1"/>
  <c r="Z550" i="1"/>
  <c r="Z549" i="1"/>
  <c r="Z548" i="1"/>
  <c r="Z547" i="1"/>
  <c r="Z546" i="1"/>
  <c r="Z545" i="1"/>
  <c r="Z544" i="1"/>
  <c r="Z543" i="1"/>
  <c r="Z542" i="1"/>
  <c r="Z541" i="1"/>
  <c r="Z916" i="1"/>
  <c r="Z540" i="1"/>
  <c r="Z539" i="1"/>
  <c r="Z538" i="1"/>
  <c r="Z1071" i="1"/>
  <c r="Z355" i="1"/>
  <c r="Z537" i="1"/>
  <c r="Z536" i="1"/>
  <c r="Z535" i="1"/>
  <c r="Z534" i="1"/>
  <c r="Z533" i="1"/>
  <c r="Z532" i="1"/>
  <c r="Z531" i="1"/>
  <c r="Z530" i="1"/>
  <c r="Z529" i="1"/>
  <c r="Z528" i="1"/>
  <c r="Z946" i="1"/>
  <c r="Z527" i="1"/>
  <c r="Z354" i="1"/>
  <c r="Z353" i="1"/>
  <c r="Z352" i="1"/>
  <c r="Z351" i="1"/>
  <c r="Z1070" i="1"/>
  <c r="Z350" i="1"/>
  <c r="Z526" i="1"/>
  <c r="Z915" i="1"/>
  <c r="Z914" i="1"/>
  <c r="Z913" i="1"/>
  <c r="Z525" i="1"/>
  <c r="Z524" i="1"/>
  <c r="Z523" i="1"/>
  <c r="Z522" i="1"/>
  <c r="Z521" i="1"/>
  <c r="Z928" i="1"/>
  <c r="Z520" i="1"/>
  <c r="Z519" i="1"/>
  <c r="Z518" i="1"/>
  <c r="Z1245" i="1"/>
  <c r="Z517" i="1"/>
  <c r="Z516" i="1"/>
  <c r="Z515" i="1"/>
  <c r="Z514" i="1"/>
  <c r="Z513" i="1"/>
  <c r="Z512" i="1"/>
  <c r="Z511" i="1"/>
  <c r="Z510" i="1"/>
  <c r="Z1069" i="1"/>
  <c r="Z1068" i="1"/>
  <c r="Z945" i="1"/>
  <c r="Z944" i="1"/>
  <c r="Z509" i="1"/>
  <c r="Z508" i="1"/>
  <c r="Z507" i="1"/>
  <c r="Z506" i="1"/>
  <c r="Z1067" i="1"/>
  <c r="Z505" i="1"/>
  <c r="Z504" i="1"/>
  <c r="Z503" i="1"/>
  <c r="Z502" i="1"/>
  <c r="Z501" i="1"/>
  <c r="Z500" i="1"/>
  <c r="Z499" i="1"/>
  <c r="Z498" i="1"/>
  <c r="Z497" i="1"/>
  <c r="Z496" i="1"/>
  <c r="Z495" i="1"/>
  <c r="Z494" i="1"/>
  <c r="Z493" i="1"/>
  <c r="Z492" i="1"/>
  <c r="Z491" i="1"/>
  <c r="Z490" i="1"/>
  <c r="Z489" i="1"/>
  <c r="Z488" i="1"/>
  <c r="Z487" i="1"/>
  <c r="Z486" i="1"/>
  <c r="Z1244" i="1"/>
  <c r="Z485" i="1"/>
  <c r="Z349" i="1"/>
  <c r="Z348" i="1"/>
  <c r="Z347" i="1"/>
  <c r="Z346" i="1"/>
  <c r="Z345" i="1"/>
  <c r="Z344" i="1"/>
  <c r="Z343" i="1"/>
  <c r="Z943" i="1"/>
  <c r="Z484" i="1"/>
  <c r="Z942" i="1"/>
  <c r="Z1243" i="1"/>
  <c r="Z483" i="1"/>
  <c r="Z482" i="1"/>
  <c r="Z481" i="1"/>
  <c r="Z342" i="1"/>
  <c r="Z480" i="1"/>
  <c r="Z479" i="1"/>
  <c r="Z478" i="1"/>
  <c r="Z477" i="1"/>
  <c r="Z476" i="1"/>
  <c r="Z475" i="1"/>
  <c r="Z474" i="1"/>
  <c r="Z473" i="1"/>
  <c r="Z1825" i="1"/>
  <c r="Z941" i="1"/>
  <c r="Z472" i="1"/>
  <c r="Z471" i="1"/>
  <c r="Z470" i="1"/>
  <c r="Z469" i="1"/>
  <c r="Z468" i="1"/>
  <c r="Z467" i="1"/>
  <c r="Z466" i="1"/>
  <c r="Z465" i="1"/>
  <c r="Z464" i="1"/>
  <c r="Z463" i="1"/>
  <c r="Z462" i="1"/>
  <c r="Z461" i="1"/>
  <c r="Z460" i="1"/>
  <c r="Z341" i="1"/>
  <c r="Z340" i="1"/>
  <c r="Z339" i="1"/>
  <c r="Z459" i="1"/>
  <c r="Z458" i="1"/>
  <c r="Z457" i="1"/>
  <c r="Z456" i="1"/>
  <c r="Z455" i="1"/>
  <c r="Z2" i="1"/>
  <c r="Z1824" i="1"/>
  <c r="Z936" i="1"/>
  <c r="Z935" i="1"/>
  <c r="Z934" i="1"/>
  <c r="Z933" i="1"/>
  <c r="Z932" i="1"/>
  <c r="Z454" i="1"/>
  <c r="Z453" i="1"/>
  <c r="Z452" i="1"/>
  <c r="Z1119" i="1"/>
  <c r="Z451" i="1"/>
  <c r="Z940" i="1"/>
  <c r="Z838"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336" i="1"/>
  <c r="Z425" i="1"/>
  <c r="Z424" i="1"/>
  <c r="Z423" i="1"/>
  <c r="Z422" i="1"/>
  <c r="Z421" i="1"/>
  <c r="Z420" i="1"/>
  <c r="Z419" i="1"/>
  <c r="Z418" i="1"/>
  <c r="Z417" i="1"/>
  <c r="Z416" i="1"/>
  <c r="Z415" i="1"/>
  <c r="Z414" i="1"/>
  <c r="Z413" i="1"/>
  <c r="R1514" i="1"/>
  <c r="Z1514" i="1" s="1"/>
  <c r="R1513" i="1"/>
  <c r="Z1513" i="1" s="1"/>
  <c r="R1511" i="1"/>
  <c r="Z1511" i="1" s="1"/>
  <c r="R1510" i="1"/>
  <c r="Z1510" i="1" s="1"/>
  <c r="R1507" i="1"/>
  <c r="Z1507" i="1" s="1"/>
  <c r="R1506" i="1"/>
  <c r="Z1506" i="1" s="1"/>
  <c r="R1504" i="1"/>
  <c r="Z1504" i="1" s="1"/>
  <c r="R1503" i="1"/>
  <c r="Z1503" i="1" s="1"/>
  <c r="R1502" i="1"/>
  <c r="Z1502" i="1" s="1"/>
  <c r="R1501" i="1"/>
  <c r="Z1501" i="1" s="1"/>
  <c r="R1500" i="1"/>
  <c r="Z1500" i="1" s="1"/>
  <c r="R1499" i="1"/>
  <c r="Z1499" i="1" s="1"/>
  <c r="R1498" i="1"/>
  <c r="Z1498" i="1" s="1"/>
  <c r="R1497" i="1"/>
  <c r="Z1497" i="1" s="1"/>
  <c r="R1496" i="1"/>
  <c r="Z1496" i="1" s="1"/>
  <c r="R1494" i="1"/>
  <c r="Z1494" i="1" s="1"/>
  <c r="R1492" i="1"/>
  <c r="Z1492" i="1" s="1"/>
  <c r="R1491" i="1"/>
  <c r="Z1491" i="1" s="1"/>
  <c r="R1490" i="1"/>
  <c r="Z1490" i="1" s="1"/>
  <c r="R1489" i="1"/>
  <c r="Z1489" i="1" s="1"/>
  <c r="R1488" i="1"/>
  <c r="Z1488" i="1" s="1"/>
  <c r="R1486" i="1"/>
  <c r="Z1486" i="1" s="1"/>
  <c r="R1485" i="1"/>
  <c r="Z1485" i="1" s="1"/>
  <c r="R1484" i="1"/>
  <c r="Z1484" i="1" s="1"/>
  <c r="R1467" i="1"/>
  <c r="Z1467" i="1" s="1"/>
  <c r="R1457" i="1"/>
  <c r="Z1457" i="1" s="1"/>
  <c r="R1454" i="1"/>
  <c r="Z1454" i="1" s="1"/>
  <c r="R1453" i="1"/>
  <c r="Z1453" i="1" s="1"/>
  <c r="R1452" i="1"/>
  <c r="Z1452" i="1" s="1"/>
  <c r="R1449" i="1"/>
  <c r="Z1449" i="1" s="1"/>
  <c r="R1447" i="1"/>
  <c r="Z1447" i="1" s="1"/>
  <c r="R1446" i="1"/>
  <c r="Z1446" i="1" s="1"/>
  <c r="R1445" i="1"/>
  <c r="Z1445" i="1" s="1"/>
  <c r="R1444" i="1"/>
  <c r="Z1444" i="1" s="1"/>
  <c r="R1443" i="1"/>
  <c r="Z1443" i="1" s="1"/>
  <c r="R1442" i="1"/>
  <c r="Z1442" i="1" s="1"/>
  <c r="R1441" i="1"/>
  <c r="Z1441" i="1" s="1"/>
  <c r="R1439" i="1"/>
  <c r="Z1439" i="1" s="1"/>
  <c r="R1434" i="1"/>
  <c r="Z1434" i="1" s="1"/>
  <c r="R1422" i="1"/>
  <c r="Z1422" i="1" s="1"/>
  <c r="R1421" i="1"/>
  <c r="Z1421" i="1" s="1"/>
  <c r="R1420" i="1"/>
  <c r="Z1420" i="1" s="1"/>
  <c r="R1423" i="1"/>
  <c r="Z1423" i="1" s="1"/>
  <c r="R1414" i="1"/>
  <c r="Z1414" i="1" s="1"/>
  <c r="R1411" i="1"/>
  <c r="Z1411" i="1" s="1"/>
  <c r="R1408" i="1"/>
  <c r="Z1408" i="1" s="1"/>
  <c r="R1407" i="1"/>
  <c r="Z1407" i="1" s="1"/>
  <c r="R1406" i="1"/>
  <c r="Z1406" i="1" s="1"/>
  <c r="R1404" i="1"/>
  <c r="Z1404" i="1" s="1"/>
  <c r="R1401" i="1"/>
  <c r="Z1401" i="1" s="1"/>
  <c r="R1403" i="1"/>
  <c r="Z1403" i="1" s="1"/>
  <c r="R1402" i="1"/>
  <c r="Z1402" i="1" s="1"/>
  <c r="R1397" i="1"/>
  <c r="Z1397" i="1" s="1"/>
  <c r="R1396" i="1"/>
  <c r="Z1396" i="1" s="1"/>
  <c r="R1395" i="1"/>
  <c r="Z1395" i="1" s="1"/>
  <c r="R1394" i="1"/>
  <c r="Z1394" i="1" s="1"/>
  <c r="R1392" i="1"/>
  <c r="Z1392" i="1" s="1"/>
  <c r="R1388" i="1"/>
  <c r="Z1388" i="1" s="1"/>
  <c r="R1387" i="1"/>
  <c r="Z1387" i="1" s="1"/>
  <c r="R1384" i="1"/>
  <c r="Z1384" i="1" s="1"/>
  <c r="R1383" i="1"/>
  <c r="Z1383" i="1" s="1"/>
  <c r="R1382" i="1"/>
  <c r="Z1382" i="1" s="1"/>
  <c r="R1381" i="1"/>
  <c r="Z1381" i="1" s="1"/>
  <c r="R1379" i="1"/>
  <c r="Z1379" i="1" s="1"/>
  <c r="R1378" i="1"/>
  <c r="Z1378" i="1" s="1"/>
  <c r="R1377" i="1"/>
  <c r="Z1377" i="1" s="1"/>
  <c r="R1376" i="1"/>
  <c r="Z1376" i="1" s="1"/>
  <c r="R1373" i="1"/>
  <c r="Z1373" i="1" s="1"/>
  <c r="R1372" i="1"/>
  <c r="Z1372" i="1" s="1"/>
  <c r="R1371" i="1"/>
  <c r="Z1371" i="1" s="1"/>
  <c r="R1370" i="1"/>
  <c r="Z1370" i="1" s="1"/>
  <c r="R1369" i="1"/>
  <c r="Z1369" i="1" s="1"/>
  <c r="R1368" i="1"/>
  <c r="Z1368" i="1" s="1"/>
  <c r="R1367" i="1"/>
  <c r="Z1367" i="1" s="1"/>
  <c r="R1362" i="1"/>
  <c r="Z1362" i="1" s="1"/>
  <c r="R1361" i="1"/>
  <c r="Z1361" i="1" s="1"/>
  <c r="R1357" i="1"/>
  <c r="Z1357" i="1" s="1"/>
  <c r="R1356" i="1"/>
  <c r="Z1356" i="1" s="1"/>
  <c r="R1354" i="1"/>
  <c r="Z1354" i="1" s="1"/>
  <c r="R1353" i="1"/>
  <c r="Z1353" i="1" s="1"/>
  <c r="R1350" i="1"/>
  <c r="Z1350" i="1" s="1"/>
  <c r="R1347" i="1"/>
  <c r="Z1347" i="1" s="1"/>
  <c r="R1337" i="1"/>
  <c r="Z1337" i="1" s="1"/>
  <c r="R1335" i="1"/>
  <c r="Z1335" i="1" s="1"/>
  <c r="R1334" i="1"/>
  <c r="Z1334" i="1" s="1"/>
  <c r="R1333" i="1"/>
  <c r="Z1333" i="1" s="1"/>
  <c r="R1332" i="1"/>
  <c r="Z1332" i="1" s="1"/>
  <c r="R1331" i="1"/>
  <c r="Z1331" i="1" s="1"/>
  <c r="R1330" i="1"/>
  <c r="Z1330" i="1" s="1"/>
  <c r="R1327" i="1"/>
  <c r="Z1327" i="1" s="1"/>
  <c r="R1326" i="1"/>
  <c r="Z1326" i="1" s="1"/>
  <c r="R1325" i="1"/>
  <c r="Z1325" i="1" s="1"/>
  <c r="R1319" i="1"/>
  <c r="Z1319" i="1" s="1"/>
  <c r="Z1663" i="1"/>
  <c r="Z409" i="1"/>
  <c r="Z408" i="1"/>
  <c r="Z407" i="1"/>
  <c r="Z406" i="1"/>
  <c r="Z405" i="1"/>
  <c r="Z1643" i="1"/>
  <c r="Z1512" i="1"/>
  <c r="Z1062" i="1"/>
  <c r="Z1280" i="1"/>
  <c r="Z1279" i="1"/>
  <c r="Z1278" i="1"/>
  <c r="Z1187" i="1"/>
  <c r="Z1186" i="1"/>
  <c r="Z1061" i="1"/>
  <c r="Z1060" i="1"/>
  <c r="Z1832" i="1"/>
  <c r="Z1831" i="1"/>
  <c r="Z1830" i="1"/>
  <c r="Z1829" i="1"/>
  <c r="Z1828" i="1"/>
  <c r="Z1827" i="1"/>
  <c r="Z1059" i="1"/>
  <c r="Z1058" i="1"/>
  <c r="Z1826" i="1"/>
  <c r="Z1057" i="1"/>
  <c r="Z939" i="1"/>
  <c r="Z404" i="1"/>
  <c r="Z1056" i="1"/>
  <c r="Z927" i="1"/>
  <c r="Z926" i="1"/>
  <c r="Z1317" i="1"/>
  <c r="Z1316" i="1"/>
  <c r="Z1315" i="1"/>
  <c r="Z1314" i="1"/>
  <c r="Z1313" i="1"/>
  <c r="Z1312" i="1"/>
  <c r="Z1311" i="1"/>
  <c r="Z1310" i="1"/>
  <c r="Z1309" i="1"/>
  <c r="Z1308" i="1"/>
  <c r="Z1307" i="1"/>
  <c r="Z1306" i="1"/>
  <c r="Z1642" i="1"/>
  <c r="Z1509" i="1"/>
  <c r="Z1641" i="1"/>
  <c r="Z1508" i="1"/>
  <c r="Z836" i="1"/>
  <c r="Z1640" i="1"/>
  <c r="Z1639" i="1"/>
  <c r="Z1638" i="1"/>
  <c r="Z1505" i="1"/>
  <c r="Z1637" i="1"/>
  <c r="Z1662" i="1"/>
  <c r="Z1636" i="1"/>
  <c r="Z1635" i="1"/>
  <c r="Z1634" i="1"/>
  <c r="Z835" i="1"/>
  <c r="Z403" i="1"/>
  <c r="Z1633" i="1"/>
  <c r="Z1495" i="1"/>
  <c r="Z1055" i="1"/>
  <c r="Z1632" i="1"/>
  <c r="Z1493" i="1"/>
  <c r="Z834" i="1"/>
  <c r="Z1631" i="1"/>
  <c r="Z1487" i="1"/>
  <c r="Z402" i="1"/>
  <c r="Z334" i="1"/>
  <c r="Z833" i="1"/>
  <c r="Z832" i="1"/>
  <c r="Z1054" i="1"/>
  <c r="Z1277" i="1"/>
  <c r="Z401" i="1"/>
  <c r="Z1823" i="1"/>
  <c r="Z1276" i="1"/>
  <c r="Z931" i="1"/>
  <c r="Z400" i="1"/>
  <c r="Z1630" i="1"/>
  <c r="Z1629" i="1"/>
  <c r="Z1483" i="1"/>
  <c r="Z1628" i="1"/>
  <c r="Z1482" i="1"/>
  <c r="Z912" i="1"/>
  <c r="Z1275" i="1"/>
  <c r="Z1196" i="1"/>
  <c r="Z1184" i="1"/>
  <c r="Z1183" i="1"/>
  <c r="Z1182" i="1"/>
  <c r="Z1181" i="1"/>
  <c r="Z1180" i="1"/>
  <c r="Z1179" i="1"/>
  <c r="Z1174" i="1"/>
  <c r="Z1169" i="1"/>
  <c r="Z1168" i="1"/>
  <c r="Z1167" i="1"/>
  <c r="Z1160" i="1"/>
  <c r="Z1159" i="1"/>
  <c r="Z1158" i="1"/>
  <c r="Z1157" i="1"/>
  <c r="Z1156" i="1"/>
  <c r="Z1155" i="1"/>
  <c r="Z1154" i="1"/>
  <c r="Z1153" i="1"/>
  <c r="Z1141" i="1"/>
  <c r="Z1140" i="1"/>
  <c r="Z1139" i="1"/>
  <c r="Z1084" i="1"/>
  <c r="Z1165" i="1"/>
  <c r="Z1297" i="1"/>
  <c r="Z1296" i="1"/>
  <c r="Z1295" i="1"/>
  <c r="Z1294" i="1"/>
  <c r="Z1290" i="1"/>
  <c r="Z1289" i="1"/>
  <c r="Z1288" i="1"/>
  <c r="Z1287" i="1"/>
  <c r="Z1286" i="1"/>
  <c r="Z1285" i="1"/>
  <c r="Z1284" i="1"/>
  <c r="Z1283" i="1"/>
  <c r="Z1282" i="1"/>
  <c r="Z1212" i="1"/>
  <c r="Z1211" i="1"/>
  <c r="Z1210" i="1"/>
  <c r="Z1209" i="1"/>
  <c r="Z1208" i="1"/>
  <c r="Z399" i="1"/>
  <c r="Z398" i="1"/>
  <c r="Z397" i="1"/>
  <c r="Z396" i="1"/>
  <c r="Z938" i="1"/>
  <c r="Z911" i="1"/>
  <c r="Z910" i="1"/>
  <c r="Z909" i="1"/>
  <c r="Z908" i="1"/>
  <c r="Z907" i="1"/>
  <c r="Z906" i="1"/>
  <c r="Z1170" i="1"/>
  <c r="Z905" i="1"/>
  <c r="Z1197" i="1"/>
  <c r="Z1178" i="1"/>
  <c r="Z1177" i="1"/>
  <c r="Z1176" i="1"/>
  <c r="Z1175" i="1"/>
  <c r="Z1172" i="1"/>
  <c r="Z1171" i="1"/>
  <c r="Z1152" i="1"/>
  <c r="Z1151" i="1"/>
  <c r="Z1150" i="1"/>
  <c r="Z1149" i="1"/>
  <c r="Z1148" i="1"/>
  <c r="Z1147" i="1"/>
  <c r="Z1146" i="1"/>
  <c r="Z1145" i="1"/>
  <c r="Z1144" i="1"/>
  <c r="Z1143" i="1"/>
  <c r="Z1142" i="1"/>
  <c r="Z1053" i="1"/>
  <c r="Z1052" i="1"/>
  <c r="Z1051" i="1"/>
  <c r="Z1050" i="1"/>
  <c r="Z1627" i="1"/>
  <c r="Z1481" i="1"/>
  <c r="Z1626" i="1"/>
  <c r="Z1480" i="1"/>
  <c r="Z1625" i="1"/>
  <c r="Z1479" i="1"/>
  <c r="Z1049" i="1"/>
  <c r="Z1132" i="1"/>
  <c r="Z1195" i="1"/>
  <c r="Z1194" i="1"/>
  <c r="Z1193" i="1"/>
  <c r="Z1207" i="1"/>
  <c r="Z1048" i="1"/>
  <c r="Z1047" i="1"/>
  <c r="Z1046" i="1"/>
  <c r="Z1045" i="1"/>
  <c r="Z1044" i="1"/>
  <c r="Z1173" i="1"/>
  <c r="Z1166" i="1"/>
  <c r="Z1138" i="1"/>
  <c r="Z1137" i="1"/>
  <c r="Z1136" i="1"/>
  <c r="Z1135" i="1"/>
  <c r="Z1134" i="1"/>
  <c r="Z1133" i="1"/>
  <c r="Z1043" i="1"/>
  <c r="Z904" i="1"/>
  <c r="Z903" i="1"/>
  <c r="Z902" i="1"/>
  <c r="Z901" i="1"/>
  <c r="Z831" i="1"/>
  <c r="Z1042" i="1"/>
  <c r="Z1041" i="1"/>
  <c r="Z1040" i="1"/>
  <c r="Z1039" i="1"/>
  <c r="Z1038" i="1"/>
  <c r="Z1037" i="1"/>
  <c r="Z1036" i="1"/>
  <c r="Z1624" i="1"/>
  <c r="Z1478" i="1"/>
  <c r="Z1661" i="1"/>
  <c r="Z1623" i="1"/>
  <c r="Z1477" i="1"/>
  <c r="Z1660" i="1"/>
  <c r="Z1622" i="1"/>
  <c r="Z1476" i="1"/>
  <c r="Z1621" i="1"/>
  <c r="Z1475" i="1"/>
  <c r="Z1620" i="1"/>
  <c r="Z1619" i="1"/>
  <c r="Z1474" i="1"/>
  <c r="Z1083" i="1"/>
  <c r="Z1035" i="1"/>
  <c r="Z1034" i="1"/>
  <c r="Z1033" i="1"/>
  <c r="Z1032" i="1"/>
  <c r="Z1031" i="1"/>
  <c r="Z1618" i="1"/>
  <c r="Z1473" i="1"/>
  <c r="Z1617" i="1"/>
  <c r="Z1472" i="1"/>
  <c r="Z1030" i="1"/>
  <c r="Z930" i="1"/>
  <c r="Z929" i="1"/>
  <c r="Z1029" i="1"/>
  <c r="Z1028" i="1"/>
  <c r="Z1027" i="1"/>
  <c r="Z1616" i="1"/>
  <c r="Z1471" i="1"/>
  <c r="Z1615" i="1"/>
  <c r="Z1470" i="1"/>
  <c r="Z1659" i="1"/>
  <c r="Z1614" i="1"/>
  <c r="Z1469" i="1"/>
  <c r="Z1658" i="1"/>
  <c r="Z1082" i="1"/>
  <c r="Z1026" i="1"/>
  <c r="Z1025" i="1"/>
  <c r="Z1024" i="1"/>
  <c r="Z1023" i="1"/>
  <c r="Z1022" i="1"/>
  <c r="Z1021" i="1"/>
  <c r="Z1020" i="1"/>
  <c r="Z1081" i="1"/>
  <c r="Z1019" i="1"/>
  <c r="Z1018" i="1"/>
  <c r="Z1017" i="1"/>
  <c r="Z1016" i="1"/>
  <c r="Z1015" i="1"/>
  <c r="Z1014" i="1"/>
  <c r="Z1013" i="1"/>
  <c r="Z395" i="1"/>
  <c r="Z1012" i="1"/>
  <c r="Z1011" i="1"/>
  <c r="Z1010" i="1"/>
  <c r="Z1009" i="1"/>
  <c r="Z1164" i="1"/>
  <c r="Z1163" i="1"/>
  <c r="Z1162" i="1"/>
  <c r="Z1206" i="1"/>
  <c r="Z1080" i="1"/>
  <c r="Z1008" i="1"/>
  <c r="Z394" i="1"/>
  <c r="Z393" i="1"/>
  <c r="Z392" i="1"/>
  <c r="Z1007" i="1"/>
  <c r="Z1006" i="1"/>
  <c r="Z1005" i="1"/>
  <c r="Z1004" i="1"/>
  <c r="Z1003" i="1"/>
  <c r="Z1274" i="1"/>
  <c r="Z391" i="1"/>
  <c r="Z390" i="1"/>
  <c r="Z389" i="1"/>
  <c r="Z1002" i="1"/>
  <c r="Z1001" i="1"/>
  <c r="Z1000" i="1"/>
  <c r="Z1192" i="1"/>
  <c r="Z999" i="1"/>
  <c r="Z998" i="1"/>
  <c r="Z997" i="1"/>
  <c r="Z996" i="1"/>
  <c r="Z995" i="1"/>
  <c r="Z994" i="1"/>
  <c r="Z993" i="1"/>
  <c r="Z1079" i="1"/>
  <c r="Z992" i="1"/>
  <c r="Z991" i="1"/>
  <c r="Z990" i="1"/>
  <c r="Z989" i="1"/>
  <c r="Z988" i="1"/>
  <c r="Z987" i="1"/>
  <c r="Z986" i="1"/>
  <c r="Z1613" i="1"/>
  <c r="Z1468" i="1"/>
  <c r="Z1078" i="1"/>
  <c r="Z985" i="1"/>
  <c r="Z984" i="1"/>
  <c r="Z983" i="1"/>
  <c r="Z982" i="1"/>
  <c r="Z981" i="1"/>
  <c r="Z980" i="1"/>
  <c r="Z979" i="1"/>
  <c r="Z978" i="1"/>
  <c r="Z977" i="1"/>
  <c r="Z976" i="1"/>
  <c r="Z900" i="1"/>
  <c r="Z830" i="1"/>
  <c r="Z1657" i="1"/>
  <c r="Z1612" i="1"/>
  <c r="Z1466" i="1"/>
  <c r="Z975" i="1"/>
  <c r="Z974" i="1"/>
  <c r="Z973" i="1"/>
  <c r="Z1611" i="1"/>
  <c r="Z1465" i="1"/>
  <c r="Z1077" i="1"/>
  <c r="Z972" i="1"/>
  <c r="Z971" i="1"/>
  <c r="Z829" i="1"/>
  <c r="Z970" i="1"/>
  <c r="Z1610" i="1"/>
  <c r="Z1464" i="1"/>
  <c r="Z1609" i="1"/>
  <c r="Z1463" i="1"/>
  <c r="Z1608" i="1"/>
  <c r="Z1462" i="1"/>
  <c r="Z1607" i="1"/>
  <c r="Z1461" i="1"/>
  <c r="Z1606" i="1"/>
  <c r="Z1460" i="1"/>
  <c r="Z1605" i="1"/>
  <c r="Z1459" i="1"/>
  <c r="Z1604" i="1"/>
  <c r="Z1458" i="1"/>
  <c r="Z1076" i="1"/>
  <c r="Z969" i="1"/>
  <c r="Z1204" i="1"/>
  <c r="Z1203" i="1"/>
  <c r="Z1202" i="1"/>
  <c r="Z1201" i="1"/>
  <c r="Z1200" i="1"/>
  <c r="Z1185" i="1"/>
  <c r="Z968" i="1"/>
  <c r="Z1520" i="1"/>
  <c r="Z1603" i="1"/>
  <c r="Z1456" i="1"/>
  <c r="Z1656" i="1"/>
  <c r="Z1602" i="1"/>
  <c r="Z1455" i="1"/>
  <c r="Z1601" i="1"/>
  <c r="Z1451" i="1"/>
  <c r="Z1600" i="1"/>
  <c r="Z1450" i="1"/>
  <c r="Z1318" i="1"/>
  <c r="Z1599" i="1"/>
  <c r="Z1448" i="1"/>
  <c r="Z1598" i="1"/>
  <c r="Z1597" i="1"/>
  <c r="Z1440" i="1"/>
  <c r="Z1596" i="1"/>
  <c r="Z1438" i="1"/>
  <c r="Z1595" i="1"/>
  <c r="Z1437" i="1"/>
  <c r="Z1594" i="1"/>
  <c r="Z1436" i="1"/>
  <c r="Z1435" i="1"/>
  <c r="Z1199" i="1"/>
  <c r="Z1198" i="1"/>
  <c r="Z1593" i="1"/>
  <c r="Z1433" i="1"/>
  <c r="Z1592" i="1"/>
  <c r="Z1432" i="1"/>
  <c r="Z1591" i="1"/>
  <c r="Z1431" i="1"/>
  <c r="Z1590" i="1"/>
  <c r="Z1430" i="1"/>
  <c r="Z1589" i="1"/>
  <c r="Z1429" i="1"/>
  <c r="Z1588" i="1"/>
  <c r="Z1428" i="1"/>
  <c r="Z1587" i="1"/>
  <c r="Z1586" i="1"/>
  <c r="Z1427" i="1"/>
  <c r="Z1585" i="1"/>
  <c r="Z1426" i="1"/>
  <c r="Z1655" i="1"/>
  <c r="Z1584" i="1"/>
  <c r="Z1425" i="1"/>
  <c r="Z1654" i="1"/>
  <c r="Z1583" i="1"/>
  <c r="Z1424" i="1"/>
  <c r="Z1582" i="1"/>
  <c r="Z1581" i="1"/>
  <c r="Z1419" i="1"/>
  <c r="Z1580" i="1"/>
  <c r="Z1418" i="1"/>
  <c r="Z1579" i="1"/>
  <c r="Z1417" i="1"/>
  <c r="Z1578" i="1"/>
  <c r="Z1577" i="1"/>
  <c r="Z1576" i="1"/>
  <c r="Z1416" i="1"/>
  <c r="Z1575" i="1"/>
  <c r="Z1415" i="1"/>
  <c r="Z1574" i="1"/>
  <c r="Z1413" i="1"/>
  <c r="Z1573" i="1"/>
  <c r="Z1412" i="1"/>
  <c r="Z1572" i="1"/>
  <c r="Z1410" i="1"/>
  <c r="Z1571" i="1"/>
  <c r="Z1409" i="1"/>
  <c r="Z1570" i="1"/>
  <c r="Z1569" i="1"/>
  <c r="Z1405" i="1"/>
  <c r="Z1653" i="1"/>
  <c r="Z1652" i="1"/>
  <c r="Z1568" i="1"/>
  <c r="Z1400" i="1"/>
  <c r="Z1567" i="1"/>
  <c r="Z1399" i="1"/>
  <c r="Z1566" i="1"/>
  <c r="Z1398" i="1"/>
  <c r="Z1393" i="1"/>
  <c r="Z1565" i="1"/>
  <c r="Z1564" i="1"/>
  <c r="Z1563" i="1"/>
  <c r="Z1519" i="1"/>
  <c r="Z1518" i="1"/>
  <c r="Z1562" i="1"/>
  <c r="Z1391" i="1"/>
  <c r="Z1561" i="1"/>
  <c r="Z1560" i="1"/>
  <c r="Z1390" i="1"/>
  <c r="Z1559" i="1"/>
  <c r="Z1389" i="1"/>
  <c r="Z1651" i="1"/>
  <c r="Z1558" i="1"/>
  <c r="Z1386" i="1"/>
  <c r="Z1557" i="1"/>
  <c r="Z1385" i="1"/>
  <c r="Z1556" i="1"/>
  <c r="Z1380" i="1"/>
  <c r="Z1555" i="1"/>
  <c r="Z1375" i="1"/>
  <c r="Z1554" i="1"/>
  <c r="Z1374" i="1"/>
  <c r="Z1650" i="1"/>
  <c r="Z1553" i="1"/>
  <c r="Z1366" i="1"/>
  <c r="Z1552" i="1"/>
  <c r="Z1365" i="1"/>
  <c r="Z1551" i="1"/>
  <c r="Z1364" i="1"/>
  <c r="Z1550" i="1"/>
  <c r="Z1363" i="1"/>
  <c r="Z1549" i="1"/>
  <c r="Z1548" i="1"/>
  <c r="Z1547" i="1"/>
  <c r="Z1360" i="1"/>
  <c r="Z1546" i="1"/>
  <c r="Z1359" i="1"/>
  <c r="Z1545" i="1"/>
  <c r="Z1544" i="1"/>
  <c r="Z1358" i="1"/>
  <c r="Z1649" i="1"/>
  <c r="Z1355" i="1"/>
  <c r="Z1190" i="1"/>
  <c r="Z1191" i="1"/>
  <c r="Z1189" i="1"/>
  <c r="Z1543" i="1"/>
  <c r="Z1352" i="1"/>
  <c r="Z1188" i="1"/>
  <c r="Z1205" i="1"/>
  <c r="Z1351" i="1"/>
  <c r="Z1542" i="1"/>
  <c r="Z1349" i="1"/>
  <c r="Z1541" i="1"/>
  <c r="Z1348" i="1"/>
  <c r="Z1648" i="1"/>
  <c r="Z1161" i="1"/>
  <c r="Z1540" i="1"/>
  <c r="Z1346" i="1"/>
  <c r="Z1539" i="1"/>
  <c r="Z1345" i="1"/>
  <c r="Z1538" i="1"/>
  <c r="Z1344" i="1"/>
  <c r="Z1537" i="1"/>
  <c r="Z1343" i="1"/>
  <c r="Z1536" i="1"/>
  <c r="Z1342" i="1"/>
  <c r="Z1535" i="1"/>
  <c r="Z1341" i="1"/>
  <c r="Z1534" i="1"/>
  <c r="Z1340" i="1"/>
  <c r="Z1533" i="1"/>
  <c r="Z1339" i="1"/>
  <c r="Z1532" i="1"/>
  <c r="Z1338" i="1"/>
  <c r="Z1531" i="1"/>
  <c r="Z1336" i="1"/>
  <c r="Z1530" i="1"/>
  <c r="Z1529" i="1"/>
  <c r="Z1528" i="1"/>
  <c r="Z1329" i="1"/>
  <c r="Z1527" i="1"/>
  <c r="Z1328" i="1"/>
  <c r="Z1526" i="1"/>
  <c r="Z1324" i="1"/>
  <c r="Z1525" i="1"/>
  <c r="Z1323" i="1"/>
  <c r="Z1524" i="1"/>
  <c r="Z1322" i="1"/>
  <c r="Z1523" i="1"/>
  <c r="Z1321" i="1"/>
  <c r="Z1647" i="1"/>
  <c r="Z1522" i="1"/>
  <c r="Z1320" i="1"/>
  <c r="Z1517" i="1"/>
  <c r="Z1521" i="1"/>
  <c r="K3" i="28" l="1"/>
  <c r="G10" i="28"/>
  <c r="R1797" i="1"/>
  <c r="Z1797" i="1" s="1"/>
  <c r="R102" i="15"/>
  <c r="Z102" i="15" s="1"/>
  <c r="R99" i="15"/>
  <c r="Z99" i="15" s="1"/>
  <c r="R100" i="15"/>
  <c r="Z100" i="15" s="1"/>
  <c r="R6" i="20"/>
  <c r="Z6" i="20" s="1"/>
  <c r="R103" i="15"/>
  <c r="Z103" i="15" s="1"/>
  <c r="R104" i="15"/>
  <c r="Z104" i="15" s="1"/>
  <c r="AH120" i="15"/>
  <c r="AI120" i="15"/>
  <c r="AK120" i="15"/>
  <c r="AJ120" i="15"/>
  <c r="AJ13" i="19"/>
  <c r="D13" i="28" s="1"/>
  <c r="AI13" i="19"/>
  <c r="C13" i="28" s="1"/>
  <c r="AH13" i="19"/>
  <c r="B13" i="28" s="1"/>
  <c r="AJ102" i="16"/>
  <c r="AH102" i="16"/>
  <c r="AI102" i="16"/>
  <c r="AK102" i="16"/>
  <c r="K9" i="26"/>
  <c r="N8" i="26"/>
  <c r="AH1529" i="1"/>
  <c r="AG1529" i="1"/>
  <c r="AH1543" i="1"/>
  <c r="AG1543" i="1"/>
  <c r="AH1386" i="1"/>
  <c r="AG1386" i="1"/>
  <c r="AH1573" i="1"/>
  <c r="AG1573" i="1"/>
  <c r="AH1199" i="1"/>
  <c r="AG1199" i="1"/>
  <c r="AH1607" i="1"/>
  <c r="AG1607" i="1"/>
  <c r="AH1078" i="1"/>
  <c r="AG1078" i="1"/>
  <c r="AH393" i="1"/>
  <c r="AG393" i="1"/>
  <c r="AH1469" i="1"/>
  <c r="AG1469" i="1"/>
  <c r="AH1623" i="1"/>
  <c r="AG1623" i="1"/>
  <c r="AH1194" i="1"/>
  <c r="AG1194" i="1"/>
  <c r="AH905" i="1"/>
  <c r="AG905" i="1"/>
  <c r="AH1211" i="1"/>
  <c r="AG1211" i="1"/>
  <c r="AH1174" i="1"/>
  <c r="AG1174" i="1"/>
  <c r="AH1495" i="1"/>
  <c r="AG1495" i="1"/>
  <c r="AH1056" i="1"/>
  <c r="AG1056" i="1"/>
  <c r="AH406" i="1"/>
  <c r="AG406" i="1"/>
  <c r="AH1377" i="1"/>
  <c r="AG1377" i="1"/>
  <c r="AH1444" i="1"/>
  <c r="AG1444" i="1"/>
  <c r="AH1513" i="1"/>
  <c r="AG1513" i="1"/>
  <c r="AH442" i="1"/>
  <c r="AG442" i="1"/>
  <c r="AH461" i="1"/>
  <c r="AG461" i="1"/>
  <c r="AH345" i="1"/>
  <c r="AG345" i="1"/>
  <c r="AH503" i="1"/>
  <c r="AG503" i="1"/>
  <c r="AH527" i="1"/>
  <c r="AG527" i="1"/>
  <c r="AH561" i="1"/>
  <c r="AG561" i="1"/>
  <c r="AH574" i="1"/>
  <c r="AG574" i="1"/>
  <c r="AH1298" i="1"/>
  <c r="AG1298" i="1"/>
  <c r="AH369" i="1"/>
  <c r="AG369" i="1"/>
  <c r="AH641" i="1"/>
  <c r="AG641" i="1"/>
  <c r="AH672" i="1"/>
  <c r="AG672" i="1"/>
  <c r="AH697" i="1"/>
  <c r="AG697" i="1"/>
  <c r="AH719" i="1"/>
  <c r="AG719" i="1"/>
  <c r="AH751" i="1"/>
  <c r="AG751" i="1"/>
  <c r="AH782" i="1"/>
  <c r="AG782" i="1"/>
  <c r="AH805" i="1"/>
  <c r="AG805" i="1"/>
  <c r="AH11" i="1"/>
  <c r="AG11" i="1"/>
  <c r="AH825" i="1"/>
  <c r="AG825" i="1"/>
  <c r="AH70" i="1"/>
  <c r="AG70" i="1"/>
  <c r="AH101" i="1"/>
  <c r="AG101" i="1"/>
  <c r="AH133" i="1"/>
  <c r="AG133" i="1"/>
  <c r="AH165" i="1"/>
  <c r="AG165" i="1"/>
  <c r="AH195" i="1"/>
  <c r="AG195" i="1"/>
  <c r="AH227" i="1"/>
  <c r="AG227" i="1"/>
  <c r="AH258" i="1"/>
  <c r="AG258" i="1"/>
  <c r="AH1227" i="1"/>
  <c r="AG1227" i="1"/>
  <c r="AH284" i="1"/>
  <c r="AG284" i="1"/>
  <c r="AH312" i="1"/>
  <c r="AG312" i="1"/>
  <c r="AH845" i="1"/>
  <c r="AG845" i="1"/>
  <c r="AH875" i="1"/>
  <c r="AG875" i="1"/>
  <c r="AH897" i="1"/>
  <c r="AG897" i="1"/>
  <c r="AH1780" i="1"/>
  <c r="AG1780" i="1"/>
  <c r="AG1458" i="1"/>
  <c r="AH1458" i="1"/>
  <c r="AH1324" i="1"/>
  <c r="AG1324" i="1"/>
  <c r="AH1349" i="1"/>
  <c r="AG1349" i="1"/>
  <c r="AH1375" i="1"/>
  <c r="AG1375" i="1"/>
  <c r="AH1570" i="1"/>
  <c r="AG1570" i="1"/>
  <c r="AH1587" i="1"/>
  <c r="AG1587" i="1"/>
  <c r="AH1598" i="1"/>
  <c r="AG1598" i="1"/>
  <c r="AH1608" i="1"/>
  <c r="AG1608" i="1"/>
  <c r="AH1613" i="1"/>
  <c r="AG1613" i="1"/>
  <c r="AH1003" i="1"/>
  <c r="AG1003" i="1"/>
  <c r="AH1023" i="1"/>
  <c r="AG1023" i="1"/>
  <c r="AH1478" i="1"/>
  <c r="AG1478" i="1"/>
  <c r="AG1132" i="1"/>
  <c r="AH1132" i="1"/>
  <c r="AH906" i="1"/>
  <c r="AG906" i="1"/>
  <c r="AH1139" i="1"/>
  <c r="AG1139" i="1"/>
  <c r="AH1823" i="1"/>
  <c r="AG1823" i="1"/>
  <c r="AH1306" i="1"/>
  <c r="AG1306" i="1"/>
  <c r="AH1279" i="1"/>
  <c r="AG1279" i="1"/>
  <c r="AH1369" i="1"/>
  <c r="AG1369" i="1"/>
  <c r="AH1422" i="1"/>
  <c r="AG1422" i="1"/>
  <c r="AH1494" i="1"/>
  <c r="AG1494" i="1"/>
  <c r="AH428" i="1"/>
  <c r="AG428" i="1"/>
  <c r="AH934" i="1"/>
  <c r="AG934" i="1"/>
  <c r="AH477" i="1"/>
  <c r="AG477" i="1"/>
  <c r="AH497" i="1"/>
  <c r="AG497" i="1"/>
  <c r="AH522" i="1"/>
  <c r="AG522" i="1"/>
  <c r="AH536" i="1"/>
  <c r="AG536" i="1"/>
  <c r="AH563" i="1"/>
  <c r="AG563" i="1"/>
  <c r="AH582" i="1"/>
  <c r="AG582" i="1"/>
  <c r="AH600" i="1"/>
  <c r="AG600" i="1"/>
  <c r="AG370" i="1"/>
  <c r="AH370" i="1"/>
  <c r="AH659" i="1"/>
  <c r="AG659" i="1"/>
  <c r="AH687" i="1"/>
  <c r="AG687" i="1"/>
  <c r="AH954" i="1"/>
  <c r="AG954" i="1"/>
  <c r="AH737" i="1"/>
  <c r="AG737" i="1"/>
  <c r="AH768" i="1"/>
  <c r="AG768" i="1"/>
  <c r="AH791" i="1"/>
  <c r="AG791" i="1"/>
  <c r="AH815" i="1"/>
  <c r="AG815" i="1"/>
  <c r="AH27" i="1"/>
  <c r="AG27" i="1"/>
  <c r="AH56" i="1"/>
  <c r="AG56" i="1"/>
  <c r="AH87" i="1"/>
  <c r="AG87" i="1"/>
  <c r="AH111" i="1"/>
  <c r="AG111" i="1"/>
  <c r="AH143" i="1"/>
  <c r="AG143" i="1"/>
  <c r="AG175" i="1"/>
  <c r="AH175" i="1"/>
  <c r="AH205" i="1"/>
  <c r="AG205" i="1"/>
  <c r="AH237" i="1"/>
  <c r="AG237" i="1"/>
  <c r="AH1108" i="1"/>
  <c r="AG1108" i="1"/>
  <c r="AH1229" i="1"/>
  <c r="AG1229" i="1"/>
  <c r="AH279" i="1"/>
  <c r="AG279" i="1"/>
  <c r="AH306" i="1"/>
  <c r="AG306" i="1"/>
  <c r="AH330" i="1"/>
  <c r="AG330" i="1"/>
  <c r="AH869" i="1"/>
  <c r="AG869" i="1"/>
  <c r="AH386" i="1"/>
  <c r="AG386" i="1"/>
  <c r="AH1094" i="1"/>
  <c r="AG1094" i="1"/>
  <c r="AH1118" i="1"/>
  <c r="AG1118" i="1"/>
  <c r="AH1794" i="1"/>
  <c r="AG1794" i="1"/>
  <c r="AH1772" i="1"/>
  <c r="AG1772" i="1"/>
  <c r="AH335" i="1"/>
  <c r="AG335" i="1"/>
  <c r="AH1672" i="1"/>
  <c r="AG1672" i="1"/>
  <c r="AH1704" i="1"/>
  <c r="AG1704" i="1"/>
  <c r="AH1804" i="1"/>
  <c r="AG1804" i="1"/>
  <c r="AH1526" i="1"/>
  <c r="AG1526" i="1"/>
  <c r="AH1539" i="1"/>
  <c r="AG1539" i="1"/>
  <c r="AH1360" i="1"/>
  <c r="AG1360" i="1"/>
  <c r="AH1519" i="1"/>
  <c r="AG1519" i="1"/>
  <c r="AH1418" i="1"/>
  <c r="AG1418" i="1"/>
  <c r="AH1594" i="1"/>
  <c r="AG1594" i="1"/>
  <c r="AG1459" i="1"/>
  <c r="AH1459" i="1"/>
  <c r="AG981" i="1"/>
  <c r="AH981" i="1"/>
  <c r="AH1004" i="1"/>
  <c r="AG1004" i="1"/>
  <c r="AH1010" i="1"/>
  <c r="AG1010" i="1"/>
  <c r="AH930" i="1"/>
  <c r="AG930" i="1"/>
  <c r="AH831" i="1"/>
  <c r="AG831" i="1"/>
  <c r="AH1051" i="1"/>
  <c r="AG1051" i="1"/>
  <c r="AG398" i="1"/>
  <c r="AH398" i="1"/>
  <c r="AH1181" i="1"/>
  <c r="AG1181" i="1"/>
  <c r="AH1639" i="1"/>
  <c r="AG1639" i="1"/>
  <c r="AH1280" i="1"/>
  <c r="AG1280" i="1"/>
  <c r="AG1370" i="1"/>
  <c r="AH1370" i="1"/>
  <c r="AG1434" i="1"/>
  <c r="AH1434" i="1"/>
  <c r="AH1496" i="1"/>
  <c r="AG1496" i="1"/>
  <c r="AH429" i="1"/>
  <c r="AG429" i="1"/>
  <c r="AG935" i="1"/>
  <c r="AH935" i="1"/>
  <c r="AH472" i="1"/>
  <c r="AG472" i="1"/>
  <c r="AH490" i="1"/>
  <c r="AG490" i="1"/>
  <c r="AH517" i="1"/>
  <c r="AG517" i="1"/>
  <c r="AH537" i="1"/>
  <c r="AG537" i="1"/>
  <c r="AH564" i="1"/>
  <c r="AG564" i="1"/>
  <c r="AH576" i="1"/>
  <c r="AG576" i="1"/>
  <c r="AH1128" i="1"/>
  <c r="AG1128" i="1"/>
  <c r="AH612" i="1"/>
  <c r="AG612" i="1"/>
  <c r="AH636" i="1"/>
  <c r="AG636" i="1"/>
  <c r="AH371" i="1"/>
  <c r="AG371" i="1"/>
  <c r="AH952" i="1"/>
  <c r="AG952" i="1"/>
  <c r="AH714" i="1"/>
  <c r="AG714" i="1"/>
  <c r="AH730" i="1"/>
  <c r="AG730" i="1"/>
  <c r="AH761" i="1"/>
  <c r="AG761" i="1"/>
  <c r="AH792" i="1"/>
  <c r="AG792" i="1"/>
  <c r="AH824" i="1"/>
  <c r="AG824" i="1"/>
  <c r="AH34" i="1"/>
  <c r="AG34" i="1"/>
  <c r="AH57" i="1"/>
  <c r="AG57" i="1"/>
  <c r="AH88" i="1"/>
  <c r="AG88" i="1"/>
  <c r="AH120" i="1"/>
  <c r="AG120" i="1"/>
  <c r="AH144" i="1"/>
  <c r="AG144" i="1"/>
  <c r="AH176" i="1"/>
  <c r="AG176" i="1"/>
  <c r="AH206" i="1"/>
  <c r="AG206" i="1"/>
  <c r="AH230" i="1"/>
  <c r="AG230" i="1"/>
  <c r="AH960" i="1"/>
  <c r="AG960" i="1"/>
  <c r="AH1230" i="1"/>
  <c r="AG1230" i="1"/>
  <c r="AH1131" i="1"/>
  <c r="AG1131" i="1"/>
  <c r="AH300" i="1"/>
  <c r="AG300" i="1"/>
  <c r="AH384" i="1"/>
  <c r="AG384" i="1"/>
  <c r="AH855" i="1"/>
  <c r="AG855" i="1"/>
  <c r="AH882" i="1"/>
  <c r="AG882" i="1"/>
  <c r="AH1262" i="1"/>
  <c r="AG1262" i="1"/>
  <c r="AH1123" i="1"/>
  <c r="AG1123" i="1"/>
  <c r="AH1752" i="1"/>
  <c r="AG1752" i="1"/>
  <c r="AH1821" i="1"/>
  <c r="AG1821" i="1"/>
  <c r="AH1673" i="1"/>
  <c r="AG1673" i="1"/>
  <c r="AG1705" i="1"/>
  <c r="AH1705" i="1"/>
  <c r="AH1851" i="1"/>
  <c r="AG1851" i="1"/>
  <c r="AH1521" i="1"/>
  <c r="AG1521" i="1"/>
  <c r="AH1524" i="1"/>
  <c r="AG1524" i="1"/>
  <c r="AH1528" i="1"/>
  <c r="AG1528" i="1"/>
  <c r="AH1533" i="1"/>
  <c r="AG1533" i="1"/>
  <c r="AH1537" i="1"/>
  <c r="AG1537" i="1"/>
  <c r="AH1648" i="1"/>
  <c r="AG1648" i="1"/>
  <c r="AH1352" i="1"/>
  <c r="AG1352" i="1"/>
  <c r="AH1544" i="1"/>
  <c r="AG1544" i="1"/>
  <c r="AH1363" i="1"/>
  <c r="AG1363" i="1"/>
  <c r="AH1650" i="1"/>
  <c r="AG1650" i="1"/>
  <c r="AH1557" i="1"/>
  <c r="AG1557" i="1"/>
  <c r="AH1561" i="1"/>
  <c r="AG1561" i="1"/>
  <c r="AH1393" i="1"/>
  <c r="AG1393" i="1"/>
  <c r="AH1653" i="1"/>
  <c r="AG1653" i="1"/>
  <c r="AH1412" i="1"/>
  <c r="AG1412" i="1"/>
  <c r="AH1577" i="1"/>
  <c r="AG1577" i="1"/>
  <c r="AH1582" i="1"/>
  <c r="AG1582" i="1"/>
  <c r="AH1585" i="1"/>
  <c r="AG1585" i="1"/>
  <c r="AH1430" i="1"/>
  <c r="AG1430" i="1"/>
  <c r="AH1198" i="1"/>
  <c r="AG1198" i="1"/>
  <c r="AH1596" i="1"/>
  <c r="AG1596" i="1"/>
  <c r="AH1600" i="1"/>
  <c r="AG1600" i="1"/>
  <c r="AH1520" i="1"/>
  <c r="AG1520" i="1"/>
  <c r="AH969" i="1"/>
  <c r="AG969" i="1"/>
  <c r="AH1461" i="1"/>
  <c r="AG1461" i="1"/>
  <c r="AH970" i="1"/>
  <c r="AG970" i="1"/>
  <c r="AH974" i="1"/>
  <c r="AG974" i="1"/>
  <c r="AH977" i="1"/>
  <c r="AG977" i="1"/>
  <c r="AH985" i="1"/>
  <c r="AG985" i="1"/>
  <c r="AH990" i="1"/>
  <c r="AG990" i="1"/>
  <c r="AH997" i="1"/>
  <c r="AG997" i="1"/>
  <c r="AH390" i="1"/>
  <c r="AG390" i="1"/>
  <c r="AH392" i="1"/>
  <c r="AG392" i="1"/>
  <c r="AH1164" i="1"/>
  <c r="AG1164" i="1"/>
  <c r="AH1013" i="1"/>
  <c r="AG1013" i="1"/>
  <c r="AH1020" i="1"/>
  <c r="AG1020" i="1"/>
  <c r="AG1658" i="1"/>
  <c r="AH1658" i="1"/>
  <c r="AH1027" i="1"/>
  <c r="AG1027" i="1"/>
  <c r="AH1473" i="1"/>
  <c r="AG1473" i="1"/>
  <c r="AH1474" i="1"/>
  <c r="AG1474" i="1"/>
  <c r="AH1477" i="1"/>
  <c r="AG1477" i="1"/>
  <c r="AH1039" i="1"/>
  <c r="AG1039" i="1"/>
  <c r="AH904" i="1"/>
  <c r="AG904" i="1"/>
  <c r="AH1166" i="1"/>
  <c r="AG1166" i="1"/>
  <c r="AH1193" i="1"/>
  <c r="AG1193" i="1"/>
  <c r="AH1626" i="1"/>
  <c r="AG1626" i="1"/>
  <c r="AH1143" i="1"/>
  <c r="AG1143" i="1"/>
  <c r="AH1151" i="1"/>
  <c r="AG1151" i="1"/>
  <c r="AH1197" i="1"/>
  <c r="AG1197" i="1"/>
  <c r="AH911" i="1"/>
  <c r="AG911" i="1"/>
  <c r="AG1210" i="1"/>
  <c r="AH1210" i="1"/>
  <c r="AH1286" i="1"/>
  <c r="AG1286" i="1"/>
  <c r="AH1297" i="1"/>
  <c r="AG1297" i="1"/>
  <c r="AH1155" i="1"/>
  <c r="AG1155" i="1"/>
  <c r="AH1169" i="1"/>
  <c r="AG1169" i="1"/>
  <c r="AH1196" i="1"/>
  <c r="AG1196" i="1"/>
  <c r="AH400" i="1"/>
  <c r="AG400" i="1"/>
  <c r="AH833" i="1"/>
  <c r="AG833" i="1"/>
  <c r="AH1055" i="1"/>
  <c r="AG1055" i="1"/>
  <c r="AH1662" i="1"/>
  <c r="AG1662" i="1"/>
  <c r="AH1641" i="1"/>
  <c r="AG1641" i="1"/>
  <c r="AH1311" i="1"/>
  <c r="AG1311" i="1"/>
  <c r="AH927" i="1"/>
  <c r="AG927" i="1"/>
  <c r="AH1827" i="1"/>
  <c r="AG1827" i="1"/>
  <c r="AH1186" i="1"/>
  <c r="AG1186" i="1"/>
  <c r="AH405" i="1"/>
  <c r="AG405" i="1"/>
  <c r="AH1326" i="1"/>
  <c r="AG1326" i="1"/>
  <c r="AH1337" i="1"/>
  <c r="AG1337" i="1"/>
  <c r="AH1362" i="1"/>
  <c r="AG1362" i="1"/>
  <c r="AH1376" i="1"/>
  <c r="AG1376" i="1"/>
  <c r="AH1387" i="1"/>
  <c r="AG1387" i="1"/>
  <c r="AH1403" i="1"/>
  <c r="AG1403" i="1"/>
  <c r="AH1423" i="1"/>
  <c r="AG1423" i="1"/>
  <c r="AH1443" i="1"/>
  <c r="AG1443" i="1"/>
  <c r="AH1454" i="1"/>
  <c r="AG1454" i="1"/>
  <c r="AH1490" i="1"/>
  <c r="AG1490" i="1"/>
  <c r="AH1500" i="1"/>
  <c r="AG1500" i="1"/>
  <c r="AH1511" i="1"/>
  <c r="AG1511" i="1"/>
  <c r="AH418" i="1"/>
  <c r="AG418" i="1"/>
  <c r="AH336" i="1"/>
  <c r="AG336" i="1"/>
  <c r="AH433" i="1"/>
  <c r="AG433" i="1"/>
  <c r="AH441" i="1"/>
  <c r="AG441" i="1"/>
  <c r="AH449" i="1"/>
  <c r="AG449" i="1"/>
  <c r="AH454" i="1"/>
  <c r="AG454" i="1"/>
  <c r="AH455" i="1"/>
  <c r="AG455" i="1"/>
  <c r="AH460" i="1"/>
  <c r="AG460" i="1"/>
  <c r="AH468" i="1"/>
  <c r="AG468" i="1"/>
  <c r="AH474" i="1"/>
  <c r="AG474" i="1"/>
  <c r="AH481" i="1"/>
  <c r="AG481" i="1"/>
  <c r="AH344" i="1"/>
  <c r="AG344" i="1"/>
  <c r="AH486" i="1"/>
  <c r="AG486" i="1"/>
  <c r="AH494" i="1"/>
  <c r="AG494" i="1"/>
  <c r="AG502" i="1"/>
  <c r="AH502" i="1"/>
  <c r="AH509" i="1"/>
  <c r="AG509" i="1"/>
  <c r="AH513" i="1"/>
  <c r="AG513" i="1"/>
  <c r="AH520" i="1"/>
  <c r="AG520" i="1"/>
  <c r="AH914" i="1"/>
  <c r="AG914" i="1"/>
  <c r="AH354" i="1"/>
  <c r="AG354" i="1"/>
  <c r="AG533" i="1"/>
  <c r="AH533" i="1"/>
  <c r="AH539" i="1"/>
  <c r="AG539" i="1"/>
  <c r="AH546" i="1"/>
  <c r="AG546" i="1"/>
  <c r="AH554" i="1"/>
  <c r="AG554" i="1"/>
  <c r="AH560" i="1"/>
  <c r="AG560" i="1"/>
  <c r="AH356" i="1"/>
  <c r="AG356" i="1"/>
  <c r="AH1817" i="1"/>
  <c r="AG1817" i="1"/>
  <c r="AH573" i="1"/>
  <c r="AG573" i="1"/>
  <c r="AH840" i="1"/>
  <c r="AG840" i="1"/>
  <c r="AH1248" i="1"/>
  <c r="AG1248" i="1"/>
  <c r="AH586" i="1"/>
  <c r="AG586" i="1"/>
  <c r="AH594" i="1"/>
  <c r="AG594" i="1"/>
  <c r="AH1254" i="1"/>
  <c r="AG1254" i="1"/>
  <c r="AG597" i="1"/>
  <c r="AH597" i="1"/>
  <c r="AH602" i="1"/>
  <c r="AG602" i="1"/>
  <c r="AH610" i="1"/>
  <c r="AG610" i="1"/>
  <c r="AH616" i="1"/>
  <c r="AG616" i="1"/>
  <c r="AH368" i="1"/>
  <c r="AG368" i="1"/>
  <c r="AG6" i="1"/>
  <c r="AH6" i="1"/>
  <c r="AH632" i="1"/>
  <c r="AG632" i="1"/>
  <c r="AH640" i="1"/>
  <c r="AG640" i="1"/>
  <c r="AH648" i="1"/>
  <c r="AG648" i="1"/>
  <c r="AH656" i="1"/>
  <c r="AG656" i="1"/>
  <c r="AH664" i="1"/>
  <c r="AG664" i="1"/>
  <c r="AH671" i="1"/>
  <c r="AG671" i="1"/>
  <c r="AH1072" i="1"/>
  <c r="AG1072" i="1"/>
  <c r="AH685" i="1"/>
  <c r="AG685" i="1"/>
  <c r="AH692" i="1"/>
  <c r="AG692" i="1"/>
  <c r="AH696" i="1"/>
  <c r="AG696" i="1"/>
  <c r="AH702" i="1"/>
  <c r="AG702" i="1"/>
  <c r="AH710" i="1"/>
  <c r="AG710" i="1"/>
  <c r="AH373" i="1"/>
  <c r="AG373" i="1"/>
  <c r="AH718" i="1"/>
  <c r="AG718" i="1"/>
  <c r="AG726" i="1"/>
  <c r="AH726" i="1"/>
  <c r="AH734" i="1"/>
  <c r="AG734" i="1"/>
  <c r="AH742" i="1"/>
  <c r="AG742" i="1"/>
  <c r="AH750" i="1"/>
  <c r="AG750" i="1"/>
  <c r="AG757" i="1"/>
  <c r="AH757" i="1"/>
  <c r="AH765" i="1"/>
  <c r="AG765" i="1"/>
  <c r="AH773" i="1"/>
  <c r="AG773" i="1"/>
  <c r="AH781" i="1"/>
  <c r="AG781" i="1"/>
  <c r="AG788" i="1"/>
  <c r="AH788" i="1"/>
  <c r="AH796" i="1"/>
  <c r="AG796" i="1"/>
  <c r="AH804" i="1"/>
  <c r="AG804" i="1"/>
  <c r="AH812" i="1"/>
  <c r="AG812" i="1"/>
  <c r="AH820" i="1"/>
  <c r="AG820" i="1"/>
  <c r="AH10" i="1"/>
  <c r="AG10" i="1"/>
  <c r="AH18" i="1"/>
  <c r="AG18" i="1"/>
  <c r="AH24" i="1"/>
  <c r="AG24" i="1"/>
  <c r="AH30" i="1"/>
  <c r="AG30" i="1"/>
  <c r="AH38" i="1"/>
  <c r="AG38" i="1"/>
  <c r="AH45" i="1"/>
  <c r="AG45" i="1"/>
  <c r="AH53" i="1"/>
  <c r="AG53" i="1"/>
  <c r="AH61" i="1"/>
  <c r="AG61" i="1"/>
  <c r="AH69" i="1"/>
  <c r="AG69" i="1"/>
  <c r="AG76" i="1"/>
  <c r="AH76" i="1"/>
  <c r="AH84" i="1"/>
  <c r="AG84" i="1"/>
  <c r="AH92" i="1"/>
  <c r="AG92" i="1"/>
  <c r="AH100" i="1"/>
  <c r="AG100" i="1"/>
  <c r="AH108" i="1"/>
  <c r="AG108" i="1"/>
  <c r="AH116" i="1"/>
  <c r="AG116" i="1"/>
  <c r="AH124" i="1"/>
  <c r="AG124" i="1"/>
  <c r="AG132" i="1"/>
  <c r="AH132" i="1"/>
  <c r="AH140" i="1"/>
  <c r="AG140" i="1"/>
  <c r="AH148" i="1"/>
  <c r="AG148" i="1"/>
  <c r="AH156" i="1"/>
  <c r="AG156" i="1"/>
  <c r="AH164" i="1"/>
  <c r="AG164" i="1"/>
  <c r="AH172" i="1"/>
  <c r="AG172" i="1"/>
  <c r="AH180" i="1"/>
  <c r="AG180" i="1"/>
  <c r="AH375" i="1"/>
  <c r="AG375" i="1"/>
  <c r="AH194" i="1"/>
  <c r="AG194" i="1"/>
  <c r="AH202" i="1"/>
  <c r="AG202" i="1"/>
  <c r="AH210" i="1"/>
  <c r="AG210" i="1"/>
  <c r="AH218" i="1"/>
  <c r="AG218" i="1"/>
  <c r="AH226" i="1"/>
  <c r="AG226" i="1"/>
  <c r="AH234" i="1"/>
  <c r="AG234" i="1"/>
  <c r="AH242" i="1"/>
  <c r="AG242" i="1"/>
  <c r="AH249" i="1"/>
  <c r="AG249" i="1"/>
  <c r="AH257" i="1"/>
  <c r="AG257" i="1"/>
  <c r="AH263" i="1"/>
  <c r="AG263" i="1"/>
  <c r="AH961" i="1"/>
  <c r="AG961" i="1"/>
  <c r="AH1218" i="1"/>
  <c r="AG1218" i="1"/>
  <c r="AH1226" i="1"/>
  <c r="AG1226" i="1"/>
  <c r="AH1234" i="1"/>
  <c r="AG1234" i="1"/>
  <c r="AH1242" i="1"/>
  <c r="AG1242" i="1"/>
  <c r="AH276" i="1"/>
  <c r="AG276" i="1"/>
  <c r="AH283" i="1"/>
  <c r="AG283" i="1"/>
  <c r="AH288" i="1"/>
  <c r="AG288" i="1"/>
  <c r="AH296" i="1"/>
  <c r="AG296" i="1"/>
  <c r="AH963" i="1"/>
  <c r="AG963" i="1"/>
  <c r="AH311" i="1"/>
  <c r="AG311" i="1"/>
  <c r="AH316" i="1"/>
  <c r="AG316" i="1"/>
  <c r="AH321" i="1"/>
  <c r="AG321" i="1"/>
  <c r="AH329" i="1"/>
  <c r="AG329" i="1"/>
  <c r="AH844" i="1"/>
  <c r="AG844" i="1"/>
  <c r="AH851" i="1"/>
  <c r="AG851" i="1"/>
  <c r="AG828" i="1"/>
  <c r="AH828" i="1"/>
  <c r="AH866" i="1"/>
  <c r="AG866" i="1"/>
  <c r="AH874" i="1"/>
  <c r="AG874" i="1"/>
  <c r="AH1258" i="1"/>
  <c r="AG1258" i="1"/>
  <c r="AG886" i="1"/>
  <c r="AH886" i="1"/>
  <c r="AH894" i="1"/>
  <c r="AG894" i="1"/>
  <c r="AH387" i="1"/>
  <c r="AG387" i="1"/>
  <c r="AH1088" i="1"/>
  <c r="AG1088" i="1"/>
  <c r="AH1266" i="1"/>
  <c r="AG1266" i="1"/>
  <c r="AH1091" i="1"/>
  <c r="AG1091" i="1"/>
  <c r="AH1099" i="1"/>
  <c r="AG1099" i="1"/>
  <c r="AG1105" i="1"/>
  <c r="AH1105" i="1"/>
  <c r="AH1115" i="1"/>
  <c r="AG1115" i="1"/>
  <c r="AH1732" i="1"/>
  <c r="AG1732" i="1"/>
  <c r="AH1773" i="1"/>
  <c r="AG1773" i="1"/>
  <c r="AH1779" i="1"/>
  <c r="AG1779" i="1"/>
  <c r="AG1786" i="1"/>
  <c r="AH1786" i="1"/>
  <c r="AH1741" i="1"/>
  <c r="AG1741" i="1"/>
  <c r="AH1771" i="1"/>
  <c r="AG1771" i="1"/>
  <c r="AH1764" i="1"/>
  <c r="AG1764" i="1"/>
  <c r="AH1761" i="1"/>
  <c r="AG1761" i="1"/>
  <c r="AH1816" i="1"/>
  <c r="AG1816" i="1"/>
  <c r="AH1835" i="1"/>
  <c r="AG1835" i="1"/>
  <c r="AH1855" i="1"/>
  <c r="AG1855" i="1"/>
  <c r="AG1664" i="1"/>
  <c r="AH1664" i="1"/>
  <c r="AH1669" i="1"/>
  <c r="AG1669" i="1"/>
  <c r="AH1677" i="1"/>
  <c r="AG1677" i="1"/>
  <c r="AH1685" i="1"/>
  <c r="AG1685" i="1"/>
  <c r="AH1693" i="1"/>
  <c r="AG1693" i="1"/>
  <c r="AH1701" i="1"/>
  <c r="AG1701" i="1"/>
  <c r="AH1709" i="1"/>
  <c r="AG1709" i="1"/>
  <c r="AH1717" i="1"/>
  <c r="AG1717" i="1"/>
  <c r="AH1725" i="1"/>
  <c r="AG1725" i="1"/>
  <c r="AH1807" i="1"/>
  <c r="AG1807" i="1"/>
  <c r="AH1839" i="1"/>
  <c r="AG1839" i="1"/>
  <c r="AH1847" i="1"/>
  <c r="AG1847" i="1"/>
  <c r="AH1799" i="1"/>
  <c r="AG1799" i="1"/>
  <c r="AH1517" i="1"/>
  <c r="AG1517" i="1"/>
  <c r="AH1344" i="1"/>
  <c r="AG1344" i="1"/>
  <c r="AH1550" i="1"/>
  <c r="AG1550" i="1"/>
  <c r="AH1398" i="1"/>
  <c r="AG1398" i="1"/>
  <c r="AH1424" i="1"/>
  <c r="AG1424" i="1"/>
  <c r="AH1440" i="1"/>
  <c r="AG1440" i="1"/>
  <c r="AH968" i="1"/>
  <c r="AG968" i="1"/>
  <c r="AH975" i="1"/>
  <c r="AG975" i="1"/>
  <c r="AH998" i="1"/>
  <c r="AG998" i="1"/>
  <c r="AH1014" i="1"/>
  <c r="AG1014" i="1"/>
  <c r="AH1618" i="1"/>
  <c r="AG1618" i="1"/>
  <c r="AH1043" i="1"/>
  <c r="AG1043" i="1"/>
  <c r="AH1144" i="1"/>
  <c r="AG1144" i="1"/>
  <c r="AH1287" i="1"/>
  <c r="AG1287" i="1"/>
  <c r="AH1275" i="1"/>
  <c r="AG1275" i="1"/>
  <c r="AH1637" i="1"/>
  <c r="AG1637" i="1"/>
  <c r="AH1187" i="1"/>
  <c r="AG1187" i="1"/>
  <c r="AH1367" i="1"/>
  <c r="AG1367" i="1"/>
  <c r="AH1420" i="1"/>
  <c r="AG1420" i="1"/>
  <c r="AH1501" i="1"/>
  <c r="AG1501" i="1"/>
  <c r="AH434" i="1"/>
  <c r="AG434" i="1"/>
  <c r="AH456" i="1"/>
  <c r="AG456" i="1"/>
  <c r="AH482" i="1"/>
  <c r="AG482" i="1"/>
  <c r="AH944" i="1"/>
  <c r="AG944" i="1"/>
  <c r="AG534" i="1"/>
  <c r="AH534" i="1"/>
  <c r="AH555" i="1"/>
  <c r="AG555" i="1"/>
  <c r="AH580" i="1"/>
  <c r="AG580" i="1"/>
  <c r="AH596" i="1"/>
  <c r="AG596" i="1"/>
  <c r="AH617" i="1"/>
  <c r="AG617" i="1"/>
  <c r="AH649" i="1"/>
  <c r="AG649" i="1"/>
  <c r="AH686" i="1"/>
  <c r="AG686" i="1"/>
  <c r="AH711" i="1"/>
  <c r="AG711" i="1"/>
  <c r="AH743" i="1"/>
  <c r="AG743" i="1"/>
  <c r="AG774" i="1"/>
  <c r="AH774" i="1"/>
  <c r="AH813" i="1"/>
  <c r="AG813" i="1"/>
  <c r="AG25" i="1"/>
  <c r="AH25" i="1"/>
  <c r="AH46" i="1"/>
  <c r="AG46" i="1"/>
  <c r="AH77" i="1"/>
  <c r="AG77" i="1"/>
  <c r="AH109" i="1"/>
  <c r="AG109" i="1"/>
  <c r="AH141" i="1"/>
  <c r="AG141" i="1"/>
  <c r="AH173" i="1"/>
  <c r="AG173" i="1"/>
  <c r="AH203" i="1"/>
  <c r="AG203" i="1"/>
  <c r="AH235" i="1"/>
  <c r="AG235" i="1"/>
  <c r="AH264" i="1"/>
  <c r="AG264" i="1"/>
  <c r="AH1235" i="1"/>
  <c r="AG1235" i="1"/>
  <c r="AH289" i="1"/>
  <c r="AG289" i="1"/>
  <c r="AH322" i="1"/>
  <c r="AG322" i="1"/>
  <c r="AH859" i="1"/>
  <c r="AG859" i="1"/>
  <c r="AH966" i="1"/>
  <c r="AG966" i="1"/>
  <c r="AG1092" i="1"/>
  <c r="AH1092" i="1"/>
  <c r="AH1116" i="1"/>
  <c r="AG1116" i="1"/>
  <c r="AG1743" i="1"/>
  <c r="AH1743" i="1"/>
  <c r="AH1770" i="1"/>
  <c r="AG1770" i="1"/>
  <c r="AH1063" i="1"/>
  <c r="AG1063" i="1"/>
  <c r="AH1670" i="1"/>
  <c r="AG1670" i="1"/>
  <c r="AH1694" i="1"/>
  <c r="AG1694" i="1"/>
  <c r="AH1808" i="1"/>
  <c r="AG1808" i="1"/>
  <c r="AH1848" i="1"/>
  <c r="AG1848" i="1"/>
  <c r="AH1320" i="1"/>
  <c r="AG1320" i="1"/>
  <c r="AH1534" i="1"/>
  <c r="AG1534" i="1"/>
  <c r="AH1189" i="1"/>
  <c r="AG1189" i="1"/>
  <c r="AH1364" i="1"/>
  <c r="AG1364" i="1"/>
  <c r="AG1562" i="1"/>
  <c r="AH1562" i="1"/>
  <c r="AH1413" i="1"/>
  <c r="AG1413" i="1"/>
  <c r="AH1586" i="1"/>
  <c r="AG1586" i="1"/>
  <c r="AH1597" i="1"/>
  <c r="AG1597" i="1"/>
  <c r="AH971" i="1"/>
  <c r="AG971" i="1"/>
  <c r="AH979" i="1"/>
  <c r="AG979" i="1"/>
  <c r="AH999" i="1"/>
  <c r="AG999" i="1"/>
  <c r="AH1614" i="1"/>
  <c r="AG1614" i="1"/>
  <c r="AH1620" i="1"/>
  <c r="AG1620" i="1"/>
  <c r="AH1133" i="1"/>
  <c r="AG1133" i="1"/>
  <c r="AH1627" i="1"/>
  <c r="AG1627" i="1"/>
  <c r="AH1171" i="1"/>
  <c r="AG1171" i="1"/>
  <c r="AH1288" i="1"/>
  <c r="AG1288" i="1"/>
  <c r="AH912" i="1"/>
  <c r="AG912" i="1"/>
  <c r="AH1633" i="1"/>
  <c r="AG1633" i="1"/>
  <c r="AH1313" i="1"/>
  <c r="AG1313" i="1"/>
  <c r="AH1278" i="1"/>
  <c r="AG1278" i="1"/>
  <c r="AH1350" i="1"/>
  <c r="AG1350" i="1"/>
  <c r="AH1392" i="1"/>
  <c r="AG1392" i="1"/>
  <c r="AH1445" i="1"/>
  <c r="AG1445" i="1"/>
  <c r="AH1502" i="1"/>
  <c r="AG1502" i="1"/>
  <c r="AH427" i="1"/>
  <c r="AG427" i="1"/>
  <c r="AH838" i="1"/>
  <c r="AG838" i="1"/>
  <c r="AH462" i="1"/>
  <c r="AG462" i="1"/>
  <c r="AH483" i="1"/>
  <c r="AG483" i="1"/>
  <c r="AH496" i="1"/>
  <c r="AG496" i="1"/>
  <c r="AH515" i="1"/>
  <c r="AG515" i="1"/>
  <c r="AH946" i="1"/>
  <c r="AG946" i="1"/>
  <c r="AH548" i="1"/>
  <c r="AG548" i="1"/>
  <c r="AH358" i="1"/>
  <c r="AG358" i="1"/>
  <c r="AH581" i="1"/>
  <c r="AG581" i="1"/>
  <c r="AH1299" i="1"/>
  <c r="AG1299" i="1"/>
  <c r="AH604" i="1"/>
  <c r="AG604" i="1"/>
  <c r="AH623" i="1"/>
  <c r="AG623" i="1"/>
  <c r="AH642" i="1"/>
  <c r="AG642" i="1"/>
  <c r="AH666" i="1"/>
  <c r="AG666" i="1"/>
  <c r="AH680" i="1"/>
  <c r="AG680" i="1"/>
  <c r="AH698" i="1"/>
  <c r="AG698" i="1"/>
  <c r="AH712" i="1"/>
  <c r="AG712" i="1"/>
  <c r="AH736" i="1"/>
  <c r="AG736" i="1"/>
  <c r="AH759" i="1"/>
  <c r="AG759" i="1"/>
  <c r="AH783" i="1"/>
  <c r="AG783" i="1"/>
  <c r="AH806" i="1"/>
  <c r="AG806" i="1"/>
  <c r="AH12" i="1"/>
  <c r="AG12" i="1"/>
  <c r="AH26" i="1"/>
  <c r="AG26" i="1"/>
  <c r="AH39" i="1"/>
  <c r="AG39" i="1"/>
  <c r="AH63" i="1"/>
  <c r="AG63" i="1"/>
  <c r="AH86" i="1"/>
  <c r="AG86" i="1"/>
  <c r="AG110" i="1"/>
  <c r="AH110" i="1"/>
  <c r="AH134" i="1"/>
  <c r="AG134" i="1"/>
  <c r="AG158" i="1"/>
  <c r="AH158" i="1"/>
  <c r="AH182" i="1"/>
  <c r="AG182" i="1"/>
  <c r="AH204" i="1"/>
  <c r="AG204" i="1"/>
  <c r="AH228" i="1"/>
  <c r="AG228" i="1"/>
  <c r="AH251" i="1"/>
  <c r="AG251" i="1"/>
  <c r="AH376" i="1"/>
  <c r="AG376" i="1"/>
  <c r="AH1236" i="1"/>
  <c r="AG1236" i="1"/>
  <c r="AH285" i="1"/>
  <c r="AG285" i="1"/>
  <c r="AH305" i="1"/>
  <c r="AG305" i="1"/>
  <c r="AH323" i="1"/>
  <c r="AG323" i="1"/>
  <c r="AH853" i="1"/>
  <c r="AG853" i="1"/>
  <c r="AH868" i="1"/>
  <c r="AG868" i="1"/>
  <c r="AH888" i="1"/>
  <c r="AG888" i="1"/>
  <c r="AH1090" i="1"/>
  <c r="AG1090" i="1"/>
  <c r="AH1101" i="1"/>
  <c r="AG1101" i="1"/>
  <c r="AH1727" i="1"/>
  <c r="AG1727" i="1"/>
  <c r="AH1781" i="1"/>
  <c r="AG1781" i="1"/>
  <c r="AH1769" i="1"/>
  <c r="AG1769" i="1"/>
  <c r="AH1819" i="1"/>
  <c r="AG1819" i="1"/>
  <c r="AH1646" i="1"/>
  <c r="AG1646" i="1"/>
  <c r="AH1687" i="1"/>
  <c r="AG1687" i="1"/>
  <c r="AH1745" i="1"/>
  <c r="AG1745" i="1"/>
  <c r="AH1849" i="1"/>
  <c r="AG1849" i="1"/>
  <c r="AH1522" i="1"/>
  <c r="AG1522" i="1"/>
  <c r="AH1345" i="1"/>
  <c r="AG1345" i="1"/>
  <c r="AH1551" i="1"/>
  <c r="AG1551" i="1"/>
  <c r="AH1518" i="1"/>
  <c r="AG1518" i="1"/>
  <c r="AH1579" i="1"/>
  <c r="AG1579" i="1"/>
  <c r="AH1436" i="1"/>
  <c r="AG1436" i="1"/>
  <c r="AH1604" i="1"/>
  <c r="AG1604" i="1"/>
  <c r="AH980" i="1"/>
  <c r="AG980" i="1"/>
  <c r="AH1008" i="1"/>
  <c r="AG1008" i="1"/>
  <c r="AH1659" i="1"/>
  <c r="AG1659" i="1"/>
  <c r="AH1475" i="1"/>
  <c r="AG1475" i="1"/>
  <c r="AH1134" i="1"/>
  <c r="AG1134" i="1"/>
  <c r="AH1172" i="1"/>
  <c r="AG1172" i="1"/>
  <c r="AH1289" i="1"/>
  <c r="AG1289" i="1"/>
  <c r="AH1482" i="1"/>
  <c r="AG1482" i="1"/>
  <c r="AH1638" i="1"/>
  <c r="AG1638" i="1"/>
  <c r="AH1830" i="1"/>
  <c r="AG1830" i="1"/>
  <c r="AH1353" i="1"/>
  <c r="AG1353" i="1"/>
  <c r="AH1406" i="1"/>
  <c r="AG1406" i="1"/>
  <c r="AH1503" i="1"/>
  <c r="AG1503" i="1"/>
  <c r="AH436" i="1"/>
  <c r="AG436" i="1"/>
  <c r="AH458" i="1"/>
  <c r="AG458" i="1"/>
  <c r="AH347" i="1"/>
  <c r="AG347" i="1"/>
  <c r="AH1068" i="1"/>
  <c r="AG1068" i="1"/>
  <c r="AH528" i="1"/>
  <c r="AG528" i="1"/>
  <c r="AH557" i="1"/>
  <c r="AG557" i="1"/>
  <c r="AH575" i="1"/>
  <c r="AG575" i="1"/>
  <c r="AH1301" i="1"/>
  <c r="AG1301" i="1"/>
  <c r="AH619" i="1"/>
  <c r="AG619" i="1"/>
  <c r="AH643" i="1"/>
  <c r="AG643" i="1"/>
  <c r="AH674" i="1"/>
  <c r="AG674" i="1"/>
  <c r="AH699" i="1"/>
  <c r="AG699" i="1"/>
  <c r="AH713" i="1"/>
  <c r="AG713" i="1"/>
  <c r="AH745" i="1"/>
  <c r="AG745" i="1"/>
  <c r="AH776" i="1"/>
  <c r="AG776" i="1"/>
  <c r="AH807" i="1"/>
  <c r="AG807" i="1"/>
  <c r="AH21" i="1"/>
  <c r="AG21" i="1"/>
  <c r="AH48" i="1"/>
  <c r="AG48" i="1"/>
  <c r="AH103" i="1"/>
  <c r="AG103" i="1"/>
  <c r="AG127" i="1"/>
  <c r="AH127" i="1"/>
  <c r="AH151" i="1"/>
  <c r="AG151" i="1"/>
  <c r="AH183" i="1"/>
  <c r="AG183" i="1"/>
  <c r="AH213" i="1"/>
  <c r="AG213" i="1"/>
  <c r="AH244" i="1"/>
  <c r="AG244" i="1"/>
  <c r="AH1213" i="1"/>
  <c r="AG1213" i="1"/>
  <c r="AH272" i="1"/>
  <c r="AG272" i="1"/>
  <c r="AH291" i="1"/>
  <c r="AG291" i="1"/>
  <c r="AH318" i="1"/>
  <c r="AG318" i="1"/>
  <c r="AH333" i="1"/>
  <c r="AG333" i="1"/>
  <c r="AH877" i="1"/>
  <c r="AG877" i="1"/>
  <c r="AH898" i="1"/>
  <c r="AG898" i="1"/>
  <c r="AH1110" i="1"/>
  <c r="AG1110" i="1"/>
  <c r="AH1750" i="1"/>
  <c r="AG1750" i="1"/>
  <c r="AH1820" i="1"/>
  <c r="AG1820" i="1"/>
  <c r="AH1680" i="1"/>
  <c r="AG1680" i="1"/>
  <c r="AH1751" i="1"/>
  <c r="AG1751" i="1"/>
  <c r="AH1647" i="1"/>
  <c r="AG1647" i="1"/>
  <c r="AH1542" i="1"/>
  <c r="AG1542" i="1"/>
  <c r="AH1555" i="1"/>
  <c r="AG1555" i="1"/>
  <c r="AH1409" i="1"/>
  <c r="AG1409" i="1"/>
  <c r="AH1428" i="1"/>
  <c r="AG1428" i="1"/>
  <c r="AH1201" i="1"/>
  <c r="AG1201" i="1"/>
  <c r="AH1657" i="1"/>
  <c r="AG1657" i="1"/>
  <c r="AH1000" i="1"/>
  <c r="AG1000" i="1"/>
  <c r="AH1024" i="1"/>
  <c r="AG1024" i="1"/>
  <c r="AH1621" i="1"/>
  <c r="AG1621" i="1"/>
  <c r="AH1049" i="1"/>
  <c r="AG1049" i="1"/>
  <c r="AH1175" i="1"/>
  <c r="AG1175" i="1"/>
  <c r="AH1283" i="1"/>
  <c r="AG1283" i="1"/>
  <c r="AH1159" i="1"/>
  <c r="AG1159" i="1"/>
  <c r="AH1631" i="1"/>
  <c r="AG1631" i="1"/>
  <c r="AH1057" i="1"/>
  <c r="AG1057" i="1"/>
  <c r="AH1354" i="1"/>
  <c r="AG1354" i="1"/>
  <c r="AH1407" i="1"/>
  <c r="AG1407" i="1"/>
  <c r="AH1504" i="1"/>
  <c r="AG1504" i="1"/>
  <c r="AH437" i="1"/>
  <c r="AG437" i="1"/>
  <c r="AH459" i="1"/>
  <c r="AG459" i="1"/>
  <c r="AH942" i="1"/>
  <c r="AG942" i="1"/>
  <c r="AH1067" i="1"/>
  <c r="AG1067" i="1"/>
  <c r="AH1070" i="1"/>
  <c r="AG1070" i="1"/>
  <c r="AH550" i="1"/>
  <c r="AG550" i="1"/>
  <c r="AH570" i="1"/>
  <c r="AG570" i="1"/>
  <c r="AH590" i="1"/>
  <c r="AG590" i="1"/>
  <c r="AH606" i="1"/>
  <c r="AG606" i="1"/>
  <c r="AH918" i="1"/>
  <c r="AG918" i="1"/>
  <c r="AG660" i="1"/>
  <c r="AH660" i="1"/>
  <c r="AH688" i="1"/>
  <c r="AG688" i="1"/>
  <c r="AH706" i="1"/>
  <c r="AG706" i="1"/>
  <c r="AH746" i="1"/>
  <c r="AG746" i="1"/>
  <c r="AH769" i="1"/>
  <c r="AG769" i="1"/>
  <c r="AH800" i="1"/>
  <c r="AG800" i="1"/>
  <c r="AG14" i="1"/>
  <c r="AH14" i="1"/>
  <c r="AH41" i="1"/>
  <c r="AG41" i="1"/>
  <c r="AH959" i="1"/>
  <c r="AG959" i="1"/>
  <c r="AH104" i="1"/>
  <c r="AG104" i="1"/>
  <c r="AG136" i="1"/>
  <c r="AH136" i="1"/>
  <c r="AH168" i="1"/>
  <c r="AG168" i="1"/>
  <c r="AH191" i="1"/>
  <c r="AG191" i="1"/>
  <c r="AH214" i="1"/>
  <c r="AG214" i="1"/>
  <c r="AH253" i="1"/>
  <c r="AG253" i="1"/>
  <c r="AH1222" i="1"/>
  <c r="AG1222" i="1"/>
  <c r="AH379" i="1"/>
  <c r="AG379" i="1"/>
  <c r="AH314" i="1"/>
  <c r="AG314" i="1"/>
  <c r="AH847" i="1"/>
  <c r="AG847" i="1"/>
  <c r="AH878" i="1"/>
  <c r="AG878" i="1"/>
  <c r="AH899" i="1"/>
  <c r="AG899" i="1"/>
  <c r="AH1103" i="1"/>
  <c r="AG1103" i="1"/>
  <c r="AH1755" i="1"/>
  <c r="AG1755" i="1"/>
  <c r="AH1791" i="1"/>
  <c r="AG1791" i="1"/>
  <c r="AH1811" i="1"/>
  <c r="AG1811" i="1"/>
  <c r="AH4" i="1"/>
  <c r="AG4" i="1"/>
  <c r="AH1689" i="1"/>
  <c r="AG1689" i="1"/>
  <c r="AH1721" i="1"/>
  <c r="AG1721" i="1"/>
  <c r="AH1813" i="1"/>
  <c r="AG1813" i="1"/>
  <c r="AH1321" i="1"/>
  <c r="AG1321" i="1"/>
  <c r="AH1328" i="1"/>
  <c r="AG1328" i="1"/>
  <c r="AH1338" i="1"/>
  <c r="AG1338" i="1"/>
  <c r="AH1342" i="1"/>
  <c r="AG1342" i="1"/>
  <c r="AH1346" i="1"/>
  <c r="AG1346" i="1"/>
  <c r="AH1351" i="1"/>
  <c r="AG1351" i="1"/>
  <c r="AH1355" i="1"/>
  <c r="AG1355" i="1"/>
  <c r="AH1547" i="1"/>
  <c r="AG1547" i="1"/>
  <c r="AH1552" i="1"/>
  <c r="AG1552" i="1"/>
  <c r="AH1380" i="1"/>
  <c r="AG1380" i="1"/>
  <c r="AH1559" i="1"/>
  <c r="AG1559" i="1"/>
  <c r="AG1563" i="1"/>
  <c r="AH1563" i="1"/>
  <c r="AH1400" i="1"/>
  <c r="AG1400" i="1"/>
  <c r="AH1571" i="1"/>
  <c r="AG1571" i="1"/>
  <c r="AH1575" i="1"/>
  <c r="AG1575" i="1"/>
  <c r="AH1580" i="1"/>
  <c r="AG1580" i="1"/>
  <c r="AH1584" i="1"/>
  <c r="AG1584" i="1"/>
  <c r="AH1588" i="1"/>
  <c r="AG1588" i="1"/>
  <c r="AH1592" i="1"/>
  <c r="AG1592" i="1"/>
  <c r="AH1437" i="1"/>
  <c r="AG1437" i="1"/>
  <c r="AH1599" i="1"/>
  <c r="AG1599" i="1"/>
  <c r="AH1656" i="1"/>
  <c r="AG1656" i="1"/>
  <c r="AH1202" i="1"/>
  <c r="AG1202" i="1"/>
  <c r="AH1605" i="1"/>
  <c r="AG1605" i="1"/>
  <c r="AH1609" i="1"/>
  <c r="AG1609" i="1"/>
  <c r="AH1465" i="1"/>
  <c r="AG1465" i="1"/>
  <c r="AH830" i="1"/>
  <c r="AG830" i="1"/>
  <c r="AG982" i="1"/>
  <c r="AH982" i="1"/>
  <c r="AH987" i="1"/>
  <c r="AG987" i="1"/>
  <c r="AH994" i="1"/>
  <c r="AG994" i="1"/>
  <c r="AH1001" i="1"/>
  <c r="AG1001" i="1"/>
  <c r="AH1005" i="1"/>
  <c r="AG1005" i="1"/>
  <c r="AH1206" i="1"/>
  <c r="AG1206" i="1"/>
  <c r="AH1011" i="1"/>
  <c r="AG1011" i="1"/>
  <c r="AH1018" i="1"/>
  <c r="AG1018" i="1"/>
  <c r="AH1025" i="1"/>
  <c r="AG1025" i="1"/>
  <c r="AH1615" i="1"/>
  <c r="AG1615" i="1"/>
  <c r="AH1030" i="1"/>
  <c r="AG1030" i="1"/>
  <c r="AH1034" i="1"/>
  <c r="AG1034" i="1"/>
  <c r="AH1476" i="1"/>
  <c r="AG1476" i="1"/>
  <c r="AG1036" i="1"/>
  <c r="AH1036" i="1"/>
  <c r="AH901" i="1"/>
  <c r="AG901" i="1"/>
  <c r="AH1136" i="1"/>
  <c r="AG1136" i="1"/>
  <c r="AH1047" i="1"/>
  <c r="AG1047" i="1"/>
  <c r="AH1479" i="1"/>
  <c r="AG1479" i="1"/>
  <c r="AH1052" i="1"/>
  <c r="AG1052" i="1"/>
  <c r="AH1148" i="1"/>
  <c r="AG1148" i="1"/>
  <c r="AH1176" i="1"/>
  <c r="AG1176" i="1"/>
  <c r="AH908" i="1"/>
  <c r="AG908" i="1"/>
  <c r="AH399" i="1"/>
  <c r="AG399" i="1"/>
  <c r="AH1284" i="1"/>
  <c r="AG1284" i="1"/>
  <c r="AH1294" i="1"/>
  <c r="AG1294" i="1"/>
  <c r="AH1141" i="1"/>
  <c r="AG1141" i="1"/>
  <c r="AH1160" i="1"/>
  <c r="AG1160" i="1"/>
  <c r="AH1182" i="1"/>
  <c r="AG1182" i="1"/>
  <c r="AH1483" i="1"/>
  <c r="AG1483" i="1"/>
  <c r="AH1277" i="1"/>
  <c r="AG1277" i="1"/>
  <c r="AH834" i="1"/>
  <c r="AG834" i="1"/>
  <c r="AH1634" i="1"/>
  <c r="AG1634" i="1"/>
  <c r="AH1640" i="1"/>
  <c r="AG1640" i="1"/>
  <c r="AH1308" i="1"/>
  <c r="AG1308" i="1"/>
  <c r="AH1316" i="1"/>
  <c r="AG1316" i="1"/>
  <c r="AH1826" i="1"/>
  <c r="AG1826" i="1"/>
  <c r="AH1832" i="1"/>
  <c r="AG1832" i="1"/>
  <c r="AH1062" i="1"/>
  <c r="AG1062" i="1"/>
  <c r="AH1663" i="1"/>
  <c r="AG1663" i="1"/>
  <c r="AH1333" i="1"/>
  <c r="AG1333" i="1"/>
  <c r="AH1356" i="1"/>
  <c r="AG1356" i="1"/>
  <c r="AH1371" i="1"/>
  <c r="AG1371" i="1"/>
  <c r="AH1382" i="1"/>
  <c r="AG1382" i="1"/>
  <c r="AH1396" i="1"/>
  <c r="AG1396" i="1"/>
  <c r="AG1408" i="1"/>
  <c r="AH1408" i="1"/>
  <c r="AG1439" i="1"/>
  <c r="AH1439" i="1"/>
  <c r="AH1449" i="1"/>
  <c r="AG1449" i="1"/>
  <c r="AH1486" i="1"/>
  <c r="AG1486" i="1"/>
  <c r="AH1497" i="1"/>
  <c r="AG1497" i="1"/>
  <c r="AH1506" i="1"/>
  <c r="AG1506" i="1"/>
  <c r="AH415" i="1"/>
  <c r="AG415" i="1"/>
  <c r="AH423" i="1"/>
  <c r="AG423" i="1"/>
  <c r="AH430" i="1"/>
  <c r="AG430" i="1"/>
  <c r="AH438" i="1"/>
  <c r="AG438" i="1"/>
  <c r="AH446" i="1"/>
  <c r="AG446" i="1"/>
  <c r="AH1119" i="1"/>
  <c r="AG1119" i="1"/>
  <c r="AH936" i="1"/>
  <c r="AG936" i="1"/>
  <c r="AH339" i="1"/>
  <c r="AG339" i="1"/>
  <c r="AH465" i="1"/>
  <c r="AG465" i="1"/>
  <c r="AH941" i="1"/>
  <c r="AG941" i="1"/>
  <c r="AH479" i="1"/>
  <c r="AG479" i="1"/>
  <c r="AH484" i="1"/>
  <c r="AG484" i="1"/>
  <c r="AH349" i="1"/>
  <c r="AG349" i="1"/>
  <c r="AH491" i="1"/>
  <c r="AG491" i="1"/>
  <c r="AH499" i="1"/>
  <c r="AG499" i="1"/>
  <c r="AH506" i="1"/>
  <c r="AG506" i="1"/>
  <c r="AH510" i="1"/>
  <c r="AG510" i="1"/>
  <c r="AG1245" i="1"/>
  <c r="AH1245" i="1"/>
  <c r="AH524" i="1"/>
  <c r="AG524" i="1"/>
  <c r="AH351" i="1"/>
  <c r="AG351" i="1"/>
  <c r="AH530" i="1"/>
  <c r="AG530" i="1"/>
  <c r="AH355" i="1"/>
  <c r="AG355" i="1"/>
  <c r="AH543" i="1"/>
  <c r="AG543" i="1"/>
  <c r="AG551" i="1"/>
  <c r="AH551" i="1"/>
  <c r="AH917" i="1"/>
  <c r="AG917" i="1"/>
  <c r="AG565" i="1"/>
  <c r="AH565" i="1"/>
  <c r="AH361" i="1"/>
  <c r="AG361" i="1"/>
  <c r="AH571" i="1"/>
  <c r="AG571" i="1"/>
  <c r="AH577" i="1"/>
  <c r="AG577" i="1"/>
  <c r="AH584" i="1"/>
  <c r="AG584" i="1"/>
  <c r="AG1253" i="1"/>
  <c r="AH1253" i="1"/>
  <c r="AH591" i="1"/>
  <c r="AG591" i="1"/>
  <c r="AG1129" i="1"/>
  <c r="AH1129" i="1"/>
  <c r="AH1303" i="1"/>
  <c r="AG1303" i="1"/>
  <c r="AH363" i="1"/>
  <c r="AG363" i="1"/>
  <c r="AH607" i="1"/>
  <c r="AG607" i="1"/>
  <c r="AH613" i="1"/>
  <c r="AG613" i="1"/>
  <c r="AH621" i="1"/>
  <c r="AG621" i="1"/>
  <c r="AH625" i="1"/>
  <c r="AG625" i="1"/>
  <c r="AG629" i="1"/>
  <c r="AH629" i="1"/>
  <c r="AH637" i="1"/>
  <c r="AG637" i="1"/>
  <c r="AG645" i="1"/>
  <c r="AH645" i="1"/>
  <c r="AH653" i="1"/>
  <c r="AG653" i="1"/>
  <c r="AG661" i="1"/>
  <c r="AH661" i="1"/>
  <c r="AH668" i="1"/>
  <c r="AG668" i="1"/>
  <c r="AH676" i="1"/>
  <c r="AG676" i="1"/>
  <c r="AH682" i="1"/>
  <c r="AG682" i="1"/>
  <c r="AH689" i="1"/>
  <c r="AG689" i="1"/>
  <c r="AH1074" i="1"/>
  <c r="AG1074" i="1"/>
  <c r="AH701" i="1"/>
  <c r="AG701" i="1"/>
  <c r="AH707" i="1"/>
  <c r="AG707" i="1"/>
  <c r="AH956" i="1"/>
  <c r="AG956" i="1"/>
  <c r="AH715" i="1"/>
  <c r="AG715" i="1"/>
  <c r="AH723" i="1"/>
  <c r="AG723" i="1"/>
  <c r="AH731" i="1"/>
  <c r="AG731" i="1"/>
  <c r="AH739" i="1"/>
  <c r="AG739" i="1"/>
  <c r="AH747" i="1"/>
  <c r="AG747" i="1"/>
  <c r="AH1255" i="1"/>
  <c r="AG1255" i="1"/>
  <c r="AH762" i="1"/>
  <c r="AG762" i="1"/>
  <c r="AH770" i="1"/>
  <c r="AG770" i="1"/>
  <c r="AH778" i="1"/>
  <c r="AG778" i="1"/>
  <c r="AH785" i="1"/>
  <c r="AG785" i="1"/>
  <c r="AH793" i="1"/>
  <c r="AG793" i="1"/>
  <c r="AH801" i="1"/>
  <c r="AG801" i="1"/>
  <c r="AH809" i="1"/>
  <c r="AG809" i="1"/>
  <c r="AH817" i="1"/>
  <c r="AG817" i="1"/>
  <c r="AH7" i="1"/>
  <c r="AG7" i="1"/>
  <c r="AH15" i="1"/>
  <c r="AG15" i="1"/>
  <c r="AH1107" i="1"/>
  <c r="AG1107" i="1"/>
  <c r="AH1075" i="1"/>
  <c r="AG1075" i="1"/>
  <c r="AG35" i="1"/>
  <c r="AH35" i="1"/>
  <c r="AH42" i="1"/>
  <c r="AG42" i="1"/>
  <c r="AH50" i="1"/>
  <c r="AG50" i="1"/>
  <c r="AH58" i="1"/>
  <c r="AG58" i="1"/>
  <c r="AH66" i="1"/>
  <c r="AG66" i="1"/>
  <c r="AH73" i="1"/>
  <c r="AG73" i="1"/>
  <c r="AH81" i="1"/>
  <c r="AG81" i="1"/>
  <c r="AH89" i="1"/>
  <c r="AG89" i="1"/>
  <c r="AH97" i="1"/>
  <c r="AG97" i="1"/>
  <c r="AH105" i="1"/>
  <c r="AG105" i="1"/>
  <c r="AH113" i="1"/>
  <c r="AG113" i="1"/>
  <c r="AH121" i="1"/>
  <c r="AG121" i="1"/>
  <c r="AH129" i="1"/>
  <c r="AG129" i="1"/>
  <c r="AH137" i="1"/>
  <c r="AG137" i="1"/>
  <c r="AH145" i="1"/>
  <c r="AG145" i="1"/>
  <c r="AH153" i="1"/>
  <c r="AG153" i="1"/>
  <c r="AH161" i="1"/>
  <c r="AG161" i="1"/>
  <c r="AH169" i="1"/>
  <c r="AG169" i="1"/>
  <c r="AH177" i="1"/>
  <c r="AG177" i="1"/>
  <c r="AH185" i="1"/>
  <c r="AG185" i="1"/>
  <c r="AH826" i="1"/>
  <c r="AG826" i="1"/>
  <c r="AH199" i="1"/>
  <c r="AG199" i="1"/>
  <c r="AH207" i="1"/>
  <c r="AG207" i="1"/>
  <c r="AH215" i="1"/>
  <c r="AG215" i="1"/>
  <c r="AH223" i="1"/>
  <c r="AG223" i="1"/>
  <c r="AH231" i="1"/>
  <c r="AG231" i="1"/>
  <c r="AH239" i="1"/>
  <c r="AG239" i="1"/>
  <c r="AH246" i="1"/>
  <c r="AG246" i="1"/>
  <c r="AH254" i="1"/>
  <c r="AG254" i="1"/>
  <c r="AH260" i="1"/>
  <c r="AG260" i="1"/>
  <c r="AG268" i="1"/>
  <c r="AH268" i="1"/>
  <c r="AH1215" i="1"/>
  <c r="AG1215" i="1"/>
  <c r="AH1223" i="1"/>
  <c r="AG1223" i="1"/>
  <c r="AH1231" i="1"/>
  <c r="AG1231" i="1"/>
  <c r="AH1239" i="1"/>
  <c r="AG1239" i="1"/>
  <c r="AH273" i="1"/>
  <c r="AG273" i="1"/>
  <c r="AH962" i="1"/>
  <c r="AG962" i="1"/>
  <c r="AH380" i="1"/>
  <c r="AG380" i="1"/>
  <c r="AH293" i="1"/>
  <c r="AG293" i="1"/>
  <c r="AH301" i="1"/>
  <c r="AG301" i="1"/>
  <c r="AH308" i="1"/>
  <c r="AG308" i="1"/>
  <c r="AH382" i="1"/>
  <c r="AG382" i="1"/>
  <c r="AH319" i="1"/>
  <c r="AG319" i="1"/>
  <c r="AH326" i="1"/>
  <c r="AG326" i="1"/>
  <c r="AH332" i="1"/>
  <c r="AG332" i="1"/>
  <c r="AH848" i="1"/>
  <c r="AG848" i="1"/>
  <c r="AH856" i="1"/>
  <c r="AG856" i="1"/>
  <c r="AH863" i="1"/>
  <c r="AG863" i="1"/>
  <c r="AH871" i="1"/>
  <c r="AG871" i="1"/>
  <c r="AH879" i="1"/>
  <c r="AG879" i="1"/>
  <c r="AH883" i="1"/>
  <c r="AG883" i="1"/>
  <c r="AH891" i="1"/>
  <c r="AG891" i="1"/>
  <c r="AH967" i="1"/>
  <c r="AG967" i="1"/>
  <c r="AH1085" i="1"/>
  <c r="AG1085" i="1"/>
  <c r="AH1263" i="1"/>
  <c r="AG1263" i="1"/>
  <c r="AH1271" i="1"/>
  <c r="AG1271" i="1"/>
  <c r="AH1096" i="1"/>
  <c r="AG1096" i="1"/>
  <c r="AH338" i="1"/>
  <c r="AG338" i="1"/>
  <c r="AH1112" i="1"/>
  <c r="AG1112" i="1"/>
  <c r="AH1729" i="1"/>
  <c r="AG1729" i="1"/>
  <c r="AH1734" i="1"/>
  <c r="AG1734" i="1"/>
  <c r="AH1756" i="1"/>
  <c r="AG1756" i="1"/>
  <c r="AH1783" i="1"/>
  <c r="AG1783" i="1"/>
  <c r="AH1738" i="1"/>
  <c r="AG1738" i="1"/>
  <c r="AH1753" i="1"/>
  <c r="AG1753" i="1"/>
  <c r="AH1749" i="1"/>
  <c r="AG1749" i="1"/>
  <c r="AH1758" i="1"/>
  <c r="AG1758" i="1"/>
  <c r="AH1812" i="1"/>
  <c r="AG1812" i="1"/>
  <c r="AH1822" i="1"/>
  <c r="AG1822" i="1"/>
  <c r="AH1852" i="1"/>
  <c r="AG1852" i="1"/>
  <c r="AH1515" i="1"/>
  <c r="AG1515" i="1"/>
  <c r="AH1666" i="1"/>
  <c r="AG1666" i="1"/>
  <c r="AH1674" i="1"/>
  <c r="AG1674" i="1"/>
  <c r="AH1682" i="1"/>
  <c r="AG1682" i="1"/>
  <c r="AH1690" i="1"/>
  <c r="AG1690" i="1"/>
  <c r="AH1698" i="1"/>
  <c r="AG1698" i="1"/>
  <c r="AH1706" i="1"/>
  <c r="AG1706" i="1"/>
  <c r="AH1714" i="1"/>
  <c r="AG1714" i="1"/>
  <c r="AG1722" i="1"/>
  <c r="AH1722" i="1"/>
  <c r="AH1767" i="1"/>
  <c r="AG1767" i="1"/>
  <c r="AH1836" i="1"/>
  <c r="AG1836" i="1"/>
  <c r="AH1844" i="1"/>
  <c r="AG1844" i="1"/>
  <c r="AH1775" i="1"/>
  <c r="AG1775" i="1"/>
  <c r="AH1323" i="1"/>
  <c r="AG1323" i="1"/>
  <c r="AH1348" i="1"/>
  <c r="AG1348" i="1"/>
  <c r="AH1374" i="1"/>
  <c r="AG1374" i="1"/>
  <c r="AH1405" i="1"/>
  <c r="AG1405" i="1"/>
  <c r="AH1590" i="1"/>
  <c r="AG1590" i="1"/>
  <c r="AH1076" i="1"/>
  <c r="AG1076" i="1"/>
  <c r="AH978" i="1"/>
  <c r="AG978" i="1"/>
  <c r="AH391" i="1"/>
  <c r="AG391" i="1"/>
  <c r="AH1021" i="1"/>
  <c r="AG1021" i="1"/>
  <c r="AH1619" i="1"/>
  <c r="AG1619" i="1"/>
  <c r="AH1173" i="1"/>
  <c r="AG1173" i="1"/>
  <c r="AH1152" i="1"/>
  <c r="AG1152" i="1"/>
  <c r="AG1165" i="1"/>
  <c r="AH1165" i="1"/>
  <c r="AH334" i="1"/>
  <c r="AG334" i="1"/>
  <c r="AH1312" i="1"/>
  <c r="AG1312" i="1"/>
  <c r="AH1327" i="1"/>
  <c r="AG1327" i="1"/>
  <c r="AH1388" i="1"/>
  <c r="AG1388" i="1"/>
  <c r="AH1457" i="1"/>
  <c r="AG1457" i="1"/>
  <c r="AH419" i="1"/>
  <c r="AG419" i="1"/>
  <c r="AH450" i="1"/>
  <c r="AG450" i="1"/>
  <c r="AH469" i="1"/>
  <c r="AG469" i="1"/>
  <c r="AH487" i="1"/>
  <c r="AG487" i="1"/>
  <c r="AH514" i="1"/>
  <c r="AG514" i="1"/>
  <c r="AH915" i="1"/>
  <c r="AG915" i="1"/>
  <c r="AH547" i="1"/>
  <c r="AG547" i="1"/>
  <c r="AH1120" i="1"/>
  <c r="AG1120" i="1"/>
  <c r="AH587" i="1"/>
  <c r="AG587" i="1"/>
  <c r="AH603" i="1"/>
  <c r="AG603" i="1"/>
  <c r="AH627" i="1"/>
  <c r="AG627" i="1"/>
  <c r="AH657" i="1"/>
  <c r="AG657" i="1"/>
  <c r="AG679" i="1"/>
  <c r="AH679" i="1"/>
  <c r="AH703" i="1"/>
  <c r="AG703" i="1"/>
  <c r="AH735" i="1"/>
  <c r="AG735" i="1"/>
  <c r="AH766" i="1"/>
  <c r="AG766" i="1"/>
  <c r="AH797" i="1"/>
  <c r="AG797" i="1"/>
  <c r="AH19" i="1"/>
  <c r="AG19" i="1"/>
  <c r="AH54" i="1"/>
  <c r="AG54" i="1"/>
  <c r="AH85" i="1"/>
  <c r="AG85" i="1"/>
  <c r="AH117" i="1"/>
  <c r="AG117" i="1"/>
  <c r="AH149" i="1"/>
  <c r="AG149" i="1"/>
  <c r="AH181" i="1"/>
  <c r="AG181" i="1"/>
  <c r="AH211" i="1"/>
  <c r="AG211" i="1"/>
  <c r="AH922" i="1"/>
  <c r="AG922" i="1"/>
  <c r="AG271" i="1"/>
  <c r="AH271" i="1"/>
  <c r="AH277" i="1"/>
  <c r="AG277" i="1"/>
  <c r="AH297" i="1"/>
  <c r="AG297" i="1"/>
  <c r="AH827" i="1"/>
  <c r="AG827" i="1"/>
  <c r="AH852" i="1"/>
  <c r="AG852" i="1"/>
  <c r="AH887" i="1"/>
  <c r="AG887" i="1"/>
  <c r="AH1267" i="1"/>
  <c r="AG1267" i="1"/>
  <c r="AH1100" i="1"/>
  <c r="AG1100" i="1"/>
  <c r="AH1726" i="1"/>
  <c r="AG1726" i="1"/>
  <c r="AH1788" i="1"/>
  <c r="AG1788" i="1"/>
  <c r="AH1768" i="1"/>
  <c r="AG1768" i="1"/>
  <c r="AH1818" i="1"/>
  <c r="AG1818" i="1"/>
  <c r="AG1665" i="1"/>
  <c r="AH1665" i="1"/>
  <c r="AH1686" i="1"/>
  <c r="AG1686" i="1"/>
  <c r="AH1710" i="1"/>
  <c r="AG1710" i="1"/>
  <c r="AH1736" i="1"/>
  <c r="AG1736" i="1"/>
  <c r="AH1840" i="1"/>
  <c r="AG1840" i="1"/>
  <c r="AH1525" i="1"/>
  <c r="AG1525" i="1"/>
  <c r="AH1541" i="1"/>
  <c r="AG1541" i="1"/>
  <c r="AH1554" i="1"/>
  <c r="AG1554" i="1"/>
  <c r="AH1566" i="1"/>
  <c r="AG1566" i="1"/>
  <c r="AH1417" i="1"/>
  <c r="AG1417" i="1"/>
  <c r="AH1431" i="1"/>
  <c r="AG1431" i="1"/>
  <c r="AH1185" i="1"/>
  <c r="AG1185" i="1"/>
  <c r="AH1466" i="1"/>
  <c r="AG1466" i="1"/>
  <c r="AH992" i="1"/>
  <c r="AG992" i="1"/>
  <c r="AG394" i="1"/>
  <c r="AH394" i="1"/>
  <c r="AH1022" i="1"/>
  <c r="AG1022" i="1"/>
  <c r="AH1031" i="1"/>
  <c r="AG1031" i="1"/>
  <c r="AH1041" i="1"/>
  <c r="AG1041" i="1"/>
  <c r="AH1195" i="1"/>
  <c r="AG1195" i="1"/>
  <c r="AG396" i="1"/>
  <c r="AH396" i="1"/>
  <c r="AG1084" i="1"/>
  <c r="AH1084" i="1"/>
  <c r="AH1179" i="1"/>
  <c r="AG1179" i="1"/>
  <c r="AH402" i="1"/>
  <c r="AG402" i="1"/>
  <c r="AG1642" i="1"/>
  <c r="AH1642" i="1"/>
  <c r="AH1829" i="1"/>
  <c r="AG1829" i="1"/>
  <c r="AG1330" i="1"/>
  <c r="AH1330" i="1"/>
  <c r="AH1378" i="1"/>
  <c r="AG1378" i="1"/>
  <c r="AH1421" i="1"/>
  <c r="AG1421" i="1"/>
  <c r="AH1492" i="1"/>
  <c r="AG1492" i="1"/>
  <c r="AH420" i="1"/>
  <c r="AG420" i="1"/>
  <c r="AH443" i="1"/>
  <c r="AG443" i="1"/>
  <c r="AH457" i="1"/>
  <c r="AG457" i="1"/>
  <c r="AH470" i="1"/>
  <c r="AG470" i="1"/>
  <c r="AH346" i="1"/>
  <c r="AG346" i="1"/>
  <c r="AH504" i="1"/>
  <c r="AG504" i="1"/>
  <c r="AH521" i="1"/>
  <c r="AG521" i="1"/>
  <c r="AH535" i="1"/>
  <c r="AG535" i="1"/>
  <c r="AH556" i="1"/>
  <c r="AG556" i="1"/>
  <c r="AH568" i="1"/>
  <c r="AG568" i="1"/>
  <c r="AH1250" i="1"/>
  <c r="AG1250" i="1"/>
  <c r="AH1300" i="1"/>
  <c r="AG1300" i="1"/>
  <c r="AH366" i="1"/>
  <c r="AG366" i="1"/>
  <c r="AH634" i="1"/>
  <c r="AG634" i="1"/>
  <c r="AH658" i="1"/>
  <c r="AG658" i="1"/>
  <c r="AH1073" i="1"/>
  <c r="AG1073" i="1"/>
  <c r="AH704" i="1"/>
  <c r="AG704" i="1"/>
  <c r="AH728" i="1"/>
  <c r="AG728" i="1"/>
  <c r="AH752" i="1"/>
  <c r="AG752" i="1"/>
  <c r="AG775" i="1"/>
  <c r="AH775" i="1"/>
  <c r="AH798" i="1"/>
  <c r="AG798" i="1"/>
  <c r="AH814" i="1"/>
  <c r="AG814" i="1"/>
  <c r="AH20" i="1"/>
  <c r="AG20" i="1"/>
  <c r="AH47" i="1"/>
  <c r="AG47" i="1"/>
  <c r="AH71" i="1"/>
  <c r="AG71" i="1"/>
  <c r="AH102" i="1"/>
  <c r="AG102" i="1"/>
  <c r="AG126" i="1"/>
  <c r="AH126" i="1"/>
  <c r="AH150" i="1"/>
  <c r="AG150" i="1"/>
  <c r="AH174" i="1"/>
  <c r="AG174" i="1"/>
  <c r="AH196" i="1"/>
  <c r="AG196" i="1"/>
  <c r="AH220" i="1"/>
  <c r="AG220" i="1"/>
  <c r="AH243" i="1"/>
  <c r="AG243" i="1"/>
  <c r="AH265" i="1"/>
  <c r="AG265" i="1"/>
  <c r="AH1228" i="1"/>
  <c r="AG1228" i="1"/>
  <c r="AH278" i="1"/>
  <c r="AG278" i="1"/>
  <c r="AH298" i="1"/>
  <c r="AG298" i="1"/>
  <c r="AH317" i="1"/>
  <c r="AG317" i="1"/>
  <c r="AH846" i="1"/>
  <c r="AG846" i="1"/>
  <c r="AG876" i="1"/>
  <c r="AH876" i="1"/>
  <c r="AH385" i="1"/>
  <c r="AG385" i="1"/>
  <c r="AH1268" i="1"/>
  <c r="AG1268" i="1"/>
  <c r="AH1109" i="1"/>
  <c r="AG1109" i="1"/>
  <c r="AH1793" i="1"/>
  <c r="AG1793" i="1"/>
  <c r="AH1789" i="1"/>
  <c r="AG1789" i="1"/>
  <c r="AH1787" i="1"/>
  <c r="AG1787" i="1"/>
  <c r="AH1857" i="1"/>
  <c r="AG1857" i="1"/>
  <c r="AH1679" i="1"/>
  <c r="AG1679" i="1"/>
  <c r="AH1703" i="1"/>
  <c r="AG1703" i="1"/>
  <c r="AH1719" i="1"/>
  <c r="AG1719" i="1"/>
  <c r="AH1841" i="1"/>
  <c r="AG1841" i="1"/>
  <c r="AH1336" i="1"/>
  <c r="AG1336" i="1"/>
  <c r="AH1191" i="1"/>
  <c r="AG1191" i="1"/>
  <c r="AH1651" i="1"/>
  <c r="AG1651" i="1"/>
  <c r="AH1574" i="1"/>
  <c r="AG1574" i="1"/>
  <c r="AH1591" i="1"/>
  <c r="AG1591" i="1"/>
  <c r="AH1200" i="1"/>
  <c r="AG1200" i="1"/>
  <c r="AH1612" i="1"/>
  <c r="AG1612" i="1"/>
  <c r="AH1192" i="1"/>
  <c r="AG1192" i="1"/>
  <c r="AH1016" i="1"/>
  <c r="AG1016" i="1"/>
  <c r="AH1032" i="1"/>
  <c r="AG1032" i="1"/>
  <c r="AH1045" i="1"/>
  <c r="AG1045" i="1"/>
  <c r="AH1146" i="1"/>
  <c r="AG1146" i="1"/>
  <c r="AH1282" i="1"/>
  <c r="AG1282" i="1"/>
  <c r="AH1158" i="1"/>
  <c r="AG1158" i="1"/>
  <c r="AH1487" i="1"/>
  <c r="AG1487" i="1"/>
  <c r="AH1314" i="1"/>
  <c r="AG1314" i="1"/>
  <c r="AG1331" i="1"/>
  <c r="AH1331" i="1"/>
  <c r="AH1394" i="1"/>
  <c r="AG1394" i="1"/>
  <c r="AH1484" i="1"/>
  <c r="AG1484" i="1"/>
  <c r="AH421" i="1"/>
  <c r="AG421" i="1"/>
  <c r="AH940" i="1"/>
  <c r="AG940" i="1"/>
  <c r="AH471" i="1"/>
  <c r="AG471" i="1"/>
  <c r="AH489" i="1"/>
  <c r="AG489" i="1"/>
  <c r="AH516" i="1"/>
  <c r="AG516" i="1"/>
  <c r="AH541" i="1"/>
  <c r="AG541" i="1"/>
  <c r="AH359" i="1"/>
  <c r="AG359" i="1"/>
  <c r="AH1251" i="1"/>
  <c r="AG1251" i="1"/>
  <c r="AH1127" i="1"/>
  <c r="AG1127" i="1"/>
  <c r="AH611" i="1"/>
  <c r="AG611" i="1"/>
  <c r="AH635" i="1"/>
  <c r="AG635" i="1"/>
  <c r="AH667" i="1"/>
  <c r="AG667" i="1"/>
  <c r="AH951" i="1"/>
  <c r="AG951" i="1"/>
  <c r="AH721" i="1"/>
  <c r="AG721" i="1"/>
  <c r="AH753" i="1"/>
  <c r="AG753" i="1"/>
  <c r="AH841" i="1"/>
  <c r="AG841" i="1"/>
  <c r="AH823" i="1"/>
  <c r="AG823" i="1"/>
  <c r="AH33" i="1"/>
  <c r="AG33" i="1"/>
  <c r="AH64" i="1"/>
  <c r="AG64" i="1"/>
  <c r="AG79" i="1"/>
  <c r="AH79" i="1"/>
  <c r="AH119" i="1"/>
  <c r="AG119" i="1"/>
  <c r="AG159" i="1"/>
  <c r="AH159" i="1"/>
  <c r="AH197" i="1"/>
  <c r="AG197" i="1"/>
  <c r="AH229" i="1"/>
  <c r="AG229" i="1"/>
  <c r="AH266" i="1"/>
  <c r="AG266" i="1"/>
  <c r="AH1237" i="1"/>
  <c r="AG1237" i="1"/>
  <c r="AH299" i="1"/>
  <c r="AG299" i="1"/>
  <c r="AH324" i="1"/>
  <c r="AG324" i="1"/>
  <c r="AH861" i="1"/>
  <c r="AG861" i="1"/>
  <c r="AH889" i="1"/>
  <c r="AG889" i="1"/>
  <c r="AH1269" i="1"/>
  <c r="AG1269" i="1"/>
  <c r="AG1728" i="1"/>
  <c r="AH1728" i="1"/>
  <c r="AH1747" i="1"/>
  <c r="AG1747" i="1"/>
  <c r="AH3" i="1"/>
  <c r="AG3" i="1"/>
  <c r="AH1696" i="1"/>
  <c r="AG1696" i="1"/>
  <c r="AH1720" i="1"/>
  <c r="AG1720" i="1"/>
  <c r="AH1850" i="1"/>
  <c r="AG1850" i="1"/>
  <c r="AH1531" i="1"/>
  <c r="AG1531" i="1"/>
  <c r="AH1190" i="1"/>
  <c r="AG1190" i="1"/>
  <c r="AH1389" i="1"/>
  <c r="AG1389" i="1"/>
  <c r="AH1415" i="1"/>
  <c r="AG1415" i="1"/>
  <c r="AH1432" i="1"/>
  <c r="AG1432" i="1"/>
  <c r="AH1602" i="1"/>
  <c r="AG1602" i="1"/>
  <c r="AH1077" i="1"/>
  <c r="AG1077" i="1"/>
  <c r="AH993" i="1"/>
  <c r="AG993" i="1"/>
  <c r="AH1017" i="1"/>
  <c r="AG1017" i="1"/>
  <c r="AH1033" i="1"/>
  <c r="AG1033" i="1"/>
  <c r="AH1046" i="1"/>
  <c r="AG1046" i="1"/>
  <c r="AH907" i="1"/>
  <c r="AG907" i="1"/>
  <c r="AH1140" i="1"/>
  <c r="AG1140" i="1"/>
  <c r="AH401" i="1"/>
  <c r="AG401" i="1"/>
  <c r="AH1307" i="1"/>
  <c r="AG1307" i="1"/>
  <c r="AH1831" i="1"/>
  <c r="AG1831" i="1"/>
  <c r="AG1332" i="1"/>
  <c r="AH1332" i="1"/>
  <c r="AH1395" i="1"/>
  <c r="AG1395" i="1"/>
  <c r="AH1485" i="1"/>
  <c r="AG1485" i="1"/>
  <c r="AH422" i="1"/>
  <c r="AG422" i="1"/>
  <c r="AH451" i="1"/>
  <c r="AG451" i="1"/>
  <c r="AH478" i="1"/>
  <c r="AG478" i="1"/>
  <c r="AH498" i="1"/>
  <c r="AG498" i="1"/>
  <c r="AH523" i="1"/>
  <c r="AG523" i="1"/>
  <c r="AH542" i="1"/>
  <c r="AG542" i="1"/>
  <c r="AH360" i="1"/>
  <c r="AG360" i="1"/>
  <c r="AH1252" i="1"/>
  <c r="AG1252" i="1"/>
  <c r="AH362" i="1"/>
  <c r="AG362" i="1"/>
  <c r="AH624" i="1"/>
  <c r="AG624" i="1"/>
  <c r="AH652" i="1"/>
  <c r="AG652" i="1"/>
  <c r="AH681" i="1"/>
  <c r="AG681" i="1"/>
  <c r="AH955" i="1"/>
  <c r="AG955" i="1"/>
  <c r="AH738" i="1"/>
  <c r="AG738" i="1"/>
  <c r="AH777" i="1"/>
  <c r="AG777" i="1"/>
  <c r="AH816" i="1"/>
  <c r="AG816" i="1"/>
  <c r="AG22" i="1"/>
  <c r="AH22" i="1"/>
  <c r="AH65" i="1"/>
  <c r="AG65" i="1"/>
  <c r="AH96" i="1"/>
  <c r="AG96" i="1"/>
  <c r="AH128" i="1"/>
  <c r="AG128" i="1"/>
  <c r="AH160" i="1"/>
  <c r="AG160" i="1"/>
  <c r="AH198" i="1"/>
  <c r="AG198" i="1"/>
  <c r="AH238" i="1"/>
  <c r="AG238" i="1"/>
  <c r="AH267" i="1"/>
  <c r="AG267" i="1"/>
  <c r="AH1238" i="1"/>
  <c r="AG1238" i="1"/>
  <c r="AH292" i="1"/>
  <c r="AG292" i="1"/>
  <c r="AH325" i="1"/>
  <c r="AG325" i="1"/>
  <c r="AH862" i="1"/>
  <c r="AG862" i="1"/>
  <c r="AH895" i="1"/>
  <c r="AG895" i="1"/>
  <c r="AH1095" i="1"/>
  <c r="AG1095" i="1"/>
  <c r="AH1733" i="1"/>
  <c r="AG1733" i="1"/>
  <c r="AG1744" i="1"/>
  <c r="AH1744" i="1"/>
  <c r="AH1644" i="1"/>
  <c r="AG1644" i="1"/>
  <c r="AH1697" i="1"/>
  <c r="AG1697" i="1"/>
  <c r="AH1760" i="1"/>
  <c r="AG1760" i="1"/>
  <c r="AH1523" i="1"/>
  <c r="AG1523" i="1"/>
  <c r="AH1527" i="1"/>
  <c r="AG1527" i="1"/>
  <c r="AH1532" i="1"/>
  <c r="AG1532" i="1"/>
  <c r="AH1536" i="1"/>
  <c r="AG1536" i="1"/>
  <c r="AH1540" i="1"/>
  <c r="AG1540" i="1"/>
  <c r="AH1205" i="1"/>
  <c r="AG1205" i="1"/>
  <c r="AH1649" i="1"/>
  <c r="AG1649" i="1"/>
  <c r="AH1548" i="1"/>
  <c r="AG1548" i="1"/>
  <c r="AH1366" i="1"/>
  <c r="AG1366" i="1"/>
  <c r="AH1556" i="1"/>
  <c r="AG1556" i="1"/>
  <c r="AH1390" i="1"/>
  <c r="AG1390" i="1"/>
  <c r="AH1564" i="1"/>
  <c r="AG1564" i="1"/>
  <c r="AH1568" i="1"/>
  <c r="AG1568" i="1"/>
  <c r="AG1410" i="1"/>
  <c r="AH1410" i="1"/>
  <c r="AH1416" i="1"/>
  <c r="AG1416" i="1"/>
  <c r="AH1419" i="1"/>
  <c r="AG1419" i="1"/>
  <c r="AH1655" i="1"/>
  <c r="AG1655" i="1"/>
  <c r="AH1429" i="1"/>
  <c r="AG1429" i="1"/>
  <c r="AH1433" i="1"/>
  <c r="AG1433" i="1"/>
  <c r="AH1595" i="1"/>
  <c r="AG1595" i="1"/>
  <c r="AH1318" i="1"/>
  <c r="AG1318" i="1"/>
  <c r="AH1456" i="1"/>
  <c r="AG1456" i="1"/>
  <c r="AH1203" i="1"/>
  <c r="AG1203" i="1"/>
  <c r="AH1460" i="1"/>
  <c r="AG1460" i="1"/>
  <c r="AH1464" i="1"/>
  <c r="AG1464" i="1"/>
  <c r="AH1611" i="1"/>
  <c r="AG1611" i="1"/>
  <c r="AH900" i="1"/>
  <c r="AG900" i="1"/>
  <c r="AG983" i="1"/>
  <c r="AH983" i="1"/>
  <c r="AG988" i="1"/>
  <c r="AH988" i="1"/>
  <c r="AH995" i="1"/>
  <c r="AG995" i="1"/>
  <c r="AH1002" i="1"/>
  <c r="AG1002" i="1"/>
  <c r="AH1006" i="1"/>
  <c r="AG1006" i="1"/>
  <c r="AH1162" i="1"/>
  <c r="AG1162" i="1"/>
  <c r="AH1012" i="1"/>
  <c r="AG1012" i="1"/>
  <c r="AH1019" i="1"/>
  <c r="AG1019" i="1"/>
  <c r="AH1026" i="1"/>
  <c r="AG1026" i="1"/>
  <c r="AH1471" i="1"/>
  <c r="AG1471" i="1"/>
  <c r="AH1472" i="1"/>
  <c r="AG1472" i="1"/>
  <c r="AH1035" i="1"/>
  <c r="AG1035" i="1"/>
  <c r="AH1622" i="1"/>
  <c r="AG1622" i="1"/>
  <c r="AH1037" i="1"/>
  <c r="AG1037" i="1"/>
  <c r="AH902" i="1"/>
  <c r="AG902" i="1"/>
  <c r="AH1137" i="1"/>
  <c r="AG1137" i="1"/>
  <c r="AH1048" i="1"/>
  <c r="AG1048" i="1"/>
  <c r="AH1625" i="1"/>
  <c r="AG1625" i="1"/>
  <c r="AH1053" i="1"/>
  <c r="AG1053" i="1"/>
  <c r="AH1149" i="1"/>
  <c r="AG1149" i="1"/>
  <c r="AH1177" i="1"/>
  <c r="AG1177" i="1"/>
  <c r="AH909" i="1"/>
  <c r="AG909" i="1"/>
  <c r="AH1208" i="1"/>
  <c r="AG1208" i="1"/>
  <c r="AH1285" i="1"/>
  <c r="AG1285" i="1"/>
  <c r="AH1295" i="1"/>
  <c r="AG1295" i="1"/>
  <c r="AH1153" i="1"/>
  <c r="AG1153" i="1"/>
  <c r="AH1167" i="1"/>
  <c r="AG1167" i="1"/>
  <c r="AH1183" i="1"/>
  <c r="AG1183" i="1"/>
  <c r="AH1629" i="1"/>
  <c r="AG1629" i="1"/>
  <c r="AH1054" i="1"/>
  <c r="AG1054" i="1"/>
  <c r="AH1493" i="1"/>
  <c r="AG1493" i="1"/>
  <c r="AH1635" i="1"/>
  <c r="AG1635" i="1"/>
  <c r="AG836" i="1"/>
  <c r="AH836" i="1"/>
  <c r="AH1309" i="1"/>
  <c r="AG1309" i="1"/>
  <c r="AH1317" i="1"/>
  <c r="AG1317" i="1"/>
  <c r="AH1058" i="1"/>
  <c r="AG1058" i="1"/>
  <c r="AH1060" i="1"/>
  <c r="AG1060" i="1"/>
  <c r="AH1512" i="1"/>
  <c r="AG1512" i="1"/>
  <c r="AH1319" i="1"/>
  <c r="AG1319" i="1"/>
  <c r="AH1334" i="1"/>
  <c r="AG1334" i="1"/>
  <c r="AH1357" i="1"/>
  <c r="AG1357" i="1"/>
  <c r="AG1372" i="1"/>
  <c r="AH1372" i="1"/>
  <c r="AH1383" i="1"/>
  <c r="AG1383" i="1"/>
  <c r="AH1397" i="1"/>
  <c r="AG1397" i="1"/>
  <c r="AH1411" i="1"/>
  <c r="AG1411" i="1"/>
  <c r="AH1441" i="1"/>
  <c r="AG1441" i="1"/>
  <c r="AH1452" i="1"/>
  <c r="AG1452" i="1"/>
  <c r="AH1488" i="1"/>
  <c r="AG1488" i="1"/>
  <c r="AH1498" i="1"/>
  <c r="AG1498" i="1"/>
  <c r="AH1507" i="1"/>
  <c r="AG1507" i="1"/>
  <c r="AH416" i="1"/>
  <c r="AG416" i="1"/>
  <c r="AH424" i="1"/>
  <c r="AG424" i="1"/>
  <c r="AH431" i="1"/>
  <c r="AG431" i="1"/>
  <c r="AH439" i="1"/>
  <c r="AG439" i="1"/>
  <c r="AH447" i="1"/>
  <c r="AG447" i="1"/>
  <c r="AH452" i="1"/>
  <c r="AG452" i="1"/>
  <c r="AH1824" i="1"/>
  <c r="AG1824" i="1"/>
  <c r="AG340" i="1"/>
  <c r="AH340" i="1"/>
  <c r="AH466" i="1"/>
  <c r="AG466" i="1"/>
  <c r="AG1825" i="1"/>
  <c r="AH1825" i="1"/>
  <c r="AH480" i="1"/>
  <c r="AG480" i="1"/>
  <c r="AH943" i="1"/>
  <c r="AG943" i="1"/>
  <c r="AH485" i="1"/>
  <c r="AG485" i="1"/>
  <c r="AH492" i="1"/>
  <c r="AG492" i="1"/>
  <c r="AH500" i="1"/>
  <c r="AG500" i="1"/>
  <c r="AH507" i="1"/>
  <c r="AG507" i="1"/>
  <c r="AH511" i="1"/>
  <c r="AG511" i="1"/>
  <c r="AH518" i="1"/>
  <c r="AG518" i="1"/>
  <c r="AH525" i="1"/>
  <c r="AG525" i="1"/>
  <c r="AH352" i="1"/>
  <c r="AG352" i="1"/>
  <c r="AH531" i="1"/>
  <c r="AG531" i="1"/>
  <c r="AH1071" i="1"/>
  <c r="AG1071" i="1"/>
  <c r="AH544" i="1"/>
  <c r="AG544" i="1"/>
  <c r="AH552" i="1"/>
  <c r="AG552" i="1"/>
  <c r="AH559" i="1"/>
  <c r="AG559" i="1"/>
  <c r="AH947" i="1"/>
  <c r="AG947" i="1"/>
  <c r="AG566" i="1"/>
  <c r="AH566" i="1"/>
  <c r="AH839" i="1"/>
  <c r="AG839" i="1"/>
  <c r="AH578" i="1"/>
  <c r="AG578" i="1"/>
  <c r="AH1246" i="1"/>
  <c r="AG1246" i="1"/>
  <c r="AH337" i="1"/>
  <c r="AG337" i="1"/>
  <c r="AH592" i="1"/>
  <c r="AG592" i="1"/>
  <c r="AH1130" i="1"/>
  <c r="AG1130" i="1"/>
  <c r="AH1304" i="1"/>
  <c r="AG1304" i="1"/>
  <c r="AH364" i="1"/>
  <c r="AG364" i="1"/>
  <c r="AH608" i="1"/>
  <c r="AG608" i="1"/>
  <c r="AH614" i="1"/>
  <c r="AG614" i="1"/>
  <c r="AH622" i="1"/>
  <c r="AG622" i="1"/>
  <c r="AH626" i="1"/>
  <c r="AG626" i="1"/>
  <c r="AG630" i="1"/>
  <c r="AH630" i="1"/>
  <c r="AH638" i="1"/>
  <c r="AG638" i="1"/>
  <c r="AH646" i="1"/>
  <c r="AG646" i="1"/>
  <c r="AH654" i="1"/>
  <c r="AG654" i="1"/>
  <c r="AH662" i="1"/>
  <c r="AG662" i="1"/>
  <c r="AH669" i="1"/>
  <c r="AG669" i="1"/>
  <c r="AG677" i="1"/>
  <c r="AH677" i="1"/>
  <c r="AH683" i="1"/>
  <c r="AG683" i="1"/>
  <c r="AH690" i="1"/>
  <c r="AG690" i="1"/>
  <c r="AH694" i="1"/>
  <c r="AG694" i="1"/>
  <c r="AH920" i="1"/>
  <c r="AG920" i="1"/>
  <c r="AH708" i="1"/>
  <c r="AG708" i="1"/>
  <c r="AH957" i="1"/>
  <c r="AG957" i="1"/>
  <c r="AH716" i="1"/>
  <c r="AG716" i="1"/>
  <c r="AH724" i="1"/>
  <c r="AG724" i="1"/>
  <c r="AG732" i="1"/>
  <c r="AH732" i="1"/>
  <c r="AH740" i="1"/>
  <c r="AG740" i="1"/>
  <c r="AH748" i="1"/>
  <c r="AG748" i="1"/>
  <c r="AH755" i="1"/>
  <c r="AG755" i="1"/>
  <c r="AH763" i="1"/>
  <c r="AG763" i="1"/>
  <c r="AH771" i="1"/>
  <c r="AG771" i="1"/>
  <c r="AH779" i="1"/>
  <c r="AG779" i="1"/>
  <c r="AH786" i="1"/>
  <c r="AG786" i="1"/>
  <c r="AH794" i="1"/>
  <c r="AG794" i="1"/>
  <c r="AH802" i="1"/>
  <c r="AG802" i="1"/>
  <c r="AH810" i="1"/>
  <c r="AG810" i="1"/>
  <c r="AH818" i="1"/>
  <c r="AG818" i="1"/>
  <c r="AH8" i="1"/>
  <c r="AG8" i="1"/>
  <c r="AH16" i="1"/>
  <c r="AG16" i="1"/>
  <c r="AH958" i="1"/>
  <c r="AG958" i="1"/>
  <c r="AH374" i="1"/>
  <c r="AG374" i="1"/>
  <c r="AH36" i="1"/>
  <c r="AG36" i="1"/>
  <c r="AH43" i="1"/>
  <c r="AG43" i="1"/>
  <c r="AH51" i="1"/>
  <c r="AG51" i="1"/>
  <c r="AH59" i="1"/>
  <c r="AG59" i="1"/>
  <c r="AH67" i="1"/>
  <c r="AG67" i="1"/>
  <c r="AH74" i="1"/>
  <c r="AG74" i="1"/>
  <c r="AH82" i="1"/>
  <c r="AG82" i="1"/>
  <c r="AH90" i="1"/>
  <c r="AG90" i="1"/>
  <c r="AH98" i="1"/>
  <c r="AG98" i="1"/>
  <c r="AH106" i="1"/>
  <c r="AG106" i="1"/>
  <c r="AH114" i="1"/>
  <c r="AG114" i="1"/>
  <c r="AH122" i="1"/>
  <c r="AG122" i="1"/>
  <c r="AH130" i="1"/>
  <c r="AG130" i="1"/>
  <c r="AH138" i="1"/>
  <c r="AG138" i="1"/>
  <c r="AH146" i="1"/>
  <c r="AG146" i="1"/>
  <c r="AH154" i="1"/>
  <c r="AG154" i="1"/>
  <c r="AH162" i="1"/>
  <c r="AG162" i="1"/>
  <c r="AH170" i="1"/>
  <c r="AG170" i="1"/>
  <c r="AH178" i="1"/>
  <c r="AG178" i="1"/>
  <c r="AH186" i="1"/>
  <c r="AG186" i="1"/>
  <c r="AH192" i="1"/>
  <c r="AG192" i="1"/>
  <c r="AH200" i="1"/>
  <c r="AG200" i="1"/>
  <c r="AH208" i="1"/>
  <c r="AG208" i="1"/>
  <c r="AH216" i="1"/>
  <c r="AG216" i="1"/>
  <c r="AG224" i="1"/>
  <c r="AH224" i="1"/>
  <c r="AG232" i="1"/>
  <c r="AH232" i="1"/>
  <c r="AH240" i="1"/>
  <c r="AG240" i="1"/>
  <c r="AH247" i="1"/>
  <c r="AG247" i="1"/>
  <c r="AH255" i="1"/>
  <c r="AG255" i="1"/>
  <c r="AH261" i="1"/>
  <c r="AG261" i="1"/>
  <c r="AH269" i="1"/>
  <c r="AG269" i="1"/>
  <c r="AH1216" i="1"/>
  <c r="AG1216" i="1"/>
  <c r="AH1224" i="1"/>
  <c r="AG1224" i="1"/>
  <c r="AH1232" i="1"/>
  <c r="AG1232" i="1"/>
  <c r="AH1240" i="1"/>
  <c r="AG1240" i="1"/>
  <c r="AH274" i="1"/>
  <c r="AG274" i="1"/>
  <c r="AH281" i="1"/>
  <c r="AG281" i="1"/>
  <c r="AH286" i="1"/>
  <c r="AG286" i="1"/>
  <c r="AH294" i="1"/>
  <c r="AG294" i="1"/>
  <c r="AH302" i="1"/>
  <c r="AG302" i="1"/>
  <c r="AH309" i="1"/>
  <c r="AG309" i="1"/>
  <c r="AH383" i="1"/>
  <c r="AG383" i="1"/>
  <c r="AH320" i="1"/>
  <c r="AG320" i="1"/>
  <c r="AH327" i="1"/>
  <c r="AG327" i="1"/>
  <c r="AH842" i="1"/>
  <c r="AG842" i="1"/>
  <c r="AH849" i="1"/>
  <c r="AG849" i="1"/>
  <c r="AH857" i="1"/>
  <c r="AG857" i="1"/>
  <c r="AH864" i="1"/>
  <c r="AG864" i="1"/>
  <c r="AH872" i="1"/>
  <c r="AG872" i="1"/>
  <c r="AH880" i="1"/>
  <c r="AG880" i="1"/>
  <c r="AG884" i="1"/>
  <c r="AH884" i="1"/>
  <c r="AH892" i="1"/>
  <c r="AG892" i="1"/>
  <c r="AH896" i="1"/>
  <c r="AG896" i="1"/>
  <c r="AH1086" i="1"/>
  <c r="AG1086" i="1"/>
  <c r="AH1264" i="1"/>
  <c r="AG1264" i="1"/>
  <c r="AH1272" i="1"/>
  <c r="AG1272" i="1"/>
  <c r="AH1097" i="1"/>
  <c r="AG1097" i="1"/>
  <c r="AH925" i="1"/>
  <c r="AG925" i="1"/>
  <c r="AH1113" i="1"/>
  <c r="AG1113" i="1"/>
  <c r="AH1730" i="1"/>
  <c r="AG1730" i="1"/>
  <c r="AH1735" i="1"/>
  <c r="AG1735" i="1"/>
  <c r="AH1757" i="1"/>
  <c r="AG1757" i="1"/>
  <c r="AH1784" i="1"/>
  <c r="AG1784" i="1"/>
  <c r="AH1739" i="1"/>
  <c r="AG1739" i="1"/>
  <c r="AH1742" i="1"/>
  <c r="AG1742" i="1"/>
  <c r="AH1737" i="1"/>
  <c r="AG1737" i="1"/>
  <c r="AH1759" i="1"/>
  <c r="AG1759" i="1"/>
  <c r="AH1815" i="1"/>
  <c r="AG1815" i="1"/>
  <c r="AH1833" i="1"/>
  <c r="AG1833" i="1"/>
  <c r="AH1853" i="1"/>
  <c r="AG1853" i="1"/>
  <c r="AH1645" i="1"/>
  <c r="AG1645" i="1"/>
  <c r="AH1667" i="1"/>
  <c r="AG1667" i="1"/>
  <c r="AH1675" i="1"/>
  <c r="AG1675" i="1"/>
  <c r="AH1683" i="1"/>
  <c r="AG1683" i="1"/>
  <c r="AH1691" i="1"/>
  <c r="AG1691" i="1"/>
  <c r="AH1699" i="1"/>
  <c r="AG1699" i="1"/>
  <c r="AH1707" i="1"/>
  <c r="AG1707" i="1"/>
  <c r="AH1715" i="1"/>
  <c r="AG1715" i="1"/>
  <c r="AH1723" i="1"/>
  <c r="AG1723" i="1"/>
  <c r="AH1805" i="1"/>
  <c r="AG1805" i="1"/>
  <c r="AH1837" i="1"/>
  <c r="AG1837" i="1"/>
  <c r="AH1845" i="1"/>
  <c r="AG1845" i="1"/>
  <c r="AH1776" i="1"/>
  <c r="AG1776" i="1"/>
  <c r="AH1340" i="1"/>
  <c r="AG1340" i="1"/>
  <c r="AH1545" i="1"/>
  <c r="AG1545" i="1"/>
  <c r="AH1391" i="1"/>
  <c r="AG1391" i="1"/>
  <c r="AH1578" i="1"/>
  <c r="AG1578" i="1"/>
  <c r="AH1427" i="1"/>
  <c r="AG1427" i="1"/>
  <c r="AH1451" i="1"/>
  <c r="AG1451" i="1"/>
  <c r="AH829" i="1"/>
  <c r="AG829" i="1"/>
  <c r="AH991" i="1"/>
  <c r="AG991" i="1"/>
  <c r="AH1028" i="1"/>
  <c r="AG1028" i="1"/>
  <c r="AH1040" i="1"/>
  <c r="AG1040" i="1"/>
  <c r="AH1481" i="1"/>
  <c r="AG1481" i="1"/>
  <c r="AH938" i="1"/>
  <c r="AG938" i="1"/>
  <c r="AH1156" i="1"/>
  <c r="AG1156" i="1"/>
  <c r="AH931" i="1"/>
  <c r="AG931" i="1"/>
  <c r="AH1509" i="1"/>
  <c r="AG1509" i="1"/>
  <c r="AH1828" i="1"/>
  <c r="AG1828" i="1"/>
  <c r="AH1347" i="1"/>
  <c r="AG1347" i="1"/>
  <c r="AH1401" i="1"/>
  <c r="AG1401" i="1"/>
  <c r="AH1491" i="1"/>
  <c r="AG1491" i="1"/>
  <c r="AH426" i="1"/>
  <c r="AG426" i="1"/>
  <c r="AG932" i="1"/>
  <c r="AH932" i="1"/>
  <c r="AH475" i="1"/>
  <c r="AG475" i="1"/>
  <c r="AH495" i="1"/>
  <c r="AG495" i="1"/>
  <c r="AH928" i="1"/>
  <c r="AG928" i="1"/>
  <c r="AH540" i="1"/>
  <c r="AG540" i="1"/>
  <c r="AH357" i="1"/>
  <c r="AG357" i="1"/>
  <c r="AH1249" i="1"/>
  <c r="AG1249" i="1"/>
  <c r="AG598" i="1"/>
  <c r="AH598" i="1"/>
  <c r="AH365" i="1"/>
  <c r="AG365" i="1"/>
  <c r="AH633" i="1"/>
  <c r="AG633" i="1"/>
  <c r="AH665" i="1"/>
  <c r="AG665" i="1"/>
  <c r="AH693" i="1"/>
  <c r="AG693" i="1"/>
  <c r="AG1121" i="1"/>
  <c r="AH1121" i="1"/>
  <c r="AG727" i="1"/>
  <c r="AH727" i="1"/>
  <c r="AH758" i="1"/>
  <c r="AG758" i="1"/>
  <c r="AH789" i="1"/>
  <c r="AG789" i="1"/>
  <c r="AH821" i="1"/>
  <c r="AG821" i="1"/>
  <c r="AG31" i="1"/>
  <c r="AH31" i="1"/>
  <c r="AH62" i="1"/>
  <c r="AG62" i="1"/>
  <c r="AH93" i="1"/>
  <c r="AG93" i="1"/>
  <c r="AH125" i="1"/>
  <c r="AG125" i="1"/>
  <c r="AH157" i="1"/>
  <c r="AG157" i="1"/>
  <c r="AH188" i="1"/>
  <c r="AG188" i="1"/>
  <c r="AH219" i="1"/>
  <c r="AG219" i="1"/>
  <c r="AH250" i="1"/>
  <c r="AG250" i="1"/>
  <c r="AH1219" i="1"/>
  <c r="AG1219" i="1"/>
  <c r="AH923" i="1"/>
  <c r="AG923" i="1"/>
  <c r="AH304" i="1"/>
  <c r="AG304" i="1"/>
  <c r="AH965" i="1"/>
  <c r="AG965" i="1"/>
  <c r="AH867" i="1"/>
  <c r="AG867" i="1"/>
  <c r="AH1259" i="1"/>
  <c r="AG1259" i="1"/>
  <c r="AG1089" i="1"/>
  <c r="AH1089" i="1"/>
  <c r="AH1106" i="1"/>
  <c r="AG1106" i="1"/>
  <c r="AH1774" i="1"/>
  <c r="AG1774" i="1"/>
  <c r="AH1762" i="1"/>
  <c r="AG1762" i="1"/>
  <c r="AH1856" i="1"/>
  <c r="AG1856" i="1"/>
  <c r="AH1678" i="1"/>
  <c r="AG1678" i="1"/>
  <c r="AH1702" i="1"/>
  <c r="AG1702" i="1"/>
  <c r="AH1718" i="1"/>
  <c r="AG1718" i="1"/>
  <c r="AH1800" i="1"/>
  <c r="AG1800" i="1"/>
  <c r="AH1530" i="1"/>
  <c r="AG1530" i="1"/>
  <c r="AG1538" i="1"/>
  <c r="AH1538" i="1"/>
  <c r="AH1359" i="1"/>
  <c r="AG1359" i="1"/>
  <c r="AH1558" i="1"/>
  <c r="AG1558" i="1"/>
  <c r="AH1569" i="1"/>
  <c r="AG1569" i="1"/>
  <c r="AH1583" i="1"/>
  <c r="AG1583" i="1"/>
  <c r="AH1435" i="1"/>
  <c r="AG1435" i="1"/>
  <c r="AH1601" i="1"/>
  <c r="AG1601" i="1"/>
  <c r="AH1462" i="1"/>
  <c r="AG1462" i="1"/>
  <c r="AH1468" i="1"/>
  <c r="AG1468" i="1"/>
  <c r="AH1274" i="1"/>
  <c r="AG1274" i="1"/>
  <c r="AH1015" i="1"/>
  <c r="AG1015" i="1"/>
  <c r="AH1029" i="1"/>
  <c r="AG1029" i="1"/>
  <c r="AH1661" i="1"/>
  <c r="AG1661" i="1"/>
  <c r="AG1044" i="1"/>
  <c r="AH1044" i="1"/>
  <c r="AH1145" i="1"/>
  <c r="AG1145" i="1"/>
  <c r="AG1170" i="1"/>
  <c r="AH1170" i="1"/>
  <c r="AH1212" i="1"/>
  <c r="AG1212" i="1"/>
  <c r="AH1157" i="1"/>
  <c r="AG1157" i="1"/>
  <c r="AH1276" i="1"/>
  <c r="AG1276" i="1"/>
  <c r="AH1505" i="1"/>
  <c r="AG1505" i="1"/>
  <c r="AH404" i="1"/>
  <c r="AG404" i="1"/>
  <c r="AH407" i="1"/>
  <c r="AG407" i="1"/>
  <c r="AH1368" i="1"/>
  <c r="AG1368" i="1"/>
  <c r="AH1404" i="1"/>
  <c r="AG1404" i="1"/>
  <c r="AH1467" i="1"/>
  <c r="AG1467" i="1"/>
  <c r="AG1514" i="1"/>
  <c r="AH1514" i="1"/>
  <c r="AH435" i="1"/>
  <c r="AG435" i="1"/>
  <c r="AG933" i="1"/>
  <c r="AH933" i="1"/>
  <c r="AH476" i="1"/>
  <c r="AG476" i="1"/>
  <c r="AH488" i="1"/>
  <c r="AG488" i="1"/>
  <c r="AH945" i="1"/>
  <c r="AG945" i="1"/>
  <c r="AH526" i="1"/>
  <c r="AG526" i="1"/>
  <c r="AH916" i="1"/>
  <c r="AG916" i="1"/>
  <c r="AH562" i="1"/>
  <c r="AG562" i="1"/>
  <c r="AG5" i="1"/>
  <c r="AH5" i="1"/>
  <c r="AH588" i="1"/>
  <c r="AG588" i="1"/>
  <c r="AH599" i="1"/>
  <c r="AG599" i="1"/>
  <c r="AH618" i="1"/>
  <c r="AG618" i="1"/>
  <c r="AH949" i="1"/>
  <c r="AG949" i="1"/>
  <c r="AH650" i="1"/>
  <c r="AG650" i="1"/>
  <c r="AH673" i="1"/>
  <c r="AG673" i="1"/>
  <c r="AH950" i="1"/>
  <c r="AG950" i="1"/>
  <c r="AH953" i="1"/>
  <c r="AG953" i="1"/>
  <c r="AH720" i="1"/>
  <c r="AG720" i="1"/>
  <c r="AH744" i="1"/>
  <c r="AG744" i="1"/>
  <c r="AH767" i="1"/>
  <c r="AG767" i="1"/>
  <c r="AH790" i="1"/>
  <c r="AG790" i="1"/>
  <c r="AH822" i="1"/>
  <c r="AG822" i="1"/>
  <c r="AH32" i="1"/>
  <c r="AG32" i="1"/>
  <c r="AH55" i="1"/>
  <c r="AG55" i="1"/>
  <c r="AG78" i="1"/>
  <c r="AH78" i="1"/>
  <c r="AH94" i="1"/>
  <c r="AG94" i="1"/>
  <c r="AH118" i="1"/>
  <c r="AG118" i="1"/>
  <c r="AH142" i="1"/>
  <c r="AG142" i="1"/>
  <c r="AH166" i="1"/>
  <c r="AG166" i="1"/>
  <c r="AH189" i="1"/>
  <c r="AG189" i="1"/>
  <c r="AH212" i="1"/>
  <c r="AG212" i="1"/>
  <c r="AH236" i="1"/>
  <c r="AG236" i="1"/>
  <c r="AH259" i="1"/>
  <c r="AG259" i="1"/>
  <c r="AH1220" i="1"/>
  <c r="AG1220" i="1"/>
  <c r="AH377" i="1"/>
  <c r="AG377" i="1"/>
  <c r="AH290" i="1"/>
  <c r="AG290" i="1"/>
  <c r="AH313" i="1"/>
  <c r="AG313" i="1"/>
  <c r="AH1256" i="1"/>
  <c r="AG1256" i="1"/>
  <c r="AH860" i="1"/>
  <c r="AG860" i="1"/>
  <c r="AH1260" i="1"/>
  <c r="AG1260" i="1"/>
  <c r="AH388" i="1"/>
  <c r="AG388" i="1"/>
  <c r="AH1093" i="1"/>
  <c r="AG1093" i="1"/>
  <c r="AH1117" i="1"/>
  <c r="AG1117" i="1"/>
  <c r="AH1746" i="1"/>
  <c r="AG1746" i="1"/>
  <c r="AH1792" i="1"/>
  <c r="AG1792" i="1"/>
  <c r="AH1281" i="1"/>
  <c r="AG1281" i="1"/>
  <c r="AH1671" i="1"/>
  <c r="AG1671" i="1"/>
  <c r="AH1695" i="1"/>
  <c r="AG1695" i="1"/>
  <c r="AH1711" i="1"/>
  <c r="AG1711" i="1"/>
  <c r="AH1803" i="1"/>
  <c r="AG1803" i="1"/>
  <c r="AH1341" i="1"/>
  <c r="AG1341" i="1"/>
  <c r="AH1546" i="1"/>
  <c r="AG1546" i="1"/>
  <c r="AH1399" i="1"/>
  <c r="AG1399" i="1"/>
  <c r="AH1654" i="1"/>
  <c r="AG1654" i="1"/>
  <c r="AH1455" i="1"/>
  <c r="AG1455" i="1"/>
  <c r="AH972" i="1"/>
  <c r="AG972" i="1"/>
  <c r="AG1079" i="1"/>
  <c r="AH1079" i="1"/>
  <c r="AH1009" i="1"/>
  <c r="AG1009" i="1"/>
  <c r="AH929" i="1"/>
  <c r="AG929" i="1"/>
  <c r="AH1042" i="1"/>
  <c r="AG1042" i="1"/>
  <c r="AH1050" i="1"/>
  <c r="AG1050" i="1"/>
  <c r="AH397" i="1"/>
  <c r="AG397" i="1"/>
  <c r="AH1180" i="1"/>
  <c r="AG1180" i="1"/>
  <c r="AH403" i="1"/>
  <c r="AG403" i="1"/>
  <c r="AH939" i="1"/>
  <c r="AG939" i="1"/>
  <c r="AH408" i="1"/>
  <c r="AG408" i="1"/>
  <c r="AH1379" i="1"/>
  <c r="AG1379" i="1"/>
  <c r="AH1446" i="1"/>
  <c r="AG1446" i="1"/>
  <c r="AH413" i="1"/>
  <c r="AG413" i="1"/>
  <c r="AH444" i="1"/>
  <c r="AG444" i="1"/>
  <c r="AH463" i="1"/>
  <c r="AG463" i="1"/>
  <c r="AH1243" i="1"/>
  <c r="AG1243" i="1"/>
  <c r="AH505" i="1"/>
  <c r="AG505" i="1"/>
  <c r="AH350" i="1"/>
  <c r="AG350" i="1"/>
  <c r="AH549" i="1"/>
  <c r="AG549" i="1"/>
  <c r="AH569" i="1"/>
  <c r="AG569" i="1"/>
  <c r="AH589" i="1"/>
  <c r="AG589" i="1"/>
  <c r="AH605" i="1"/>
  <c r="AG605" i="1"/>
  <c r="AH628" i="1"/>
  <c r="AG628" i="1"/>
  <c r="AH651" i="1"/>
  <c r="AG651" i="1"/>
  <c r="AH919" i="1"/>
  <c r="AG919" i="1"/>
  <c r="AH705" i="1"/>
  <c r="AG705" i="1"/>
  <c r="AH729" i="1"/>
  <c r="AG729" i="1"/>
  <c r="AH760" i="1"/>
  <c r="AG760" i="1"/>
  <c r="AH799" i="1"/>
  <c r="AG799" i="1"/>
  <c r="AG13" i="1"/>
  <c r="AH13" i="1"/>
  <c r="AH40" i="1"/>
  <c r="AG40" i="1"/>
  <c r="AH72" i="1"/>
  <c r="AG72" i="1"/>
  <c r="AH95" i="1"/>
  <c r="AG95" i="1"/>
  <c r="AH135" i="1"/>
  <c r="AG135" i="1"/>
  <c r="AH167" i="1"/>
  <c r="AG167" i="1"/>
  <c r="AH190" i="1"/>
  <c r="AG190" i="1"/>
  <c r="AH221" i="1"/>
  <c r="AG221" i="1"/>
  <c r="AH252" i="1"/>
  <c r="AG252" i="1"/>
  <c r="AH1221" i="1"/>
  <c r="AG1221" i="1"/>
  <c r="AH378" i="1"/>
  <c r="AG378" i="1"/>
  <c r="AH381" i="1"/>
  <c r="AG381" i="1"/>
  <c r="AH854" i="1"/>
  <c r="AG854" i="1"/>
  <c r="AH881" i="1"/>
  <c r="AG881" i="1"/>
  <c r="AH1261" i="1"/>
  <c r="AG1261" i="1"/>
  <c r="AH1102" i="1"/>
  <c r="AG1102" i="1"/>
  <c r="AH1754" i="1"/>
  <c r="AG1754" i="1"/>
  <c r="AH1790" i="1"/>
  <c r="AG1790" i="1"/>
  <c r="AH1809" i="1"/>
  <c r="AG1809" i="1"/>
  <c r="AH1066" i="1"/>
  <c r="AG1066" i="1"/>
  <c r="AH1688" i="1"/>
  <c r="AG1688" i="1"/>
  <c r="AH1712" i="1"/>
  <c r="AG1712" i="1"/>
  <c r="AH1842" i="1"/>
  <c r="AG1842" i="1"/>
  <c r="AH1535" i="1"/>
  <c r="AG1535" i="1"/>
  <c r="AH1365" i="1"/>
  <c r="AG1365" i="1"/>
  <c r="AH1567" i="1"/>
  <c r="AG1567" i="1"/>
  <c r="AH1425" i="1"/>
  <c r="AG1425" i="1"/>
  <c r="AH1448" i="1"/>
  <c r="AG1448" i="1"/>
  <c r="AH1463" i="1"/>
  <c r="AG1463" i="1"/>
  <c r="AH986" i="1"/>
  <c r="AG986" i="1"/>
  <c r="AH1080" i="1"/>
  <c r="AG1080" i="1"/>
  <c r="AH1470" i="1"/>
  <c r="AG1470" i="1"/>
  <c r="AH1624" i="1"/>
  <c r="AG1624" i="1"/>
  <c r="AH1135" i="1"/>
  <c r="AG1135" i="1"/>
  <c r="AH1147" i="1"/>
  <c r="AG1147" i="1"/>
  <c r="AH1290" i="1"/>
  <c r="AG1290" i="1"/>
  <c r="AH1628" i="1"/>
  <c r="AG1628" i="1"/>
  <c r="AH835" i="1"/>
  <c r="AG835" i="1"/>
  <c r="AH1315" i="1"/>
  <c r="AG1315" i="1"/>
  <c r="AH409" i="1"/>
  <c r="AG409" i="1"/>
  <c r="AH1381" i="1"/>
  <c r="AG1381" i="1"/>
  <c r="AH1447" i="1"/>
  <c r="AG1447" i="1"/>
  <c r="AH414" i="1"/>
  <c r="AG414" i="1"/>
  <c r="AH445" i="1"/>
  <c r="AG445" i="1"/>
  <c r="AH464" i="1"/>
  <c r="AG464" i="1"/>
  <c r="AH348" i="1"/>
  <c r="AG348" i="1"/>
  <c r="AH1069" i="1"/>
  <c r="AG1069" i="1"/>
  <c r="AH529" i="1"/>
  <c r="AG529" i="1"/>
  <c r="AH558" i="1"/>
  <c r="AG558" i="1"/>
  <c r="AH583" i="1"/>
  <c r="AG583" i="1"/>
  <c r="AH1302" i="1"/>
  <c r="AG1302" i="1"/>
  <c r="AH620" i="1"/>
  <c r="AG620" i="1"/>
  <c r="AH644" i="1"/>
  <c r="AG644" i="1"/>
  <c r="AH675" i="1"/>
  <c r="AG675" i="1"/>
  <c r="AH700" i="1"/>
  <c r="AG700" i="1"/>
  <c r="AH722" i="1"/>
  <c r="AG722" i="1"/>
  <c r="AH754" i="1"/>
  <c r="AG754" i="1"/>
  <c r="AH784" i="1"/>
  <c r="AG784" i="1"/>
  <c r="AH808" i="1"/>
  <c r="AG808" i="1"/>
  <c r="AH28" i="1"/>
  <c r="AG28" i="1"/>
  <c r="AH49" i="1"/>
  <c r="AG49" i="1"/>
  <c r="AH80" i="1"/>
  <c r="AG80" i="1"/>
  <c r="AH112" i="1"/>
  <c r="AG112" i="1"/>
  <c r="AH152" i="1"/>
  <c r="AG152" i="1"/>
  <c r="AG184" i="1"/>
  <c r="AH184" i="1"/>
  <c r="AH222" i="1"/>
  <c r="AG222" i="1"/>
  <c r="AH245" i="1"/>
  <c r="AG245" i="1"/>
  <c r="AH1214" i="1"/>
  <c r="AG1214" i="1"/>
  <c r="AH280" i="1"/>
  <c r="AG280" i="1"/>
  <c r="AH307" i="1"/>
  <c r="AG307" i="1"/>
  <c r="AH331" i="1"/>
  <c r="AG331" i="1"/>
  <c r="AH870" i="1"/>
  <c r="AG870" i="1"/>
  <c r="AH890" i="1"/>
  <c r="AG890" i="1"/>
  <c r="AH1270" i="1"/>
  <c r="AG1270" i="1"/>
  <c r="AH1111" i="1"/>
  <c r="AG1111" i="1"/>
  <c r="AH1782" i="1"/>
  <c r="AG1782" i="1"/>
  <c r="AH1748" i="1"/>
  <c r="AG1748" i="1"/>
  <c r="AG837" i="1"/>
  <c r="AH837" i="1"/>
  <c r="AH1681" i="1"/>
  <c r="AG1681" i="1"/>
  <c r="AH1713" i="1"/>
  <c r="AG1713" i="1"/>
  <c r="AH1843" i="1"/>
  <c r="AG1843" i="1"/>
  <c r="AH1322" i="1"/>
  <c r="AG1322" i="1"/>
  <c r="AH1329" i="1"/>
  <c r="AG1329" i="1"/>
  <c r="AH1339" i="1"/>
  <c r="AG1339" i="1"/>
  <c r="AH1343" i="1"/>
  <c r="AG1343" i="1"/>
  <c r="AH1161" i="1"/>
  <c r="AG1161" i="1"/>
  <c r="AH1188" i="1"/>
  <c r="AG1188" i="1"/>
  <c r="AH1358" i="1"/>
  <c r="AG1358" i="1"/>
  <c r="AH1549" i="1"/>
  <c r="AG1549" i="1"/>
  <c r="AH1553" i="1"/>
  <c r="AG1553" i="1"/>
  <c r="AH1385" i="1"/>
  <c r="AG1385" i="1"/>
  <c r="AH1560" i="1"/>
  <c r="AG1560" i="1"/>
  <c r="AH1565" i="1"/>
  <c r="AG1565" i="1"/>
  <c r="AH1652" i="1"/>
  <c r="AG1652" i="1"/>
  <c r="AH1572" i="1"/>
  <c r="AG1572" i="1"/>
  <c r="AH1576" i="1"/>
  <c r="AG1576" i="1"/>
  <c r="AH1581" i="1"/>
  <c r="AG1581" i="1"/>
  <c r="AH1426" i="1"/>
  <c r="AG1426" i="1"/>
  <c r="AH1589" i="1"/>
  <c r="AG1589" i="1"/>
  <c r="AH1593" i="1"/>
  <c r="AG1593" i="1"/>
  <c r="AH1438" i="1"/>
  <c r="AG1438" i="1"/>
  <c r="AH1450" i="1"/>
  <c r="AG1450" i="1"/>
  <c r="AH1603" i="1"/>
  <c r="AG1603" i="1"/>
  <c r="AH1204" i="1"/>
  <c r="AG1204" i="1"/>
  <c r="AH1606" i="1"/>
  <c r="AG1606" i="1"/>
  <c r="AH1610" i="1"/>
  <c r="AG1610" i="1"/>
  <c r="AH973" i="1"/>
  <c r="AG973" i="1"/>
  <c r="AH976" i="1"/>
  <c r="AG976" i="1"/>
  <c r="AH984" i="1"/>
  <c r="AG984" i="1"/>
  <c r="AH989" i="1"/>
  <c r="AG989" i="1"/>
  <c r="AH996" i="1"/>
  <c r="AG996" i="1"/>
  <c r="AH389" i="1"/>
  <c r="AG389" i="1"/>
  <c r="AH1007" i="1"/>
  <c r="AG1007" i="1"/>
  <c r="AH1163" i="1"/>
  <c r="AG1163" i="1"/>
  <c r="AH395" i="1"/>
  <c r="AG395" i="1"/>
  <c r="AH1081" i="1"/>
  <c r="AG1081" i="1"/>
  <c r="AH1082" i="1"/>
  <c r="AG1082" i="1"/>
  <c r="AH1616" i="1"/>
  <c r="AG1616" i="1"/>
  <c r="AH1617" i="1"/>
  <c r="AG1617" i="1"/>
  <c r="AH1083" i="1"/>
  <c r="AG1083" i="1"/>
  <c r="AH1660" i="1"/>
  <c r="AG1660" i="1"/>
  <c r="AH1038" i="1"/>
  <c r="AG1038" i="1"/>
  <c r="AH903" i="1"/>
  <c r="AG903" i="1"/>
  <c r="AH1138" i="1"/>
  <c r="AG1138" i="1"/>
  <c r="AH1207" i="1"/>
  <c r="AG1207" i="1"/>
  <c r="AH1480" i="1"/>
  <c r="AG1480" i="1"/>
  <c r="AH1142" i="1"/>
  <c r="AG1142" i="1"/>
  <c r="AH1150" i="1"/>
  <c r="AG1150" i="1"/>
  <c r="AH1178" i="1"/>
  <c r="AG1178" i="1"/>
  <c r="AH910" i="1"/>
  <c r="AG910" i="1"/>
  <c r="AH1209" i="1"/>
  <c r="AG1209" i="1"/>
  <c r="AH1296" i="1"/>
  <c r="AG1296" i="1"/>
  <c r="AH1154" i="1"/>
  <c r="AG1154" i="1"/>
  <c r="AH1168" i="1"/>
  <c r="AG1168" i="1"/>
  <c r="AH1184" i="1"/>
  <c r="AG1184" i="1"/>
  <c r="AH1630" i="1"/>
  <c r="AG1630" i="1"/>
  <c r="AH832" i="1"/>
  <c r="AG832" i="1"/>
  <c r="AH1632" i="1"/>
  <c r="AG1632" i="1"/>
  <c r="AH1636" i="1"/>
  <c r="AG1636" i="1"/>
  <c r="AH1508" i="1"/>
  <c r="AG1508" i="1"/>
  <c r="AH1310" i="1"/>
  <c r="AG1310" i="1"/>
  <c r="AH926" i="1"/>
  <c r="AG926" i="1"/>
  <c r="AH1059" i="1"/>
  <c r="AG1059" i="1"/>
  <c r="AH1061" i="1"/>
  <c r="AG1061" i="1"/>
  <c r="AH1643" i="1"/>
  <c r="AG1643" i="1"/>
  <c r="AH1325" i="1"/>
  <c r="AG1325" i="1"/>
  <c r="AH1335" i="1"/>
  <c r="AG1335" i="1"/>
  <c r="AH1361" i="1"/>
  <c r="AG1361" i="1"/>
  <c r="AH1373" i="1"/>
  <c r="AG1373" i="1"/>
  <c r="AH1384" i="1"/>
  <c r="AG1384" i="1"/>
  <c r="AH1402" i="1"/>
  <c r="AG1402" i="1"/>
  <c r="AH1414" i="1"/>
  <c r="AG1414" i="1"/>
  <c r="AH1442" i="1"/>
  <c r="AG1442" i="1"/>
  <c r="AH1453" i="1"/>
  <c r="AG1453" i="1"/>
  <c r="AH1489" i="1"/>
  <c r="AG1489" i="1"/>
  <c r="AH1499" i="1"/>
  <c r="AG1499" i="1"/>
  <c r="AH1510" i="1"/>
  <c r="AG1510" i="1"/>
  <c r="AH417" i="1"/>
  <c r="AG417" i="1"/>
  <c r="AH425" i="1"/>
  <c r="AG425" i="1"/>
  <c r="AH432" i="1"/>
  <c r="AG432" i="1"/>
  <c r="AH440" i="1"/>
  <c r="AG440" i="1"/>
  <c r="AH448" i="1"/>
  <c r="AG448" i="1"/>
  <c r="AH453" i="1"/>
  <c r="AG453" i="1"/>
  <c r="AH2" i="1"/>
  <c r="AG2" i="1"/>
  <c r="AH341" i="1"/>
  <c r="AG341" i="1"/>
  <c r="AH467" i="1"/>
  <c r="AG467" i="1"/>
  <c r="AH473" i="1"/>
  <c r="AG473" i="1"/>
  <c r="AH342" i="1"/>
  <c r="AG342" i="1"/>
  <c r="AH343" i="1"/>
  <c r="AG343" i="1"/>
  <c r="AH1244" i="1"/>
  <c r="AG1244" i="1"/>
  <c r="AH493" i="1"/>
  <c r="AG493" i="1"/>
  <c r="AG501" i="1"/>
  <c r="AH501" i="1"/>
  <c r="AH508" i="1"/>
  <c r="AG508" i="1"/>
  <c r="AH512" i="1"/>
  <c r="AG512" i="1"/>
  <c r="AH519" i="1"/>
  <c r="AG519" i="1"/>
  <c r="AH913" i="1"/>
  <c r="AG913" i="1"/>
  <c r="AH353" i="1"/>
  <c r="AG353" i="1"/>
  <c r="AH532" i="1"/>
  <c r="AG532" i="1"/>
  <c r="AH538" i="1"/>
  <c r="AG538" i="1"/>
  <c r="AH545" i="1"/>
  <c r="AG545" i="1"/>
  <c r="AH553" i="1"/>
  <c r="AG553" i="1"/>
  <c r="AH937" i="1"/>
  <c r="AG937" i="1"/>
  <c r="AH948" i="1"/>
  <c r="AG948" i="1"/>
  <c r="AH567" i="1"/>
  <c r="AG567" i="1"/>
  <c r="AH572" i="1"/>
  <c r="AG572" i="1"/>
  <c r="AH579" i="1"/>
  <c r="AG579" i="1"/>
  <c r="AG1247" i="1"/>
  <c r="AH1247" i="1"/>
  <c r="AH585" i="1"/>
  <c r="AG585" i="1"/>
  <c r="AH593" i="1"/>
  <c r="AG593" i="1"/>
  <c r="AH595" i="1"/>
  <c r="AG595" i="1"/>
  <c r="AH1305" i="1"/>
  <c r="AG1305" i="1"/>
  <c r="AH601" i="1"/>
  <c r="AG601" i="1"/>
  <c r="AH609" i="1"/>
  <c r="AG609" i="1"/>
  <c r="AG615" i="1"/>
  <c r="AH615" i="1"/>
  <c r="AH367" i="1"/>
  <c r="AG367" i="1"/>
  <c r="AH412" i="1"/>
  <c r="AG412" i="1"/>
  <c r="AH631" i="1"/>
  <c r="AG631" i="1"/>
  <c r="AH639" i="1"/>
  <c r="AG639" i="1"/>
  <c r="AH647" i="1"/>
  <c r="AG647" i="1"/>
  <c r="AH655" i="1"/>
  <c r="AG655" i="1"/>
  <c r="AH663" i="1"/>
  <c r="AG663" i="1"/>
  <c r="AH670" i="1"/>
  <c r="AG670" i="1"/>
  <c r="AG678" i="1"/>
  <c r="AH678" i="1"/>
  <c r="AH684" i="1"/>
  <c r="AG684" i="1"/>
  <c r="AH691" i="1"/>
  <c r="AG691" i="1"/>
  <c r="AH695" i="1"/>
  <c r="AG695" i="1"/>
  <c r="AH921" i="1"/>
  <c r="AG921" i="1"/>
  <c r="AG709" i="1"/>
  <c r="AH709" i="1"/>
  <c r="AH372" i="1"/>
  <c r="AG372" i="1"/>
  <c r="AH717" i="1"/>
  <c r="AG717" i="1"/>
  <c r="AG725" i="1"/>
  <c r="AH725" i="1"/>
  <c r="AH733" i="1"/>
  <c r="AG733" i="1"/>
  <c r="AH741" i="1"/>
  <c r="AG741" i="1"/>
  <c r="AH749" i="1"/>
  <c r="AG749" i="1"/>
  <c r="AH756" i="1"/>
  <c r="AG756" i="1"/>
  <c r="AH764" i="1"/>
  <c r="AG764" i="1"/>
  <c r="AH772" i="1"/>
  <c r="AG772" i="1"/>
  <c r="AG780" i="1"/>
  <c r="AH780" i="1"/>
  <c r="AH787" i="1"/>
  <c r="AG787" i="1"/>
  <c r="AH795" i="1"/>
  <c r="AG795" i="1"/>
  <c r="AH803" i="1"/>
  <c r="AG803" i="1"/>
  <c r="AH811" i="1"/>
  <c r="AG811" i="1"/>
  <c r="AH819" i="1"/>
  <c r="AG819" i="1"/>
  <c r="AG9" i="1"/>
  <c r="AH9" i="1"/>
  <c r="AG17" i="1"/>
  <c r="AH17" i="1"/>
  <c r="AH23" i="1"/>
  <c r="AG23" i="1"/>
  <c r="AG29" i="1"/>
  <c r="AH29" i="1"/>
  <c r="AH37" i="1"/>
  <c r="AG37" i="1"/>
  <c r="AH44" i="1"/>
  <c r="AG44" i="1"/>
  <c r="AH52" i="1"/>
  <c r="AG52" i="1"/>
  <c r="AH60" i="1"/>
  <c r="AG60" i="1"/>
  <c r="AH68" i="1"/>
  <c r="AG68" i="1"/>
  <c r="AH75" i="1"/>
  <c r="AG75" i="1"/>
  <c r="AH83" i="1"/>
  <c r="AG83" i="1"/>
  <c r="AH91" i="1"/>
  <c r="AG91" i="1"/>
  <c r="AH99" i="1"/>
  <c r="AG99" i="1"/>
  <c r="AH107" i="1"/>
  <c r="AG107" i="1"/>
  <c r="AH115" i="1"/>
  <c r="AG115" i="1"/>
  <c r="AH123" i="1"/>
  <c r="AG123" i="1"/>
  <c r="AH131" i="1"/>
  <c r="AG131" i="1"/>
  <c r="AH139" i="1"/>
  <c r="AG139" i="1"/>
  <c r="AH147" i="1"/>
  <c r="AG147" i="1"/>
  <c r="AH155" i="1"/>
  <c r="AG155" i="1"/>
  <c r="AH163" i="1"/>
  <c r="AG163" i="1"/>
  <c r="AH171" i="1"/>
  <c r="AG171" i="1"/>
  <c r="AH179" i="1"/>
  <c r="AG179" i="1"/>
  <c r="AH187" i="1"/>
  <c r="AG187" i="1"/>
  <c r="AH193" i="1"/>
  <c r="AG193" i="1"/>
  <c r="AH201" i="1"/>
  <c r="AG201" i="1"/>
  <c r="AH209" i="1"/>
  <c r="AG209" i="1"/>
  <c r="AH217" i="1"/>
  <c r="AG217" i="1"/>
  <c r="AH225" i="1"/>
  <c r="AG225" i="1"/>
  <c r="AH233" i="1"/>
  <c r="AG233" i="1"/>
  <c r="AH241" i="1"/>
  <c r="AG241" i="1"/>
  <c r="AH248" i="1"/>
  <c r="AG248" i="1"/>
  <c r="AH256" i="1"/>
  <c r="AG256" i="1"/>
  <c r="AH262" i="1"/>
  <c r="AG262" i="1"/>
  <c r="AG270" i="1"/>
  <c r="AH270" i="1"/>
  <c r="AH1217" i="1"/>
  <c r="AG1217" i="1"/>
  <c r="AH1225" i="1"/>
  <c r="AG1225" i="1"/>
  <c r="AH1233" i="1"/>
  <c r="AG1233" i="1"/>
  <c r="AH1241" i="1"/>
  <c r="AG1241" i="1"/>
  <c r="AH275" i="1"/>
  <c r="AG275" i="1"/>
  <c r="AH282" i="1"/>
  <c r="AG282" i="1"/>
  <c r="AH287" i="1"/>
  <c r="AG287" i="1"/>
  <c r="AH295" i="1"/>
  <c r="AG295" i="1"/>
  <c r="AH303" i="1"/>
  <c r="AG303" i="1"/>
  <c r="AH310" i="1"/>
  <c r="AG310" i="1"/>
  <c r="AH315" i="1"/>
  <c r="AG315" i="1"/>
  <c r="AH964" i="1"/>
  <c r="AG964" i="1"/>
  <c r="AH328" i="1"/>
  <c r="AG328" i="1"/>
  <c r="AH843" i="1"/>
  <c r="AG843" i="1"/>
  <c r="AH850" i="1"/>
  <c r="AG850" i="1"/>
  <c r="AH858" i="1"/>
  <c r="AG858" i="1"/>
  <c r="AH865" i="1"/>
  <c r="AG865" i="1"/>
  <c r="AH873" i="1"/>
  <c r="AG873" i="1"/>
  <c r="AH1257" i="1"/>
  <c r="AG1257" i="1"/>
  <c r="AG885" i="1"/>
  <c r="AH885" i="1"/>
  <c r="AH893" i="1"/>
  <c r="AG893" i="1"/>
  <c r="AH924" i="1"/>
  <c r="AG924" i="1"/>
  <c r="AH1087" i="1"/>
  <c r="AG1087" i="1"/>
  <c r="AH1265" i="1"/>
  <c r="AG1265" i="1"/>
  <c r="AH1273" i="1"/>
  <c r="AG1273" i="1"/>
  <c r="AH1098" i="1"/>
  <c r="AG1098" i="1"/>
  <c r="AH1104" i="1"/>
  <c r="AG1104" i="1"/>
  <c r="AH1114" i="1"/>
  <c r="AG1114" i="1"/>
  <c r="AH1731" i="1"/>
  <c r="AG1731" i="1"/>
  <c r="AH1766" i="1"/>
  <c r="AG1766" i="1"/>
  <c r="AH1778" i="1"/>
  <c r="AG1778" i="1"/>
  <c r="AH1785" i="1"/>
  <c r="AG1785" i="1"/>
  <c r="AH1740" i="1"/>
  <c r="AG1740" i="1"/>
  <c r="AH1765" i="1"/>
  <c r="AG1765" i="1"/>
  <c r="AH1763" i="1"/>
  <c r="AG1763" i="1"/>
  <c r="AH1797" i="1"/>
  <c r="AG1797" i="1"/>
  <c r="AH1814" i="1"/>
  <c r="AG1814" i="1"/>
  <c r="AH1834" i="1"/>
  <c r="AG1834" i="1"/>
  <c r="AH1854" i="1"/>
  <c r="AG1854" i="1"/>
  <c r="AH1516" i="1"/>
  <c r="AG1516" i="1"/>
  <c r="AH1668" i="1"/>
  <c r="AG1668" i="1"/>
  <c r="AH1676" i="1"/>
  <c r="AG1676" i="1"/>
  <c r="AH1684" i="1"/>
  <c r="AG1684" i="1"/>
  <c r="AH1692" i="1"/>
  <c r="AG1692" i="1"/>
  <c r="AH1700" i="1"/>
  <c r="AG1700" i="1"/>
  <c r="AH1708" i="1"/>
  <c r="AG1708" i="1"/>
  <c r="AH1716" i="1"/>
  <c r="AG1716" i="1"/>
  <c r="AH1724" i="1"/>
  <c r="AG1724" i="1"/>
  <c r="AH1806" i="1"/>
  <c r="AG1806" i="1"/>
  <c r="AH1838" i="1"/>
  <c r="AG1838" i="1"/>
  <c r="AH1846" i="1"/>
  <c r="AG1846" i="1"/>
  <c r="AH1777" i="1"/>
  <c r="AG1777" i="1"/>
  <c r="R1801" i="1"/>
  <c r="Z1801" i="1" s="1"/>
  <c r="R1798" i="1"/>
  <c r="Z1798" i="1" s="1"/>
  <c r="R1802" i="1"/>
  <c r="Z1802" i="1" s="1"/>
  <c r="R1795" i="1"/>
  <c r="Z1795" i="1" s="1"/>
  <c r="R1796" i="1"/>
  <c r="Z1796" i="1" s="1"/>
  <c r="R1126" i="1"/>
  <c r="Z1126" i="1" s="1"/>
  <c r="R1122" i="1"/>
  <c r="R1124" i="1"/>
  <c r="Z1124" i="1" s="1"/>
  <c r="R1125" i="1"/>
  <c r="Z1125" i="1" s="1"/>
  <c r="E9" i="28" l="1"/>
  <c r="E11" i="27"/>
  <c r="E12" i="27" s="1"/>
  <c r="E13" i="27" s="1"/>
  <c r="B9" i="28"/>
  <c r="B11" i="27"/>
  <c r="D9" i="28"/>
  <c r="D11" i="27"/>
  <c r="D12" i="27" s="1"/>
  <c r="D13" i="27" s="1"/>
  <c r="C9" i="28"/>
  <c r="C11" i="27"/>
  <c r="C12" i="27" s="1"/>
  <c r="C13" i="27" s="1"/>
  <c r="C8" i="28"/>
  <c r="C7" i="27"/>
  <c r="D8" i="28"/>
  <c r="D7" i="27"/>
  <c r="E8" i="28"/>
  <c r="E16" i="28" s="1"/>
  <c r="E7" i="27"/>
  <c r="B8" i="28"/>
  <c r="B7" i="27"/>
  <c r="AL103" i="15"/>
  <c r="AF103" i="15"/>
  <c r="AE103" i="15"/>
  <c r="AE6" i="20"/>
  <c r="AF6" i="20"/>
  <c r="AL104" i="15"/>
  <c r="AE104" i="15"/>
  <c r="AF104" i="15"/>
  <c r="AL99" i="15"/>
  <c r="AE99" i="15"/>
  <c r="AF99" i="15"/>
  <c r="AL100" i="15"/>
  <c r="AF100" i="15"/>
  <c r="AE100" i="15"/>
  <c r="AL102" i="15"/>
  <c r="AF102" i="15"/>
  <c r="AE102" i="15"/>
  <c r="K10" i="26"/>
  <c r="C6" i="28" s="1"/>
  <c r="N9" i="26"/>
  <c r="AH1125" i="1"/>
  <c r="AG1125" i="1"/>
  <c r="AH1124" i="1"/>
  <c r="AG1124" i="1"/>
  <c r="AH1795" i="1"/>
  <c r="AG1795" i="1"/>
  <c r="AH1798" i="1"/>
  <c r="AG1798" i="1"/>
  <c r="AH1126" i="1"/>
  <c r="AG1126" i="1"/>
  <c r="AH1802" i="1"/>
  <c r="AG1802" i="1"/>
  <c r="AH1801" i="1"/>
  <c r="AG1801" i="1"/>
  <c r="AH1796" i="1"/>
  <c r="AG1796" i="1"/>
  <c r="Z1122" i="1"/>
  <c r="Z411" i="1"/>
  <c r="Z1065" i="1"/>
  <c r="Z1064" i="1"/>
  <c r="Z410" i="1"/>
  <c r="C16" i="28" l="1"/>
  <c r="D16" i="28"/>
  <c r="C7" i="28"/>
  <c r="C18" i="28" s="1"/>
  <c r="F11" i="27"/>
  <c r="F12" i="27" s="1"/>
  <c r="F13" i="27" s="1"/>
  <c r="B12" i="27"/>
  <c r="B13" i="27" s="1"/>
  <c r="K7" i="28"/>
  <c r="O6" i="28" s="1"/>
  <c r="F7" i="27"/>
  <c r="B8" i="27"/>
  <c r="B9" i="27" s="1"/>
  <c r="B14" i="27"/>
  <c r="B15" i="27" s="1"/>
  <c r="E14" i="27"/>
  <c r="E15" i="27" s="1"/>
  <c r="E8" i="27"/>
  <c r="E9" i="27" s="1"/>
  <c r="G8" i="28"/>
  <c r="B16" i="28"/>
  <c r="B18" i="28" s="1"/>
  <c r="O5" i="28"/>
  <c r="D14" i="27"/>
  <c r="D15" i="27" s="1"/>
  <c r="D8" i="27"/>
  <c r="D9" i="27" s="1"/>
  <c r="C14" i="27"/>
  <c r="C15" i="27" s="1"/>
  <c r="C8" i="27"/>
  <c r="C9" i="27" s="1"/>
  <c r="AL120" i="15"/>
  <c r="F9" i="28" s="1"/>
  <c r="F16" i="28" s="1"/>
  <c r="F18" i="28" s="1"/>
  <c r="K11" i="26"/>
  <c r="N10" i="26"/>
  <c r="AH410" i="1"/>
  <c r="AG410" i="1"/>
  <c r="AH1064" i="1"/>
  <c r="AG1064" i="1"/>
  <c r="AH1065" i="1"/>
  <c r="AG1065" i="1"/>
  <c r="AH411" i="1"/>
  <c r="AG411" i="1"/>
  <c r="AH1122" i="1"/>
  <c r="AG1122" i="1"/>
  <c r="K411" i="1"/>
  <c r="I411" i="1"/>
  <c r="R1858" i="1"/>
  <c r="Z1858" i="1" s="1"/>
  <c r="K1858" i="1"/>
  <c r="I1858" i="1"/>
  <c r="K1066" i="1"/>
  <c r="I1066" i="1"/>
  <c r="K1065" i="1"/>
  <c r="I1065" i="1"/>
  <c r="K1064" i="1"/>
  <c r="I1064" i="1"/>
  <c r="K1106" i="1"/>
  <c r="I1106" i="1"/>
  <c r="K410" i="1"/>
  <c r="I410" i="1"/>
  <c r="K846" i="1"/>
  <c r="I846" i="1"/>
  <c r="K213" i="1"/>
  <c r="I213" i="1"/>
  <c r="K156" i="1"/>
  <c r="I156" i="1"/>
  <c r="K114" i="1"/>
  <c r="I114" i="1"/>
  <c r="K7" i="1"/>
  <c r="I7" i="1"/>
  <c r="K763" i="1"/>
  <c r="I763" i="1"/>
  <c r="K455" i="1"/>
  <c r="I455" i="1"/>
  <c r="K1114" i="1"/>
  <c r="I1114" i="1"/>
  <c r="K1095" i="1"/>
  <c r="I1095" i="1"/>
  <c r="K1514" i="1"/>
  <c r="I1514" i="1"/>
  <c r="K1833" i="1"/>
  <c r="I1833" i="1"/>
  <c r="K335" i="1"/>
  <c r="I335" i="1"/>
  <c r="K837" i="1"/>
  <c r="I837" i="1"/>
  <c r="K1663" i="1"/>
  <c r="I1663" i="1"/>
  <c r="K796" i="1"/>
  <c r="I796" i="1"/>
  <c r="K639" i="1"/>
  <c r="I639" i="1"/>
  <c r="K804" i="1"/>
  <c r="I804" i="1"/>
  <c r="K757" i="1"/>
  <c r="I757" i="1"/>
  <c r="K745" i="1"/>
  <c r="I745" i="1"/>
  <c r="K578" i="1"/>
  <c r="I578" i="1"/>
  <c r="K641" i="1"/>
  <c r="I641" i="1"/>
  <c r="K820" i="1"/>
  <c r="I820" i="1"/>
  <c r="K514" i="1"/>
  <c r="I514" i="1"/>
  <c r="K1719" i="1"/>
  <c r="I1719" i="1"/>
  <c r="K1718" i="1"/>
  <c r="I1718" i="1"/>
  <c r="K1717" i="1"/>
  <c r="I1717" i="1"/>
  <c r="K1716" i="1"/>
  <c r="I1716" i="1"/>
  <c r="K1715" i="1"/>
  <c r="I1715" i="1"/>
  <c r="K1281" i="1"/>
  <c r="I1281" i="1"/>
  <c r="K1063" i="1"/>
  <c r="I1063" i="1"/>
  <c r="K1714" i="1"/>
  <c r="I1714" i="1"/>
  <c r="K1746" i="1"/>
  <c r="I1746" i="1"/>
  <c r="K1745" i="1"/>
  <c r="I1745" i="1"/>
  <c r="K1770" i="1"/>
  <c r="I1770" i="1"/>
  <c r="K1744" i="1"/>
  <c r="I1744" i="1"/>
  <c r="K189" i="1"/>
  <c r="I189" i="1"/>
  <c r="K93" i="1"/>
  <c r="I93" i="1"/>
  <c r="K409" i="1"/>
  <c r="I409" i="1"/>
  <c r="K408" i="1"/>
  <c r="I408" i="1"/>
  <c r="K407" i="1"/>
  <c r="I407" i="1"/>
  <c r="K406" i="1"/>
  <c r="I406" i="1"/>
  <c r="K1110" i="1"/>
  <c r="I1110" i="1"/>
  <c r="K1513" i="1"/>
  <c r="I1513" i="1"/>
  <c r="K405" i="1"/>
  <c r="I405" i="1"/>
  <c r="K1643" i="1"/>
  <c r="I1643" i="1"/>
  <c r="K1512" i="1"/>
  <c r="I1512" i="1"/>
  <c r="K129" i="1"/>
  <c r="I129" i="1"/>
  <c r="K1785" i="1"/>
  <c r="I1785" i="1"/>
  <c r="K1796" i="1"/>
  <c r="I1796" i="1"/>
  <c r="K1801" i="1"/>
  <c r="I1801" i="1"/>
  <c r="K1094" i="1"/>
  <c r="I1094" i="1"/>
  <c r="K1093" i="1"/>
  <c r="I1093" i="1"/>
  <c r="K1062" i="1"/>
  <c r="I1062" i="1"/>
  <c r="K1280" i="1"/>
  <c r="I1280" i="1"/>
  <c r="K1279" i="1"/>
  <c r="I1279" i="1"/>
  <c r="K1278" i="1"/>
  <c r="I1278" i="1"/>
  <c r="K1187" i="1"/>
  <c r="I1187" i="1"/>
  <c r="K1186" i="1"/>
  <c r="I1186" i="1"/>
  <c r="K1061" i="1"/>
  <c r="I1061" i="1"/>
  <c r="K1713" i="1"/>
  <c r="I1713" i="1"/>
  <c r="K1060" i="1"/>
  <c r="I1060" i="1"/>
  <c r="K1832" i="1"/>
  <c r="I1832" i="1"/>
  <c r="K1831" i="1"/>
  <c r="I1831" i="1"/>
  <c r="K1830" i="1"/>
  <c r="I1830" i="1"/>
  <c r="K1829" i="1"/>
  <c r="I1829" i="1"/>
  <c r="K1828" i="1"/>
  <c r="I1828" i="1"/>
  <c r="K1827" i="1"/>
  <c r="I1827" i="1"/>
  <c r="K1059" i="1"/>
  <c r="I1059" i="1"/>
  <c r="K1058" i="1"/>
  <c r="I1058" i="1"/>
  <c r="K1826" i="1"/>
  <c r="I1826" i="1"/>
  <c r="K1057" i="1"/>
  <c r="I1057" i="1"/>
  <c r="K939" i="1"/>
  <c r="I939" i="1"/>
  <c r="K881" i="1"/>
  <c r="I881" i="1"/>
  <c r="K404" i="1"/>
  <c r="I404" i="1"/>
  <c r="K1056" i="1"/>
  <c r="I1056" i="1"/>
  <c r="K1092" i="1"/>
  <c r="I1092" i="1"/>
  <c r="K1511" i="1"/>
  <c r="I1511" i="1"/>
  <c r="K927" i="1"/>
  <c r="I927" i="1"/>
  <c r="K926" i="1"/>
  <c r="I926" i="1"/>
  <c r="K177" i="1"/>
  <c r="I177" i="1"/>
  <c r="K1317" i="1"/>
  <c r="I1317" i="1"/>
  <c r="K1316" i="1"/>
  <c r="I1316" i="1"/>
  <c r="K1315" i="1"/>
  <c r="I1315" i="1"/>
  <c r="K1314" i="1"/>
  <c r="I1314" i="1"/>
  <c r="K1313" i="1"/>
  <c r="I1313" i="1"/>
  <c r="K1312" i="1"/>
  <c r="I1312" i="1"/>
  <c r="K1311" i="1"/>
  <c r="I1311" i="1"/>
  <c r="K1310" i="1"/>
  <c r="I1310" i="1"/>
  <c r="K1309" i="1"/>
  <c r="I1309" i="1"/>
  <c r="K1308" i="1"/>
  <c r="I1308" i="1"/>
  <c r="K1307" i="1"/>
  <c r="I1307" i="1"/>
  <c r="K1306" i="1"/>
  <c r="I1306" i="1"/>
  <c r="K1510" i="1"/>
  <c r="I1510" i="1"/>
  <c r="K660" i="1"/>
  <c r="I660" i="1"/>
  <c r="K292" i="1"/>
  <c r="I292" i="1"/>
  <c r="K291" i="1"/>
  <c r="I291" i="1"/>
  <c r="K245" i="1"/>
  <c r="I245" i="1"/>
  <c r="K193" i="1"/>
  <c r="I193" i="1"/>
  <c r="K191" i="1"/>
  <c r="I191" i="1"/>
  <c r="K99" i="1"/>
  <c r="I99" i="1"/>
  <c r="K824" i="1"/>
  <c r="I824" i="1"/>
  <c r="K791" i="1"/>
  <c r="I791" i="1"/>
  <c r="K724" i="1"/>
  <c r="I724" i="1"/>
  <c r="K561" i="1"/>
  <c r="I561" i="1"/>
  <c r="K535" i="1"/>
  <c r="I535" i="1"/>
  <c r="K1642" i="1"/>
  <c r="I1642" i="1"/>
  <c r="K1509" i="1"/>
  <c r="I1509" i="1"/>
  <c r="K1641" i="1"/>
  <c r="I1641" i="1"/>
  <c r="K1508" i="1"/>
  <c r="I1508" i="1"/>
  <c r="K836" i="1"/>
  <c r="I836" i="1"/>
  <c r="K1507" i="1"/>
  <c r="I1507" i="1"/>
  <c r="K1640" i="1"/>
  <c r="I1640" i="1"/>
  <c r="K555" i="1"/>
  <c r="I555" i="1"/>
  <c r="K527" i="1"/>
  <c r="I527" i="1"/>
  <c r="K1506" i="1"/>
  <c r="I1506" i="1"/>
  <c r="K1639" i="1"/>
  <c r="I1639" i="1"/>
  <c r="K1638" i="1"/>
  <c r="I1638" i="1"/>
  <c r="K1505" i="1"/>
  <c r="I1505" i="1"/>
  <c r="K158" i="1"/>
  <c r="I158" i="1"/>
  <c r="K486" i="1"/>
  <c r="I486" i="1"/>
  <c r="K609" i="1"/>
  <c r="I609" i="1"/>
  <c r="K285" i="1"/>
  <c r="I285" i="1"/>
  <c r="K286" i="1"/>
  <c r="I286" i="1"/>
  <c r="K782" i="1"/>
  <c r="I782" i="1"/>
  <c r="K1504" i="1"/>
  <c r="I1504" i="1"/>
  <c r="K1637" i="1"/>
  <c r="I1637" i="1"/>
  <c r="K146" i="1"/>
  <c r="I146" i="1"/>
  <c r="K744" i="1"/>
  <c r="I744" i="1"/>
  <c r="K668" i="1"/>
  <c r="I668" i="1"/>
  <c r="K1503" i="1"/>
  <c r="I1503" i="1"/>
  <c r="K547" i="1"/>
  <c r="I547" i="1"/>
  <c r="K661" i="1"/>
  <c r="I661" i="1"/>
  <c r="K63" i="1"/>
  <c r="I63" i="1"/>
  <c r="K1662" i="1"/>
  <c r="I1662" i="1"/>
  <c r="K698" i="1"/>
  <c r="I698" i="1"/>
  <c r="K1853" i="1"/>
  <c r="I1853" i="1"/>
  <c r="K280" i="1"/>
  <c r="I280" i="1"/>
  <c r="K750" i="1"/>
  <c r="I750" i="1"/>
  <c r="K484" i="1"/>
  <c r="I484" i="1"/>
  <c r="K1502" i="1"/>
  <c r="I1502" i="1"/>
  <c r="K1501" i="1"/>
  <c r="I1501" i="1"/>
  <c r="K1636" i="1"/>
  <c r="I1636" i="1"/>
  <c r="K1635" i="1"/>
  <c r="I1635" i="1"/>
  <c r="K1634" i="1"/>
  <c r="I1634" i="1"/>
  <c r="K899" i="1"/>
  <c r="I899" i="1"/>
  <c r="K81" i="1"/>
  <c r="I81" i="1"/>
  <c r="K42" i="1"/>
  <c r="I42" i="1"/>
  <c r="K600" i="1"/>
  <c r="I600" i="1"/>
  <c r="K597" i="1"/>
  <c r="I597" i="1"/>
  <c r="K424" i="1"/>
  <c r="I424" i="1"/>
  <c r="K494" i="1"/>
  <c r="I494" i="1"/>
  <c r="K1857" i="1"/>
  <c r="I1857" i="1"/>
  <c r="K460" i="1"/>
  <c r="I460" i="1"/>
  <c r="K523" i="1"/>
  <c r="I523" i="1"/>
  <c r="K771" i="1"/>
  <c r="I771" i="1"/>
  <c r="K770" i="1"/>
  <c r="I770" i="1"/>
  <c r="K767" i="1"/>
  <c r="I767" i="1"/>
  <c r="K658" i="1"/>
  <c r="I658" i="1"/>
  <c r="K595" i="1"/>
  <c r="I595" i="1"/>
  <c r="K532" i="1"/>
  <c r="I532" i="1"/>
  <c r="K524" i="1"/>
  <c r="I524" i="1"/>
  <c r="K1854" i="1"/>
  <c r="I1854" i="1"/>
  <c r="K332" i="1"/>
  <c r="I332" i="1"/>
  <c r="K44" i="1"/>
  <c r="I44" i="1"/>
  <c r="K835" i="1"/>
  <c r="I835" i="1"/>
  <c r="K12" i="1"/>
  <c r="I12" i="1"/>
  <c r="K812" i="1"/>
  <c r="I812" i="1"/>
  <c r="K689" i="1"/>
  <c r="I689" i="1"/>
  <c r="K1712" i="1"/>
  <c r="I1712" i="1"/>
  <c r="K549" i="1"/>
  <c r="I549" i="1"/>
  <c r="K1500" i="1"/>
  <c r="I1500" i="1"/>
  <c r="K162" i="1"/>
  <c r="I162" i="1"/>
  <c r="K403" i="1"/>
  <c r="I403" i="1"/>
  <c r="K809" i="1"/>
  <c r="I809" i="1"/>
  <c r="K638" i="1"/>
  <c r="I638" i="1"/>
  <c r="K1499" i="1"/>
  <c r="I1499" i="1"/>
  <c r="K1498" i="1"/>
  <c r="I1498" i="1"/>
  <c r="K1497" i="1"/>
  <c r="I1497" i="1"/>
  <c r="K1496" i="1"/>
  <c r="I1496" i="1"/>
  <c r="K1633" i="1"/>
  <c r="I1633" i="1"/>
  <c r="K1495" i="1"/>
  <c r="I1495" i="1"/>
  <c r="K239" i="1"/>
  <c r="I239" i="1"/>
  <c r="K87" i="1"/>
  <c r="I87" i="1"/>
  <c r="K1055" i="1"/>
  <c r="I1055" i="1"/>
  <c r="K161" i="1"/>
  <c r="I161" i="1"/>
  <c r="K529" i="1"/>
  <c r="I529" i="1"/>
  <c r="K872" i="1"/>
  <c r="I872" i="1"/>
  <c r="K467" i="1"/>
  <c r="I467" i="1"/>
  <c r="K425" i="1"/>
  <c r="I425" i="1"/>
  <c r="K1494" i="1"/>
  <c r="I1494" i="1"/>
  <c r="K445" i="1"/>
  <c r="I445" i="1"/>
  <c r="K1632" i="1"/>
  <c r="I1632" i="1"/>
  <c r="K1493" i="1"/>
  <c r="I1493" i="1"/>
  <c r="K240" i="1"/>
  <c r="I240" i="1"/>
  <c r="K259" i="1"/>
  <c r="I259" i="1"/>
  <c r="K701" i="1"/>
  <c r="I701" i="1"/>
  <c r="K736" i="1"/>
  <c r="I736" i="1"/>
  <c r="K834" i="1"/>
  <c r="I834" i="1"/>
  <c r="K502" i="1"/>
  <c r="I502" i="1"/>
  <c r="K1852" i="1"/>
  <c r="I1852" i="1"/>
  <c r="C1852" i="1"/>
  <c r="K1492" i="1"/>
  <c r="I1492" i="1"/>
  <c r="K1855" i="1"/>
  <c r="I1855" i="1"/>
  <c r="K1834" i="1"/>
  <c r="I1834" i="1"/>
  <c r="K1491" i="1"/>
  <c r="I1491" i="1"/>
  <c r="K738" i="1"/>
  <c r="I738" i="1"/>
  <c r="K1490" i="1"/>
  <c r="I1490" i="1"/>
  <c r="K1489" i="1"/>
  <c r="I1489" i="1"/>
  <c r="K1711" i="1"/>
  <c r="I1711" i="1"/>
  <c r="K793" i="1"/>
  <c r="I793" i="1"/>
  <c r="K868" i="1"/>
  <c r="I868" i="1"/>
  <c r="K1822" i="1"/>
  <c r="I1822" i="1"/>
  <c r="K628" i="1"/>
  <c r="I628" i="1"/>
  <c r="K1488" i="1"/>
  <c r="I1488" i="1"/>
  <c r="K1835" i="1"/>
  <c r="I1835" i="1"/>
  <c r="K695" i="1"/>
  <c r="I695" i="1"/>
  <c r="K880" i="1"/>
  <c r="I880" i="1"/>
  <c r="K871" i="1"/>
  <c r="I871" i="1"/>
  <c r="K256" i="1"/>
  <c r="I256" i="1"/>
  <c r="K210" i="1"/>
  <c r="I210" i="1"/>
  <c r="K1631" i="1"/>
  <c r="I1631" i="1"/>
  <c r="K1487" i="1"/>
  <c r="I1487" i="1"/>
  <c r="K1486" i="1"/>
  <c r="I1486" i="1"/>
  <c r="K402" i="1"/>
  <c r="I402" i="1"/>
  <c r="K334" i="1"/>
  <c r="I334" i="1"/>
  <c r="K294" i="1"/>
  <c r="I294" i="1"/>
  <c r="K293" i="1"/>
  <c r="I293" i="1"/>
  <c r="K833" i="1"/>
  <c r="I833" i="1"/>
  <c r="K657" i="1"/>
  <c r="I657" i="1"/>
  <c r="K1485" i="1"/>
  <c r="I1485" i="1"/>
  <c r="K558" i="1"/>
  <c r="I558" i="1"/>
  <c r="K318" i="1"/>
  <c r="I318" i="1"/>
  <c r="K509" i="1"/>
  <c r="I509" i="1"/>
  <c r="K674" i="1"/>
  <c r="I674" i="1"/>
  <c r="K629" i="1"/>
  <c r="I629" i="1"/>
  <c r="K223" i="1"/>
  <c r="I223" i="1"/>
  <c r="K155" i="1"/>
  <c r="I155" i="1"/>
  <c r="K870" i="1"/>
  <c r="I870" i="1"/>
  <c r="K723" i="1"/>
  <c r="I723" i="1"/>
  <c r="K832" i="1"/>
  <c r="I832" i="1"/>
  <c r="K611" i="1"/>
  <c r="I611" i="1"/>
  <c r="K496" i="1"/>
  <c r="I496" i="1"/>
  <c r="K803" i="1"/>
  <c r="I803" i="1"/>
  <c r="K120" i="1"/>
  <c r="I120" i="1"/>
  <c r="K112" i="1"/>
  <c r="I112" i="1"/>
  <c r="K559" i="1"/>
  <c r="I559" i="1"/>
  <c r="K816" i="1"/>
  <c r="I816" i="1"/>
  <c r="K493" i="1"/>
  <c r="I493" i="1"/>
  <c r="K217" i="1"/>
  <c r="I217" i="1"/>
  <c r="K1054" i="1"/>
  <c r="I1054" i="1"/>
  <c r="K1484" i="1"/>
  <c r="I1484" i="1"/>
  <c r="K853" i="1"/>
  <c r="I853" i="1"/>
  <c r="K327" i="1"/>
  <c r="I327" i="1"/>
  <c r="K697" i="1"/>
  <c r="I697" i="1"/>
  <c r="K499" i="1"/>
  <c r="I499" i="1"/>
  <c r="K438" i="1"/>
  <c r="I438" i="1"/>
  <c r="K437" i="1"/>
  <c r="I437" i="1"/>
  <c r="K436" i="1"/>
  <c r="I436" i="1"/>
  <c r="K254" i="1"/>
  <c r="I254" i="1"/>
  <c r="K1856" i="1"/>
  <c r="I1856" i="1"/>
  <c r="K1277" i="1"/>
  <c r="I1277" i="1"/>
  <c r="K401" i="1"/>
  <c r="I401" i="1"/>
  <c r="K241" i="1"/>
  <c r="I241" i="1"/>
  <c r="K86" i="1"/>
  <c r="I86" i="1"/>
  <c r="K1823" i="1"/>
  <c r="I1823" i="1"/>
  <c r="K288" i="1"/>
  <c r="I288" i="1"/>
  <c r="K205" i="1"/>
  <c r="I205" i="1"/>
  <c r="K204" i="1"/>
  <c r="I204" i="1"/>
  <c r="K772" i="1"/>
  <c r="I772" i="1"/>
  <c r="K748" i="1"/>
  <c r="I748" i="1"/>
  <c r="K733" i="1"/>
  <c r="I733" i="1"/>
  <c r="K562" i="1"/>
  <c r="I562" i="1"/>
  <c r="K1276" i="1"/>
  <c r="I1276" i="1"/>
  <c r="K931" i="1"/>
  <c r="I931" i="1"/>
  <c r="K309" i="1"/>
  <c r="I309" i="1"/>
  <c r="K751" i="1"/>
  <c r="I751" i="1"/>
  <c r="K400" i="1"/>
  <c r="I400" i="1"/>
  <c r="K1630" i="1"/>
  <c r="I1630" i="1"/>
  <c r="K1629" i="1"/>
  <c r="I1629" i="1"/>
  <c r="K1483" i="1"/>
  <c r="I1483" i="1"/>
  <c r="K1628" i="1"/>
  <c r="I1628" i="1"/>
  <c r="K1482" i="1"/>
  <c r="I1482" i="1"/>
  <c r="K1710" i="1"/>
  <c r="I1710" i="1"/>
  <c r="K1709" i="1"/>
  <c r="I1709" i="1"/>
  <c r="K1791" i="1"/>
  <c r="I1791" i="1"/>
  <c r="K1790" i="1"/>
  <c r="I1790" i="1"/>
  <c r="K1789" i="1"/>
  <c r="I1789" i="1"/>
  <c r="K1800" i="1"/>
  <c r="I1800" i="1"/>
  <c r="K1799" i="1"/>
  <c r="I1799" i="1"/>
  <c r="K1126" i="1"/>
  <c r="I1126" i="1"/>
  <c r="K857" i="1"/>
  <c r="I857" i="1"/>
  <c r="K296" i="1"/>
  <c r="I296" i="1"/>
  <c r="K187" i="1"/>
  <c r="I187" i="1"/>
  <c r="K912" i="1"/>
  <c r="I912" i="1"/>
  <c r="K1275" i="1"/>
  <c r="I1275" i="1"/>
  <c r="K1196" i="1"/>
  <c r="I1196" i="1"/>
  <c r="K1184" i="1"/>
  <c r="I1184" i="1"/>
  <c r="K1183" i="1"/>
  <c r="I1183" i="1"/>
  <c r="K1182" i="1"/>
  <c r="I1182" i="1"/>
  <c r="K1181" i="1"/>
  <c r="I1181" i="1"/>
  <c r="K1180" i="1"/>
  <c r="I1180" i="1"/>
  <c r="K1179" i="1"/>
  <c r="I1179" i="1"/>
  <c r="K1174" i="1"/>
  <c r="I1174" i="1"/>
  <c r="K1169" i="1"/>
  <c r="I1169" i="1"/>
  <c r="K1168" i="1"/>
  <c r="I1168" i="1"/>
  <c r="K1167" i="1"/>
  <c r="I1167" i="1"/>
  <c r="K1160" i="1"/>
  <c r="I1160" i="1"/>
  <c r="K1159" i="1"/>
  <c r="I1159" i="1"/>
  <c r="K1158" i="1"/>
  <c r="I1158" i="1"/>
  <c r="K1157" i="1"/>
  <c r="I1157" i="1"/>
  <c r="K1156" i="1"/>
  <c r="I1156" i="1"/>
  <c r="K1155" i="1"/>
  <c r="I1155" i="1"/>
  <c r="K1154" i="1"/>
  <c r="I1154" i="1"/>
  <c r="K1153" i="1"/>
  <c r="I1153" i="1"/>
  <c r="K1141" i="1"/>
  <c r="I1141" i="1"/>
  <c r="K1140" i="1"/>
  <c r="I1140" i="1"/>
  <c r="K1139" i="1"/>
  <c r="I1139" i="1"/>
  <c r="K1084" i="1"/>
  <c r="I1084" i="1"/>
  <c r="K1165" i="1"/>
  <c r="I1165" i="1"/>
  <c r="K1297" i="1"/>
  <c r="I1297" i="1"/>
  <c r="K1296" i="1"/>
  <c r="I1296" i="1"/>
  <c r="K1295" i="1"/>
  <c r="I1295" i="1"/>
  <c r="K1294" i="1"/>
  <c r="I1294" i="1"/>
  <c r="R1293" i="1"/>
  <c r="Z1293" i="1" s="1"/>
  <c r="K1293" i="1"/>
  <c r="I1293" i="1"/>
  <c r="R1292" i="1"/>
  <c r="Z1292" i="1" s="1"/>
  <c r="K1292" i="1"/>
  <c r="I1292" i="1"/>
  <c r="R1291" i="1"/>
  <c r="K1291" i="1"/>
  <c r="I1291" i="1"/>
  <c r="K1290" i="1"/>
  <c r="I1290" i="1"/>
  <c r="K1289" i="1"/>
  <c r="I1289" i="1"/>
  <c r="K1288" i="1"/>
  <c r="I1288" i="1"/>
  <c r="K1287" i="1"/>
  <c r="I1287" i="1"/>
  <c r="K1286" i="1"/>
  <c r="I1286" i="1"/>
  <c r="K1285" i="1"/>
  <c r="I1285" i="1"/>
  <c r="K1284" i="1"/>
  <c r="I1284" i="1"/>
  <c r="K1283" i="1"/>
  <c r="I1283" i="1"/>
  <c r="K1282" i="1"/>
  <c r="I1282" i="1"/>
  <c r="K1212" i="1"/>
  <c r="I1212" i="1"/>
  <c r="K1211" i="1"/>
  <c r="I1211" i="1"/>
  <c r="K1210" i="1"/>
  <c r="I1210" i="1"/>
  <c r="K1209" i="1"/>
  <c r="I1209" i="1"/>
  <c r="K1208" i="1"/>
  <c r="I1208" i="1"/>
  <c r="K399" i="1"/>
  <c r="I399" i="1"/>
  <c r="K398" i="1"/>
  <c r="I398" i="1"/>
  <c r="K397" i="1"/>
  <c r="I397" i="1"/>
  <c r="K396" i="1"/>
  <c r="I396" i="1"/>
  <c r="K938" i="1"/>
  <c r="I938" i="1"/>
  <c r="K911" i="1"/>
  <c r="I911" i="1"/>
  <c r="K910" i="1"/>
  <c r="I910" i="1"/>
  <c r="K909" i="1"/>
  <c r="I909" i="1"/>
  <c r="K908" i="1"/>
  <c r="I908" i="1"/>
  <c r="K907" i="1"/>
  <c r="I907" i="1"/>
  <c r="K906" i="1"/>
  <c r="I906" i="1"/>
  <c r="K1170" i="1"/>
  <c r="I1170" i="1"/>
  <c r="K905" i="1"/>
  <c r="I905" i="1"/>
  <c r="K1197" i="1"/>
  <c r="I1197" i="1"/>
  <c r="K1178" i="1"/>
  <c r="I1178" i="1"/>
  <c r="K1177" i="1"/>
  <c r="I1177" i="1"/>
  <c r="K1176" i="1"/>
  <c r="I1176" i="1"/>
  <c r="K1175" i="1"/>
  <c r="I1175" i="1"/>
  <c r="K1172" i="1"/>
  <c r="I1172" i="1"/>
  <c r="K1171" i="1"/>
  <c r="I1171" i="1"/>
  <c r="K1152" i="1"/>
  <c r="I1152" i="1"/>
  <c r="K1151" i="1"/>
  <c r="I1151" i="1"/>
  <c r="K1150" i="1"/>
  <c r="I1150" i="1"/>
  <c r="K1149" i="1"/>
  <c r="I1149" i="1"/>
  <c r="K1148" i="1"/>
  <c r="I1148" i="1"/>
  <c r="K1147" i="1"/>
  <c r="I1147" i="1"/>
  <c r="K1146" i="1"/>
  <c r="I1146" i="1"/>
  <c r="K1145" i="1"/>
  <c r="I1145" i="1"/>
  <c r="K1144" i="1"/>
  <c r="I1144" i="1"/>
  <c r="K1143" i="1"/>
  <c r="I1143" i="1"/>
  <c r="K1142" i="1"/>
  <c r="I1142" i="1"/>
  <c r="K1053" i="1"/>
  <c r="I1053" i="1"/>
  <c r="K1052" i="1"/>
  <c r="I1052" i="1"/>
  <c r="K1051" i="1"/>
  <c r="I1051" i="1"/>
  <c r="K1050" i="1"/>
  <c r="I1050" i="1"/>
  <c r="K1627" i="1"/>
  <c r="I1627" i="1"/>
  <c r="K1481" i="1"/>
  <c r="I1481" i="1"/>
  <c r="K1626" i="1"/>
  <c r="I1626" i="1"/>
  <c r="K1480" i="1"/>
  <c r="I1480" i="1"/>
  <c r="K1625" i="1"/>
  <c r="I1625" i="1"/>
  <c r="K1479" i="1"/>
  <c r="I1479" i="1"/>
  <c r="K1708" i="1"/>
  <c r="I1708" i="1"/>
  <c r="K1846" i="1"/>
  <c r="I1846" i="1"/>
  <c r="K1049" i="1"/>
  <c r="I1049" i="1"/>
  <c r="K311" i="1"/>
  <c r="I311" i="1"/>
  <c r="K228" i="1"/>
  <c r="I228" i="1"/>
  <c r="K224" i="1"/>
  <c r="I224" i="1"/>
  <c r="K185" i="1"/>
  <c r="I185" i="1"/>
  <c r="K183" i="1"/>
  <c r="I183" i="1"/>
  <c r="K75" i="1"/>
  <c r="I75" i="1"/>
  <c r="K74" i="1"/>
  <c r="I74" i="1"/>
  <c r="K702" i="1"/>
  <c r="I702" i="1"/>
  <c r="K539" i="1"/>
  <c r="I539" i="1"/>
  <c r="K806" i="1"/>
  <c r="I806" i="1"/>
  <c r="K742" i="1"/>
  <c r="I742" i="1"/>
  <c r="K894" i="1"/>
  <c r="I894" i="1"/>
  <c r="K885" i="1"/>
  <c r="I885" i="1"/>
  <c r="K1132" i="1"/>
  <c r="I1132" i="1"/>
  <c r="K1195" i="1"/>
  <c r="I1195" i="1"/>
  <c r="K1194" i="1"/>
  <c r="I1194" i="1"/>
  <c r="K1193" i="1"/>
  <c r="I1193" i="1"/>
  <c r="K1207" i="1"/>
  <c r="I1207" i="1"/>
  <c r="K884" i="1"/>
  <c r="I884" i="1"/>
  <c r="K1048" i="1"/>
  <c r="I1048" i="1"/>
  <c r="K1047" i="1"/>
  <c r="I1047" i="1"/>
  <c r="K1046" i="1"/>
  <c r="I1046" i="1"/>
  <c r="K1045" i="1"/>
  <c r="I1045" i="1"/>
  <c r="K1044" i="1"/>
  <c r="I1044" i="1"/>
  <c r="K1173" i="1"/>
  <c r="I1173" i="1"/>
  <c r="K1166" i="1"/>
  <c r="I1166" i="1"/>
  <c r="K1138" i="1"/>
  <c r="I1138" i="1"/>
  <c r="K1137" i="1"/>
  <c r="I1137" i="1"/>
  <c r="K1136" i="1"/>
  <c r="I1136" i="1"/>
  <c r="K1135" i="1"/>
  <c r="I1135" i="1"/>
  <c r="K1134" i="1"/>
  <c r="I1134" i="1"/>
  <c r="K1133" i="1"/>
  <c r="I1133" i="1"/>
  <c r="K1043" i="1"/>
  <c r="I1043" i="1"/>
  <c r="K883" i="1"/>
  <c r="I883" i="1"/>
  <c r="K904" i="1"/>
  <c r="I904" i="1"/>
  <c r="K903" i="1"/>
  <c r="I903" i="1"/>
  <c r="K902" i="1"/>
  <c r="I902" i="1"/>
  <c r="K901" i="1"/>
  <c r="I901" i="1"/>
  <c r="K831" i="1"/>
  <c r="I831" i="1"/>
  <c r="K699" i="1"/>
  <c r="I699" i="1"/>
  <c r="K1042" i="1"/>
  <c r="I1042" i="1"/>
  <c r="K1041" i="1"/>
  <c r="I1041" i="1"/>
  <c r="K1040" i="1"/>
  <c r="I1040" i="1"/>
  <c r="K1039" i="1"/>
  <c r="I1039" i="1"/>
  <c r="K1038" i="1"/>
  <c r="I1038" i="1"/>
  <c r="K142" i="1"/>
  <c r="I142" i="1"/>
  <c r="K478" i="1"/>
  <c r="I478" i="1"/>
  <c r="K196" i="1"/>
  <c r="I196" i="1"/>
  <c r="K1037" i="1"/>
  <c r="I1037" i="1"/>
  <c r="K203" i="1"/>
  <c r="I203" i="1"/>
  <c r="K133" i="1"/>
  <c r="I133" i="1"/>
  <c r="K45" i="1"/>
  <c r="I45" i="1"/>
  <c r="K893" i="1"/>
  <c r="I893" i="1"/>
  <c r="K848" i="1"/>
  <c r="I848" i="1"/>
  <c r="K310" i="1"/>
  <c r="I310" i="1"/>
  <c r="K299" i="1"/>
  <c r="I299" i="1"/>
  <c r="K248" i="1"/>
  <c r="I248" i="1"/>
  <c r="K179" i="1"/>
  <c r="I179" i="1"/>
  <c r="K173" i="1"/>
  <c r="I173" i="1"/>
  <c r="K73" i="1"/>
  <c r="I73" i="1"/>
  <c r="K722" i="1"/>
  <c r="I722" i="1"/>
  <c r="K720" i="1"/>
  <c r="I720" i="1"/>
  <c r="K508" i="1"/>
  <c r="I508" i="1"/>
  <c r="K649" i="1"/>
  <c r="I649" i="1"/>
  <c r="K522" i="1"/>
  <c r="I522" i="1"/>
  <c r="K1036" i="1"/>
  <c r="I1036" i="1"/>
  <c r="K1624" i="1"/>
  <c r="I1624" i="1"/>
  <c r="K1478" i="1"/>
  <c r="I1478" i="1"/>
  <c r="K1661" i="1"/>
  <c r="I1661" i="1"/>
  <c r="K1623" i="1"/>
  <c r="I1623" i="1"/>
  <c r="K1477" i="1"/>
  <c r="I1477" i="1"/>
  <c r="K1660" i="1"/>
  <c r="I1660" i="1"/>
  <c r="K1622" i="1"/>
  <c r="I1622" i="1"/>
  <c r="K1476" i="1"/>
  <c r="I1476" i="1"/>
  <c r="K1621" i="1"/>
  <c r="I1621" i="1"/>
  <c r="K1475" i="1"/>
  <c r="I1475" i="1"/>
  <c r="K1620" i="1"/>
  <c r="I1620" i="1"/>
  <c r="K1619" i="1"/>
  <c r="I1619" i="1"/>
  <c r="K1474" i="1"/>
  <c r="I1474" i="1"/>
  <c r="K1707" i="1"/>
  <c r="I1707" i="1"/>
  <c r="K1706" i="1"/>
  <c r="I1706" i="1"/>
  <c r="K1705" i="1"/>
  <c r="I1705" i="1"/>
  <c r="K1704" i="1"/>
  <c r="I1704" i="1"/>
  <c r="K1083" i="1"/>
  <c r="I1083" i="1"/>
  <c r="K1035" i="1"/>
  <c r="I1035" i="1"/>
  <c r="K1034" i="1"/>
  <c r="I1034" i="1"/>
  <c r="K1033" i="1"/>
  <c r="I1033" i="1"/>
  <c r="K1703" i="1"/>
  <c r="I1703" i="1"/>
  <c r="K1032" i="1"/>
  <c r="I1032" i="1"/>
  <c r="K1702" i="1"/>
  <c r="I1702" i="1"/>
  <c r="K1031" i="1"/>
  <c r="I1031" i="1"/>
  <c r="K263" i="1"/>
  <c r="I263" i="1"/>
  <c r="K222" i="1"/>
  <c r="I222" i="1"/>
  <c r="K136" i="1"/>
  <c r="I136" i="1"/>
  <c r="K85" i="1"/>
  <c r="I85" i="1"/>
  <c r="K38" i="1"/>
  <c r="I38" i="1"/>
  <c r="K21" i="1"/>
  <c r="I21" i="1"/>
  <c r="K1618" i="1"/>
  <c r="I1618" i="1"/>
  <c r="K1473" i="1"/>
  <c r="I1473" i="1"/>
  <c r="K1617" i="1"/>
  <c r="I1617" i="1"/>
  <c r="K1472" i="1"/>
  <c r="I1472" i="1"/>
  <c r="K1701" i="1"/>
  <c r="I1701" i="1"/>
  <c r="K1030" i="1"/>
  <c r="I1030" i="1"/>
  <c r="K898" i="1"/>
  <c r="I898" i="1"/>
  <c r="K930" i="1"/>
  <c r="I930" i="1"/>
  <c r="K897" i="1"/>
  <c r="I897" i="1"/>
  <c r="K896" i="1"/>
  <c r="I896" i="1"/>
  <c r="K929" i="1"/>
  <c r="I929" i="1"/>
  <c r="K79" i="1"/>
  <c r="I79" i="1"/>
  <c r="K43" i="1"/>
  <c r="I43" i="1"/>
  <c r="K462" i="1"/>
  <c r="I462" i="1"/>
  <c r="K461" i="1"/>
  <c r="I461" i="1"/>
  <c r="K654" i="1"/>
  <c r="I654" i="1"/>
  <c r="K458" i="1"/>
  <c r="I458" i="1"/>
  <c r="K420" i="1"/>
  <c r="I420" i="1"/>
  <c r="K1029" i="1"/>
  <c r="I1029" i="1"/>
  <c r="K1028" i="1"/>
  <c r="I1028" i="1"/>
  <c r="K1027" i="1"/>
  <c r="I1027" i="1"/>
  <c r="K1616" i="1"/>
  <c r="I1616" i="1"/>
  <c r="K1471" i="1"/>
  <c r="I1471" i="1"/>
  <c r="K1615" i="1"/>
  <c r="I1615" i="1"/>
  <c r="K1470" i="1"/>
  <c r="I1470" i="1"/>
  <c r="K1659" i="1"/>
  <c r="I1659" i="1"/>
  <c r="K1614" i="1"/>
  <c r="I1614" i="1"/>
  <c r="K1469" i="1"/>
  <c r="I1469" i="1"/>
  <c r="K1658" i="1"/>
  <c r="I1658" i="1"/>
  <c r="K1700" i="1"/>
  <c r="I1700" i="1"/>
  <c r="K1699" i="1"/>
  <c r="I1699" i="1"/>
  <c r="K1698" i="1"/>
  <c r="I1698" i="1"/>
  <c r="K1082" i="1"/>
  <c r="I1082" i="1"/>
  <c r="K1845" i="1"/>
  <c r="I1845" i="1"/>
  <c r="K1848" i="1"/>
  <c r="I1848" i="1"/>
  <c r="K1840" i="1"/>
  <c r="I1840" i="1"/>
  <c r="K1026" i="1"/>
  <c r="I1026" i="1"/>
  <c r="K1697" i="1"/>
  <c r="I1697" i="1"/>
  <c r="K1696" i="1"/>
  <c r="I1696" i="1"/>
  <c r="K1025" i="1"/>
  <c r="I1025" i="1"/>
  <c r="K1024" i="1"/>
  <c r="I1024" i="1"/>
  <c r="K84" i="1"/>
  <c r="I84" i="1"/>
  <c r="K20" i="1"/>
  <c r="I20" i="1"/>
  <c r="K648" i="1"/>
  <c r="I648" i="1"/>
  <c r="K588" i="1"/>
  <c r="I588" i="1"/>
  <c r="K1023" i="1"/>
  <c r="I1023" i="1"/>
  <c r="K1022" i="1"/>
  <c r="I1022" i="1"/>
  <c r="K1021" i="1"/>
  <c r="I1021" i="1"/>
  <c r="K1020" i="1"/>
  <c r="I1020" i="1"/>
  <c r="K1081" i="1"/>
  <c r="I1081" i="1"/>
  <c r="K1090" i="1"/>
  <c r="I1090" i="1"/>
  <c r="K1019" i="1"/>
  <c r="I1019" i="1"/>
  <c r="K1018" i="1"/>
  <c r="I1018" i="1"/>
  <c r="K1017" i="1"/>
  <c r="I1017" i="1"/>
  <c r="K1016" i="1"/>
  <c r="I1016" i="1"/>
  <c r="K856" i="1"/>
  <c r="I856" i="1"/>
  <c r="K163" i="1"/>
  <c r="I163" i="1"/>
  <c r="K72" i="1"/>
  <c r="I72" i="1"/>
  <c r="K71" i="1"/>
  <c r="I71" i="1"/>
  <c r="K1821" i="1"/>
  <c r="I1821" i="1"/>
  <c r="R1810" i="1"/>
  <c r="Z1810" i="1" s="1"/>
  <c r="K1810" i="1"/>
  <c r="I1810" i="1"/>
  <c r="K882" i="1"/>
  <c r="I882" i="1"/>
  <c r="K877" i="1"/>
  <c r="I877" i="1"/>
  <c r="K861" i="1"/>
  <c r="I861" i="1"/>
  <c r="K855" i="1"/>
  <c r="I855" i="1"/>
  <c r="K246" i="1"/>
  <c r="I246" i="1"/>
  <c r="K195" i="1"/>
  <c r="I195" i="1"/>
  <c r="K23" i="1"/>
  <c r="I23" i="1"/>
  <c r="K612" i="1"/>
  <c r="I612" i="1"/>
  <c r="K1015" i="1"/>
  <c r="I1015" i="1"/>
  <c r="K1014" i="1"/>
  <c r="I1014" i="1"/>
  <c r="K1013" i="1"/>
  <c r="I1013" i="1"/>
  <c r="K395" i="1"/>
  <c r="I395" i="1"/>
  <c r="K1012" i="1"/>
  <c r="I1012" i="1"/>
  <c r="K1011" i="1"/>
  <c r="I1011" i="1"/>
  <c r="K1010" i="1"/>
  <c r="I1010" i="1"/>
  <c r="K1009" i="1"/>
  <c r="I1009" i="1"/>
  <c r="K842" i="1"/>
  <c r="I842" i="1"/>
  <c r="K190" i="1"/>
  <c r="I190" i="1"/>
  <c r="K104" i="1"/>
  <c r="I104" i="1"/>
  <c r="K98" i="1"/>
  <c r="I98" i="1"/>
  <c r="K626" i="1"/>
  <c r="I626" i="1"/>
  <c r="K613" i="1"/>
  <c r="I613" i="1"/>
  <c r="K423" i="1"/>
  <c r="I423" i="1"/>
  <c r="K1164" i="1"/>
  <c r="I1164" i="1"/>
  <c r="K1163" i="1"/>
  <c r="I1163" i="1"/>
  <c r="K1162" i="1"/>
  <c r="I1162" i="1"/>
  <c r="K1206" i="1"/>
  <c r="I1206" i="1"/>
  <c r="K1080" i="1"/>
  <c r="I1080" i="1"/>
  <c r="K1008" i="1"/>
  <c r="I1008" i="1"/>
  <c r="K394" i="1"/>
  <c r="I394" i="1"/>
  <c r="K393" i="1"/>
  <c r="I393" i="1"/>
  <c r="K392" i="1"/>
  <c r="I392" i="1"/>
  <c r="K1007" i="1"/>
  <c r="I1007" i="1"/>
  <c r="K1006" i="1"/>
  <c r="I1006" i="1"/>
  <c r="K1005" i="1"/>
  <c r="I1005" i="1"/>
  <c r="K1004" i="1"/>
  <c r="I1004" i="1"/>
  <c r="K1003" i="1"/>
  <c r="I1003" i="1"/>
  <c r="K851" i="1"/>
  <c r="I851" i="1"/>
  <c r="K847" i="1"/>
  <c r="I847" i="1"/>
  <c r="K773" i="1"/>
  <c r="I773" i="1"/>
  <c r="K435" i="1"/>
  <c r="I435" i="1"/>
  <c r="K1274" i="1"/>
  <c r="I1274" i="1"/>
  <c r="K1788" i="1"/>
  <c r="I1788" i="1"/>
  <c r="K1795" i="1"/>
  <c r="I1795" i="1"/>
  <c r="K1784" i="1"/>
  <c r="I1784" i="1"/>
  <c r="K1783" i="1"/>
  <c r="I1783" i="1"/>
  <c r="K1782" i="1"/>
  <c r="I1782" i="1"/>
  <c r="K1794" i="1"/>
  <c r="I1794" i="1"/>
  <c r="K1781" i="1"/>
  <c r="I1781" i="1"/>
  <c r="K1780" i="1"/>
  <c r="I1780" i="1"/>
  <c r="K1779" i="1"/>
  <c r="I1779" i="1"/>
  <c r="K1778" i="1"/>
  <c r="I1778" i="1"/>
  <c r="K1774" i="1"/>
  <c r="I1774" i="1"/>
  <c r="K1773" i="1"/>
  <c r="I1773" i="1"/>
  <c r="K1772" i="1"/>
  <c r="I1772" i="1"/>
  <c r="K1771" i="1"/>
  <c r="I1771" i="1"/>
  <c r="K1769" i="1"/>
  <c r="I1769" i="1"/>
  <c r="K1792" i="1"/>
  <c r="I1792" i="1"/>
  <c r="K391" i="1"/>
  <c r="I391" i="1"/>
  <c r="K390" i="1"/>
  <c r="I390" i="1"/>
  <c r="K389" i="1"/>
  <c r="I389" i="1"/>
  <c r="K1002" i="1"/>
  <c r="I1002" i="1"/>
  <c r="K1001" i="1"/>
  <c r="I1001" i="1"/>
  <c r="K1000" i="1"/>
  <c r="I1000" i="1"/>
  <c r="K103" i="1"/>
  <c r="I103" i="1"/>
  <c r="K100" i="1"/>
  <c r="I100" i="1"/>
  <c r="K60" i="1"/>
  <c r="I60" i="1"/>
  <c r="K1192" i="1"/>
  <c r="I1192" i="1"/>
  <c r="K999" i="1"/>
  <c r="I999" i="1"/>
  <c r="K267" i="1"/>
  <c r="I267" i="1"/>
  <c r="K168" i="1"/>
  <c r="I168" i="1"/>
  <c r="K166" i="1"/>
  <c r="I166" i="1"/>
  <c r="K444" i="1"/>
  <c r="I444" i="1"/>
  <c r="K998" i="1"/>
  <c r="I998" i="1"/>
  <c r="K997" i="1"/>
  <c r="I997" i="1"/>
  <c r="K996" i="1"/>
  <c r="I996" i="1"/>
  <c r="K995" i="1"/>
  <c r="I995" i="1"/>
  <c r="K994" i="1"/>
  <c r="I994" i="1"/>
  <c r="K993" i="1"/>
  <c r="I993" i="1"/>
  <c r="K859" i="1"/>
  <c r="I859" i="1"/>
  <c r="K269" i="1"/>
  <c r="I269" i="1"/>
  <c r="K255" i="1"/>
  <c r="I255" i="1"/>
  <c r="K235" i="1"/>
  <c r="I235" i="1"/>
  <c r="K732" i="1"/>
  <c r="I732" i="1"/>
  <c r="K659" i="1"/>
  <c r="I659" i="1"/>
  <c r="K596" i="1"/>
  <c r="I596" i="1"/>
  <c r="K464" i="1"/>
  <c r="I464" i="1"/>
  <c r="K463" i="1"/>
  <c r="I463" i="1"/>
  <c r="K1079" i="1"/>
  <c r="I1079" i="1"/>
  <c r="K1851" i="1"/>
  <c r="I1851" i="1"/>
  <c r="K1844" i="1"/>
  <c r="I1844" i="1"/>
  <c r="K992" i="1"/>
  <c r="I992" i="1"/>
  <c r="K991" i="1"/>
  <c r="I991" i="1"/>
  <c r="K990" i="1"/>
  <c r="I990" i="1"/>
  <c r="K989" i="1"/>
  <c r="I989" i="1"/>
  <c r="K865" i="1"/>
  <c r="I865" i="1"/>
  <c r="K858" i="1"/>
  <c r="I858" i="1"/>
  <c r="K312" i="1"/>
  <c r="I312" i="1"/>
  <c r="K137" i="1"/>
  <c r="I137" i="1"/>
  <c r="K90" i="1"/>
  <c r="I90" i="1"/>
  <c r="K65" i="1"/>
  <c r="I65" i="1"/>
  <c r="K651" i="1"/>
  <c r="I651" i="1"/>
  <c r="K616" i="1"/>
  <c r="I616" i="1"/>
  <c r="K590" i="1"/>
  <c r="I590" i="1"/>
  <c r="K587" i="1"/>
  <c r="I587" i="1"/>
  <c r="K554" i="1"/>
  <c r="I554" i="1"/>
  <c r="K531" i="1"/>
  <c r="I531" i="1"/>
  <c r="K512" i="1"/>
  <c r="I512" i="1"/>
  <c r="K482" i="1"/>
  <c r="I482" i="1"/>
  <c r="K454" i="1"/>
  <c r="I454" i="1"/>
  <c r="K453" i="1"/>
  <c r="I453" i="1"/>
  <c r="K452" i="1"/>
  <c r="I452" i="1"/>
  <c r="K440" i="1"/>
  <c r="I440" i="1"/>
  <c r="K988" i="1"/>
  <c r="I988" i="1"/>
  <c r="K987" i="1"/>
  <c r="I987" i="1"/>
  <c r="K986" i="1"/>
  <c r="I986" i="1"/>
  <c r="K1613" i="1"/>
  <c r="I1613" i="1"/>
  <c r="K1468" i="1"/>
  <c r="I1468" i="1"/>
  <c r="K1467" i="1"/>
  <c r="I1467" i="1"/>
  <c r="K1695" i="1"/>
  <c r="I1695" i="1"/>
  <c r="K1078" i="1"/>
  <c r="I1078" i="1"/>
  <c r="K1850" i="1"/>
  <c r="I1850" i="1"/>
  <c r="K1813" i="1"/>
  <c r="I1813" i="1"/>
  <c r="K985" i="1"/>
  <c r="I985" i="1"/>
  <c r="K984" i="1"/>
  <c r="I984" i="1"/>
  <c r="K983" i="1"/>
  <c r="I983" i="1"/>
  <c r="K843" i="1"/>
  <c r="I843" i="1"/>
  <c r="K276" i="1"/>
  <c r="I276" i="1"/>
  <c r="K272" i="1"/>
  <c r="I272" i="1"/>
  <c r="K234" i="1"/>
  <c r="I234" i="1"/>
  <c r="K184" i="1"/>
  <c r="I184" i="1"/>
  <c r="K180" i="1"/>
  <c r="I180" i="1"/>
  <c r="K128" i="1"/>
  <c r="I128" i="1"/>
  <c r="K122" i="1"/>
  <c r="I122" i="1"/>
  <c r="K603" i="1"/>
  <c r="I603" i="1"/>
  <c r="K570" i="1"/>
  <c r="I570" i="1"/>
  <c r="K1694" i="1"/>
  <c r="I1694" i="1"/>
  <c r="K1693" i="1"/>
  <c r="I1693" i="1"/>
  <c r="K982" i="1"/>
  <c r="I982" i="1"/>
  <c r="K981" i="1"/>
  <c r="I981" i="1"/>
  <c r="K980" i="1"/>
  <c r="I980" i="1"/>
  <c r="K113" i="1"/>
  <c r="I113" i="1"/>
  <c r="K979" i="1"/>
  <c r="I979" i="1"/>
  <c r="K978" i="1"/>
  <c r="I978" i="1"/>
  <c r="K977" i="1"/>
  <c r="I977" i="1"/>
  <c r="K976" i="1"/>
  <c r="I976" i="1"/>
  <c r="K900" i="1"/>
  <c r="I900" i="1"/>
  <c r="K283" i="1"/>
  <c r="I283" i="1"/>
  <c r="K198" i="1"/>
  <c r="I198" i="1"/>
  <c r="K147" i="1"/>
  <c r="I147" i="1"/>
  <c r="K107" i="1"/>
  <c r="I107" i="1"/>
  <c r="K10" i="1"/>
  <c r="I10" i="1"/>
  <c r="K830" i="1"/>
  <c r="I830" i="1"/>
  <c r="K575" i="1"/>
  <c r="I575" i="1"/>
  <c r="K574" i="1"/>
  <c r="I574" i="1"/>
  <c r="K417" i="1"/>
  <c r="I417" i="1"/>
  <c r="K637" i="1"/>
  <c r="I637" i="1"/>
  <c r="K1657" i="1"/>
  <c r="I1657" i="1"/>
  <c r="K1612" i="1"/>
  <c r="I1612" i="1"/>
  <c r="K1466" i="1"/>
  <c r="I1466" i="1"/>
  <c r="K36" i="1"/>
  <c r="I36" i="1"/>
  <c r="K34" i="1"/>
  <c r="I34" i="1"/>
  <c r="K11" i="1"/>
  <c r="I11" i="1"/>
  <c r="K573" i="1"/>
  <c r="I573" i="1"/>
  <c r="K506" i="1"/>
  <c r="I506" i="1"/>
  <c r="K449" i="1"/>
  <c r="I449" i="1"/>
  <c r="K448" i="1"/>
  <c r="I448" i="1"/>
  <c r="K416" i="1"/>
  <c r="I416" i="1"/>
  <c r="K415" i="1"/>
  <c r="I415" i="1"/>
  <c r="K785" i="1"/>
  <c r="I785" i="1"/>
  <c r="K706" i="1"/>
  <c r="I706" i="1"/>
  <c r="K975" i="1"/>
  <c r="I975" i="1"/>
  <c r="K974" i="1"/>
  <c r="I974" i="1"/>
  <c r="K635" i="1"/>
  <c r="I635" i="1"/>
  <c r="K973" i="1"/>
  <c r="I973" i="1"/>
  <c r="K1611" i="1"/>
  <c r="I1611" i="1"/>
  <c r="K1465" i="1"/>
  <c r="I1465" i="1"/>
  <c r="K1077" i="1"/>
  <c r="I1077" i="1"/>
  <c r="K972" i="1"/>
  <c r="I972" i="1"/>
  <c r="K971" i="1"/>
  <c r="I971" i="1"/>
  <c r="K852" i="1"/>
  <c r="I852" i="1"/>
  <c r="K849" i="1"/>
  <c r="I849" i="1"/>
  <c r="K845" i="1"/>
  <c r="I845" i="1"/>
  <c r="K844" i="1"/>
  <c r="I844" i="1"/>
  <c r="K298" i="1"/>
  <c r="I298" i="1"/>
  <c r="K275" i="1"/>
  <c r="I275" i="1"/>
  <c r="K274" i="1"/>
  <c r="I274" i="1"/>
  <c r="K247" i="1"/>
  <c r="I247" i="1"/>
  <c r="K150" i="1"/>
  <c r="I150" i="1"/>
  <c r="K134" i="1"/>
  <c r="I134" i="1"/>
  <c r="K116" i="1"/>
  <c r="I116" i="1"/>
  <c r="K101" i="1"/>
  <c r="I101" i="1"/>
  <c r="K82" i="1"/>
  <c r="I82" i="1"/>
  <c r="K48" i="1"/>
  <c r="I48" i="1"/>
  <c r="K726" i="1"/>
  <c r="I726" i="1"/>
  <c r="K829" i="1"/>
  <c r="I829" i="1"/>
  <c r="K670" i="1"/>
  <c r="I670" i="1"/>
  <c r="K623" i="1"/>
  <c r="I623" i="1"/>
  <c r="K584" i="1"/>
  <c r="I584" i="1"/>
  <c r="K528" i="1"/>
  <c r="I528" i="1"/>
  <c r="K519" i="1"/>
  <c r="I519" i="1"/>
  <c r="K501" i="1"/>
  <c r="I501" i="1"/>
  <c r="K457" i="1"/>
  <c r="I457" i="1"/>
  <c r="K442" i="1"/>
  <c r="I442" i="1"/>
  <c r="K441" i="1"/>
  <c r="I441" i="1"/>
  <c r="K429" i="1"/>
  <c r="I429" i="1"/>
  <c r="K1117" i="1"/>
  <c r="I1117" i="1"/>
  <c r="K970" i="1"/>
  <c r="I970" i="1"/>
  <c r="K37" i="1"/>
  <c r="I37" i="1"/>
  <c r="K794" i="1"/>
  <c r="I794" i="1"/>
  <c r="K1610" i="1"/>
  <c r="I1610" i="1"/>
  <c r="K1464" i="1"/>
  <c r="I1464" i="1"/>
  <c r="K1609" i="1"/>
  <c r="I1609" i="1"/>
  <c r="K1463" i="1"/>
  <c r="I1463" i="1"/>
  <c r="K1608" i="1"/>
  <c r="I1608" i="1"/>
  <c r="K1462" i="1"/>
  <c r="I1462" i="1"/>
  <c r="K1607" i="1"/>
  <c r="I1607" i="1"/>
  <c r="K1461" i="1"/>
  <c r="I1461" i="1"/>
  <c r="K1606" i="1"/>
  <c r="I1606" i="1"/>
  <c r="K1460" i="1"/>
  <c r="I1460" i="1"/>
  <c r="K1605" i="1"/>
  <c r="I1605" i="1"/>
  <c r="K1459" i="1"/>
  <c r="I1459" i="1"/>
  <c r="K1604" i="1"/>
  <c r="I1604" i="1"/>
  <c r="K1458" i="1"/>
  <c r="I1458" i="1"/>
  <c r="K1076" i="1"/>
  <c r="I1076" i="1"/>
  <c r="K969" i="1"/>
  <c r="I969" i="1"/>
  <c r="K304" i="1"/>
  <c r="I304" i="1"/>
  <c r="K258" i="1"/>
  <c r="I258" i="1"/>
  <c r="K219" i="1"/>
  <c r="I219" i="1"/>
  <c r="K199" i="1"/>
  <c r="I199" i="1"/>
  <c r="K130" i="1"/>
  <c r="I130" i="1"/>
  <c r="K24" i="1"/>
  <c r="I24" i="1"/>
  <c r="K14" i="1"/>
  <c r="I14" i="1"/>
  <c r="K1204" i="1"/>
  <c r="I1204" i="1"/>
  <c r="K1203" i="1"/>
  <c r="I1203" i="1"/>
  <c r="K1202" i="1"/>
  <c r="I1202" i="1"/>
  <c r="K1201" i="1"/>
  <c r="I1201" i="1"/>
  <c r="K1200" i="1"/>
  <c r="I1200" i="1"/>
  <c r="K1185" i="1"/>
  <c r="I1185" i="1"/>
  <c r="K968" i="1"/>
  <c r="I968" i="1"/>
  <c r="K1091" i="1"/>
  <c r="I1091" i="1"/>
  <c r="K1667" i="1"/>
  <c r="I1667" i="1"/>
  <c r="K895" i="1"/>
  <c r="I895" i="1"/>
  <c r="K418" i="1"/>
  <c r="I418" i="1"/>
  <c r="K925" i="1"/>
  <c r="I925" i="1"/>
  <c r="K338" i="1"/>
  <c r="I338" i="1"/>
  <c r="K251" i="1"/>
  <c r="I251" i="1"/>
  <c r="K152" i="1"/>
  <c r="I152" i="1"/>
  <c r="K645" i="1"/>
  <c r="I645" i="1"/>
  <c r="K644" i="1"/>
  <c r="I644" i="1"/>
  <c r="K643" i="1"/>
  <c r="I643" i="1"/>
  <c r="K510" i="1"/>
  <c r="I510" i="1"/>
  <c r="K1757" i="1"/>
  <c r="I1757" i="1"/>
  <c r="K819" i="1"/>
  <c r="I819" i="1"/>
  <c r="K818" i="1"/>
  <c r="I818" i="1"/>
  <c r="K801" i="1"/>
  <c r="I801" i="1"/>
  <c r="K721" i="1"/>
  <c r="I721" i="1"/>
  <c r="K473" i="1"/>
  <c r="I473" i="1"/>
  <c r="K413" i="1"/>
  <c r="I413" i="1"/>
  <c r="K1273" i="1"/>
  <c r="I1273" i="1"/>
  <c r="K1272" i="1"/>
  <c r="I1272" i="1"/>
  <c r="K1271" i="1"/>
  <c r="I1271" i="1"/>
  <c r="K1270" i="1"/>
  <c r="I1270" i="1"/>
  <c r="K1269" i="1"/>
  <c r="I1269" i="1"/>
  <c r="K1268" i="1"/>
  <c r="I1268" i="1"/>
  <c r="K1267" i="1"/>
  <c r="I1267" i="1"/>
  <c r="K1266" i="1"/>
  <c r="I1266" i="1"/>
  <c r="K1265" i="1"/>
  <c r="I1265" i="1"/>
  <c r="K1264" i="1"/>
  <c r="I1264" i="1"/>
  <c r="K1263" i="1"/>
  <c r="I1263" i="1"/>
  <c r="K1262" i="1"/>
  <c r="I1262" i="1"/>
  <c r="K1261" i="1"/>
  <c r="I1261" i="1"/>
  <c r="K500" i="1"/>
  <c r="I500" i="1"/>
  <c r="K533" i="1"/>
  <c r="I533" i="1"/>
  <c r="K1457" i="1"/>
  <c r="I1457" i="1"/>
  <c r="K430" i="1"/>
  <c r="I430" i="1"/>
  <c r="K673" i="1"/>
  <c r="I673" i="1"/>
  <c r="K27" i="1"/>
  <c r="I27" i="1"/>
  <c r="K58" i="1"/>
  <c r="I58" i="1"/>
  <c r="K1116" i="1"/>
  <c r="I1116" i="1"/>
  <c r="K388" i="1"/>
  <c r="I388" i="1"/>
  <c r="K1520" i="1"/>
  <c r="I1520" i="1"/>
  <c r="K387" i="1"/>
  <c r="I387" i="1"/>
  <c r="K924" i="1"/>
  <c r="I924" i="1"/>
  <c r="K1692" i="1"/>
  <c r="I1692" i="1"/>
  <c r="K1691" i="1"/>
  <c r="I1691" i="1"/>
  <c r="K1690" i="1"/>
  <c r="I1690" i="1"/>
  <c r="K1689" i="1"/>
  <c r="I1689" i="1"/>
  <c r="K1688" i="1"/>
  <c r="I1688" i="1"/>
  <c r="K1687" i="1"/>
  <c r="I1687" i="1"/>
  <c r="K51" i="1"/>
  <c r="I51" i="1"/>
  <c r="K967" i="1"/>
  <c r="I967" i="1"/>
  <c r="K694" i="1"/>
  <c r="I694" i="1"/>
  <c r="K386" i="1"/>
  <c r="I386" i="1"/>
  <c r="K385" i="1"/>
  <c r="I385" i="1"/>
  <c r="K966" i="1"/>
  <c r="I966" i="1"/>
  <c r="K864" i="1"/>
  <c r="I864" i="1"/>
  <c r="K319" i="1"/>
  <c r="I319" i="1"/>
  <c r="K289" i="1"/>
  <c r="I289" i="1"/>
  <c r="K261" i="1"/>
  <c r="I261" i="1"/>
  <c r="K206" i="1"/>
  <c r="I206" i="1"/>
  <c r="K171" i="1"/>
  <c r="I171" i="1"/>
  <c r="K808" i="1"/>
  <c r="I808" i="1"/>
  <c r="K790" i="1"/>
  <c r="I790" i="1"/>
  <c r="K696" i="1"/>
  <c r="I696" i="1"/>
  <c r="K669" i="1"/>
  <c r="I669" i="1"/>
  <c r="K620" i="1"/>
  <c r="I620" i="1"/>
  <c r="K585" i="1"/>
  <c r="I585" i="1"/>
  <c r="K518" i="1"/>
  <c r="I518" i="1"/>
  <c r="K511" i="1"/>
  <c r="I511" i="1"/>
  <c r="K1260" i="1"/>
  <c r="I1260" i="1"/>
  <c r="K1259" i="1"/>
  <c r="I1259" i="1"/>
  <c r="K1258" i="1"/>
  <c r="I1258" i="1"/>
  <c r="K1257" i="1"/>
  <c r="I1257" i="1"/>
  <c r="K1603" i="1"/>
  <c r="I1603" i="1"/>
  <c r="K1456" i="1"/>
  <c r="I1456" i="1"/>
  <c r="K1656" i="1"/>
  <c r="I1656" i="1"/>
  <c r="K1602" i="1"/>
  <c r="I1602" i="1"/>
  <c r="K1455" i="1"/>
  <c r="I1455" i="1"/>
  <c r="K1733" i="1"/>
  <c r="I1733" i="1"/>
  <c r="K1454" i="1"/>
  <c r="I1454" i="1"/>
  <c r="K1728" i="1"/>
  <c r="I1728" i="1"/>
  <c r="K703" i="1"/>
  <c r="I703" i="1"/>
  <c r="K571" i="1"/>
  <c r="I571" i="1"/>
  <c r="K1453" i="1"/>
  <c r="I1453" i="1"/>
  <c r="K1727" i="1"/>
  <c r="I1727" i="1"/>
  <c r="K1452" i="1"/>
  <c r="I1452" i="1"/>
  <c r="K1726" i="1"/>
  <c r="I1726" i="1"/>
  <c r="K1601" i="1"/>
  <c r="I1601" i="1"/>
  <c r="K1451" i="1"/>
  <c r="I1451" i="1"/>
  <c r="K28" i="1"/>
  <c r="I28" i="1"/>
  <c r="K1600" i="1"/>
  <c r="I1600" i="1"/>
  <c r="K1450" i="1"/>
  <c r="I1450" i="1"/>
  <c r="K110" i="1"/>
  <c r="I110" i="1"/>
  <c r="K1730" i="1"/>
  <c r="I1730" i="1"/>
  <c r="K505" i="1"/>
  <c r="I505" i="1"/>
  <c r="K1686" i="1"/>
  <c r="I1686" i="1"/>
  <c r="K828" i="1"/>
  <c r="I828" i="1"/>
  <c r="K1318" i="1"/>
  <c r="I1318" i="1"/>
  <c r="K160" i="1"/>
  <c r="I160" i="1"/>
  <c r="K1449" i="1"/>
  <c r="I1449" i="1"/>
  <c r="K810" i="1"/>
  <c r="I810" i="1"/>
  <c r="K1599" i="1"/>
  <c r="I1599" i="1"/>
  <c r="K1448" i="1"/>
  <c r="I1448" i="1"/>
  <c r="K1685" i="1"/>
  <c r="I1685" i="1"/>
  <c r="K1684" i="1"/>
  <c r="I1684" i="1"/>
  <c r="K1683" i="1"/>
  <c r="I1683" i="1"/>
  <c r="K1682" i="1"/>
  <c r="I1682" i="1"/>
  <c r="K1681" i="1"/>
  <c r="I1681" i="1"/>
  <c r="K159" i="1"/>
  <c r="I159" i="1"/>
  <c r="K1447" i="1"/>
  <c r="I1447" i="1"/>
  <c r="K39" i="1"/>
  <c r="I39" i="1"/>
  <c r="K468" i="1"/>
  <c r="I468" i="1"/>
  <c r="K536" i="1"/>
  <c r="I536" i="1"/>
  <c r="K572" i="1"/>
  <c r="I572" i="1"/>
  <c r="K333" i="1"/>
  <c r="I333" i="1"/>
  <c r="K1446" i="1"/>
  <c r="I1446" i="1"/>
  <c r="K1445" i="1"/>
  <c r="I1445" i="1"/>
  <c r="K1444" i="1"/>
  <c r="I1444" i="1"/>
  <c r="K601" i="1"/>
  <c r="I601" i="1"/>
  <c r="K633" i="1"/>
  <c r="I633" i="1"/>
  <c r="K606" i="1"/>
  <c r="I606" i="1"/>
  <c r="K602" i="1"/>
  <c r="I602" i="1"/>
  <c r="K764" i="1"/>
  <c r="I764" i="1"/>
  <c r="K1256" i="1"/>
  <c r="I1256" i="1"/>
  <c r="K965" i="1"/>
  <c r="I965" i="1"/>
  <c r="K610" i="1"/>
  <c r="I610" i="1"/>
  <c r="K1836" i="1"/>
  <c r="I1836" i="1"/>
  <c r="K330" i="1"/>
  <c r="I330" i="1"/>
  <c r="K1759" i="1"/>
  <c r="I1759" i="1"/>
  <c r="K1443" i="1"/>
  <c r="I1443" i="1"/>
  <c r="K1442" i="1"/>
  <c r="I1442" i="1"/>
  <c r="K1441" i="1"/>
  <c r="I1441" i="1"/>
  <c r="K1809" i="1"/>
  <c r="I1809" i="1"/>
  <c r="K1089" i="1"/>
  <c r="I1089" i="1"/>
  <c r="K964" i="1"/>
  <c r="I964" i="1"/>
  <c r="K165" i="1"/>
  <c r="I165" i="1"/>
  <c r="K118" i="1"/>
  <c r="I118" i="1"/>
  <c r="K384" i="1"/>
  <c r="I384" i="1"/>
  <c r="K284" i="1"/>
  <c r="I284" i="1"/>
  <c r="K66" i="1"/>
  <c r="I66" i="1"/>
  <c r="K827" i="1"/>
  <c r="I827" i="1"/>
  <c r="K760" i="1"/>
  <c r="I760" i="1"/>
  <c r="K712" i="1"/>
  <c r="I712" i="1"/>
  <c r="K383" i="1"/>
  <c r="I383" i="1"/>
  <c r="K382" i="1"/>
  <c r="I382" i="1"/>
  <c r="K1598" i="1"/>
  <c r="I1598" i="1"/>
  <c r="K381" i="1"/>
  <c r="I381" i="1"/>
  <c r="K153" i="1"/>
  <c r="I153" i="1"/>
  <c r="K117" i="1"/>
  <c r="I117" i="1"/>
  <c r="K69" i="1"/>
  <c r="I69" i="1"/>
  <c r="K583" i="1"/>
  <c r="I583" i="1"/>
  <c r="K1597" i="1"/>
  <c r="I1597" i="1"/>
  <c r="K1440" i="1"/>
  <c r="I1440" i="1"/>
  <c r="K55" i="1"/>
  <c r="I55" i="1"/>
  <c r="K525" i="1"/>
  <c r="I525" i="1"/>
  <c r="K1439" i="1"/>
  <c r="I1439" i="1"/>
  <c r="K1122" i="1"/>
  <c r="I1122" i="1"/>
  <c r="K963" i="1"/>
  <c r="I963" i="1"/>
  <c r="K1113" i="1"/>
  <c r="I1113" i="1"/>
  <c r="K862" i="1"/>
  <c r="I862" i="1"/>
  <c r="K132" i="1"/>
  <c r="I132" i="1"/>
  <c r="K662" i="1"/>
  <c r="I662" i="1"/>
  <c r="K526" i="1"/>
  <c r="I526" i="1"/>
  <c r="K67" i="1"/>
  <c r="I67" i="1"/>
  <c r="K124" i="1"/>
  <c r="I124" i="1"/>
  <c r="K1596" i="1"/>
  <c r="I1596" i="1"/>
  <c r="K1438" i="1"/>
  <c r="I1438" i="1"/>
  <c r="K1595" i="1"/>
  <c r="I1595" i="1"/>
  <c r="K1437" i="1"/>
  <c r="I1437" i="1"/>
  <c r="K1594" i="1"/>
  <c r="I1594" i="1"/>
  <c r="K1436" i="1"/>
  <c r="I1436" i="1"/>
  <c r="K273" i="1"/>
  <c r="I273" i="1"/>
  <c r="K229" i="1"/>
  <c r="I229" i="1"/>
  <c r="K127" i="1"/>
  <c r="I127" i="1"/>
  <c r="K426" i="1"/>
  <c r="I426" i="1"/>
  <c r="K1435" i="1"/>
  <c r="I1435" i="1"/>
  <c r="K380" i="1"/>
  <c r="I380" i="1"/>
  <c r="K379" i="1"/>
  <c r="I379" i="1"/>
  <c r="K378" i="1"/>
  <c r="I378" i="1"/>
  <c r="K577" i="1"/>
  <c r="I577" i="1"/>
  <c r="K1199" i="1"/>
  <c r="I1199" i="1"/>
  <c r="K1786" i="1"/>
  <c r="I1786" i="1"/>
  <c r="K1797" i="1"/>
  <c r="I1797" i="1"/>
  <c r="K1755" i="1"/>
  <c r="I1755" i="1"/>
  <c r="K962" i="1"/>
  <c r="I962" i="1"/>
  <c r="K329" i="1"/>
  <c r="I329" i="1"/>
  <c r="K202" i="1"/>
  <c r="I202" i="1"/>
  <c r="K138" i="1"/>
  <c r="I138" i="1"/>
  <c r="K88" i="1"/>
  <c r="I88" i="1"/>
  <c r="K766" i="1"/>
  <c r="I766" i="1"/>
  <c r="K563" i="1"/>
  <c r="I563" i="1"/>
  <c r="K530" i="1"/>
  <c r="I530" i="1"/>
  <c r="K534" i="1"/>
  <c r="I534" i="1"/>
  <c r="K1131" i="1"/>
  <c r="I1131" i="1"/>
  <c r="K1198" i="1"/>
  <c r="I1198" i="1"/>
  <c r="K377" i="1"/>
  <c r="I377" i="1"/>
  <c r="K923" i="1"/>
  <c r="I923" i="1"/>
  <c r="K1242" i="1"/>
  <c r="I1242" i="1"/>
  <c r="K1241" i="1"/>
  <c r="I1241" i="1"/>
  <c r="K1240" i="1"/>
  <c r="I1240" i="1"/>
  <c r="K1239" i="1"/>
  <c r="I1239" i="1"/>
  <c r="K1238" i="1"/>
  <c r="I1238" i="1"/>
  <c r="K1237" i="1"/>
  <c r="I1237" i="1"/>
  <c r="K1236" i="1"/>
  <c r="I1236" i="1"/>
  <c r="K1235" i="1"/>
  <c r="I1235" i="1"/>
  <c r="K1234" i="1"/>
  <c r="I1234" i="1"/>
  <c r="K1233" i="1"/>
  <c r="I1233" i="1"/>
  <c r="K1232" i="1"/>
  <c r="I1232" i="1"/>
  <c r="K1231" i="1"/>
  <c r="I1231" i="1"/>
  <c r="K1230" i="1"/>
  <c r="I1230" i="1"/>
  <c r="K1229" i="1"/>
  <c r="I1229" i="1"/>
  <c r="K1228" i="1"/>
  <c r="I1228" i="1"/>
  <c r="K1227" i="1"/>
  <c r="I1227" i="1"/>
  <c r="K1226" i="1"/>
  <c r="I1226" i="1"/>
  <c r="K1225" i="1"/>
  <c r="I1225" i="1"/>
  <c r="K1224" i="1"/>
  <c r="I1224" i="1"/>
  <c r="K1223" i="1"/>
  <c r="I1223" i="1"/>
  <c r="K1222" i="1"/>
  <c r="I1222" i="1"/>
  <c r="K1221" i="1"/>
  <c r="I1221" i="1"/>
  <c r="K1220" i="1"/>
  <c r="I1220" i="1"/>
  <c r="K1219" i="1"/>
  <c r="I1219" i="1"/>
  <c r="K1218" i="1"/>
  <c r="I1218" i="1"/>
  <c r="K1217" i="1"/>
  <c r="I1217" i="1"/>
  <c r="K1216" i="1"/>
  <c r="I1216" i="1"/>
  <c r="K1215" i="1"/>
  <c r="I1215" i="1"/>
  <c r="K1214" i="1"/>
  <c r="I1214" i="1"/>
  <c r="K1213" i="1"/>
  <c r="I1213" i="1"/>
  <c r="K376" i="1"/>
  <c r="I376" i="1"/>
  <c r="K421" i="1"/>
  <c r="I421" i="1"/>
  <c r="K961" i="1"/>
  <c r="I961" i="1"/>
  <c r="K54" i="1"/>
  <c r="I54" i="1"/>
  <c r="K53" i="1"/>
  <c r="I53" i="1"/>
  <c r="K731" i="1"/>
  <c r="I731" i="1"/>
  <c r="K690" i="1"/>
  <c r="I690" i="1"/>
  <c r="K656" i="1"/>
  <c r="I656" i="1"/>
  <c r="K414" i="1"/>
  <c r="I414" i="1"/>
  <c r="K15" i="1"/>
  <c r="I15" i="1"/>
  <c r="K795" i="1"/>
  <c r="I795" i="1"/>
  <c r="K1736" i="1"/>
  <c r="I1736" i="1"/>
  <c r="K517" i="1"/>
  <c r="I517" i="1"/>
  <c r="K1818" i="1"/>
  <c r="I1818" i="1"/>
  <c r="K719" i="1"/>
  <c r="I719" i="1"/>
  <c r="K960" i="1"/>
  <c r="I960" i="1"/>
  <c r="K1108" i="1"/>
  <c r="I1108" i="1"/>
  <c r="K313" i="1"/>
  <c r="I313" i="1"/>
  <c r="K144" i="1"/>
  <c r="I144" i="1"/>
  <c r="K143" i="1"/>
  <c r="I143" i="1"/>
  <c r="K102" i="1"/>
  <c r="I102" i="1"/>
  <c r="K692" i="1"/>
  <c r="I692" i="1"/>
  <c r="K605" i="1"/>
  <c r="I605" i="1"/>
  <c r="K1839" i="1"/>
  <c r="I1839" i="1"/>
  <c r="K320" i="1"/>
  <c r="I320" i="1"/>
  <c r="K209" i="1"/>
  <c r="I209" i="1"/>
  <c r="K170" i="1"/>
  <c r="I170" i="1"/>
  <c r="K1434" i="1"/>
  <c r="I1434" i="1"/>
  <c r="K321" i="1"/>
  <c r="I321" i="1"/>
  <c r="K307" i="1"/>
  <c r="I307" i="1"/>
  <c r="K270" i="1"/>
  <c r="I270" i="1"/>
  <c r="K140" i="1"/>
  <c r="I140" i="1"/>
  <c r="K139" i="1"/>
  <c r="I139" i="1"/>
  <c r="K89" i="1"/>
  <c r="I89" i="1"/>
  <c r="K922" i="1"/>
  <c r="I922" i="1"/>
  <c r="K443" i="1"/>
  <c r="I443" i="1"/>
  <c r="K879" i="1"/>
  <c r="I879" i="1"/>
  <c r="K1593" i="1"/>
  <c r="I1593" i="1"/>
  <c r="K1433" i="1"/>
  <c r="I1433" i="1"/>
  <c r="K1592" i="1"/>
  <c r="I1592" i="1"/>
  <c r="K1432" i="1"/>
  <c r="I1432" i="1"/>
  <c r="K1591" i="1"/>
  <c r="I1591" i="1"/>
  <c r="K1431" i="1"/>
  <c r="I1431" i="1"/>
  <c r="K1590" i="1"/>
  <c r="I1590" i="1"/>
  <c r="K1430" i="1"/>
  <c r="I1430" i="1"/>
  <c r="K302" i="1"/>
  <c r="I302" i="1"/>
  <c r="K231" i="1"/>
  <c r="I231" i="1"/>
  <c r="K1589" i="1"/>
  <c r="I1589" i="1"/>
  <c r="K1429" i="1"/>
  <c r="I1429" i="1"/>
  <c r="K1588" i="1"/>
  <c r="I1588" i="1"/>
  <c r="K1428" i="1"/>
  <c r="I1428" i="1"/>
  <c r="K540" i="1"/>
  <c r="I540" i="1"/>
  <c r="K1088" i="1"/>
  <c r="I1088" i="1"/>
  <c r="K1841" i="1"/>
  <c r="I1841" i="1"/>
  <c r="K678" i="1"/>
  <c r="I678" i="1"/>
  <c r="K789" i="1"/>
  <c r="I789" i="1"/>
  <c r="K725" i="1"/>
  <c r="I725" i="1"/>
  <c r="K817" i="1"/>
  <c r="I817" i="1"/>
  <c r="K688" i="1"/>
  <c r="I688" i="1"/>
  <c r="K765" i="1"/>
  <c r="I765" i="1"/>
  <c r="K582" i="1"/>
  <c r="I582" i="1"/>
  <c r="K854" i="1"/>
  <c r="I854" i="1"/>
  <c r="K1587" i="1"/>
  <c r="I1587" i="1"/>
  <c r="K1586" i="1"/>
  <c r="I1586" i="1"/>
  <c r="K1427" i="1"/>
  <c r="I1427" i="1"/>
  <c r="K1585" i="1"/>
  <c r="I1585" i="1"/>
  <c r="K1426" i="1"/>
  <c r="I1426" i="1"/>
  <c r="K181" i="1"/>
  <c r="I181" i="1"/>
  <c r="K567" i="1"/>
  <c r="I567" i="1"/>
  <c r="K727" i="1"/>
  <c r="I727" i="1"/>
  <c r="K642" i="1"/>
  <c r="I642" i="1"/>
  <c r="K715" i="1"/>
  <c r="I715" i="1"/>
  <c r="K592" i="1"/>
  <c r="I592" i="1"/>
  <c r="K762" i="1"/>
  <c r="I762" i="1"/>
  <c r="K22" i="1"/>
  <c r="I22" i="1"/>
  <c r="K716" i="1"/>
  <c r="I716" i="1"/>
  <c r="K686" i="1"/>
  <c r="I686" i="1"/>
  <c r="K655" i="1"/>
  <c r="I655" i="1"/>
  <c r="K1655" i="1"/>
  <c r="I1655" i="1"/>
  <c r="K1584" i="1"/>
  <c r="I1584" i="1"/>
  <c r="K1425" i="1"/>
  <c r="I1425" i="1"/>
  <c r="K1654" i="1"/>
  <c r="I1654" i="1"/>
  <c r="K1583" i="1"/>
  <c r="I1583" i="1"/>
  <c r="K1424" i="1"/>
  <c r="I1424" i="1"/>
  <c r="K450" i="1"/>
  <c r="I450" i="1"/>
  <c r="K182" i="1"/>
  <c r="I182" i="1"/>
  <c r="K826" i="1"/>
  <c r="I826" i="1"/>
  <c r="K32" i="1"/>
  <c r="I32" i="1"/>
  <c r="K667" i="1"/>
  <c r="I667" i="1"/>
  <c r="K682" i="1"/>
  <c r="I682" i="1"/>
  <c r="K1423" i="1"/>
  <c r="I1423" i="1"/>
  <c r="K375" i="1"/>
  <c r="I375" i="1"/>
  <c r="K52" i="1"/>
  <c r="I52" i="1"/>
  <c r="K479" i="1"/>
  <c r="I479" i="1"/>
  <c r="K459" i="1"/>
  <c r="I459" i="1"/>
  <c r="K544" i="1"/>
  <c r="I544" i="1"/>
  <c r="K761" i="1"/>
  <c r="I761" i="1"/>
  <c r="K714" i="1"/>
  <c r="I714" i="1"/>
  <c r="K277" i="1"/>
  <c r="I277" i="1"/>
  <c r="K237" i="1"/>
  <c r="I237" i="1"/>
  <c r="K1807" i="1"/>
  <c r="I1807" i="1"/>
  <c r="K314" i="1"/>
  <c r="I314" i="1"/>
  <c r="K1582" i="1"/>
  <c r="I1582" i="1"/>
  <c r="K823" i="1"/>
  <c r="I823" i="1"/>
  <c r="K456" i="1"/>
  <c r="I456" i="1"/>
  <c r="K324" i="1"/>
  <c r="I324" i="1"/>
  <c r="K589" i="1"/>
  <c r="I589" i="1"/>
  <c r="K485" i="1"/>
  <c r="I485" i="1"/>
  <c r="K822" i="1"/>
  <c r="I822" i="1"/>
  <c r="K783" i="1"/>
  <c r="I783" i="1"/>
  <c r="K315" i="1"/>
  <c r="I315" i="1"/>
  <c r="K278" i="1"/>
  <c r="I278" i="1"/>
  <c r="K233" i="1"/>
  <c r="I233" i="1"/>
  <c r="K800" i="1"/>
  <c r="I800" i="1"/>
  <c r="K728" i="1"/>
  <c r="I728" i="1"/>
  <c r="K1814" i="1"/>
  <c r="I1814" i="1"/>
  <c r="K746" i="1"/>
  <c r="I746" i="1"/>
  <c r="K1103" i="1"/>
  <c r="I1103" i="1"/>
  <c r="K646" i="1"/>
  <c r="I646" i="1"/>
  <c r="K1102" i="1"/>
  <c r="I1102" i="1"/>
  <c r="K1422" i="1"/>
  <c r="I1422" i="1"/>
  <c r="K693" i="1"/>
  <c r="I693" i="1"/>
  <c r="K718" i="1"/>
  <c r="I718" i="1"/>
  <c r="K1087" i="1"/>
  <c r="I1087" i="1"/>
  <c r="K232" i="1"/>
  <c r="I232" i="1"/>
  <c r="K729" i="1"/>
  <c r="I729" i="1"/>
  <c r="K480" i="1"/>
  <c r="I480" i="1"/>
  <c r="K428" i="1"/>
  <c r="I428" i="1"/>
  <c r="K1421" i="1"/>
  <c r="I1421" i="1"/>
  <c r="K543" i="1"/>
  <c r="I543" i="1"/>
  <c r="K1101" i="1"/>
  <c r="I1101" i="1"/>
  <c r="K542" i="1"/>
  <c r="I542" i="1"/>
  <c r="K814" i="1"/>
  <c r="I814" i="1"/>
  <c r="K419" i="1"/>
  <c r="I419" i="1"/>
  <c r="K1420" i="1"/>
  <c r="I1420" i="1"/>
  <c r="K798" i="1"/>
  <c r="I798" i="1"/>
  <c r="K1105" i="1"/>
  <c r="I1105" i="1"/>
  <c r="K1100" i="1"/>
  <c r="I1100" i="1"/>
  <c r="K1581" i="1"/>
  <c r="I1581" i="1"/>
  <c r="K1419" i="1"/>
  <c r="I1419" i="1"/>
  <c r="K1580" i="1"/>
  <c r="I1580" i="1"/>
  <c r="K1418" i="1"/>
  <c r="I1418" i="1"/>
  <c r="K1579" i="1"/>
  <c r="I1579" i="1"/>
  <c r="K1417" i="1"/>
  <c r="I1417" i="1"/>
  <c r="K238" i="1"/>
  <c r="I238" i="1"/>
  <c r="K214" i="1"/>
  <c r="I214" i="1"/>
  <c r="K50" i="1"/>
  <c r="I50" i="1"/>
  <c r="K49" i="1"/>
  <c r="I49" i="1"/>
  <c r="K47" i="1"/>
  <c r="I47" i="1"/>
  <c r="K821" i="1"/>
  <c r="I821" i="1"/>
  <c r="K797" i="1"/>
  <c r="I797" i="1"/>
  <c r="K676" i="1"/>
  <c r="I676" i="1"/>
  <c r="K608" i="1"/>
  <c r="I608" i="1"/>
  <c r="K581" i="1"/>
  <c r="I581" i="1"/>
  <c r="K1578" i="1"/>
  <c r="I1578" i="1"/>
  <c r="K1577" i="1"/>
  <c r="I1577" i="1"/>
  <c r="K685" i="1"/>
  <c r="I685" i="1"/>
  <c r="K481" i="1"/>
  <c r="I481" i="1"/>
  <c r="K439" i="1"/>
  <c r="I439" i="1"/>
  <c r="K545" i="1"/>
  <c r="I545" i="1"/>
  <c r="K135" i="1"/>
  <c r="I135" i="1"/>
  <c r="K675" i="1"/>
  <c r="I675" i="1"/>
  <c r="K1576" i="1"/>
  <c r="I1576" i="1"/>
  <c r="K1416" i="1"/>
  <c r="I1416" i="1"/>
  <c r="K1575" i="1"/>
  <c r="I1575" i="1"/>
  <c r="K1415" i="1"/>
  <c r="I1415" i="1"/>
  <c r="K679" i="1"/>
  <c r="I679" i="1"/>
  <c r="K157" i="1"/>
  <c r="I157" i="1"/>
  <c r="K1414" i="1"/>
  <c r="I1414" i="1"/>
  <c r="K1574" i="1"/>
  <c r="I1574" i="1"/>
  <c r="K1413" i="1"/>
  <c r="I1413" i="1"/>
  <c r="K1573" i="1"/>
  <c r="I1573" i="1"/>
  <c r="K1412" i="1"/>
  <c r="I1412" i="1"/>
  <c r="K860" i="1"/>
  <c r="I860" i="1"/>
  <c r="K76" i="1"/>
  <c r="I76" i="1"/>
  <c r="K759" i="1"/>
  <c r="I759" i="1"/>
  <c r="K758" i="1"/>
  <c r="I758" i="1"/>
  <c r="K551" i="1"/>
  <c r="I551" i="1"/>
  <c r="K1411" i="1"/>
  <c r="I1411" i="1"/>
  <c r="K1572" i="1"/>
  <c r="I1572" i="1"/>
  <c r="K1410" i="1"/>
  <c r="I1410" i="1"/>
  <c r="K1571" i="1"/>
  <c r="I1571" i="1"/>
  <c r="K1409" i="1"/>
  <c r="I1409" i="1"/>
  <c r="K257" i="1"/>
  <c r="I257" i="1"/>
  <c r="K83" i="1"/>
  <c r="I83" i="1"/>
  <c r="K734" i="1"/>
  <c r="I734" i="1"/>
  <c r="K1408" i="1"/>
  <c r="I1408" i="1"/>
  <c r="K1407" i="1"/>
  <c r="I1407" i="1"/>
  <c r="K1570" i="1"/>
  <c r="I1570" i="1"/>
  <c r="K593" i="1"/>
  <c r="I593" i="1"/>
  <c r="K520" i="1"/>
  <c r="I520" i="1"/>
  <c r="K504" i="1"/>
  <c r="I504" i="1"/>
  <c r="K62" i="1"/>
  <c r="I62" i="1"/>
  <c r="K813" i="1"/>
  <c r="I813" i="1"/>
  <c r="K548" i="1"/>
  <c r="I548" i="1"/>
  <c r="K739" i="1"/>
  <c r="I739" i="1"/>
  <c r="K1406" i="1"/>
  <c r="I1406" i="1"/>
  <c r="K1569" i="1"/>
  <c r="I1569" i="1"/>
  <c r="K1405" i="1"/>
  <c r="I1405" i="1"/>
  <c r="K579" i="1"/>
  <c r="I579" i="1"/>
  <c r="K1404" i="1"/>
  <c r="I1404" i="1"/>
  <c r="K1653" i="1"/>
  <c r="I1653" i="1"/>
  <c r="K740" i="1"/>
  <c r="I740" i="1"/>
  <c r="K13" i="1"/>
  <c r="I13" i="1"/>
  <c r="K741" i="1"/>
  <c r="I741" i="1"/>
  <c r="K1847" i="1"/>
  <c r="I1847" i="1"/>
  <c r="K1842" i="1"/>
  <c r="I1842" i="1"/>
  <c r="K959" i="1"/>
  <c r="I959" i="1"/>
  <c r="K521" i="1"/>
  <c r="I521" i="1"/>
  <c r="K677" i="1"/>
  <c r="I677" i="1"/>
  <c r="K1403" i="1"/>
  <c r="I1403" i="1"/>
  <c r="K1402" i="1"/>
  <c r="I1402" i="1"/>
  <c r="K709" i="1"/>
  <c r="I709" i="1"/>
  <c r="K580" i="1"/>
  <c r="I580" i="1"/>
  <c r="K1099" i="1"/>
  <c r="I1099" i="1"/>
  <c r="K325" i="1"/>
  <c r="I325" i="1"/>
  <c r="K1098" i="1"/>
  <c r="I1098" i="1"/>
  <c r="K566" i="1"/>
  <c r="I566" i="1"/>
  <c r="K1097" i="1"/>
  <c r="I1097" i="1"/>
  <c r="K680" i="1"/>
  <c r="I680" i="1"/>
  <c r="K1812" i="1"/>
  <c r="I1812" i="1"/>
  <c r="K850" i="1"/>
  <c r="I850" i="1"/>
  <c r="K56" i="1"/>
  <c r="I56" i="1"/>
  <c r="K787" i="1"/>
  <c r="I787" i="1"/>
  <c r="K594" i="1"/>
  <c r="I594" i="1"/>
  <c r="K1756" i="1"/>
  <c r="I1756" i="1"/>
  <c r="K737" i="1"/>
  <c r="I737" i="1"/>
  <c r="K792" i="1"/>
  <c r="I792" i="1"/>
  <c r="K515" i="1"/>
  <c r="I515" i="1"/>
  <c r="K586" i="1"/>
  <c r="I586" i="1"/>
  <c r="K652" i="1"/>
  <c r="I652" i="1"/>
  <c r="K1401" i="1"/>
  <c r="I1401" i="1"/>
  <c r="K784" i="1"/>
  <c r="I784" i="1"/>
  <c r="K735" i="1"/>
  <c r="I735" i="1"/>
  <c r="K665" i="1"/>
  <c r="I665" i="1"/>
  <c r="K621" i="1"/>
  <c r="I621" i="1"/>
  <c r="K252" i="1"/>
  <c r="I252" i="1"/>
  <c r="K781" i="1"/>
  <c r="I781" i="1"/>
  <c r="K618" i="1"/>
  <c r="I618" i="1"/>
  <c r="K749" i="1"/>
  <c r="I749" i="1"/>
  <c r="K622" i="1"/>
  <c r="I622" i="1"/>
  <c r="K25" i="1"/>
  <c r="I25" i="1"/>
  <c r="K825" i="1"/>
  <c r="I825" i="1"/>
  <c r="K477" i="1"/>
  <c r="I477" i="1"/>
  <c r="K671" i="1"/>
  <c r="I671" i="1"/>
  <c r="K244" i="1"/>
  <c r="I244" i="1"/>
  <c r="K188" i="1"/>
  <c r="I188" i="1"/>
  <c r="K97" i="1"/>
  <c r="I97" i="1"/>
  <c r="K243" i="1"/>
  <c r="I243" i="1"/>
  <c r="K92" i="1"/>
  <c r="I92" i="1"/>
  <c r="K91" i="1"/>
  <c r="I91" i="1"/>
  <c r="K776" i="1"/>
  <c r="I776" i="1"/>
  <c r="K663" i="1"/>
  <c r="I663" i="1"/>
  <c r="K374" i="1"/>
  <c r="I374" i="1"/>
  <c r="K1075" i="1"/>
  <c r="I1075" i="1"/>
  <c r="K295" i="1"/>
  <c r="I295" i="1"/>
  <c r="K287" i="1"/>
  <c r="I287" i="1"/>
  <c r="K268" i="1"/>
  <c r="I268" i="1"/>
  <c r="K264" i="1"/>
  <c r="I264" i="1"/>
  <c r="K211" i="1"/>
  <c r="I211" i="1"/>
  <c r="K807" i="1"/>
  <c r="I807" i="1"/>
  <c r="K1680" i="1"/>
  <c r="I1680" i="1"/>
  <c r="K958" i="1"/>
  <c r="I958" i="1"/>
  <c r="K1107" i="1"/>
  <c r="I1107" i="1"/>
  <c r="K1652" i="1"/>
  <c r="I1652" i="1"/>
  <c r="K1568" i="1"/>
  <c r="I1568" i="1"/>
  <c r="K1400" i="1"/>
  <c r="I1400" i="1"/>
  <c r="K1567" i="1"/>
  <c r="I1567" i="1"/>
  <c r="K1399" i="1"/>
  <c r="I1399" i="1"/>
  <c r="K176" i="1"/>
  <c r="I176" i="1"/>
  <c r="K1566" i="1"/>
  <c r="I1566" i="1"/>
  <c r="K1398" i="1"/>
  <c r="I1398" i="1"/>
  <c r="K1397" i="1"/>
  <c r="I1397" i="1"/>
  <c r="K1396" i="1"/>
  <c r="I1396" i="1"/>
  <c r="K1395" i="1"/>
  <c r="I1395" i="1"/>
  <c r="K236" i="1"/>
  <c r="I236" i="1"/>
  <c r="K564" i="1"/>
  <c r="I564" i="1"/>
  <c r="K1394" i="1"/>
  <c r="I1394" i="1"/>
  <c r="K1393" i="1"/>
  <c r="I1393" i="1"/>
  <c r="K1565" i="1"/>
  <c r="I1565" i="1"/>
  <c r="K1564" i="1"/>
  <c r="I1564" i="1"/>
  <c r="K1563" i="1"/>
  <c r="I1563" i="1"/>
  <c r="K1519" i="1"/>
  <c r="I1519" i="1"/>
  <c r="K537" i="1"/>
  <c r="I537" i="1"/>
  <c r="K432" i="1"/>
  <c r="I432" i="1"/>
  <c r="K1392" i="1"/>
  <c r="I1392" i="1"/>
  <c r="K1815" i="1"/>
  <c r="I1815" i="1"/>
  <c r="K80" i="1"/>
  <c r="I80" i="1"/>
  <c r="K35" i="1"/>
  <c r="I35" i="1"/>
  <c r="K664" i="1"/>
  <c r="I664" i="1"/>
  <c r="K538" i="1"/>
  <c r="I538" i="1"/>
  <c r="K447" i="1"/>
  <c r="I447" i="1"/>
  <c r="K446" i="1"/>
  <c r="I446" i="1"/>
  <c r="K1518" i="1"/>
  <c r="I1518" i="1"/>
  <c r="K431" i="1"/>
  <c r="I431" i="1"/>
  <c r="K8" i="1"/>
  <c r="I8" i="1"/>
  <c r="K550" i="1"/>
  <c r="I550" i="1"/>
  <c r="K126" i="1"/>
  <c r="I126" i="1"/>
  <c r="K1562" i="1"/>
  <c r="I1562" i="1"/>
  <c r="K1391" i="1"/>
  <c r="I1391" i="1"/>
  <c r="K33" i="1"/>
  <c r="I33" i="1"/>
  <c r="K666" i="1"/>
  <c r="I666" i="1"/>
  <c r="K476" i="1"/>
  <c r="I476" i="1"/>
  <c r="K475" i="1"/>
  <c r="I475" i="1"/>
  <c r="K474" i="1"/>
  <c r="I474" i="1"/>
  <c r="K1561" i="1"/>
  <c r="I1561" i="1"/>
  <c r="K557" i="1"/>
  <c r="I557" i="1"/>
  <c r="K434" i="1"/>
  <c r="I434" i="1"/>
  <c r="K422" i="1"/>
  <c r="I422" i="1"/>
  <c r="K1560" i="1"/>
  <c r="I1560" i="1"/>
  <c r="K1390" i="1"/>
  <c r="I1390" i="1"/>
  <c r="K46" i="1"/>
  <c r="I46" i="1"/>
  <c r="K433" i="1"/>
  <c r="I433" i="1"/>
  <c r="K756" i="1"/>
  <c r="I756" i="1"/>
  <c r="K607" i="1"/>
  <c r="I607" i="1"/>
  <c r="K630" i="1"/>
  <c r="I630" i="1"/>
  <c r="K788" i="1"/>
  <c r="I788" i="1"/>
  <c r="K1559" i="1"/>
  <c r="I1559" i="1"/>
  <c r="K1389" i="1"/>
  <c r="I1389" i="1"/>
  <c r="K1679" i="1"/>
  <c r="I1679" i="1"/>
  <c r="K466" i="1"/>
  <c r="I466" i="1"/>
  <c r="K1651" i="1"/>
  <c r="I1651" i="1"/>
  <c r="K841" i="1"/>
  <c r="I841" i="1"/>
  <c r="K70" i="1"/>
  <c r="I70" i="1"/>
  <c r="K30" i="1"/>
  <c r="I30" i="1"/>
  <c r="K18" i="1"/>
  <c r="I18" i="1"/>
  <c r="K683" i="1"/>
  <c r="I683" i="1"/>
  <c r="K553" i="1"/>
  <c r="I553" i="1"/>
  <c r="K778" i="1"/>
  <c r="I778" i="1"/>
  <c r="K249" i="1"/>
  <c r="I249" i="1"/>
  <c r="K230" i="1"/>
  <c r="I230" i="1"/>
  <c r="K775" i="1"/>
  <c r="I775" i="1"/>
  <c r="K483" i="1"/>
  <c r="I483" i="1"/>
  <c r="K1388" i="1"/>
  <c r="I1388" i="1"/>
  <c r="K1387" i="1"/>
  <c r="I1387" i="1"/>
  <c r="K1558" i="1"/>
  <c r="I1558" i="1"/>
  <c r="K1386" i="1"/>
  <c r="I1386" i="1"/>
  <c r="K769" i="1"/>
  <c r="I769" i="1"/>
  <c r="K768" i="1"/>
  <c r="I768" i="1"/>
  <c r="K1557" i="1"/>
  <c r="I1557" i="1"/>
  <c r="K1385" i="1"/>
  <c r="I1385" i="1"/>
  <c r="K322" i="1"/>
  <c r="I322" i="1"/>
  <c r="K77" i="1"/>
  <c r="I77" i="1"/>
  <c r="K488" i="1"/>
  <c r="I488" i="1"/>
  <c r="K487" i="1"/>
  <c r="I487" i="1"/>
  <c r="K631" i="1"/>
  <c r="I631" i="1"/>
  <c r="K705" i="1"/>
  <c r="I705" i="1"/>
  <c r="K1384" i="1"/>
  <c r="I1384" i="1"/>
  <c r="K489" i="1"/>
  <c r="I489" i="1"/>
  <c r="K632" i="1"/>
  <c r="I632" i="1"/>
  <c r="K1383" i="1"/>
  <c r="I1383" i="1"/>
  <c r="K323" i="1"/>
  <c r="I323" i="1"/>
  <c r="K1255" i="1"/>
  <c r="I1255" i="1"/>
  <c r="K691" i="1"/>
  <c r="I691" i="1"/>
  <c r="K552" i="1"/>
  <c r="I552" i="1"/>
  <c r="K465" i="1"/>
  <c r="I465" i="1"/>
  <c r="K752" i="1"/>
  <c r="I752" i="1"/>
  <c r="K1382" i="1"/>
  <c r="I1382" i="1"/>
  <c r="K1381" i="1"/>
  <c r="I1381" i="1"/>
  <c r="K1556" i="1"/>
  <c r="I1556" i="1"/>
  <c r="K1380" i="1"/>
  <c r="I1380" i="1"/>
  <c r="K271" i="1"/>
  <c r="I271" i="1"/>
  <c r="K226" i="1"/>
  <c r="I226" i="1"/>
  <c r="K780" i="1"/>
  <c r="I780" i="1"/>
  <c r="K743" i="1"/>
  <c r="I743" i="1"/>
  <c r="K1379" i="1"/>
  <c r="I1379" i="1"/>
  <c r="K1378" i="1"/>
  <c r="I1378" i="1"/>
  <c r="K1377" i="1"/>
  <c r="I1377" i="1"/>
  <c r="K1376" i="1"/>
  <c r="I1376" i="1"/>
  <c r="K175" i="1"/>
  <c r="I175" i="1"/>
  <c r="K1555" i="1"/>
  <c r="I1555" i="1"/>
  <c r="K1375" i="1"/>
  <c r="I1375" i="1"/>
  <c r="K1554" i="1"/>
  <c r="I1554" i="1"/>
  <c r="K1374" i="1"/>
  <c r="I1374" i="1"/>
  <c r="K220" i="1"/>
  <c r="I220" i="1"/>
  <c r="K215" i="1"/>
  <c r="I215" i="1"/>
  <c r="K779" i="1"/>
  <c r="I779" i="1"/>
  <c r="K427" i="1"/>
  <c r="I427" i="1"/>
  <c r="K216" i="1"/>
  <c r="I216" i="1"/>
  <c r="K1373" i="1"/>
  <c r="I1373" i="1"/>
  <c r="K1650" i="1"/>
  <c r="I1650" i="1"/>
  <c r="K1372" i="1"/>
  <c r="I1372" i="1"/>
  <c r="K556" i="1"/>
  <c r="I556" i="1"/>
  <c r="K569" i="1"/>
  <c r="I569" i="1"/>
  <c r="K1371" i="1"/>
  <c r="I1371" i="1"/>
  <c r="K1370" i="1"/>
  <c r="I1370" i="1"/>
  <c r="K747" i="1"/>
  <c r="I747" i="1"/>
  <c r="K1369" i="1"/>
  <c r="I1369" i="1"/>
  <c r="K106" i="1"/>
  <c r="I106" i="1"/>
  <c r="K507" i="1"/>
  <c r="I507" i="1"/>
  <c r="K109" i="1"/>
  <c r="I109" i="1"/>
  <c r="K218" i="1"/>
  <c r="I218" i="1"/>
  <c r="K1758" i="1"/>
  <c r="I1758" i="1"/>
  <c r="K1368" i="1"/>
  <c r="I1368" i="1"/>
  <c r="K713" i="1"/>
  <c r="I713" i="1"/>
  <c r="K1743" i="1"/>
  <c r="I1743" i="1"/>
  <c r="K1121" i="1"/>
  <c r="I1121" i="1"/>
  <c r="K373" i="1"/>
  <c r="I373" i="1"/>
  <c r="K372" i="1"/>
  <c r="I372" i="1"/>
  <c r="K957" i="1"/>
  <c r="I957" i="1"/>
  <c r="K956" i="1"/>
  <c r="I956" i="1"/>
  <c r="K955" i="1"/>
  <c r="I955" i="1"/>
  <c r="K954" i="1"/>
  <c r="I954" i="1"/>
  <c r="K953" i="1"/>
  <c r="I953" i="1"/>
  <c r="K169" i="1"/>
  <c r="I169" i="1"/>
  <c r="K121" i="1"/>
  <c r="I121" i="1"/>
  <c r="K105" i="1"/>
  <c r="I105" i="1"/>
  <c r="K61" i="1"/>
  <c r="I61" i="1"/>
  <c r="K9" i="1"/>
  <c r="I9" i="1"/>
  <c r="K625" i="1"/>
  <c r="I625" i="1"/>
  <c r="K498" i="1"/>
  <c r="I498" i="1"/>
  <c r="K704" i="1"/>
  <c r="I704" i="1"/>
  <c r="K495" i="1"/>
  <c r="I495" i="1"/>
  <c r="K1367" i="1"/>
  <c r="I1367" i="1"/>
  <c r="K921" i="1"/>
  <c r="I921" i="1"/>
  <c r="K920" i="1"/>
  <c r="I920" i="1"/>
  <c r="K1553" i="1"/>
  <c r="I1553" i="1"/>
  <c r="K1366" i="1"/>
  <c r="I1366" i="1"/>
  <c r="K1552" i="1"/>
  <c r="I1552" i="1"/>
  <c r="K1365" i="1"/>
  <c r="I1365" i="1"/>
  <c r="K1551" i="1"/>
  <c r="I1551" i="1"/>
  <c r="K1364" i="1"/>
  <c r="I1364" i="1"/>
  <c r="K1550" i="1"/>
  <c r="I1550" i="1"/>
  <c r="K1363" i="1"/>
  <c r="I1363" i="1"/>
  <c r="K1074" i="1"/>
  <c r="I1074" i="1"/>
  <c r="K952" i="1"/>
  <c r="I952" i="1"/>
  <c r="K951" i="1"/>
  <c r="I951" i="1"/>
  <c r="K950" i="1"/>
  <c r="I950" i="1"/>
  <c r="K301" i="1"/>
  <c r="I301" i="1"/>
  <c r="K225" i="1"/>
  <c r="I225" i="1"/>
  <c r="K151" i="1"/>
  <c r="I151" i="1"/>
  <c r="K892" i="1"/>
  <c r="I892" i="1"/>
  <c r="K891" i="1"/>
  <c r="I891" i="1"/>
  <c r="K777" i="1"/>
  <c r="I777" i="1"/>
  <c r="K1362" i="1"/>
  <c r="I1362" i="1"/>
  <c r="K1073" i="1"/>
  <c r="I1073" i="1"/>
  <c r="K200" i="1"/>
  <c r="I200" i="1"/>
  <c r="K148" i="1"/>
  <c r="I148" i="1"/>
  <c r="K29" i="1"/>
  <c r="I29" i="1"/>
  <c r="K811" i="1"/>
  <c r="I811" i="1"/>
  <c r="K653" i="1"/>
  <c r="I653" i="1"/>
  <c r="K1820" i="1"/>
  <c r="I1820" i="1"/>
  <c r="K919" i="1"/>
  <c r="I919" i="1"/>
  <c r="K647" i="1"/>
  <c r="I647" i="1"/>
  <c r="K300" i="1"/>
  <c r="I300" i="1"/>
  <c r="K1072" i="1"/>
  <c r="I1072" i="1"/>
  <c r="K1549" i="1"/>
  <c r="I1549" i="1"/>
  <c r="K1361" i="1"/>
  <c r="I1361" i="1"/>
  <c r="K1548" i="1"/>
  <c r="I1548" i="1"/>
  <c r="K1547" i="1"/>
  <c r="I1547" i="1"/>
  <c r="K1360" i="1"/>
  <c r="I1360" i="1"/>
  <c r="K1546" i="1"/>
  <c r="I1546" i="1"/>
  <c r="K1359" i="1"/>
  <c r="I1359" i="1"/>
  <c r="K1545" i="1"/>
  <c r="I1545" i="1"/>
  <c r="K1544" i="1"/>
  <c r="I1544" i="1"/>
  <c r="K1358" i="1"/>
  <c r="I1358" i="1"/>
  <c r="K1649" i="1"/>
  <c r="I1649" i="1"/>
  <c r="K1678" i="1"/>
  <c r="I1678" i="1"/>
  <c r="K371" i="1"/>
  <c r="I371" i="1"/>
  <c r="K19" i="1"/>
  <c r="I19" i="1"/>
  <c r="K1086" i="1"/>
  <c r="I1086" i="1"/>
  <c r="K1843" i="1"/>
  <c r="I1843" i="1"/>
  <c r="K108" i="1"/>
  <c r="I108" i="1"/>
  <c r="K604" i="1"/>
  <c r="I604" i="1"/>
  <c r="K1750" i="1"/>
  <c r="I1750" i="1"/>
  <c r="K1777" i="1"/>
  <c r="I1777" i="1"/>
  <c r="K1751" i="1"/>
  <c r="I1751" i="1"/>
  <c r="K1793" i="1"/>
  <c r="I1793" i="1"/>
  <c r="K1768" i="1"/>
  <c r="I1768" i="1"/>
  <c r="K1767" i="1"/>
  <c r="I1767" i="1"/>
  <c r="K1742" i="1"/>
  <c r="I1742" i="1"/>
  <c r="K1741" i="1"/>
  <c r="I1741" i="1"/>
  <c r="K1766" i="1"/>
  <c r="I1766" i="1"/>
  <c r="K1765" i="1"/>
  <c r="I1765" i="1"/>
  <c r="K1740" i="1"/>
  <c r="I1740" i="1"/>
  <c r="K1739" i="1"/>
  <c r="I1739" i="1"/>
  <c r="K1764" i="1"/>
  <c r="I1764" i="1"/>
  <c r="K1802" i="1"/>
  <c r="I1802" i="1"/>
  <c r="K1738" i="1"/>
  <c r="I1738" i="1"/>
  <c r="K1763" i="1"/>
  <c r="I1763" i="1"/>
  <c r="K1737" i="1"/>
  <c r="I1737" i="1"/>
  <c r="K208" i="1"/>
  <c r="I208" i="1"/>
  <c r="K207" i="1"/>
  <c r="I207" i="1"/>
  <c r="K194" i="1"/>
  <c r="I194" i="1"/>
  <c r="K192" i="1"/>
  <c r="I192" i="1"/>
  <c r="K145" i="1"/>
  <c r="I145" i="1"/>
  <c r="K141" i="1"/>
  <c r="I141" i="1"/>
  <c r="K95" i="1"/>
  <c r="I95" i="1"/>
  <c r="K774" i="1"/>
  <c r="I774" i="1"/>
  <c r="K619" i="1"/>
  <c r="I619" i="1"/>
  <c r="K615" i="1"/>
  <c r="I615" i="1"/>
  <c r="K636" i="1"/>
  <c r="I636" i="1"/>
  <c r="K297" i="1"/>
  <c r="I297" i="1"/>
  <c r="K1357" i="1"/>
  <c r="I1357" i="1"/>
  <c r="K1808" i="1"/>
  <c r="I1808" i="1"/>
  <c r="K710" i="1"/>
  <c r="I710" i="1"/>
  <c r="K1805" i="1"/>
  <c r="I1805" i="1"/>
  <c r="K242" i="1"/>
  <c r="I242" i="1"/>
  <c r="K711" i="1"/>
  <c r="I711" i="1"/>
  <c r="K918" i="1"/>
  <c r="I918" i="1"/>
  <c r="K1837" i="1"/>
  <c r="I1837" i="1"/>
  <c r="K949" i="1"/>
  <c r="I949" i="1"/>
  <c r="K1356" i="1"/>
  <c r="I1356" i="1"/>
  <c r="K6" i="1"/>
  <c r="I6" i="1"/>
  <c r="K412" i="1"/>
  <c r="I412" i="1"/>
  <c r="K1819" i="1"/>
  <c r="I1819" i="1"/>
  <c r="K513" i="1"/>
  <c r="I513" i="1"/>
  <c r="K624" i="1"/>
  <c r="I624" i="1"/>
  <c r="K370" i="1"/>
  <c r="I370" i="1"/>
  <c r="K1355" i="1"/>
  <c r="I1355" i="1"/>
  <c r="K369" i="1"/>
  <c r="I369" i="1"/>
  <c r="K368" i="1"/>
  <c r="I368" i="1"/>
  <c r="K367" i="1"/>
  <c r="I367" i="1"/>
  <c r="K878" i="1"/>
  <c r="I878" i="1"/>
  <c r="K317" i="1"/>
  <c r="I317" i="1"/>
  <c r="K316" i="1"/>
  <c r="I316" i="1"/>
  <c r="K306" i="1"/>
  <c r="I306" i="1"/>
  <c r="K305" i="1"/>
  <c r="I305" i="1"/>
  <c r="K290" i="1"/>
  <c r="I290" i="1"/>
  <c r="K253" i="1"/>
  <c r="I253" i="1"/>
  <c r="K221" i="1"/>
  <c r="I221" i="1"/>
  <c r="K154" i="1"/>
  <c r="I154" i="1"/>
  <c r="K111" i="1"/>
  <c r="I111" i="1"/>
  <c r="K650" i="1"/>
  <c r="I650" i="1"/>
  <c r="K614" i="1"/>
  <c r="I614" i="1"/>
  <c r="K366" i="1"/>
  <c r="I366" i="1"/>
  <c r="K365" i="1"/>
  <c r="I365" i="1"/>
  <c r="K31" i="1"/>
  <c r="I31" i="1"/>
  <c r="K576" i="1"/>
  <c r="I576" i="1"/>
  <c r="K492" i="1"/>
  <c r="I492" i="1"/>
  <c r="K1732" i="1"/>
  <c r="I1732" i="1"/>
  <c r="K1729" i="1"/>
  <c r="I1729" i="1"/>
  <c r="K1749" i="1"/>
  <c r="I1749" i="1"/>
  <c r="K1354" i="1"/>
  <c r="I1354" i="1"/>
  <c r="K1190" i="1"/>
  <c r="I1190" i="1"/>
  <c r="K1191" i="1"/>
  <c r="I1191" i="1"/>
  <c r="K1189" i="1"/>
  <c r="I1189" i="1"/>
  <c r="K364" i="1"/>
  <c r="I364" i="1"/>
  <c r="K363" i="1"/>
  <c r="I363" i="1"/>
  <c r="K362" i="1"/>
  <c r="I362" i="1"/>
  <c r="K1353" i="1"/>
  <c r="I1353" i="1"/>
  <c r="K1543" i="1"/>
  <c r="I1543" i="1"/>
  <c r="K1352" i="1"/>
  <c r="I1352" i="1"/>
  <c r="K125" i="1"/>
  <c r="I125" i="1"/>
  <c r="K1305" i="1"/>
  <c r="I1305" i="1"/>
  <c r="K1304" i="1"/>
  <c r="I1304" i="1"/>
  <c r="K1303" i="1"/>
  <c r="I1303" i="1"/>
  <c r="K1302" i="1"/>
  <c r="I1302" i="1"/>
  <c r="K1301" i="1"/>
  <c r="I1301" i="1"/>
  <c r="K1300" i="1"/>
  <c r="I1300" i="1"/>
  <c r="K1188" i="1"/>
  <c r="I1188" i="1"/>
  <c r="K1254" i="1"/>
  <c r="I1254" i="1"/>
  <c r="K1205" i="1"/>
  <c r="I1205" i="1"/>
  <c r="K1130" i="1"/>
  <c r="I1130" i="1"/>
  <c r="K1129" i="1"/>
  <c r="I1129" i="1"/>
  <c r="K1128" i="1"/>
  <c r="I1128" i="1"/>
  <c r="K1127" i="1"/>
  <c r="I1127" i="1"/>
  <c r="K1299" i="1"/>
  <c r="I1299" i="1"/>
  <c r="K1298" i="1"/>
  <c r="I1298" i="1"/>
  <c r="K1838" i="1"/>
  <c r="I1838" i="1"/>
  <c r="K260" i="1"/>
  <c r="I260" i="1"/>
  <c r="K802" i="1"/>
  <c r="I802" i="1"/>
  <c r="K560" i="1"/>
  <c r="I560" i="1"/>
  <c r="K497" i="1"/>
  <c r="I497" i="1"/>
  <c r="K1351" i="1"/>
  <c r="I1351" i="1"/>
  <c r="K1350" i="1"/>
  <c r="I1350" i="1"/>
  <c r="K491" i="1"/>
  <c r="I491" i="1"/>
  <c r="K490" i="1"/>
  <c r="I490" i="1"/>
  <c r="K1776" i="1"/>
  <c r="I1776" i="1"/>
  <c r="K337" i="1"/>
  <c r="I337" i="1"/>
  <c r="K1253" i="1"/>
  <c r="I1253" i="1"/>
  <c r="K1252" i="1"/>
  <c r="I1252" i="1"/>
  <c r="K1251" i="1"/>
  <c r="I1251" i="1"/>
  <c r="K1250" i="1"/>
  <c r="I1250" i="1"/>
  <c r="K1249" i="1"/>
  <c r="I1249" i="1"/>
  <c r="K1248" i="1"/>
  <c r="I1248" i="1"/>
  <c r="K1247" i="1"/>
  <c r="I1247" i="1"/>
  <c r="K1246" i="1"/>
  <c r="I1246" i="1"/>
  <c r="K1542" i="1"/>
  <c r="I1542" i="1"/>
  <c r="K1349" i="1"/>
  <c r="I1349" i="1"/>
  <c r="K1806" i="1"/>
  <c r="I1806" i="1"/>
  <c r="K887" i="1"/>
  <c r="I887" i="1"/>
  <c r="K890" i="1"/>
  <c r="I890" i="1"/>
  <c r="K840" i="1"/>
  <c r="I840" i="1"/>
  <c r="K889" i="1"/>
  <c r="I889" i="1"/>
  <c r="K888" i="1"/>
  <c r="I888" i="1"/>
  <c r="K131" i="1"/>
  <c r="I131" i="1"/>
  <c r="K627" i="1"/>
  <c r="I627" i="1"/>
  <c r="K565" i="1"/>
  <c r="I565" i="1"/>
  <c r="K5" i="1"/>
  <c r="I5" i="1"/>
  <c r="K599" i="1"/>
  <c r="I599" i="1"/>
  <c r="K1541" i="1"/>
  <c r="I1541" i="1"/>
  <c r="K1348" i="1"/>
  <c r="I1348" i="1"/>
  <c r="K1666" i="1"/>
  <c r="I1666" i="1"/>
  <c r="K839" i="1"/>
  <c r="I839" i="1"/>
  <c r="K1648" i="1"/>
  <c r="I1648" i="1"/>
  <c r="K684" i="1"/>
  <c r="I684" i="1"/>
  <c r="K1347" i="1"/>
  <c r="I1347" i="1"/>
  <c r="K308" i="1"/>
  <c r="I308" i="1"/>
  <c r="K1120" i="1"/>
  <c r="I1120" i="1"/>
  <c r="K1817" i="1"/>
  <c r="I1817" i="1"/>
  <c r="K1669" i="1"/>
  <c r="I1669" i="1"/>
  <c r="K1734" i="1"/>
  <c r="I1734" i="1"/>
  <c r="K1798" i="1"/>
  <c r="I1798" i="1"/>
  <c r="K361" i="1"/>
  <c r="I361" i="1"/>
  <c r="K360" i="1"/>
  <c r="I360" i="1"/>
  <c r="K359" i="1"/>
  <c r="I359" i="1"/>
  <c r="K358" i="1"/>
  <c r="I358" i="1"/>
  <c r="K357" i="1"/>
  <c r="I357" i="1"/>
  <c r="K356" i="1"/>
  <c r="I356" i="1"/>
  <c r="K948" i="1"/>
  <c r="I948" i="1"/>
  <c r="K947" i="1"/>
  <c r="I947" i="1"/>
  <c r="K212" i="1"/>
  <c r="I212" i="1"/>
  <c r="K96" i="1"/>
  <c r="I96" i="1"/>
  <c r="K94" i="1"/>
  <c r="I94" i="1"/>
  <c r="K59" i="1"/>
  <c r="I59" i="1"/>
  <c r="K541" i="1"/>
  <c r="I541" i="1"/>
  <c r="K1161" i="1"/>
  <c r="I1161" i="1"/>
  <c r="K937" i="1"/>
  <c r="I937" i="1"/>
  <c r="K700" i="1"/>
  <c r="I700" i="1"/>
  <c r="K917" i="1"/>
  <c r="I917" i="1"/>
  <c r="K867" i="1"/>
  <c r="I867" i="1"/>
  <c r="K863" i="1"/>
  <c r="I863" i="1"/>
  <c r="K172" i="1"/>
  <c r="I172" i="1"/>
  <c r="K617" i="1"/>
  <c r="I617" i="1"/>
  <c r="K1124" i="1"/>
  <c r="I1124" i="1"/>
  <c r="K866" i="1"/>
  <c r="I866" i="1"/>
  <c r="K279" i="1"/>
  <c r="I279" i="1"/>
  <c r="K57" i="1"/>
  <c r="I57" i="1"/>
  <c r="K1540" i="1"/>
  <c r="I1540" i="1"/>
  <c r="K1346" i="1"/>
  <c r="I1346" i="1"/>
  <c r="K1539" i="1"/>
  <c r="I1539" i="1"/>
  <c r="K1345" i="1"/>
  <c r="I1345" i="1"/>
  <c r="K1538" i="1"/>
  <c r="I1538" i="1"/>
  <c r="K1344" i="1"/>
  <c r="I1344" i="1"/>
  <c r="K1537" i="1"/>
  <c r="I1537" i="1"/>
  <c r="K1343" i="1"/>
  <c r="I1343" i="1"/>
  <c r="K78" i="1"/>
  <c r="I78" i="1"/>
  <c r="K1125" i="1"/>
  <c r="I1125" i="1"/>
  <c r="K916" i="1"/>
  <c r="I916" i="1"/>
  <c r="K178" i="1"/>
  <c r="I178" i="1"/>
  <c r="K730" i="1"/>
  <c r="I730" i="1"/>
  <c r="K26" i="1"/>
  <c r="I26" i="1"/>
  <c r="K1071" i="1"/>
  <c r="I1071" i="1"/>
  <c r="K355" i="1"/>
  <c r="I355" i="1"/>
  <c r="K1536" i="1"/>
  <c r="I1536" i="1"/>
  <c r="K1342" i="1"/>
  <c r="I1342" i="1"/>
  <c r="K1535" i="1"/>
  <c r="I1535" i="1"/>
  <c r="K1341" i="1"/>
  <c r="I1341" i="1"/>
  <c r="K1534" i="1"/>
  <c r="I1534" i="1"/>
  <c r="K1340" i="1"/>
  <c r="I1340" i="1"/>
  <c r="K1533" i="1"/>
  <c r="I1533" i="1"/>
  <c r="K1339" i="1"/>
  <c r="I1339" i="1"/>
  <c r="K1532" i="1"/>
  <c r="I1532" i="1"/>
  <c r="K1338" i="1"/>
  <c r="I1338" i="1"/>
  <c r="K1677" i="1"/>
  <c r="I1677" i="1"/>
  <c r="K1676" i="1"/>
  <c r="I1676" i="1"/>
  <c r="K946" i="1"/>
  <c r="I946" i="1"/>
  <c r="K174" i="1"/>
  <c r="I174" i="1"/>
  <c r="K354" i="1"/>
  <c r="I354" i="1"/>
  <c r="K353" i="1"/>
  <c r="I353" i="1"/>
  <c r="K352" i="1"/>
  <c r="I352" i="1"/>
  <c r="K351" i="1"/>
  <c r="I351" i="1"/>
  <c r="K1070" i="1"/>
  <c r="I1070" i="1"/>
  <c r="K350" i="1"/>
  <c r="I350" i="1"/>
  <c r="K815" i="1"/>
  <c r="I815" i="1"/>
  <c r="K915" i="1"/>
  <c r="I915" i="1"/>
  <c r="K914" i="1"/>
  <c r="I914" i="1"/>
  <c r="K913" i="1"/>
  <c r="I913" i="1"/>
  <c r="K687" i="1"/>
  <c r="I687" i="1"/>
  <c r="K1337" i="1"/>
  <c r="I1337" i="1"/>
  <c r="K1735" i="1"/>
  <c r="I1735" i="1"/>
  <c r="K1731" i="1"/>
  <c r="I1731" i="1"/>
  <c r="K281" i="1"/>
  <c r="I281" i="1"/>
  <c r="K928" i="1"/>
  <c r="I928" i="1"/>
  <c r="K876" i="1"/>
  <c r="I876" i="1"/>
  <c r="K598" i="1"/>
  <c r="I598" i="1"/>
  <c r="K451" i="1"/>
  <c r="I451" i="1"/>
  <c r="K1245" i="1"/>
  <c r="I1245" i="1"/>
  <c r="K265" i="1"/>
  <c r="I265" i="1"/>
  <c r="K68" i="1"/>
  <c r="I68" i="1"/>
  <c r="K328" i="1"/>
  <c r="I328" i="1"/>
  <c r="K164" i="1"/>
  <c r="I164" i="1"/>
  <c r="K805" i="1"/>
  <c r="I805" i="1"/>
  <c r="K1104" i="1"/>
  <c r="I1104" i="1"/>
  <c r="K1085" i="1"/>
  <c r="I1085" i="1"/>
  <c r="K717" i="1"/>
  <c r="I717" i="1"/>
  <c r="K1069" i="1"/>
  <c r="I1069" i="1"/>
  <c r="K1068" i="1"/>
  <c r="I1068" i="1"/>
  <c r="K945" i="1"/>
  <c r="I945" i="1"/>
  <c r="K944" i="1"/>
  <c r="I944" i="1"/>
  <c r="K326" i="1"/>
  <c r="I326" i="1"/>
  <c r="K282" i="1"/>
  <c r="I282" i="1"/>
  <c r="K266" i="1"/>
  <c r="I266" i="1"/>
  <c r="K167" i="1"/>
  <c r="I167" i="1"/>
  <c r="K1067" i="1"/>
  <c r="I1067" i="1"/>
  <c r="K1115" i="1"/>
  <c r="I1115" i="1"/>
  <c r="K1118" i="1"/>
  <c r="I1118" i="1"/>
  <c r="K1111" i="1"/>
  <c r="I1111" i="1"/>
  <c r="K1112" i="1"/>
  <c r="I1112" i="1"/>
  <c r="K1109" i="1"/>
  <c r="I1109" i="1"/>
  <c r="K1849" i="1"/>
  <c r="I1849" i="1"/>
  <c r="K516" i="1"/>
  <c r="I516" i="1"/>
  <c r="K1748" i="1"/>
  <c r="I1748" i="1"/>
  <c r="K64" i="1"/>
  <c r="I64" i="1"/>
  <c r="K1123" i="1"/>
  <c r="I1123" i="1"/>
  <c r="K262" i="1"/>
  <c r="I262" i="1"/>
  <c r="K197" i="1"/>
  <c r="I197" i="1"/>
  <c r="K250" i="1"/>
  <c r="I250" i="1"/>
  <c r="K634" i="1"/>
  <c r="I634" i="1"/>
  <c r="K681" i="1"/>
  <c r="I681" i="1"/>
  <c r="K186" i="1"/>
  <c r="I186" i="1"/>
  <c r="K591" i="1"/>
  <c r="I591" i="1"/>
  <c r="K1531" i="1"/>
  <c r="I1531" i="1"/>
  <c r="K1336" i="1"/>
  <c r="I1336" i="1"/>
  <c r="K1530" i="1"/>
  <c r="I1530" i="1"/>
  <c r="I1668" i="1"/>
  <c r="K1529" i="1"/>
  <c r="I1529" i="1"/>
  <c r="K1244" i="1"/>
  <c r="I1244" i="1"/>
  <c r="K1335" i="1"/>
  <c r="I1335" i="1"/>
  <c r="K349" i="1"/>
  <c r="I349" i="1"/>
  <c r="K348" i="1"/>
  <c r="I348" i="1"/>
  <c r="K347" i="1"/>
  <c r="I347" i="1"/>
  <c r="K1804" i="1"/>
  <c r="I1804" i="1"/>
  <c r="K1803" i="1"/>
  <c r="I1803" i="1"/>
  <c r="K346" i="1"/>
  <c r="I346" i="1"/>
  <c r="K345" i="1"/>
  <c r="I345" i="1"/>
  <c r="K344" i="1"/>
  <c r="I344" i="1"/>
  <c r="K343" i="1"/>
  <c r="I343" i="1"/>
  <c r="K943" i="1"/>
  <c r="I943" i="1"/>
  <c r="K503" i="1"/>
  <c r="I503" i="1"/>
  <c r="K942" i="1"/>
  <c r="I942" i="1"/>
  <c r="K1243" i="1"/>
  <c r="I1243" i="1"/>
  <c r="K799" i="1"/>
  <c r="I799" i="1"/>
  <c r="K1096" i="1"/>
  <c r="I1096" i="1"/>
  <c r="K1816" i="1"/>
  <c r="I1816" i="1"/>
  <c r="K342" i="1"/>
  <c r="I342" i="1"/>
  <c r="K1334" i="1"/>
  <c r="I1334" i="1"/>
  <c r="K754" i="1"/>
  <c r="I754" i="1"/>
  <c r="K331" i="1"/>
  <c r="I331" i="1"/>
  <c r="K875" i="1"/>
  <c r="I875" i="1"/>
  <c r="K1333" i="1"/>
  <c r="I1333" i="1"/>
  <c r="K1332" i="1"/>
  <c r="I1332" i="1"/>
  <c r="K1331" i="1"/>
  <c r="I1331" i="1"/>
  <c r="K1330" i="1"/>
  <c r="I1330" i="1"/>
  <c r="K1825" i="1"/>
  <c r="I1825" i="1"/>
  <c r="K941" i="1"/>
  <c r="I941" i="1"/>
  <c r="K472" i="1"/>
  <c r="I472" i="1"/>
  <c r="K471" i="1"/>
  <c r="I471" i="1"/>
  <c r="K470" i="1"/>
  <c r="I470" i="1"/>
  <c r="K1528" i="1"/>
  <c r="I1528" i="1"/>
  <c r="K1329" i="1"/>
  <c r="I1329" i="1"/>
  <c r="K1527" i="1"/>
  <c r="I1527" i="1"/>
  <c r="K1328" i="1"/>
  <c r="I1328" i="1"/>
  <c r="K755" i="1"/>
  <c r="I755" i="1"/>
  <c r="K753" i="1"/>
  <c r="I753" i="1"/>
  <c r="K568" i="1"/>
  <c r="I568" i="1"/>
  <c r="K1327" i="1"/>
  <c r="I1327" i="1"/>
  <c r="K874" i="1"/>
  <c r="I874" i="1"/>
  <c r="K873" i="1"/>
  <c r="I873" i="1"/>
  <c r="K341" i="1"/>
  <c r="I341" i="1"/>
  <c r="K340" i="1"/>
  <c r="I340" i="1"/>
  <c r="K339" i="1"/>
  <c r="I339" i="1"/>
  <c r="K149" i="1"/>
  <c r="I149" i="1"/>
  <c r="K115" i="1"/>
  <c r="I115" i="1"/>
  <c r="K708" i="1"/>
  <c r="I708" i="1"/>
  <c r="K201" i="1"/>
  <c r="I201" i="1"/>
  <c r="K546" i="1"/>
  <c r="I546" i="1"/>
  <c r="K2" i="1"/>
  <c r="I2" i="1"/>
  <c r="K1824" i="1"/>
  <c r="I1824" i="1"/>
  <c r="K936" i="1"/>
  <c r="I936" i="1"/>
  <c r="K935" i="1"/>
  <c r="I935" i="1"/>
  <c r="K934" i="1"/>
  <c r="I934" i="1"/>
  <c r="K933" i="1"/>
  <c r="I933" i="1"/>
  <c r="K932" i="1"/>
  <c r="I932" i="1"/>
  <c r="K672" i="1"/>
  <c r="I672" i="1"/>
  <c r="K1326" i="1"/>
  <c r="I1326" i="1"/>
  <c r="K707" i="1"/>
  <c r="I707" i="1"/>
  <c r="K1119" i="1"/>
  <c r="I1119" i="1"/>
  <c r="K1325" i="1"/>
  <c r="I1325" i="1"/>
  <c r="K1675" i="1"/>
  <c r="I1675" i="1"/>
  <c r="K940" i="1"/>
  <c r="I940" i="1"/>
  <c r="K838" i="1"/>
  <c r="I838" i="1"/>
  <c r="K1526" i="1"/>
  <c r="I1526" i="1"/>
  <c r="K1324" i="1"/>
  <c r="I1324" i="1"/>
  <c r="K1525" i="1"/>
  <c r="I1525" i="1"/>
  <c r="K1323" i="1"/>
  <c r="I1323" i="1"/>
  <c r="K1524" i="1"/>
  <c r="I1524" i="1"/>
  <c r="K1322" i="1"/>
  <c r="I1322" i="1"/>
  <c r="K1523" i="1"/>
  <c r="I1523" i="1"/>
  <c r="K1321" i="1"/>
  <c r="I1321" i="1"/>
  <c r="K1647" i="1"/>
  <c r="I1647" i="1"/>
  <c r="K1522" i="1"/>
  <c r="I1522" i="1"/>
  <c r="K1320" i="1"/>
  <c r="I1320" i="1"/>
  <c r="K1319" i="1"/>
  <c r="I1319" i="1"/>
  <c r="K1674" i="1"/>
  <c r="I1674" i="1"/>
  <c r="K1673" i="1"/>
  <c r="I1673" i="1"/>
  <c r="K1672" i="1"/>
  <c r="I1672" i="1"/>
  <c r="K1671" i="1"/>
  <c r="I1671" i="1"/>
  <c r="R1859" i="1"/>
  <c r="Z1859" i="1" s="1"/>
  <c r="K1859" i="1"/>
  <c r="I1859" i="1"/>
  <c r="K1811" i="1"/>
  <c r="I1811" i="1"/>
  <c r="K886" i="1"/>
  <c r="I886" i="1"/>
  <c r="K869" i="1"/>
  <c r="I869" i="1"/>
  <c r="K227" i="1"/>
  <c r="I227" i="1"/>
  <c r="K123" i="1"/>
  <c r="I123" i="1"/>
  <c r="K41" i="1"/>
  <c r="I41" i="1"/>
  <c r="K40" i="1"/>
  <c r="I40" i="1"/>
  <c r="K17" i="1"/>
  <c r="I17" i="1"/>
  <c r="K16" i="1"/>
  <c r="I16" i="1"/>
  <c r="K469" i="1"/>
  <c r="I469" i="1"/>
  <c r="K1517" i="1"/>
  <c r="I1517" i="1"/>
  <c r="K1521" i="1"/>
  <c r="I1521" i="1"/>
  <c r="K336" i="1"/>
  <c r="I336" i="1"/>
  <c r="K1670" i="1"/>
  <c r="I1670" i="1"/>
  <c r="K640" i="1"/>
  <c r="I640" i="1"/>
  <c r="K1747" i="1"/>
  <c r="I1747" i="1"/>
  <c r="K1775" i="1"/>
  <c r="I1775" i="1"/>
  <c r="K1752" i="1"/>
  <c r="I1752" i="1"/>
  <c r="K4" i="1"/>
  <c r="I4" i="1"/>
  <c r="K119" i="1"/>
  <c r="I119" i="1"/>
  <c r="K1754" i="1"/>
  <c r="I1754" i="1"/>
  <c r="K1753" i="1"/>
  <c r="I1753" i="1"/>
  <c r="K1760" i="1"/>
  <c r="I1760" i="1"/>
  <c r="K1761" i="1"/>
  <c r="I1761" i="1"/>
  <c r="K786" i="1"/>
  <c r="I786" i="1"/>
  <c r="K1762" i="1"/>
  <c r="I1762" i="1"/>
  <c r="K1787" i="1"/>
  <c r="I1787" i="1"/>
  <c r="K303" i="1"/>
  <c r="I303" i="1"/>
  <c r="K3" i="1"/>
  <c r="I3" i="1"/>
  <c r="G9" i="28" l="1"/>
  <c r="G16" i="28" s="1"/>
  <c r="F14" i="27"/>
  <c r="F15" i="27" s="1"/>
  <c r="F8" i="27"/>
  <c r="F9" i="27" s="1"/>
  <c r="S4" i="28"/>
  <c r="P8" i="28"/>
  <c r="K12" i="26"/>
  <c r="N11" i="26"/>
  <c r="AH1858" i="1"/>
  <c r="AG1858" i="1"/>
  <c r="AG1859" i="1"/>
  <c r="AH1859" i="1"/>
  <c r="AG1292" i="1"/>
  <c r="AH1292" i="1"/>
  <c r="AH1810" i="1"/>
  <c r="AG1810" i="1"/>
  <c r="AH1293" i="1"/>
  <c r="AG1293" i="1"/>
  <c r="Z1291" i="1"/>
  <c r="R1862" i="1"/>
  <c r="R1861" i="1"/>
  <c r="P5" i="28" l="1"/>
  <c r="P6" i="28"/>
  <c r="P7" i="28"/>
  <c r="K13" i="26"/>
  <c r="N12" i="26"/>
  <c r="AH1291" i="1"/>
  <c r="AG1291" i="1"/>
  <c r="K14" i="26" l="1"/>
  <c r="N13" i="26"/>
  <c r="K15" i="26" l="1"/>
  <c r="D6" i="28" s="1"/>
  <c r="N14" i="26"/>
  <c r="D7" i="28" l="1"/>
  <c r="D18" i="28" s="1"/>
  <c r="K16" i="26"/>
  <c r="N15" i="26"/>
  <c r="K17" i="26" l="1"/>
  <c r="N16" i="26"/>
  <c r="K18" i="26" l="1"/>
  <c r="N17" i="26"/>
  <c r="K19" i="26" l="1"/>
  <c r="N18" i="26"/>
  <c r="K20" i="26" l="1"/>
  <c r="N19" i="26"/>
  <c r="K21" i="26" l="1"/>
  <c r="N20" i="26"/>
  <c r="K22" i="26" l="1"/>
  <c r="N21" i="26"/>
  <c r="K23" i="26" l="1"/>
  <c r="N22" i="26"/>
  <c r="K24" i="26" l="1"/>
  <c r="N23" i="26"/>
  <c r="K25" i="26" l="1"/>
  <c r="E6" i="28" s="1"/>
  <c r="N24" i="26"/>
  <c r="E7" i="28" l="1"/>
  <c r="E18" i="28" s="1"/>
  <c r="K4" i="28"/>
  <c r="O3" i="28" s="1"/>
  <c r="S3" i="28" s="1"/>
  <c r="G6" i="28"/>
  <c r="G7" i="28" s="1"/>
  <c r="G18" i="28" s="1"/>
  <c r="N25" i="26"/>
  <c r="N28" i="26"/>
  <c r="N37" i="26" s="1"/>
  <c r="N38" i="26" s="1"/>
</calcChain>
</file>

<file path=xl/sharedStrings.xml><?xml version="1.0" encoding="utf-8"?>
<sst xmlns="http://schemas.openxmlformats.org/spreadsheetml/2006/main" count="35369" uniqueCount="3266">
  <si>
    <t>ID</t>
  </si>
  <si>
    <t>Facility</t>
  </si>
  <si>
    <t>Description</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</si>
  <si>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</si>
  <si>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</si>
  <si>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</si>
  <si>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</si>
  <si>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</si>
  <si>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</si>
  <si>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</si>
  <si>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</si>
  <si>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</si>
  <si>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</si>
  <si>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</si>
  <si>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</si>
  <si>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</si>
  <si>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</si>
  <si>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</si>
  <si>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</si>
  <si>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</si>
  <si>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</si>
  <si>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</si>
  <si>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</si>
  <si>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</si>
  <si>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Yes</t>
  </si>
  <si>
    <t>No</t>
  </si>
  <si>
    <t>Anchor Hub</t>
  </si>
  <si>
    <t>Pedestrian</t>
  </si>
  <si>
    <t>Prospect Road</t>
  </si>
  <si>
    <t>Bicycle</t>
  </si>
  <si>
    <t>US 27</t>
  </si>
  <si>
    <t>I-75</t>
  </si>
  <si>
    <t>C-11 West</t>
  </si>
  <si>
    <t>Indian Trace</t>
  </si>
  <si>
    <t>I-595</t>
  </si>
  <si>
    <t>HEFT</t>
  </si>
  <si>
    <t>Palm Beach/Broward County Line</t>
  </si>
  <si>
    <t>Miami-Dade/Broward County Line</t>
  </si>
  <si>
    <t>Arvida Parkway</t>
  </si>
  <si>
    <t>Miramar Parkway</t>
  </si>
  <si>
    <t>West of Florida's Turnpike</t>
  </si>
  <si>
    <t>I-95</t>
  </si>
  <si>
    <t>Florida's Turnpike</t>
  </si>
  <si>
    <t>Palm Beach County Line</t>
  </si>
  <si>
    <t>North County Line</t>
  </si>
  <si>
    <t>SR 84</t>
  </si>
  <si>
    <t>Palm Aire Canal</t>
  </si>
  <si>
    <t>Cypress Creek Connector</t>
  </si>
  <si>
    <t>Cococut Creek Parkway</t>
  </si>
  <si>
    <t>Wynmor Bridal Path</t>
  </si>
  <si>
    <t>C-14 Canal</t>
  </si>
  <si>
    <t>Cypress Creek North Spur</t>
  </si>
  <si>
    <t>Loxahatchee Wildlife Refuge</t>
  </si>
  <si>
    <t>SR 7</t>
  </si>
  <si>
    <t>Hillsboro Canal West</t>
  </si>
  <si>
    <t>New River Greenway</t>
  </si>
  <si>
    <t>FPL North Central</t>
  </si>
  <si>
    <t>SR 7/US 441</t>
  </si>
  <si>
    <t>Broward BL</t>
  </si>
  <si>
    <t>NW 8th Court</t>
  </si>
  <si>
    <t>NW 15th Court</t>
  </si>
  <si>
    <t>NW 11th Court</t>
  </si>
  <si>
    <t>SW 13th Place</t>
  </si>
  <si>
    <t>SW 44th Terrace</t>
  </si>
  <si>
    <t>SW 21st Mnr</t>
  </si>
  <si>
    <t>Just north of Central Park Place</t>
  </si>
  <si>
    <t>Tropical Way</t>
  </si>
  <si>
    <t>Florida's Turnpike Overpass</t>
  </si>
  <si>
    <t>Just east of Hemingway Circle</t>
  </si>
  <si>
    <t>Just west of Florida's Turnpike</t>
  </si>
  <si>
    <t>Coconut Creek Parkway</t>
  </si>
  <si>
    <t>Florida Turnpike Main Line</t>
  </si>
  <si>
    <t>Sawgrass Expressway</t>
  </si>
  <si>
    <t>Cypress Creek South Spur</t>
  </si>
  <si>
    <t>Rock Island South</t>
  </si>
  <si>
    <t>Southgate Rd</t>
  </si>
  <si>
    <t>Rock Island Central</t>
  </si>
  <si>
    <t>Community Hub</t>
  </si>
  <si>
    <t>Eastern Sawgrass Ramp</t>
  </si>
  <si>
    <t>NW 84th Terrace</t>
  </si>
  <si>
    <t>NW 52nd Court</t>
  </si>
  <si>
    <t>Sunset Strip</t>
  </si>
  <si>
    <t>C-42 Canal</t>
  </si>
  <si>
    <t>C-13 West</t>
  </si>
  <si>
    <t>Sawgrass International Corp. Park</t>
  </si>
  <si>
    <t>Gateway Hub</t>
  </si>
  <si>
    <t>Panther Parkway</t>
  </si>
  <si>
    <t>Orange Grove Lane</t>
  </si>
  <si>
    <t>Sawgrass Mills Circle</t>
  </si>
  <si>
    <t>Eastern Florida's Turnpike ramp</t>
  </si>
  <si>
    <t>I-75/Sawgrass Expressway</t>
  </si>
  <si>
    <t>West of I-95</t>
  </si>
  <si>
    <t>East of I-75</t>
  </si>
  <si>
    <t>I-75 Ramp</t>
  </si>
  <si>
    <t>Just west of I-75 west ramps</t>
  </si>
  <si>
    <t>Holatee Trail</t>
  </si>
  <si>
    <t>Holatee trail</t>
  </si>
  <si>
    <t>SW 185th/SW 186th Way</t>
  </si>
  <si>
    <t>US 1</t>
  </si>
  <si>
    <t>Hillsboro Inlet</t>
  </si>
  <si>
    <t>Barrier Island Central</t>
  </si>
  <si>
    <t>SR A1A Greenway name</t>
  </si>
  <si>
    <t>Existing Path</t>
  </si>
  <si>
    <t>Cypress Creek Connector Palm Aire</t>
  </si>
  <si>
    <t>Pioneer Park</t>
  </si>
  <si>
    <t>NW 19th Court</t>
  </si>
  <si>
    <t>NE 25th Court</t>
  </si>
  <si>
    <t>NE 26th Court</t>
  </si>
  <si>
    <t>NW 25th Court</t>
  </si>
  <si>
    <t>NW 33rd Court</t>
  </si>
  <si>
    <t>SR A1A</t>
  </si>
  <si>
    <t>NE 21st Terrace</t>
  </si>
  <si>
    <t>I-95 Managed Lanes</t>
  </si>
  <si>
    <t>Military Trail</t>
  </si>
  <si>
    <t>Pompano Parkway/ SW 3 St</t>
  </si>
  <si>
    <t>New (4LD)</t>
  </si>
  <si>
    <t>C-12 West</t>
  </si>
  <si>
    <t>Delevoe Park</t>
  </si>
  <si>
    <t>C-12 East</t>
  </si>
  <si>
    <t>Park Center Place</t>
  </si>
  <si>
    <t>Park Center Court</t>
  </si>
  <si>
    <t>NW 82nd Terrace</t>
  </si>
  <si>
    <t>NW 8th Place</t>
  </si>
  <si>
    <t>NW 11th Place</t>
  </si>
  <si>
    <t>American Expressway</t>
  </si>
  <si>
    <t>Holly Lane</t>
  </si>
  <si>
    <t>Just east of NW 122nd Terrace</t>
  </si>
  <si>
    <t>NW 80th Way</t>
  </si>
  <si>
    <t>Sheridan</t>
  </si>
  <si>
    <t>Waldrep to C-9 Connector</t>
  </si>
  <si>
    <t>NW 29th Court</t>
  </si>
  <si>
    <t>NW 85th Way</t>
  </si>
  <si>
    <t>NW 88th Terrace</t>
  </si>
  <si>
    <t>North bound on-ramp east of I-75</t>
  </si>
  <si>
    <t>CSX Trail</t>
  </si>
  <si>
    <t>Eastern I-95 ramp</t>
  </si>
  <si>
    <t>Country Club Lane</t>
  </si>
  <si>
    <t>Conservation Levee</t>
  </si>
  <si>
    <t>Lox Rd</t>
  </si>
  <si>
    <t>Rock Island North</t>
  </si>
  <si>
    <t>Snook Creek</t>
  </si>
  <si>
    <t>C-13 East</t>
  </si>
  <si>
    <t>I-95 Ramp</t>
  </si>
  <si>
    <t>Park and Ride Lot</t>
  </si>
  <si>
    <t>NE 9th Terrace</t>
  </si>
  <si>
    <t>Just west of NE 15th Terrace</t>
  </si>
  <si>
    <t>NE 53rd Court</t>
  </si>
  <si>
    <t>NW 56th Court</t>
  </si>
  <si>
    <t>NE 61st Court</t>
  </si>
  <si>
    <t>NE 46th Court</t>
  </si>
  <si>
    <t>Prospect Park</t>
  </si>
  <si>
    <t>NE 12th Terrace</t>
  </si>
  <si>
    <t>Avon Lane</t>
  </si>
  <si>
    <t>Just west of Belmont Lane</t>
  </si>
  <si>
    <t>SW 73rd Terrace</t>
  </si>
  <si>
    <t>South County Line</t>
  </si>
  <si>
    <t>Red Rd</t>
  </si>
  <si>
    <t>Flamingo Rd.</t>
  </si>
  <si>
    <t>C-9</t>
  </si>
  <si>
    <t>Flamingo Rd</t>
  </si>
  <si>
    <t>SW 27th Court</t>
  </si>
  <si>
    <t>Homestead Turnpike Ext.</t>
  </si>
  <si>
    <t>SW 40th Court</t>
  </si>
  <si>
    <t>Homestead Turnpike</t>
  </si>
  <si>
    <t>Executive Way</t>
  </si>
  <si>
    <t>Homestead Turnpike Extension</t>
  </si>
  <si>
    <t>SW 48th Court</t>
  </si>
  <si>
    <t>NW 49th Way</t>
  </si>
  <si>
    <t>NW 10th Court</t>
  </si>
  <si>
    <t>NW 35th Terrace</t>
  </si>
  <si>
    <t>NW 36th Terrace/NW 8th Place</t>
  </si>
  <si>
    <t>Just south of NW 1st Court</t>
  </si>
  <si>
    <t>NW 6th Court</t>
  </si>
  <si>
    <t>NW 43rd Terrace</t>
  </si>
  <si>
    <t>Blueberry Court</t>
  </si>
  <si>
    <t>NW 27th Court</t>
  </si>
  <si>
    <t>Fort Royal Isle</t>
  </si>
  <si>
    <t>Stirling Rd</t>
  </si>
  <si>
    <t>North of Fillmore St</t>
  </si>
  <si>
    <t>From 4 to 6 lanes (6LD)</t>
  </si>
  <si>
    <t>New River</t>
  </si>
  <si>
    <t>FPL South Central</t>
  </si>
  <si>
    <t>SE 17th St</t>
  </si>
  <si>
    <t>Port Everglades</t>
  </si>
  <si>
    <t>Orange Dr</t>
  </si>
  <si>
    <t>Pond Apple</t>
  </si>
  <si>
    <t>Bluestone Park</t>
  </si>
  <si>
    <t>Barrier Island South</t>
  </si>
  <si>
    <t>City Hall Circle</t>
  </si>
  <si>
    <t>Young Circle</t>
  </si>
  <si>
    <t>Just west of SR A1A</t>
  </si>
  <si>
    <t>North 72nd Terrace/North 70th Terrace Loop</t>
  </si>
  <si>
    <t>Slip 2 Expansion</t>
  </si>
  <si>
    <t>North 69th Way/North 66th Terrace Loop</t>
  </si>
  <si>
    <t>Southport Turning Notch Expansion (Phase I)</t>
  </si>
  <si>
    <t>FEC mainline</t>
  </si>
  <si>
    <t>Southport</t>
  </si>
  <si>
    <t>Southport rail connector</t>
  </si>
  <si>
    <t>Midpoint Parking Garage</t>
  </si>
  <si>
    <t>Midpoint Cruise/Cargo Programming &amp; Plan Development</t>
  </si>
  <si>
    <t>ICTF</t>
  </si>
  <si>
    <t>Port Entrance</t>
  </si>
  <si>
    <t>Freight/Seaport/Airport</t>
  </si>
  <si>
    <t>Directional Dynamic Message Signs (DMS)</t>
  </si>
  <si>
    <t>Barrier Island North</t>
  </si>
  <si>
    <t>A1A</t>
  </si>
  <si>
    <t>NW 6th Place</t>
  </si>
  <si>
    <t>NW 12th Court</t>
  </si>
  <si>
    <t>NW 13th Terrace/NW 9th Place</t>
  </si>
  <si>
    <t>NW 10th Terrace</t>
  </si>
  <si>
    <t>SE 16th Court</t>
  </si>
  <si>
    <t>Park Lane</t>
  </si>
  <si>
    <t>SW 5th Court</t>
  </si>
  <si>
    <t>SE 12th ST/ Davie BL</t>
  </si>
  <si>
    <t>Sunrise BL</t>
  </si>
  <si>
    <t>US 1/Federal Highwau</t>
  </si>
  <si>
    <t>NE 30th Place</t>
  </si>
  <si>
    <t>NE 5th Terrace</t>
  </si>
  <si>
    <t>SW 5th Place</t>
  </si>
  <si>
    <t>I-595 Ramp</t>
  </si>
  <si>
    <t>On-Port circulation improvements</t>
  </si>
  <si>
    <t>NW 7th/9th Connector</t>
  </si>
  <si>
    <t>Delivery appointment system for cruise ships</t>
  </si>
  <si>
    <t>Cruise Terminal No. 4 Redevelopment/Expansion</t>
  </si>
  <si>
    <t>Cruise Terminal 21/22 Expansion</t>
  </si>
  <si>
    <t>Cruise Passenger &amp; Baggage Processing Facility</t>
  </si>
  <si>
    <t>Hillsboro Canal East</t>
  </si>
  <si>
    <t>Deerfield Beach Tri-Rail Station</t>
  </si>
  <si>
    <t>NE 2nd Way</t>
  </si>
  <si>
    <t>NE 39th Court</t>
  </si>
  <si>
    <t>NE 1st Terrace</t>
  </si>
  <si>
    <t>Crystreetal Lake 
Drive</t>
  </si>
  <si>
    <t>NW 1st Terrace</t>
  </si>
  <si>
    <t>SW 1st Terrace</t>
  </si>
  <si>
    <t>NW 5th Terrace</t>
  </si>
  <si>
    <t>West end of NW 48th ST</t>
  </si>
  <si>
    <t>NW 48th ST/ NW 49th Court</t>
  </si>
  <si>
    <t>NW 49th Court</t>
  </si>
  <si>
    <t>South Military Trail</t>
  </si>
  <si>
    <t>Ocean Way</t>
  </si>
  <si>
    <t>SW 11th Way</t>
  </si>
  <si>
    <t>Nob Hill Trail</t>
  </si>
  <si>
    <t>Vista View</t>
  </si>
  <si>
    <t>FPL ROW 0.5 South</t>
  </si>
  <si>
    <t>Pond Apple Connector</t>
  </si>
  <si>
    <t>Pond Apple - Waldrep Connector</t>
  </si>
  <si>
    <t>BCC</t>
  </si>
  <si>
    <t>BCC Entrance</t>
  </si>
  <si>
    <t>SW 81st Terrace</t>
  </si>
  <si>
    <t>SW 83rd Terrace</t>
  </si>
  <si>
    <t>SW 36th Court</t>
  </si>
  <si>
    <t>Ramp north of I-595</t>
  </si>
  <si>
    <t>Pine Island Rpad</t>
  </si>
  <si>
    <t>Just of Southwood Circle</t>
  </si>
  <si>
    <t>SW 33rd Place</t>
  </si>
  <si>
    <t>SW 51st Court</t>
  </si>
  <si>
    <t>SW 26th Terrace</t>
  </si>
  <si>
    <t>Just south of Taylor Lane</t>
  </si>
  <si>
    <t>FEC rail crossing</t>
  </si>
  <si>
    <t>Tradewinds Park</t>
  </si>
  <si>
    <t>Tradewinds</t>
  </si>
  <si>
    <t>South Sawgrass Ramp</t>
  </si>
  <si>
    <t>North Sawgrass Ramp</t>
  </si>
  <si>
    <t>Just east of Turtle Run Boulecard</t>
  </si>
  <si>
    <t>Sawgrass Expressway Ramp</t>
  </si>
  <si>
    <t>NW 105th Lane</t>
  </si>
  <si>
    <t>Pine Island Rd</t>
  </si>
  <si>
    <t>Brian Picollo</t>
  </si>
  <si>
    <t>Hillsboro Canal Central</t>
  </si>
  <si>
    <t>NW 4th Court</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</si>
  <si>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</si>
  <si>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</si>
  <si>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</si>
  <si>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</si>
  <si>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</si>
  <si>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</si>
  <si>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</si>
  <si>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</si>
  <si>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</si>
  <si>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</si>
  <si>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</si>
  <si>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</si>
  <si>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</si>
  <si>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</si>
  <si>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</si>
  <si>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</si>
  <si>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</si>
  <si>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</si>
  <si>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</si>
  <si>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</si>
  <si>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</si>
  <si>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</si>
  <si>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</si>
  <si>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</si>
  <si>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</si>
  <si>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</si>
  <si>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</si>
  <si>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</si>
  <si>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N/A</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</si>
  <si>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</si>
  <si>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</si>
  <si>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</si>
  <si>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</si>
  <si>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</si>
  <si>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</si>
  <si>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</si>
  <si>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</si>
  <si>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</si>
  <si>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</si>
  <si>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</si>
  <si>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</si>
  <si>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</si>
  <si>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</si>
  <si>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</si>
  <si>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</si>
  <si>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</si>
  <si>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</si>
  <si>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</si>
  <si>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</si>
  <si>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</si>
  <si>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</si>
  <si>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</si>
  <si>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</si>
  <si>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</si>
  <si>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</si>
  <si>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</si>
  <si>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</si>
  <si>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</si>
  <si>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</si>
  <si>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</si>
  <si>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</si>
  <si>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</si>
  <si>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</si>
  <si>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</si>
  <si>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</si>
  <si>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</si>
  <si>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</si>
  <si>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</si>
  <si>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</si>
  <si>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</si>
  <si>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</si>
  <si>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</si>
  <si>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</si>
  <si>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</si>
  <si>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</si>
  <si>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</si>
  <si>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</si>
  <si>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</si>
  <si>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</si>
  <si>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If you are the implementing agency, is this project included within your Work Program?</t>
  </si>
  <si>
    <t>Unsure</t>
  </si>
  <si>
    <t>Not Applicable</t>
  </si>
  <si>
    <t xml:space="preserve">Needs Assessment Outreach Tool </t>
  </si>
  <si>
    <t>"Needed" (B12:B15)</t>
  </si>
  <si>
    <t>Work Program?</t>
  </si>
  <si>
    <t>Project Needed</t>
  </si>
  <si>
    <t>"WorkProgram" (E12:E14)</t>
  </si>
  <si>
    <t>"Update" (H12:H14)</t>
  </si>
  <si>
    <t>If you are the implementing agency, did you update the project description (Row"G")?</t>
  </si>
  <si>
    <t>Update Description?</t>
  </si>
  <si>
    <t>Additional Comments / Notes.</t>
  </si>
  <si>
    <t>Cost Phasing</t>
  </si>
  <si>
    <t>Project Type</t>
  </si>
  <si>
    <t>"Type" (K12:16)</t>
  </si>
  <si>
    <t>Data Lookups</t>
  </si>
  <si>
    <t>BCT</t>
  </si>
  <si>
    <t>Greenway</t>
  </si>
  <si>
    <t>ATMS Design Group 2</t>
  </si>
  <si>
    <t>ATMS Design Group 3</t>
  </si>
  <si>
    <t>ATMS Design Group 4</t>
  </si>
  <si>
    <t>ATMS Design Group 5</t>
  </si>
  <si>
    <t>ATMS Design Group 6</t>
  </si>
  <si>
    <t>Aggregate Terminal and Rail Yard</t>
  </si>
  <si>
    <t>AVI-Ground Transportation Management System</t>
  </si>
  <si>
    <t>Database Integration</t>
  </si>
  <si>
    <t>Inventory Clearance Equipment</t>
  </si>
  <si>
    <t>Long Term Remote Parking Facilities</t>
  </si>
  <si>
    <t>Shuttle Bus Maintenance/Operations Facility</t>
  </si>
  <si>
    <t>Terminal 4 Parking Garage</t>
  </si>
  <si>
    <t>Terminal 4 Second Loading Bridge</t>
  </si>
  <si>
    <t>Traveler Information via DMS</t>
  </si>
  <si>
    <t>Third Operations/Maintenance Facility</t>
  </si>
  <si>
    <t>New Local Bus Service(8 routes6)/Route Extension/Headway Improvement</t>
  </si>
  <si>
    <t>Tri-Rail</t>
  </si>
  <si>
    <t>Intermodal Centers/Hubs</t>
  </si>
  <si>
    <t>Park-n-Ride Facilities</t>
  </si>
  <si>
    <t>Bus Shelters/Bus Bays/Bus Stop Upgrades</t>
  </si>
  <si>
    <t>BCT Capital Maintenance Needs</t>
  </si>
  <si>
    <t>Broward County Transit including TDP Improvements and Partial O&amp;M Cost</t>
  </si>
  <si>
    <t>Tri-Rail/I-95 Corridor, Tri-Rail Shuttles</t>
  </si>
  <si>
    <t>Tri-Rail Deerfield Beach Station New Parking Deck</t>
  </si>
  <si>
    <t>Tri-Rail Hollywood Station, New Parking Deck</t>
  </si>
  <si>
    <t>Development of aggregate facility and rail</t>
  </si>
  <si>
    <t>AVI system within the airport roadway system</t>
  </si>
  <si>
    <t>Integrate available databases into a centralized system</t>
  </si>
  <si>
    <t>Realignment of existing road (construction)</t>
  </si>
  <si>
    <t>Upgrade/expand current FEC program; add SFRC</t>
  </si>
  <si>
    <t>Facility appropriate for 50+ bus fleet operations, 5 bay maintenance, fueling station, dispatch center and other appropriate functions</t>
  </si>
  <si>
    <t>New parking structure</t>
  </si>
  <si>
    <t>New passenger loading bridge</t>
  </si>
  <si>
    <t>Information on major incidents; security</t>
  </si>
  <si>
    <t>Systemwide, Broward County Transit</t>
  </si>
  <si>
    <t>Fixed Route Bus Service (Local Bus)</t>
  </si>
  <si>
    <t>Commuter Rail</t>
  </si>
  <si>
    <t>Premium Rapid Bus</t>
  </si>
  <si>
    <t>Premium High Capacity</t>
  </si>
  <si>
    <t>Street Car</t>
  </si>
  <si>
    <t>Systemwide Transit</t>
  </si>
  <si>
    <t>Tri-Rail Shuttles</t>
  </si>
  <si>
    <t>BTC</t>
  </si>
  <si>
    <t>downtown Fort Lauderdale</t>
  </si>
  <si>
    <t>Sawgrass Mills</t>
  </si>
  <si>
    <t>Area 2:West Broward</t>
  </si>
  <si>
    <t>Area 3:Northeast Broward</t>
  </si>
  <si>
    <t>Area 4:Southeast Broward</t>
  </si>
  <si>
    <t>Area 5:Northwest Broward</t>
  </si>
  <si>
    <t>Area 6:Southwest Broward</t>
  </si>
  <si>
    <t>FDOT and FTPK accessible</t>
  </si>
  <si>
    <t>At port exit</t>
  </si>
  <si>
    <t>Source</t>
  </si>
  <si>
    <t>2035 LRTP</t>
  </si>
  <si>
    <t>This would be a unique opportunity to add long distance bike facilties in the turnpike ROW, from: Coconut Creek</t>
  </si>
  <si>
    <t>Terrapin Lane</t>
  </si>
  <si>
    <t>NW 114 Lane</t>
  </si>
  <si>
    <t>Neighborhood Transit Center</t>
  </si>
  <si>
    <t>Parking Garage</t>
  </si>
  <si>
    <t>Add Bike Lanes</t>
  </si>
  <si>
    <t>Add sidewalks to both sides of Broken Woods Drive</t>
  </si>
  <si>
    <t>Add sidewalks</t>
  </si>
  <si>
    <t>Add sidewalks to both sides of NW 40 Street</t>
  </si>
  <si>
    <t>Rebuild 2-lane roadway to a 3-lane configuration with bike lanes.</t>
  </si>
  <si>
    <t>Rebuild 2-lane roadway to a 3-lane configuration, add bike lanes and sidewalks.</t>
  </si>
  <si>
    <t>Rebuild roadway to include three lane configuration., add bike lanes and sidewalks.</t>
  </si>
  <si>
    <t>A Neighborhood Transit Center to provide bus bays for multiple bus routes, kiss and ride area, bicycle storage, and bus transfer facilities.</t>
  </si>
  <si>
    <t>Purpose and Need</t>
  </si>
  <si>
    <t>NW 99 Way</t>
  </si>
  <si>
    <t>SR7</t>
  </si>
  <si>
    <t>Improve safety of bicyclists  and improve access to transit along Sample Road.</t>
  </si>
  <si>
    <t>Bike lanes on Lakeview Drive will provide an alternative to using arterial roadways of Atlantic Boulevard abnd Coral Springs Drive to access the Trailhead south of Atlantic Boulevard.</t>
  </si>
  <si>
    <t>Improve safety of bicyclists  and improve access to Coral Ridge Drive and transit Routes 83 and 34 that operate along NW 39 Street west of Coral Ridge Drive.</t>
  </si>
  <si>
    <t>Improve safety of bicyclists and improve access to BCT Route 83 that operates along Royal Palm Boulevard.  Improve access to Downtown Coral Springs and the Neighborhood Transit Center.</t>
  </si>
  <si>
    <t>Improve safety of bicyclists and improve access to Coral Ridge Drive and transit Route 83 that operates along Coral Ridge Drive and Royal Palm Boulevard.  Improves access to Westchester Elementary School and Coral Glades High School.</t>
  </si>
  <si>
    <t>Improve safety of bicyclists and improve access to transit along Sample Road and intersecting north/south routes.</t>
  </si>
  <si>
    <t>Improve safety of bicyclists and improve access to BCT Routes 34 and 83 that operate along Sample Road and Royal Palm Boulevard.  Improves access to Westchester Elementary School and Coral Glades High School.</t>
  </si>
  <si>
    <t>Improve safety of bicyclists  and improve access to transit along US 441/SR7 and Sample Road.</t>
  </si>
  <si>
    <t>Improve safety of bicyclists  and improve access to transit along State Road 7 and Sample Road.</t>
  </si>
  <si>
    <t>Improve safety of bicyclists  and improve access to transit along University Drive.</t>
  </si>
  <si>
    <t xml:space="preserve">Adding sidewalks will improve access to BCT routes on University Drive and Sample Road, improve the safety of pedestrians by separating them from the roadway, make walking more attractive in Downtown Coral Springs. </t>
  </si>
  <si>
    <t>Connecting a low income multi-family (RM-15) district to Sample Road.</t>
  </si>
  <si>
    <t>Improve safety for pedestrians within the Coral Springs Corporate Park by adding sidewalks and improve access to transit on NW 39 Street and Sample Road.</t>
  </si>
  <si>
    <t>Improve safety for pedestrians by adding sidewalks and improve access to BCT Routes 34 and 83 that operate along NW 124 Avenue within the Coral Springs Corporate Park.</t>
  </si>
  <si>
    <t>Improve safety for pedestrians by adding sidewalks that will enable better access to BCT Route 34 on Sample Road.  NW 33 Street is part of the Downtown Coral Springs CRA and sidewalks will enhance pedestrian mobility in the downtown area, designated as a Gateway Hub in the LRTP.</t>
  </si>
  <si>
    <t>Improve safety for pedestrians by adding sidewalks to improve access to BCT Route 34 on Sample Road.  NW 33 Street is part of the Downtown Coral Springs CRA and sidewalks will enhance pedestrian mobility in the downtown area, designated as a Gateway Hub in the LRTP.</t>
  </si>
  <si>
    <t xml:space="preserve">Adding sidewalks will improve access to the Community Bus route on Woodside Drive, improve the safety of pedestrians by separating them from the roadway and make walking more attractive. </t>
  </si>
  <si>
    <t>Improve safety for pedestrians by adding sidewalks and improve access to BCT Routes 34 and 83 within the Coral Springs Corporate Park.</t>
  </si>
  <si>
    <t>Build a 3-lane crossection with bicycle lanes to improve access to the Downtown Coral Springs and the Neighborhood Transit Center.  Improve safety of bicyclists as an alternative to University Drive.</t>
  </si>
  <si>
    <t>Build a 3-lane crossection with bicycle lanes and sidewalks to improve access to the Downtown Coral Springs and the Neighborhood Transit Center.  Improve safety of bicyclists as an alternative to Sample Road.</t>
  </si>
  <si>
    <t>Build a 3-lane crossection with bicycle lanes to improve access to the Coral Sprngs Corporate park, improve safety for bicyclists and pedestrians.</t>
  </si>
  <si>
    <t>The Neighborhood Transit Center (NTC) is required as part of the Downtown Coral Springs Development of Regional Impact (DRI) and will become a focalpoint of the Gateway Hub located within Downtown Coral Springs.  The NTC will bring several transit routes together at a common transfer point, which will improve pedestrian safety and enhance mobility.</t>
  </si>
  <si>
    <t xml:space="preserve">Parking garage will be associated with the development of a Neighborhood Transit Center in Downtown Coral Sprngs where several routes will intersect to facilitate transfers.  </t>
  </si>
  <si>
    <t>Coral Springs comments</t>
  </si>
  <si>
    <t>Coral Springs Comments</t>
  </si>
  <si>
    <t>I believe the project has been completed buy the County</t>
  </si>
  <si>
    <t>Currently in design.  Construction is scheduled in the TIP.</t>
  </si>
  <si>
    <t>N. Broward Study</t>
  </si>
  <si>
    <t>DRI</t>
  </si>
  <si>
    <t>Other</t>
  </si>
  <si>
    <t>Comp Plan</t>
  </si>
  <si>
    <t>TMT</t>
  </si>
  <si>
    <t>Davie comments</t>
  </si>
  <si>
    <t>Davie should not be listed as implementing agency</t>
  </si>
  <si>
    <t>Partial</t>
  </si>
  <si>
    <t>Only 26th is Town Local Road Master Plan</t>
  </si>
  <si>
    <t>BCC Internal driveway</t>
  </si>
  <si>
    <t>Project proposed for completion by FY2014</t>
  </si>
  <si>
    <t>From Davie: TOC Master Plan</t>
  </si>
  <si>
    <t>Hub</t>
  </si>
  <si>
    <t>The LPA for Central Broward no longer connects through this hub.</t>
  </si>
  <si>
    <t>RAC-Academical Village Master Plan supports transit hub here and there are major development plans under way supported by a recently-created Community Development District.</t>
  </si>
  <si>
    <t>TOC Master Plan supports major redevelopment here.  Given new Central Broward LPA, consider Anchor or Gateway here.</t>
  </si>
  <si>
    <t>Mobility hub related to 595 Exp. To be const. at Reese Rd</t>
  </si>
  <si>
    <t>2 to 4 lanes</t>
  </si>
  <si>
    <t>Add medians/LS for traf. Calming .</t>
  </si>
  <si>
    <t>Add medians/LS and ped. Crossings for traff. Calming 39th St. to Orange Dr.</t>
  </si>
  <si>
    <t>Complete sidewalk for pedestrian safety</t>
  </si>
  <si>
    <t>SW 30th St</t>
  </si>
  <si>
    <t>SW 39th St</t>
  </si>
  <si>
    <t>Nova Dr</t>
  </si>
  <si>
    <t>SW 29th St</t>
  </si>
  <si>
    <t>The Town's Regional Activity Center (RAC) centers on the approximately 1,000 acre South Florida Education Center, which is a significant, regional generator of daytime population and traffic.  The Town's RAC Master Plan (2006) and Local Road Master Plan (2009) support the improvement of College Avenue as a 4-lane urban collector with continuous bike lanes and sidewalks.  This is important to maintaining mobility within the entire RAC area and providing alternatives to Davie Road and University Drive.</t>
  </si>
  <si>
    <t>Reese Road , which is partly Town and partly FDOT right-of-way, provides the only access to the 100 acre Everglades Mobile Home Park and several industrial developments.  A sidewalk is needed to ensure public safety in general and to create a safe path to the proposed FDOT mobility hub (I-595 Express Bus park and ride) near Davie Road.</t>
  </si>
  <si>
    <t>City of Deerfield Beach supports this project</t>
  </si>
  <si>
    <t>Deerfield Beach comments</t>
  </si>
  <si>
    <t>Not in Deerfield Beach</t>
  </si>
  <si>
    <t>Sidewalks exist on the east side</t>
  </si>
  <si>
    <t>Included in project above (Project #29, ID 690)</t>
  </si>
  <si>
    <t>Needs investigation</t>
  </si>
  <si>
    <t>Construction completion scheduled in 2014</t>
  </si>
  <si>
    <t>Should be SW 11 WAY (not Avenue)</t>
  </si>
  <si>
    <t>Scheduled FY 18/19 per FDOT/MPO via mobility funds</t>
  </si>
  <si>
    <t>Bike lanes</t>
  </si>
  <si>
    <t>Part of 3R in FY2015</t>
  </si>
  <si>
    <t>Pending Grant Funding</t>
  </si>
  <si>
    <t>bike lanes (roadway reconstruction also required)</t>
  </si>
  <si>
    <t>Not feasible/cost prohibitive</t>
  </si>
  <si>
    <t>PD&amp;E FHWA-approved Locally Preferred Alternative  - Reconstruction - Roadway Expansion and Improvement, Bike, Pedestrian</t>
  </si>
  <si>
    <t>County line</t>
  </si>
  <si>
    <t>SE 3 St.</t>
  </si>
  <si>
    <t>Julio DelGado, FDOT - or Metric Enginerring</t>
  </si>
  <si>
    <t>See PD&amp;E study - much needed safety and traffic flow improvements</t>
  </si>
  <si>
    <t>Sidewalk and ADA improvements</t>
  </si>
  <si>
    <t>from 2 to 4 lanes and add bike lanes and sidewalk (more than just a bicycle project)</t>
  </si>
  <si>
    <t>The project will provide much needed pedestrian connection along this important corridor.</t>
  </si>
  <si>
    <t>This roadway section is the main corridor for the city's Fashion Row Arts District.  It is critical for this corridor to be designed to be a Complete Street that is pedestrian-friendly and can accommodate convenient on-street parking.</t>
  </si>
  <si>
    <t>Sidewalk Connection</t>
  </si>
  <si>
    <t>This roadway section is a critical east-west corridor for the city's Fashion Row Arts District.  A pedistrian friendly street section would connect the residential neighborhood to the emerging Arts District and the proposed city park.</t>
  </si>
  <si>
    <t>This roadway segment serves has excessive pavement and is in need of improved roadway configuration for vehicles, on street parking and pedestrians.</t>
  </si>
  <si>
    <t>The project will provide much needed bicycle connection along this important corridor.</t>
  </si>
  <si>
    <t>This project will facilitate the transit options for the public and provide some TOD opportunities within the city.</t>
  </si>
  <si>
    <t>Passenger Rail Station Parking Garage</t>
  </si>
  <si>
    <t xml:space="preserve">Grade separation interchange at Hallandale Beach Blvd. and Dixie Highway/E. 1st Aveue. </t>
  </si>
  <si>
    <t>A two-lane, two-way roadway is proposed to connect US 1 to Layne Boulevard.</t>
  </si>
  <si>
    <t>Reconstruction of existing Countyline Road (SW 11th Street) from Dixie Highway to West Hallandale Beach Blvd.</t>
  </si>
  <si>
    <t>Improvements to include Complete Street principals, milling and resurfacing roadway, adding curb and gutter, restriping lanes.</t>
  </si>
  <si>
    <t>New traffic signal/railroad crossing improvement at SE 9th Street and US 1.</t>
  </si>
  <si>
    <t>Parking garage in anticipation of a passenger rail station in the vicinity of SE 3rd Street.</t>
  </si>
  <si>
    <t>Corridor improvements to include Complete Streets principals.</t>
  </si>
  <si>
    <t>Propose an elongated roundabout so as to ease traffic flow and eliminate traffic light.</t>
  </si>
  <si>
    <t>SW 11th St.</t>
  </si>
  <si>
    <t>The goal of this grade separation is to maintain four lanes of east-west through movements on Hallandale Beach Blvd., while providing turning movements for access to and from the one-way pair of Dixie Highway/E. 1st Avenue.</t>
  </si>
  <si>
    <t>This link would assist in by-passing traffic on East Hallandale Beach Blvd. at the US 1 intersection.</t>
  </si>
  <si>
    <t>This new road would allow motorists from Gulfstream Village and US 1 north-bound to by-pass Hallandale Beach and US 1/Dixie Highway intersections.</t>
  </si>
  <si>
    <t>This modified configuration would allow dual traffic north-south and east-west, greatly improving the levels of service.</t>
  </si>
  <si>
    <t>This improvement is an important connection from Gulfstream to the Bluesten Park Corridor and the proposed Transit Rail Station.</t>
  </si>
  <si>
    <t>This connection is an important link to connect the Bluesten Park Corridor, the Town Center, and US 1.</t>
  </si>
  <si>
    <t>The proposed parking garage would serve as a transit hub and connect the Bluesten Park Corrior, with the Town Center and Gulfstream Village.</t>
  </si>
  <si>
    <t>To promote more traffic to use these alternate corridors so as to relieve US 1 traffic.</t>
  </si>
  <si>
    <t>There is an offset between Countyline Road and the driveway of the condominium to the east of Ocean Drive. An elongated roundabout would eliminate the need of a traffic light, allow continuous flow of traffic and include a future city gateway feature.</t>
  </si>
  <si>
    <t>Hollywood comments</t>
  </si>
  <si>
    <t>FDOT is reconstructing 441 starting in FY 2014</t>
  </si>
  <si>
    <t>MPO/FDOT funded project; Design FY 2015, Property Acquisition FY 2105/2016 and Construction FY 2017</t>
  </si>
  <si>
    <t>Improves pedestrian access to school</t>
  </si>
  <si>
    <t>Improves pedestrian access to school and connectivity of sidewalk network</t>
  </si>
  <si>
    <t>Install missing sidewalk segments on both sides of street</t>
  </si>
  <si>
    <t>Complete Streets Project under design from C-10 Canal to Federal Highway</t>
  </si>
  <si>
    <t>Improves pedestrian access and sidewalk connectivity</t>
  </si>
  <si>
    <t>Improves pedestrian access and sidewalk connectivity - Hollywood</t>
  </si>
  <si>
    <t>Davie and Hollywood comments</t>
  </si>
  <si>
    <t>Needs to be part of Complete Streets Project for Dixie Corridor</t>
  </si>
  <si>
    <t>Safe Routes to School</t>
  </si>
  <si>
    <t>Funded through MPO/FDOT; Construction scheduled to begin in 2014</t>
  </si>
  <si>
    <t>Install missing sidewalk segments</t>
  </si>
  <si>
    <t>Port improvements are a priority</t>
  </si>
  <si>
    <t>Improves pedestrian access</t>
  </si>
  <si>
    <t>Improves pedestrian access and connectivity of sidewalk network</t>
  </si>
  <si>
    <t>Project funded by MPO/FDOT Safe Routes to School Program</t>
  </si>
  <si>
    <t>Hallandale Beach and Hollywood comments</t>
  </si>
  <si>
    <t>The project will provide much needed pedestrian connection along this important corridor. Hallandale Beach</t>
  </si>
  <si>
    <t>Hallandale  Beach and Hollywood comments</t>
  </si>
  <si>
    <t>This needs to be a Complete Streets Project</t>
  </si>
  <si>
    <t>The project will provide much needed bicycle connection along this important corridor. - Hallandale</t>
  </si>
  <si>
    <t>Improves non-vehicular transportation</t>
  </si>
  <si>
    <t>Install marked bike lane in each direction, widen pavement as required.</t>
  </si>
  <si>
    <t>Provide shared lane arrow markings.</t>
  </si>
  <si>
    <t>Insufficient ROW (swale) to accommodate a paved bike lane on west side of road between Hollywood Boulevard and Taft Street.  City of Hollywood does not support this portion of the project.</t>
  </si>
  <si>
    <t>The project will provide much needed bicycle connection along this important corridor. - Hallandale Beach</t>
  </si>
  <si>
    <t>The project will provide much needed bicycle connection along this important corridor. - Hallandale Beach   This needs to be a complete streets project - Hollywood</t>
  </si>
  <si>
    <t>The majority of this area is restricted within the port.</t>
  </si>
  <si>
    <t>Located in Dania Beach, no part is in Hollywood</t>
  </si>
  <si>
    <t>Marked bike lane in each direction is needed to improve safety and improve non-vechicular transportation.</t>
  </si>
  <si>
    <t>City Hall to Dixie - Complete Streets Project; Dixie to 17th Avenue - provide shared lane markings</t>
  </si>
  <si>
    <t>Complete Streets Project</t>
  </si>
  <si>
    <t>Install marked bike lane in each direction, Complete Streets Project</t>
  </si>
  <si>
    <t>Marked bike lane in each direction is needed to improve safety and non-vehicular transportation. - Hollywood</t>
  </si>
  <si>
    <t>Provide shared lane markings from 441 to 56th.</t>
  </si>
  <si>
    <t>Curbing and drainage would need to implemented to accommodate bike lanes in corridor. Further ROW challenges exist between 35th and and 41st Avenue.</t>
  </si>
  <si>
    <t>West of C-10 Canal - install marked bike lane in each direction; East of C-10 Canal - Complete Streets Project</t>
  </si>
  <si>
    <t>This is a high priority project</t>
  </si>
  <si>
    <t>Add marked bike lanes to scope of work - Hollywood</t>
  </si>
  <si>
    <t>Relation to Map-21 project??? - Davie</t>
  </si>
  <si>
    <t>Not enough information to review</t>
  </si>
  <si>
    <t>Project is presently under construction</t>
  </si>
  <si>
    <t>This project will facilitate the transit options for the public and provide some TOD opportunities within the city. - Hallandale Beach</t>
  </si>
  <si>
    <t>This project will facilitate the transit options for the public and provide some TOD opportunities within the city. - Hallandale Beach      Needs to be part of Complete Streets Project for Dixie Corridor - Hollywood</t>
  </si>
  <si>
    <t xml:space="preserve">No </t>
  </si>
  <si>
    <t>Greenways are a prioity for connectivity</t>
  </si>
  <si>
    <t>Greenways are a priority for connectivity - Hollywood</t>
  </si>
  <si>
    <t>Work recently completed on this rodway.  Unsure as to what improvements would be done to make it a Greenway.</t>
  </si>
  <si>
    <t>This project proposes to go through restricted areas of the port.  Unsure as to how this Greenway would work.</t>
  </si>
  <si>
    <t xml:space="preserve">Widen Pavement (5 feet each side) and provide marked bike lanes; reconstruct residential driveway aprons as necessary and provide right turn lane key holes at NW 72nd Avenue ans NW 64th Avenue. </t>
  </si>
  <si>
    <t>Marked crosswalks - provide marked , enhanced crosswalks at : NW 76th Ave; Broward Heights School Entrance; NW 69th Way; NW 68th Ave; NW 65th Ave (western leg).</t>
  </si>
  <si>
    <t>Widen pavement to provide marked bike lanes with potential use of shared bike-lane right turn lane at NW 62nd Avenue and SR-7 eastbound; Reconstruct driveway aprons as necessary; Provide crosswalk markings and enhance lighting at signalized intersections; Enhance sidewalk delination through commercial driveways/continuous dropped curb.</t>
  </si>
  <si>
    <t>Conduct round-about feasibility study to evaluate the feasibility of replacing the traffic signal with a round-about (approximately 90 ft diamater).</t>
  </si>
  <si>
    <t>Install crosswalk markings, provide pedestrian countdown signals and enhance intersection lighting; Complete sidewalk connection on southwest quadrant of intersection; Consider feasibility of replacing the traffic signal with a round-about (approximately 90 ft diameter).</t>
  </si>
  <si>
    <t>Widen pavement to provide marked bike  lanes; Reconstruct driveway aprons as necessary.</t>
  </si>
  <si>
    <t>Widening to provide bike lanes would require reconstruction of curb and gutter system and relocation of drainage inlets; Provide shared arrow markings as a cost-feasible alternative.</t>
  </si>
  <si>
    <t>Provide a marked midblock crosswalk and median refuge island across the east leg of this intersection.</t>
  </si>
  <si>
    <t>Re-stripe crosswalks and enhance intersection/crosswalk lighting.</t>
  </si>
  <si>
    <t>Provide marked bike lanes.  There is approximately 50 ft of pavement for 4 lanes (including center turn lane).  Alternate 1: Consider reducing lane width to 10 ft to provide 5 ft bike lanes along both sides of the road.       Alternate 2: Consider reducing lane width to 11 ft and widening the roadway by 4 ft to the south to provide 5 ft bike lanes along both sides of the road.                                                                                                                                                     Alternate 3: Reduce westbound inside lane to 10 ft to create wide outside lane (12-13 ft) and mark with shared lane arrow.                                                                                                                                                                                                                 Restripe intersection approaches at Park Road to provide bike lane keyholes.</t>
  </si>
  <si>
    <t>Widen pavement to provide marked bike lanes. Reconstruct driveway aprons as necessary</t>
  </si>
  <si>
    <t>There is a sidewalk gap.  Complete sidewalk along the north side of Johnson Street to the C-10 Canal Bridge</t>
  </si>
  <si>
    <t>Provide a marked midblock crosswalk to increase pedestrian conectivity</t>
  </si>
  <si>
    <t>Widen pavement (5 feet each side) and provide marked bike lanes; reconstruct residential driveway aprons as necessary and provide right turn lane key holes at Johnson Street.</t>
  </si>
  <si>
    <t>Eliminate the eastbound left turn lane and operate the westbound left turn lanes at the Turnpike entrance and 62nd Avenue in coordination so that traffic in the inside left turn lane can turn onto 62nd Avenue or the Turnpike.</t>
  </si>
  <si>
    <t>Available roadway lighting fixtures are not aligned with crosswalk areas.  Provide crosswalk lighting at this intersection.</t>
  </si>
  <si>
    <t>Widen pavement (5 feet each side) and provide marked bike lanes; reconstruct driveway aprons as necessary and provide right turn lane key hole at SR 7.</t>
  </si>
  <si>
    <t>Crosswalk across the south leg of the intersection is not marked.  Provide marked crosswalks across all legs of the intersection.</t>
  </si>
  <si>
    <t>Convert Washington Street from a 4-lane undivided section to a 2-lane divided section with bike lanes.  Traffic volume is roughly 10,000 AADT and well within the parameters for a standard road diet.  Provide periodic landscape median refuge islands.</t>
  </si>
  <si>
    <t>Widen pavement to provide marked bike lanes.  Reconstruct driveways aprons and shift sidewalk along the south side to back of ROW as necessary.</t>
  </si>
  <si>
    <t>Widen pavement (5 feet each side) and provide marked bike lanes; reconstruct residential driveway aprons as necessary and provide right turn lane key hole at Johnson Street or eliminate northbound right turn lane.</t>
  </si>
  <si>
    <t>Crosswalk is missing across east leg of the intersection.  Provide pedestrian features at all legs of the intersection.</t>
  </si>
  <si>
    <t>Missing light features at southwest and northwest quadrants.  Enhance lighting - consider using existing signal mast arms.</t>
  </si>
  <si>
    <t>Crosswalk missing across east leg of intersection.  Provide marked crosswalk and pedestrian signals for all approaches.  Missing light features at southeast and northeast quadrants.  Enhance lighting - consider using existing signal mast arms.</t>
  </si>
  <si>
    <t>Crosswalk missing across east leg of intersection.  Provide marked crosswalk and pedestrian signals for all approaches.  Missing light features at southwest and northeast quadrants.  Enhance lighting - consider using existing signal mast arms.</t>
  </si>
  <si>
    <t>Sidewalk is incomplete along both sides of the street.  Fill sidewalk gaps and provide curb ramps along 58th Avenue.  Provide shared lane arrow markings.</t>
  </si>
  <si>
    <t>Sidewalk is incomplete along both sides of the street.  Fill sidewalk gaps and provide curb ramps along Fillmore Street.  Provide shared lane arrow markings.</t>
  </si>
  <si>
    <t>Provide diagonal connection through neighborhood; provide shared lane arrow markings.</t>
  </si>
  <si>
    <t>Glenn Parkway</t>
  </si>
  <si>
    <t>Provide a bike corridor along Lincoln Street in lieu of Johnson Street.  Johnson Street lacks right-of-way to provide marked bike lanes in this section and traffic volumes are too high to consider taking the center turn lane.  Because of planned closures of Glenn Parkway and Lincoln Street at SR-7, the risk of cut through traffic is reduced and it may be feasible to redirect two-way stop controls to facilitate east-west bicycle movements.  Consider prohibiting through automobile traffic at 58th Avenue if cut through traffic becomes an issue.  Apply bike boulevard design treatments.</t>
  </si>
  <si>
    <t>Complete Streets Project:  Right-of-way will need to be increased to 50 feet and this will require taking property in some areas.  Project will include an 8 ft wide sidewalk on each side, a marked 5 ft bike path on each side (10 ft turn lane) and (2) 10 ft wide travel lanes.  Traffic circles will be instaled at N 24th Avenue and N 20th Avenue.</t>
  </si>
  <si>
    <t>Provide shared lane arrows markings to connect from Federal Highway to Holland Park</t>
  </si>
  <si>
    <t>Provide sidewalk connection/curb ramp on south side of Johnson Street from 17th Avenue to Hollywood Beach Golf Resort entrance; provide curb ramps along Johnson Street for sidewalk along the north side.</t>
  </si>
  <si>
    <t>Widen pavement (5 ft each side) and provide marked bike lanes; reconstruct residential driveway aprons as necessary and provide right turn lane key hole at Washington Street (Southbound).</t>
  </si>
  <si>
    <t>Widen pavement (5 ft each side) and provide marked bike lanes; reconstruct residential driveway aprons as necessary.</t>
  </si>
  <si>
    <t>Consider converting the current 4-lane divided roadway with (2) 10 ft travel lanes in each direction into a 2-lane divided roadway with a 14 ft inside lane and 6 ft marked bike lanes (AADT &lt; 12,000).  An alternative would be to mark the outside lanes with shared lane arrows.</t>
  </si>
  <si>
    <t>Provide east-west connectivity through the neighborhood by providing shared lane arrow markings and marked crosswalks at N 46th Avenue.</t>
  </si>
  <si>
    <t>Consider converting the current 4-lane divided roadway with (2) 10 ft travel lanes in each direction into a 2-lane divided roadway with a 14 ft inside lane and 6 ft marked bike lanes (low AADT 4-lane roadway).  An alternative would be to mark the outside lanes with shared lane arrows.</t>
  </si>
  <si>
    <t>Provide marked bike lanes.  Add 5 ft shoulder and provide right turn key holes at Target Driveway, Fillmore Street and Johnson Street northbound by reducing lane widths, adding pavement to the inside shoulder as necessary.  Provide keyhole at Hollywood Boulevard southbound by reducing lane width to 10.5 ft.</t>
  </si>
  <si>
    <t>Provide marked bike lanes.  Southbound add 5 ft shoulder and provide right turn key holes by reducing lane widths and adding pavement to the inside shoulder as necessary.  Northbound, tree conflicts may make adding paved shoulder difficult.  Therefore utilize existing paved trail and transition to a bike lane approximately 300 ft south of Hollywood Boulevard.  Reduce length of NB right turn lane and taper from 430 ft to 33 ft (matching the left turn lanes) and use the recovered area to affect trailto bike lane transition.  Provide a right turn lane keyhole by reducing lane widths to 10.5 ft.</t>
  </si>
  <si>
    <t>Restripe crosswalk markings; enhance lighting in northwest and southwest quadrants; reduce northeast curb radii and/or provide directional ramp for crossing of east leg of intersection.</t>
  </si>
  <si>
    <t xml:space="preserve">Restripe crosswalk markings; enhance lighting in southeast and southwest quadrants; reduce southwest curb radii. </t>
  </si>
  <si>
    <t>There is no protected crossing for pedestrians to cross Hollywood Boulevard in the vicinity of the Tri-Rail Station/I-95.  Move the eastbound stop-bar on Hollywood Boulevard approximately 20 ft to the west and provide a high-emphasis marked crosswalk across Hollywood Boulevard and through the existing raised median.  Provide for a 2-stage pedestrian crossing such that pedestrians cross from the north side of Hollywood Boulevard to the median concurrent with the southbound left turn phase and from the median to the south side of Hollywood Boulevard concurrent with the westbound left turn phase.  Note that this configuration will impact the southbound right turn phase since it is in conflict with the crosswalk.</t>
  </si>
  <si>
    <t>On-ramp geometry creates a free-flow condition which reduces drivers' willingness/ability to yield to pedestrians crossing from the sidewalk to the island at the I-95 on-ramp.  Provide R10-15 "Right-Turn-Yield-to-Pedestrians" signs.  Consider signalizing the right turn movement, using pedestal mounted signals such that the pedestrian phase from the west side of Hollywood Boulevard to the right turn island is provided concurrent with the west bound left turn phase.</t>
  </si>
  <si>
    <t>Interaction with the rail grade crossing to the immediate west impacts traffic on the off ramp and may contribute to spill-back into the ramp decelleration area or outside southbound lanes on I-95.  Continue to coordinate with Tri-Rail to determine if there is a practical solution to the "false positive" rail crossing gate activation.  Consider extending the 4-lane section of the off-ramp to the north as necessary.</t>
  </si>
  <si>
    <t>Off-ramp geometry creates a free-flow condition which reduces drivers' willingness/ability to yield to pedestrians crossing from the sidewalk to the island at the I-95 off-ramp.  Revise ramp geometry to either eliminate the right turn island, reduce the curb radius, and signalize the right turn movement or revise the island geometery to provide a lower angle of approach and thereby reduce the impression of a free-flow condition.  Supplement with R10-15 "Right-Turn-Yield-to-Pedestrians" signs.</t>
  </si>
  <si>
    <t>Enhance connectivity by providing a high-emphasis marked crosswalk across Hollywood Boulevard between the existing right turn channelization islands and through the raised median.  Provide for a 2-stage pedestrian crossing such that pedestrians cross from the northbound off-ramp island (south side of Hollywood Boulevard) to the median concurrent with the northbound left-turn phase and from the median to the northbound on-ramp island (north side of Hollywood Boulevard) concurrent  with the eastbound left-turn phase.  Note that this configuration will not impact the northbound right turn phase.</t>
  </si>
  <si>
    <t>Consider providing shared lane markings to increase bike opportunities.</t>
  </si>
  <si>
    <t>Complete Streets Project:</t>
  </si>
  <si>
    <t>Complete Streets Project: Van Buren Street is a high volume local street that serves as part of a one-way pair system (with Polk Street) from 26th Avenue to Dixie Highway.  Improvements to the pedestrian realm and considerarion for bicycle facilities will improve safety/mobility in this corridor.  Provide curb and gutter on both sides of the street and reconstruct concrete driveway aprons.  Reconfigure street to accomodate bike lanes or shared lane markings.</t>
  </si>
  <si>
    <t>Restripe crosswalk markings, provide pedestrian push-button signals, provide ADA curb ramps and provide intersection/crosswalk area lighting.</t>
  </si>
  <si>
    <t>Complete Streets Project:  Polk Street is a high volume local street that serves as part of a one-way pair system (with Van Buren Street) from 26th Avenue to Dixie Highway.  Improvements to the pedestrian realm and considerarion for bicycle facilities will improve safety/mobility in this corridor.  Provide curb and gutter on both sides of the street and reconstruct concrete driveway aprons.  Reconfigure street to accomodate bike lanes or shared lane markings.</t>
  </si>
  <si>
    <t>Restripe crosswalk markings, provide ADA curb ramps and provide intersection/crosswalk area lighting.</t>
  </si>
  <si>
    <t>North-south multimodal corridor; mark with shared lane arrows.</t>
  </si>
  <si>
    <t>Complete Streets Project: Project affects a road diet to reduce Dixie Highway/21st Avenue from 6 lanes to 4 lanes with bike lanes and streetscaping improvements.  Project in conjunction with Tri-Rail Coastal Link Station Area / Mobility Hub.</t>
  </si>
  <si>
    <t>Provide marked bike lanes by widening pavement (5 ft each side); reconstruct residential driveway aprons as necessary and provide right turn lane key hole at Washington Street (Southbound).  Complete sidewalk segments as necessary.</t>
  </si>
  <si>
    <t>Complete missing sidewalk segments</t>
  </si>
  <si>
    <t>Pedestrians/Cyclists returning from beach need to cross Hollywood Boulevard near the bridge. (An alternative to a mid-block crosswalk in the vicnity of 8th Avenue is to provide stairs from either side of the bridge to 9th Avenue using the existing sidewalks as the ADA acessible path.)  Consider providing a marked crosswalk with RRFB, lighting and appropriate advance warning and pavement markings along the west leg of the intersection of 8th Avenue and Hollywood Boulevard.  If median width is adequate, consider a "dog-leg" crosswalk design.  Construct curb bulb outs to reduce crossing exposure.  Consider supplementing the typical RRFB installation for the westbound approach with an overhead element and/or advance beacons on the ICW bridge.  Use of overhead elements can be used to retrofit as a pedestrian signal if pedestrian volumes warrant in the future.  Extend the median barrier and provide correct end treatment (current design will vault cars into air) to discourage crossing on the east leg of the intersection.  Consider creating a cul-de-sac at S 7th Avenue at 8th Avenue to simplify pedestrian conflicts and provide a solution for the sidewalk ramp geometry which is difficult for cyclists who use the sidewalk to cross the bridge.  This will require allowing 2-way traffic to provide ingress/egress to homes along Hollywood Boulevard/7th Avenue between 8th Avenue and the ICW. (Alternatively, preserve 7th Avenue as a one way street, but only permit right turns onto 8th Avenue.)</t>
  </si>
  <si>
    <t>Complete Streets Project:  From Hallandale Beach Boulevard to the Hollywood Boulevard bridge ramps, SR A1A is a 6-lane divided roadway with a raised median.  Traffic volumes raninging from 24,000 to 32,000 AADT.  The roadway lacks bicycle lanes and the available pavement width is insufficient to provide bike lanes by narrowing the travel lanes.  The nearest signalized  intersection south of Hollywood Boulevard is at Adams Street approximately 0.45 miles south of Hollywood Boulevard.  Although the seasonal and peak hour characteristics of traffic along the beach are likely to be different than for a typical suburban  arterial, the AADT volumes suggest that LOS "D" may be achieved on a 4-lane divided roadway if volumes remain similar to current levels.  Conduct operational analysis based on peak season traffic characteristics to assess the feasonability of affecting a road diet from a 6-lane divided roadway to a 4-lane divided roadway.  In addition to providing bike lanes in each direction, consider allocating the surplus pavement to provide a combination of: 1) Wider Sidewalks, 2) Wider median (to help facilitate U-turns and 2-stage left turns) and 3) Dedicated transit vehicle  running ways or shared Trolley and Bike Lanes.</t>
  </si>
  <si>
    <t>Complete Streets Project:  From Hollywood Boulevard north to Johnson Street, SR A1A is a 4-lane divided road with mostly painted (2-way left turn) median and some landscaped median islands.  There are signalized intersections at Arizona Street (0.15 miles north of Hollywood Boulevard), Indiana Street (0.20 miles north of Arizona Street), and at Johnson Street (0.15 miles north of Indiana Street).  Traffic volumes south of Sheridan Street are approximately 20,500 AADT.  Converting the road to a 2-lane divided roadway would likely create LOS "F" conditions and could impact hurricane evacuation.  Identify opportunities to create additional median pedestrian refuge areas and provide marked mid-block crosswalks with RRFBs and pedestrian lighting for:  Fillmore Street (provide marked crosswalk  thru existing median island) and Michigan Street (provide a crosswalk and refuge island at the south leg of the intersection).</t>
  </si>
  <si>
    <t>Crosswalks across the following free flow movements are challenging for pedestrians:  Eastbound right turn onto southbound SR A1A; Northbound right turn onto westbound Hollywood Boulevard; Northbound  merge onto northbound SR A1A.  Provide high-emphasis crosswalk markings, crosswalk lighting, R10-15 Yield to Pedestrian signs, and advance warning.  Longer term, consider reconstructing the Hollywood Boulevard  ramp termini along northbound SR A1A to a non-free flow configuration by bringing them into SR A1A at 90 degrees.</t>
  </si>
  <si>
    <t>Signalized intersections lack crosswalks at all legs.  Provide a pedestrian crossing across the south leg of the signal at Indiana Street with a cut-through in the median island.</t>
  </si>
  <si>
    <t>Signalized intersections lack crosswalks at all legs.  Provide a pedestrian crossing across the south leg of the intersection.</t>
  </si>
  <si>
    <t>Complete Streets Project:  Tyler Street is a high volume downtown street with 3 westbound travel lanes.  Improvements to the pedestrian realm and consideration for bicycle facilities will improve safety/mobility in this corridor.  Reducing the travel lanes to 2 lanes will allow for wider pedestrian sidewalks, a marked bicycle lane and landscape improvements.</t>
  </si>
  <si>
    <t>Hollywood City Limits</t>
  </si>
  <si>
    <t>C-10 Canal</t>
  </si>
  <si>
    <t>West of RR Tracks</t>
  </si>
  <si>
    <t>I-95 SB On-Ramp</t>
  </si>
  <si>
    <t>I-95 SB Off-Ramp</t>
  </si>
  <si>
    <t>I-95 NB On-Ramp</t>
  </si>
  <si>
    <t>I-95 NB Off-Ramp</t>
  </si>
  <si>
    <t>I-95 Northbound Ramps</t>
  </si>
  <si>
    <t>Hallendale Beach City Limit</t>
  </si>
  <si>
    <t>Congestion Management Strategy                                                      Hollywood / Pines Corridor Project</t>
  </si>
  <si>
    <t>Lauderdale Lakes</t>
  </si>
  <si>
    <t>C-13 Greenway trail</t>
  </si>
  <si>
    <t>@ Sr 7 crossing</t>
  </si>
  <si>
    <t>"Hawk" on demand activated traffic light</t>
  </si>
  <si>
    <t>for pedestrian safety on completed non-vehicular transit facility. needed for pedestrian/bike safety and to complete regional section of C-13 trail in L. Lakes</t>
  </si>
  <si>
    <t>(needed to complete connection to L. Lakes to Oakland Park portions of the built trail segments needed) @ $150,000 est. to complete ¼ mile un-built trail section.</t>
  </si>
  <si>
    <t>2.) C-13 Greenway Trail "gap" to complete ¼ mile un-built trail section.</t>
  </si>
  <si>
    <t>Lighthouse Point comments</t>
  </si>
  <si>
    <t>What is this project for?</t>
  </si>
  <si>
    <t>This is a project to construct new sidewalks on Lighthouse Drive where there are currently no sidewalks. The new sidewalks would connect with existing sidewalks in Deerfield Beach. Pedestrians now must walk in the street or in the swale. The project would encourage more pedestrian travel.</t>
  </si>
  <si>
    <t>Deerfield Beach and Lighthouse Point comments</t>
  </si>
  <si>
    <t xml:space="preserve">Lighthouse Point supports this project </t>
  </si>
  <si>
    <t>City of Deerfield Beach supports this project.    This project is not in Lighthouse Point</t>
  </si>
  <si>
    <t>City of Deerfield Beach supports this project     This project is not in Lighthouse Point</t>
  </si>
  <si>
    <t xml:space="preserve">City of Deerfield Beach supports this project    Lighthouse Point supports this project </t>
  </si>
  <si>
    <t>This project is not in Lighthouse Point</t>
  </si>
  <si>
    <t xml:space="preserve">The map does not look accurate.    </t>
  </si>
  <si>
    <t>Margate comments</t>
  </si>
  <si>
    <t xml:space="preserve">Royal Palm Blvd is a major east-west thoroughfare connecting Rock Island Road and State Road 7, but having no bicylce lanes.  The City adopted the TOC land use along State Road 7 in 2008 and is actively pursuing the Complete Streets Model for all roads within the City, as applicable.  Provide bicycle lanes along Royal Palm Boulevard is essential to providing a non-auto orientated transportation options throughout the City.  </t>
  </si>
  <si>
    <t>Intersection Improvments</t>
  </si>
  <si>
    <t xml:space="preserve">There is significant traffic back up and delays at this intersection, specifically eastbound on Royal Palm in the morning and westbound on Royal Palm in the evening.  </t>
  </si>
  <si>
    <t>NA</t>
  </si>
  <si>
    <t>Miramar comments</t>
  </si>
  <si>
    <t>developer will install with project development</t>
  </si>
  <si>
    <t>Hollywood and Miramar comments</t>
  </si>
  <si>
    <t>Yes-Hollywood</t>
  </si>
  <si>
    <t>Project is complete</t>
  </si>
  <si>
    <t>From 2 to 4 lanes (4LD)  The road is not built in Miramar</t>
  </si>
  <si>
    <t xml:space="preserve">This roadway will improve the ability to get to places faster and improve the mobility and connectiveity for people.  Maintain current hurricane evacuation times. </t>
  </si>
  <si>
    <t>New 4 lanes - 2 lanes exist from SW 184th Ave to SW 179 Way</t>
  </si>
  <si>
    <t>Coral Springs and Davie and Miramar comments</t>
  </si>
  <si>
    <t>Project complete</t>
  </si>
  <si>
    <t xml:space="preserve"> The portion within Miramar is complete</t>
  </si>
  <si>
    <t>Provide more pedstrian connectivity</t>
  </si>
  <si>
    <t>Not in city of Oakland Park</t>
  </si>
  <si>
    <t>Consistent with City plan to bring passenger rail thru Oakland Park.</t>
  </si>
  <si>
    <t>Provide provided traffic calming and safer walking paths for pedestrians</t>
  </si>
  <si>
    <t>City of OP recently completed sidewalk improvement from NE 12 Terr. To NE 18 Ave.</t>
  </si>
  <si>
    <t>Sidewalk to be completed as part of City of OP Bid Pack 9 NIP</t>
  </si>
  <si>
    <t>Help provide move connectivity throughout City and increase multi modal options</t>
  </si>
  <si>
    <t xml:space="preserve"> Bike Lanes. This area is not considered to be in the City of Oakland Park</t>
  </si>
  <si>
    <t>Not in the City of OP</t>
  </si>
  <si>
    <t xml:space="preserve"> Project to be completed next year as part of City's Bid Pack 9 NIP</t>
  </si>
  <si>
    <t>Project is not in the City of OP</t>
  </si>
  <si>
    <t>update roadway to include complete streets criteria and connectivity to our downtown area.</t>
  </si>
  <si>
    <t xml:space="preserve"> City of OP is champion and TAP project for Andrews Ave from Prospect Road to OPB implementing Complete Street criteria</t>
  </si>
  <si>
    <t>TEP $1m funded City of OP project scheduled to begin in FY15 for street scape improvement from Powerline to Royal Park Dr. to include bike lanes.</t>
  </si>
  <si>
    <t xml:space="preserve"> City of OP just completed NW 44 Street walking path</t>
  </si>
  <si>
    <t>Provide provided traffic calming and safer walking paths for pedestrians and greenway</t>
  </si>
  <si>
    <t>Mast arms and Pedstrian improvement and signal timing improvement are need at this location</t>
  </si>
  <si>
    <t>Intersection Improvements  at Powerline Road</t>
  </si>
  <si>
    <t>Resident would not be in favor of this widening, because in would increase traffic along this roadway.</t>
  </si>
  <si>
    <t>Supportive of project due to high bus ridership by City residents and communters</t>
  </si>
  <si>
    <t>Supports any improved ashetics in the City</t>
  </si>
  <si>
    <t>Oakland Park comments</t>
  </si>
  <si>
    <t>Provide raised medians and dedicated turn lanes, bike lanes and mid block crossings for better connectivity to businesses.</t>
  </si>
  <si>
    <t>Stretscape improvements that provide bike lanes, sidewalks and pedstrian lighting</t>
  </si>
  <si>
    <t>greenway improvements</t>
  </si>
  <si>
    <t>Roadway reconstruction to eliminate drainage issues</t>
  </si>
  <si>
    <t>Downtown Parking Garage</t>
  </si>
  <si>
    <t>Parking garage to facilitate potential passenger rail users for proposed hub at this location</t>
  </si>
  <si>
    <t>lighting</t>
  </si>
  <si>
    <t>Bridge Improvement</t>
  </si>
  <si>
    <t>OPB</t>
  </si>
  <si>
    <t>I95</t>
  </si>
  <si>
    <t>Dixie Hwy</t>
  </si>
  <si>
    <t>Provide safer routes for pedstrians and better connectivity for residents to businesses.</t>
  </si>
  <si>
    <t>provide a more ashetic roadway along a plighted corridor</t>
  </si>
  <si>
    <t>Major drainage issue during intense storms making roadway untravelable</t>
  </si>
  <si>
    <t>Pestrian lighting for the new greenway and walking path constructed by the City of OP</t>
  </si>
  <si>
    <t>Deteriorating bridges throughout the City (Public Safety)</t>
  </si>
  <si>
    <t>New sidewalk on the northside of Holmberg Road from Riverside Drive to approximately 760' east of University Drive. The Access Road no longer exist. This project is still needed but is currently limited due to right of way constraints. City wants this project prioritized to a lower rank.</t>
  </si>
  <si>
    <t>Parkland comments</t>
  </si>
  <si>
    <t>Sidewalk Project.</t>
  </si>
  <si>
    <t>Clarity is needed on the scope of this project. City would like to work with the County as well as the MPO on this project.</t>
  </si>
  <si>
    <t>The City wants this project prioritized to a higher ranking and wants to work with the MPO to make that plausible. The City has also added a proposed Bicycle Network to this Corridor ( See tab "Step 3") and would like to do both projects simultaneously.</t>
  </si>
  <si>
    <t>Replace existing asphalt sidewalk and replace it with new 5' concrete sidewalk. The existing sidewalk does not promote usage and is not uniform through out the corridor. New sidewalk would promote usuage and also connect to pedestrian facilities on Holmberg Road and Loxahatchee Road (future connection).</t>
  </si>
  <si>
    <t>Project impacts the City of Parkland from Holmberg Road to the Sawgrass Expressway.  - Parkland</t>
  </si>
  <si>
    <t>City of Parkland supports this Project</t>
  </si>
  <si>
    <t>Coral Springs and Parkland comments</t>
  </si>
  <si>
    <t>The City is always looking for opportunity to expand upon our Bicycle Network and would support this project if it is indeed within a area of the City that warrants the bike lane. - Parkland</t>
  </si>
  <si>
    <t>Please provide direction as to the parameter of this project. Specifically the intersection with the City of Parkland.</t>
  </si>
  <si>
    <t>No - Parkland</t>
  </si>
  <si>
    <t>The City supports this project and there is ample right of way for a bicycle network.</t>
  </si>
  <si>
    <t>Curently a member of the University Drive Study PAC that is evaluating the need for this project or alternate measures for improving the entire University Corridor. Unsure how this will impact this project moving forward. - Parkland</t>
  </si>
  <si>
    <t>Current roadway has split ownership at different segments of the roadway. City of Parkland, North Springs Improvement District and Broward County all own the roadway at various segments.</t>
  </si>
  <si>
    <t>Not sure if Parkland initiated this request but we definitely support it and would like to see it rank higher but understand that the project is land -tied. Right of way is necessary for this project to move forward and at the moment those rights of way are private farm land.</t>
  </si>
  <si>
    <t>Project is necessary but is hampered by the need of rights of way that is currently private farm land. As such the project has a rank of 11 and the City believes that rank should remain.</t>
  </si>
  <si>
    <t>Currently the City of Parkland has only one East-West major arterial (Holmberg Road) that traverses the entire city. This project would provide relief for the surrounding roadways, improve residents and users the ability to get to places faster within the City and surrounding municipalities and support economic growth and development along the corridor.</t>
  </si>
  <si>
    <t>Project is necessary but is hampered by the need of rights of way that is currently private farm land. As such the project has a rank of 13 and the City believes that rank should remain.</t>
  </si>
  <si>
    <t>This roadway is currently owned by North Springs Improvement District but the City supports the extension as it links the roadway to anticipated High School .</t>
  </si>
  <si>
    <t>Would appreciate information on this project and its impacts to the City of Parkland.</t>
  </si>
  <si>
    <t>Would appreciate information on this project and its impacts to the City of Parkland. - Parkland</t>
  </si>
  <si>
    <t>Unsure how this project would be implemented due to various limitation and complication.</t>
  </si>
  <si>
    <t>New Bicycle Lane along corridor</t>
  </si>
  <si>
    <t>2L to 2LD with medians,sidewalk and bicycle network</t>
  </si>
  <si>
    <t>This project will help to complete the Bicycle Network within the City of Parkland. The project in combination with the existing Pedestrian project will promote Bike/Ped use on the corridor and assist with connectivity to existing facilities.</t>
  </si>
  <si>
    <t>This project will help to complete the Bicycle Network within the City of Parkland. The project  will promote Bike use on the corridor and promote assist with connectivity to existing facilities.</t>
  </si>
  <si>
    <t>This project will help to complete the Bicycle Network within the City of Parkland. In addition the proposed sidewalk will promote Bike/Ped use on the corridor and assist with connectivity to existing facilities.</t>
  </si>
  <si>
    <t>New 2 lanes</t>
  </si>
  <si>
    <t>Construction start 7/01/2013, complete 3/01/2014</t>
  </si>
  <si>
    <t>Project has been completed.</t>
  </si>
  <si>
    <t>Pompano comments</t>
  </si>
  <si>
    <t>This project is being looked at to add bike lanes and sidewalks.</t>
  </si>
  <si>
    <t>Some sidewalks are finished.</t>
  </si>
  <si>
    <t>Deerfield Beach and Pompano comments</t>
  </si>
  <si>
    <t>Not in Deerfield Beach      Project has been completed. - Pompano</t>
  </si>
  <si>
    <t>Project has been completed. Part of the NCNIP. - Pompano</t>
  </si>
  <si>
    <t>Completed as part of the recent 3R project.</t>
  </si>
  <si>
    <t>Oakland Park and Pompano comments</t>
  </si>
  <si>
    <t>City of OP recently completed sidewalk improvement from NE 12 Terr. To NE 18 Ave. - Oakland Possible complications. Lots of existing parking to go through. - Pompano</t>
  </si>
  <si>
    <t>Possible complications. Lots of existing parking to go through.</t>
  </si>
  <si>
    <t>The path is being looked at to be widened for multi-purpose use to 12 feet.</t>
  </si>
  <si>
    <t>Sharrows are currently underway.</t>
  </si>
  <si>
    <t>Project doubled with #986</t>
  </si>
  <si>
    <t>City does not want this roadway expanded to 6 lanes. Must be maintained at 4 lanes max.</t>
  </si>
  <si>
    <t>FDOT and Broward County implementing this project, not City of Pompano Beach.</t>
  </si>
  <si>
    <t>There's an existing greenway trail along the north side of Griffin Road from Flamingo to US 27. This greenway trail is on the Town's adopted Greenways Map.</t>
  </si>
  <si>
    <t>There's an existing greenway trail along the north side of Griffin Road from Flamingo to US 27. This greenway trail is on the Town's adopted Greenways Map. - Southwest Ranches</t>
  </si>
  <si>
    <t>Davie and Southwest Ranches comments</t>
  </si>
  <si>
    <t>Southwest Ranches comments</t>
  </si>
  <si>
    <t>There is an existing greenway trail along this road.  This greenway trail is on the Town's adopted Greenways Map.</t>
  </si>
  <si>
    <t>There is an existing greenway trail along this road.  This greenway trail is on the Town's adopted Greenways Map. -Southwest Ranches</t>
  </si>
  <si>
    <t>There is an existing sidewalk along SW 148th Avenue.  Some areas need repair. -Southwest Ranches</t>
  </si>
  <si>
    <t>There is an existing greenway trail along this road.  This greenway trail is on the Town's adopted Greenways Map. Excerpts from the Town's Comprehensive Plan: FLUE POLICY 1.1-e: Prohibit in residential subdivisions the placement of street lights and other typical non-rural amenities, such as concrete sidewalks and curbs, from being allowed in the Town’s rural residential oriented areas. FLUE POLICY 1.1-h: Prohibit paved local sidewalks along Rural (Non-Transit) Roadways and encourage in lieu thereof stabilized greenway trails.   - Southwest Ranches</t>
  </si>
  <si>
    <t>Greenway Trail</t>
  </si>
  <si>
    <t>There is an existing greenway trail along this road.  This greenway trail is on the Town's adopted Greenways Map. - Southwest Ranches</t>
  </si>
  <si>
    <t>Davie and Southwest Ranch comments</t>
  </si>
  <si>
    <t>Unsure-Davie NA-Southwest Ranches</t>
  </si>
  <si>
    <t>Yes-Davie No-Southwest Ranches</t>
  </si>
  <si>
    <t>There is an existing greenway trail along this road.  This greenway trail is on the Town's adopted Greenways Map. - Southewst Raches</t>
  </si>
  <si>
    <t>Southewst Ranches</t>
  </si>
  <si>
    <t>The Town believes a more suitable location for this hub would be outside the limits of the Town of Southwest Ranches.</t>
  </si>
  <si>
    <t>Miramar and Southwest Ranches comments</t>
  </si>
  <si>
    <t>Unsure - Miramar  No - Southwest Raches</t>
  </si>
  <si>
    <t>Widen existing Weston Road Bridge over the C-11 Canal</t>
  </si>
  <si>
    <t>SW 210 Terrace</t>
  </si>
  <si>
    <t>New 2LD</t>
  </si>
  <si>
    <t>Bridge</t>
  </si>
  <si>
    <t>The Weston Road Bridge over the C-11 Canal needs to be widened to meet LOS Standards and relieve traffic.  The Town recently partnered with FDOT to urbanize the intersection of Griffin Road and I-75.  However FDOT and the Town recognize that most traffic issues will not be alleviated until the bridge is widened to meet current capacity.</t>
  </si>
  <si>
    <t>SW 210 Terrace is a dirt road from SW 54th Place to Stirling Road.</t>
  </si>
  <si>
    <t>To provide a connection to Sheridan Street for residents that are land-locked.</t>
  </si>
  <si>
    <t>They only included a $1,700,000 construction cost, all other costs listed as TBD</t>
  </si>
  <si>
    <t>Sunrise comments</t>
  </si>
  <si>
    <t>Recommend extending limits to University Drive</t>
  </si>
  <si>
    <t>Sidewalks to improve mobility for Sunrise residents</t>
  </si>
  <si>
    <t>Sidewalks</t>
  </si>
  <si>
    <t>Recommend extending the limits to the entire Sawgrass Mills Circle and spur roads with no existing pedestrian access</t>
  </si>
  <si>
    <t>Sidewalks to improve connectivity to the Sawgrass Mills Mall</t>
  </si>
  <si>
    <t>Recommend increasing cost to $450,000</t>
  </si>
  <si>
    <t>FDOT is the implementing agency - FM: 4316661</t>
  </si>
  <si>
    <t>Complete Streets to improve mobility for Sunrise Residents</t>
  </si>
  <si>
    <t>Recommend changing the name of the facilty to include "NW"</t>
  </si>
  <si>
    <t>Bike lanes to improve mobility for Sunrise residents</t>
  </si>
  <si>
    <t>Bike Lanes</t>
  </si>
  <si>
    <t>Complete Streets to improve mobility for Sunrise residents</t>
  </si>
  <si>
    <t>Updated cost to $435,210 per mile</t>
  </si>
  <si>
    <t>Sunset Strip Greenway not needed if incorporated into the Sunset Strip Complete Streets project</t>
  </si>
  <si>
    <t>Sawgrass Corporate Parkway</t>
  </si>
  <si>
    <t>L-35A</t>
  </si>
  <si>
    <t>Multipurpose trail</t>
  </si>
  <si>
    <t>Corridor Improvements</t>
  </si>
  <si>
    <t>Community Shuttle</t>
  </si>
  <si>
    <t>Community Buses</t>
  </si>
  <si>
    <t>Recreational trail along the SFWMD canal Levee</t>
  </si>
  <si>
    <t>Corridor improvements associated with the University Drive Study</t>
  </si>
  <si>
    <t>Corridor improvements associated with the Oakland Park Boulevard Transit Study</t>
  </si>
  <si>
    <t>Add six (6) buses to the City's Community Bus service</t>
  </si>
  <si>
    <t>Weston comments</t>
  </si>
  <si>
    <t xml:space="preserve">The project will provide pedestrian connectivity between bus shelters along the City's only bus route. The project will serve pedestrians and transit riders and provide much needed interconnectivity of the City's overall pedestrian infrastructure network. </t>
  </si>
  <si>
    <t>Sidewalks and pedestrian enhancements providing connectivity to bus shelters along the City's only bus route</t>
  </si>
  <si>
    <t>Davie and Weston comments</t>
  </si>
  <si>
    <t>Yes - Davie  Unsure - Weston</t>
  </si>
  <si>
    <t xml:space="preserve">The project will reduce the number of travel lanes from 4 lanes to 2 lanes and will provide dedicated on-street bike lanes in both directions as well as enhanced pedestrian features. The project addressed one of only two remaining segments of arterial roadways within the City in need of dedicated bike lanes. </t>
  </si>
  <si>
    <t>Road Diet to reduce the number of travel lanes from 4 lanes to 2 lanes and to install bike lanes</t>
  </si>
  <si>
    <t xml:space="preserve">The project will reduce the number of travel lanes from 4 lanes to 2 lanes and will provide dedicated on-street bike lanes in both directions as well as enhanced pedestrian features. The project addresses one of only two remaining segments of arterial roadways within the City in need of dedicated bike lanes. </t>
  </si>
  <si>
    <t>Miramar and Weston comments</t>
  </si>
  <si>
    <t>Yes - Miramar  Unsure - Weston</t>
  </si>
  <si>
    <t>Davie and Miramar  comments</t>
  </si>
  <si>
    <t>Sidewalk improvments</t>
  </si>
  <si>
    <t>Oakland Park and Wilton Manners</t>
  </si>
  <si>
    <t>Oakland Park and Wilton Manners comments</t>
  </si>
  <si>
    <t>Provide more pedstrian connectivity - Oakland Park</t>
  </si>
  <si>
    <t>Wilton Manners comments</t>
  </si>
  <si>
    <t>Provide Bicycle Lanes</t>
  </si>
  <si>
    <t>Provide more pedstrian connectivity - OP</t>
  </si>
  <si>
    <t>Oakland Park and Wilton Park comments</t>
  </si>
  <si>
    <t>Supportive of project due to high bus ridership by City residents and communters - OP</t>
  </si>
  <si>
    <t>Traffic Calming and Pedestrian Safety</t>
  </si>
  <si>
    <t>Roadway, landscaping and reconfiguration of lanes</t>
  </si>
  <si>
    <t>Southern City limits at bridge over the south fork of Middle River</t>
  </si>
  <si>
    <t xml:space="preserve">The Wilton Drive Improvement Initiative will provide a mix of improvements including traffic calming, enhanced pedstrian opportunities and improved parking facilities along State Road 811.   The goal of this project is to design a roadway that is consistent with the adjacent land uses and the CIty's Comprehensive Plan.   These roadway improvements will serve the residents, workers and visitors to the Wilton Drive area.   Additionally, providing a more pedstrian friendly environment, including the reduction of travel lanes and speed, more people will get out of their cars, which will lead to reduced congestion and vehicle emissions.   This project requries the cooperation of the City of Oakland Park, the City of Fort Lauderdale and the DOT (and possibly Broward County).  </t>
  </si>
  <si>
    <t>The Andrews Avenue improvement project involves the designs and reconstruction of Andrews Avenue with improvments to roadway, landscaping and reconfiguration of lanes from Oakland Park Blvd south to the city limits.    This porject will improve a County aerterial with the addition of a median, along with improved aestethics to landscaping to improve the quality of the corridor with includes local businesses and multifamily residential structures.  This project would connect into a current project for the City of Oakland Park</t>
  </si>
  <si>
    <t>Cypress Creek Tri-Rail Access Improvements</t>
  </si>
  <si>
    <t>Currently, the BCT station that serves the Cypress Creek Tri-Rail Station is across Andrews Avenue from the Tri-Rail station. In order to improve access for transferring passengers, BCT needs to realign the routes in that area to enter the Tri-Rail area directly. The improvement will require a redesign and improvement of access roads into the Station as well as the purchase of three new vehicles to facilitate the realignment of routes serving the station.</t>
  </si>
  <si>
    <t>A new transit center is needed at Lauderhill Mall to accommodate community shuttle buses, 40-foot vehicles, 60-foot vehicles, restroom facilities, and ticketing areas. The facility is scheduled for FY 2014. The facility will continue to serve Routes 18, 36, 40, 441 Breeze, and 81 as well as Community Bus routes from Lauderhill, Lauderdale Lakes, and Plantation.</t>
  </si>
  <si>
    <t>BCT’s Building #4 on its current Copans Road Maintenance and Operations Facility will be rehabilitated in 2014 in order to better house BCT’s overall Operations Department</t>
  </si>
  <si>
    <t>The Copans Road Operations and Maintenance Facility campus currently in use needs to be upgraded, modernized, and expanded. It is expected that these improvements will allow the capacity for 80 additional buses.</t>
  </si>
  <si>
    <t>Computer-Aided Dispatch/Automatic Vehicle Locator/Single Sign-On/Real Time Passenger Information System</t>
  </si>
  <si>
    <t>BCT has an existing Computer-Aided Dispatch/Automatic Vehicle Locator (CAD/AVL) system that helps manage fleet operations, track vehicle movements, and facilitate communication. Working in conjunction with this system is the agency’s Automatic Passenger Counter (APC) technology, which counts passengers as they board and leave buses, and Voice Annunciation System (VAS), which gives English/Spanish/Haitian Creole on-board automatic voice announcements for major stops, transfer points, landmarks, and safety advisories. BCT is currently working toward replacing the existing system with enhanced capabilities including Real-Time Bus/Passenger Information System, Yard Management System, and other beneficial functions. The real-time information system will provide patrons with accurate bus arrival information and allow them to plan their travel more efficiently. It also will help BCT staff support the agency's operational activities. The new system is expected to be deployed in FY 2015, with planned system upgrades subsequently occurring in FY 2017 and FY 2020.</t>
  </si>
  <si>
    <t>New Enhanced Bus Service</t>
  </si>
  <si>
    <t>Golden Glades</t>
  </si>
  <si>
    <t>Sawgrass Mills Mall</t>
  </si>
  <si>
    <t>Aventura Mall (Miami-Dade County)</t>
  </si>
  <si>
    <t>Broward Terminal</t>
  </si>
  <si>
    <t>Pembroke Lanes Mall</t>
  </si>
  <si>
    <t>New Express Bus Service</t>
  </si>
  <si>
    <t>BCt</t>
  </si>
  <si>
    <t>I-595/I-75 area</t>
  </si>
  <si>
    <t>Miami-Dade International Airport jobs centers</t>
  </si>
  <si>
    <t>New Fixed Route Service</t>
  </si>
  <si>
    <t>Maintenace/Operations Facility</t>
  </si>
  <si>
    <t>Once BCT is able to access a dedicated funding source to increase the number of vehicles in its fleet per the TDP Vision Plan, a third maintenance/operations facility will need to be constructed to accommodate the expanded fleet. An exact location for this facility is to be determined.</t>
  </si>
  <si>
    <t>SFRTA</t>
  </si>
  <si>
    <t>Golden Glades station serving Aventura Mall, Hospitals, and Gulfstream Park</t>
  </si>
  <si>
    <t>Strong market not currently served by Tri-Rail</t>
  </si>
  <si>
    <t>Frequent request to SFRTA Customer Service</t>
  </si>
  <si>
    <t>Fort Lauderdale Airport or Golden Glades station serving Port of Miami</t>
  </si>
  <si>
    <t>Targeted to work shifts and cruise passengers</t>
  </si>
  <si>
    <t>Hollywood station serving dowtown Hollywood and Beach</t>
  </si>
  <si>
    <t>Fort Lauderdale Airport station serving South Beach and employment destinations</t>
  </si>
  <si>
    <t>CRA Boundary may be an obstacle</t>
  </si>
  <si>
    <t>Fort Lauderdale Airport station serving Plantation</t>
  </si>
  <si>
    <t>Proposed in 2010 FDOT shuttle study</t>
  </si>
  <si>
    <t>Fort Lauderdale Airport station serving Hard Rock Casino</t>
  </si>
  <si>
    <t>FDOT Study Route 2010</t>
  </si>
  <si>
    <t>Fort Lauderdale station serving Broward Mall</t>
  </si>
  <si>
    <t>Add 2 Reversible Use Lanes</t>
  </si>
  <si>
    <t>Project Development &amp; Environme</t>
  </si>
  <si>
    <t>Preliminary Engineering</t>
  </si>
  <si>
    <t>Add 3 Reversible Use Lanes</t>
  </si>
  <si>
    <t>Modify Interchange</t>
  </si>
  <si>
    <t>Add 2 Special Use Lanes</t>
  </si>
  <si>
    <t>Add 2 Auxilary lanes</t>
  </si>
  <si>
    <t>New Road</t>
  </si>
  <si>
    <t>Add 2 Auxiliary Lanes</t>
  </si>
  <si>
    <t>Add 2 Lanes to build 8 Lanes</t>
  </si>
  <si>
    <t>Add 2 Lanes to build 6 Lanes</t>
  </si>
  <si>
    <t>Passenger Rail</t>
  </si>
  <si>
    <t>Rail</t>
  </si>
  <si>
    <t>Rail Yard</t>
  </si>
  <si>
    <t>Passing TRACK/SIDING RAIL CAPACITY IMPROVEMENTS</t>
  </si>
  <si>
    <t>SR-7</t>
  </si>
  <si>
    <t>A45-FLL-2040</t>
  </si>
  <si>
    <t>A45-FLL-2460</t>
  </si>
  <si>
    <t>A45-FLL-2470</t>
  </si>
  <si>
    <t>Permanent In-Line Baggage System T2,T3, T4 (Construction)</t>
  </si>
  <si>
    <t>Terminal 4 Apron</t>
  </si>
  <si>
    <t>Runway 9R/27L Extension</t>
  </si>
  <si>
    <t>H41-075-2220</t>
  </si>
  <si>
    <t>H41-075-2240</t>
  </si>
  <si>
    <t>H41-075-3130</t>
  </si>
  <si>
    <t>H41-075-3940</t>
  </si>
  <si>
    <t>H41-075-2230</t>
  </si>
  <si>
    <t>H48-411-3810</t>
  </si>
  <si>
    <t>H48-409-3820</t>
  </si>
  <si>
    <t>H48-413-3830</t>
  </si>
  <si>
    <t>H41-095-3770</t>
  </si>
  <si>
    <t>H48-412-3850</t>
  </si>
  <si>
    <t>H48-413-3840</t>
  </si>
  <si>
    <t>H48-417-3890</t>
  </si>
  <si>
    <t>H41-595-6970</t>
  </si>
  <si>
    <t>H41-595-0066</t>
  </si>
  <si>
    <t>H41-595-6960</t>
  </si>
  <si>
    <t>H41-075-0610</t>
  </si>
  <si>
    <t>FLL Airport (gate) northside entrance</t>
  </si>
  <si>
    <t>Ft Lauderdale Amtrak/Tri-Rail</t>
  </si>
  <si>
    <t>Ft Lauderdale Greyhound Bus Terminal</t>
  </si>
  <si>
    <t>Ft Lauderdale FEC Intermodal Terminal</t>
  </si>
  <si>
    <t>Modify Connector</t>
  </si>
  <si>
    <t>Tri-Rail Station</t>
  </si>
  <si>
    <t>Amtrak/Tri-Rail Station</t>
  </si>
  <si>
    <t>Northside FLL Airport delivery entrance</t>
  </si>
  <si>
    <t>Terminal</t>
  </si>
  <si>
    <t>FEC Terminal</t>
  </si>
  <si>
    <t>East of SR-7</t>
  </si>
  <si>
    <t>I-595 Managed Lanes</t>
  </si>
  <si>
    <t>East of Turnpike East Bound</t>
  </si>
  <si>
    <t>Broward/Palm Beach County Line</t>
  </si>
  <si>
    <t>H41-095-8920</t>
  </si>
  <si>
    <t>H48-410-3870</t>
  </si>
  <si>
    <t>H44-027-2260</t>
  </si>
  <si>
    <t>H44-027-2270</t>
  </si>
  <si>
    <t>H44-027-3910</t>
  </si>
  <si>
    <t>H44-027-3930</t>
  </si>
  <si>
    <t>H44-027-6250</t>
  </si>
  <si>
    <t>New Interchange</t>
  </si>
  <si>
    <t>Direct Airport Access</t>
  </si>
  <si>
    <t>New Connector</t>
  </si>
  <si>
    <t>H41-595-4730</t>
  </si>
  <si>
    <t>R41-SFR-0270</t>
  </si>
  <si>
    <t>R41-SFR-0620</t>
  </si>
  <si>
    <t>R41-SFR-1780</t>
  </si>
  <si>
    <t>South Florida Rail Corridor</t>
  </si>
  <si>
    <t>Station Improvements</t>
  </si>
  <si>
    <t>R41-FEC-0710</t>
  </si>
  <si>
    <t>R41-FEC-0720</t>
  </si>
  <si>
    <t>R41-FEC-0730</t>
  </si>
  <si>
    <t>R41-FEC-0740</t>
  </si>
  <si>
    <t>R41-FEC-0750</t>
  </si>
  <si>
    <t>R41-FEC-0760</t>
  </si>
  <si>
    <t>R41-FEC-0770</t>
  </si>
  <si>
    <t>Grade Separation</t>
  </si>
  <si>
    <t>R41-SFR-0890</t>
  </si>
  <si>
    <t>R41-SFR-0900</t>
  </si>
  <si>
    <t>R41-SFR-0910</t>
  </si>
  <si>
    <t>R41-SFR-0920</t>
  </si>
  <si>
    <t>R41-SFR-0930</t>
  </si>
  <si>
    <t>R41-SFR-0940</t>
  </si>
  <si>
    <t>R41-SFR-0950</t>
  </si>
  <si>
    <t>R41-SFR-0960</t>
  </si>
  <si>
    <t>R41-SFR-0970</t>
  </si>
  <si>
    <t>R41-SFR-0980</t>
  </si>
  <si>
    <t>R41-SFR-0990</t>
  </si>
  <si>
    <t>R41-SFR-1000</t>
  </si>
  <si>
    <t>R41-SFR-1320</t>
  </si>
  <si>
    <t>H48-413-3880</t>
  </si>
  <si>
    <t>S45-002-2470</t>
  </si>
  <si>
    <t>S45-002-2480</t>
  </si>
  <si>
    <t>S45-002-2690</t>
  </si>
  <si>
    <t>S45-002-3450</t>
  </si>
  <si>
    <t>S45-002-3800</t>
  </si>
  <si>
    <t>S45-002-3970</t>
  </si>
  <si>
    <t>S45-002-3980</t>
  </si>
  <si>
    <t>S45-002-4120</t>
  </si>
  <si>
    <t>S45-002-4130</t>
  </si>
  <si>
    <t>S45-002-4220</t>
  </si>
  <si>
    <t>S45-002-4650</t>
  </si>
  <si>
    <t>S45-002-4660</t>
  </si>
  <si>
    <t>ACOE Dredging / Widening - Design</t>
  </si>
  <si>
    <t>Southport Turning Notch Expansion - Phase 1, Dredging Harbor</t>
  </si>
  <si>
    <t>Southport ICTF Track and Storage Yard, Intermodal Transfer Improvement</t>
  </si>
  <si>
    <t>Southport Upland Enhancement Turning Notch Expansion, Dredging Harbor</t>
  </si>
  <si>
    <t>Northport Petroleum Tank Farm, Intermodal Transfer Improvement</t>
  </si>
  <si>
    <t>ACOE Dredging/Widening-Construction</t>
  </si>
  <si>
    <t>Southport Container Yard Improvements, Storage Facilities</t>
  </si>
  <si>
    <t>Northport Slip 2 Westward Lengthening, Docks</t>
  </si>
  <si>
    <t>Southport Super Post Panamax Cranes - Phase 1, Intermodal Transfer Improvement</t>
  </si>
  <si>
    <t>Midport Multimodal Facility - Phase 1, Intermodal Transfer Improvement</t>
  </si>
  <si>
    <t>Northport Slip 1 New Bulkheads - Phase 1, Docks</t>
  </si>
  <si>
    <t>Midport Tracor Basin Finger Pier Replace with Catwalk and Dolphin, Intermodal Transfer Improvement</t>
  </si>
  <si>
    <t>S45-002-4000</t>
  </si>
  <si>
    <t>S45-002-4140</t>
  </si>
  <si>
    <t>S45-002-4290</t>
  </si>
  <si>
    <t>S45-002-4630</t>
  </si>
  <si>
    <t>S45-002-4670</t>
  </si>
  <si>
    <t>S45-002-3960</t>
  </si>
  <si>
    <t>S45-002-4010</t>
  </si>
  <si>
    <t>S45-002-4020</t>
  </si>
  <si>
    <t>S45-002-4080</t>
  </si>
  <si>
    <t>S45-002-4090</t>
  </si>
  <si>
    <t>S45-002-4100</t>
  </si>
  <si>
    <t>S45-002-4110</t>
  </si>
  <si>
    <t>S45-002-4210</t>
  </si>
  <si>
    <t>S45-002-4640</t>
  </si>
  <si>
    <t>S45-002-4680</t>
  </si>
  <si>
    <t>S45-002-4690</t>
  </si>
  <si>
    <t>S45-002-4700</t>
  </si>
  <si>
    <t>S45-002-4710</t>
  </si>
  <si>
    <t>Midport Berth 16,17,18 New Bulkheads, Docks</t>
  </si>
  <si>
    <t>Southport Super Post Panamax Cranes - Phase 2, Intermodal Transfer Improvement</t>
  </si>
  <si>
    <t>Northport Berth 1,2,3 New Bulkheads, Docks</t>
  </si>
  <si>
    <t>Turning Notch Expansion - Phase 2, Dredging Harbor</t>
  </si>
  <si>
    <t>Southport Crushed Rock Facility, Intermodal Transfer Improvement</t>
  </si>
  <si>
    <t>ACOE Dredging/Widening, Dredging Harbor</t>
  </si>
  <si>
    <t>Midport Berth 19,20 New Bulkheads, Docks</t>
  </si>
  <si>
    <t>Midport Multimodal Facility - Phase 2, Intermodal Transfer Improvement</t>
  </si>
  <si>
    <t>Northport Berth 14,15 New Bulkheads, Docks</t>
  </si>
  <si>
    <t>Midport Berth 21,22 New Bulkheads, Docks</t>
  </si>
  <si>
    <t>Midport Berth 23 New Bulkhead, Docks</t>
  </si>
  <si>
    <t>Midport Berth 24,25 New Bulkheads, Docks</t>
  </si>
  <si>
    <t>Automated People Mover/Intermodal Center, People Mover</t>
  </si>
  <si>
    <t>Southport Lengthen Berth 33, Intermodal Transfer Improvement</t>
  </si>
  <si>
    <t>Northport Slip 2 New Bulkhead, Docks</t>
  </si>
  <si>
    <t>Northport Slip 3 New Bulkhead, Docks</t>
  </si>
  <si>
    <t>Northport Slip 1 New Bulkhead - Phase 2, Docks</t>
  </si>
  <si>
    <t>T45-MOD-1040</t>
  </si>
  <si>
    <t>T45-MOD-1030</t>
  </si>
  <si>
    <t>T45-MOD-1120</t>
  </si>
  <si>
    <t>T45-MOD-1020</t>
  </si>
  <si>
    <t>Broward County Transit Hub</t>
  </si>
  <si>
    <t>New Hub</t>
  </si>
  <si>
    <t>at US-1 / Ft Lauderdale International Airport</t>
  </si>
  <si>
    <t>Coral Springs Gateway Hub</t>
  </si>
  <si>
    <t>Sawgrass Mall</t>
  </si>
  <si>
    <t>T43-LRT-0280</t>
  </si>
  <si>
    <t>T43-LRT-0090</t>
  </si>
  <si>
    <t>T44-BUS-0080</t>
  </si>
  <si>
    <t>Downtown &amp; Fort Lauderdale Int'l Airport</t>
  </si>
  <si>
    <t>Homestead Extension Florida Turnpike</t>
  </si>
  <si>
    <t>Exclusive Transit, Transit Corridor</t>
  </si>
  <si>
    <t>Exclusive Transit, Hub to Hub Connector</t>
  </si>
  <si>
    <t>T44-BUS-0220</t>
  </si>
  <si>
    <t>T43-LRT-0230</t>
  </si>
  <si>
    <t>T43-LRT-0290</t>
  </si>
  <si>
    <t>Support Hub to Hub</t>
  </si>
  <si>
    <t>Exclusive Guideway, transit corridor</t>
  </si>
  <si>
    <t>People Mover / Bus Rapid Transit, hub to hub connector</t>
  </si>
  <si>
    <t>Downtown Miami</t>
  </si>
  <si>
    <t>Fort Lauderdale International Airport</t>
  </si>
  <si>
    <t>Aventura Mall Hub</t>
  </si>
  <si>
    <t>R91-FEC-0570</t>
  </si>
  <si>
    <t>Amtrak Service Miami to Jacksonville, New passenger service</t>
  </si>
  <si>
    <t>Tri-Rail Coastal Link</t>
  </si>
  <si>
    <t>New commuter rail line and rolling stock</t>
  </si>
  <si>
    <t>Streetcar Feasibility studies</t>
  </si>
  <si>
    <t>Bike Storage Cars</t>
  </si>
  <si>
    <t>H44-027-2250</t>
  </si>
  <si>
    <t>Add 4 Special Use Lanes</t>
  </si>
  <si>
    <t>406097-4</t>
  </si>
  <si>
    <t>406095-4</t>
  </si>
  <si>
    <t>Widen to four lanes</t>
  </si>
  <si>
    <t>Widen to eight lanes</t>
  </si>
  <si>
    <t>406095-1</t>
  </si>
  <si>
    <t>420809-3</t>
  </si>
  <si>
    <t>Interchange Modification + Aux. Lanes</t>
  </si>
  <si>
    <t>415462-2</t>
  </si>
  <si>
    <t>406099-1</t>
  </si>
  <si>
    <t>Interchange Modification</t>
  </si>
  <si>
    <t>Widen Ramp, NB HEFT to NB Mainline</t>
  </si>
  <si>
    <t>429339-1</t>
  </si>
  <si>
    <t>Conversion to All-Electronic Tolling - Phase 5</t>
  </si>
  <si>
    <t>54-86 / Turnpike Mainline - 0-20  / Sawgrass Expressway</t>
  </si>
  <si>
    <t>Conversion to All-Electronic Tolling - Phase 4</t>
  </si>
  <si>
    <t>OX - 53 / Turnpike, Golden Glades to Griffin Rd. - All Plazas</t>
  </si>
  <si>
    <t>417547-1</t>
  </si>
  <si>
    <t>Conversion to All Electronic Tolling - Phase 3</t>
  </si>
  <si>
    <t>26-47 / HEFT, from S.R. 836 to Turnpike Mainline - All Plazas</t>
  </si>
  <si>
    <t>415927-1</t>
  </si>
  <si>
    <t>73 / Palm Bch. Co. Line</t>
  </si>
  <si>
    <t>71 / Sawgrass Expwy</t>
  </si>
  <si>
    <t>406150-1</t>
  </si>
  <si>
    <t>423371-1</t>
  </si>
  <si>
    <t>Widen to six lanes</t>
  </si>
  <si>
    <t>39 / Interstate 75</t>
  </si>
  <si>
    <t>Ramp Capacity</t>
  </si>
  <si>
    <t>Geometric, Operational, and Safety Enhancements</t>
  </si>
  <si>
    <t>406103-1</t>
  </si>
  <si>
    <t>Add Southbound-to-Westbound Ramp</t>
  </si>
  <si>
    <t>FTPK</t>
  </si>
  <si>
    <t>No-Hollywood,Yes-Miramar, Yes-West Park</t>
  </si>
  <si>
    <t>FDOT is reconstructing 441 starting in FY 2014-Hollywood,  The project may increase mobility and connectivity - West Park</t>
  </si>
  <si>
    <t>North of Pembroke Road is not West Park - West Park</t>
  </si>
  <si>
    <t>Unsure - Miramar, Yes - West Park</t>
  </si>
  <si>
    <t>The project may increase mobility and connectivity</t>
  </si>
  <si>
    <t>The project may increase mobility and connectivity - West Park</t>
  </si>
  <si>
    <t>SW 64th is not West Park - West Park</t>
  </si>
  <si>
    <t>Miramar and West Park comments</t>
  </si>
  <si>
    <t>Hollywood, Miramar and West Park comments</t>
  </si>
  <si>
    <t>Depending on the side of the street (West Park is on North)</t>
  </si>
  <si>
    <t>West Park comments</t>
  </si>
  <si>
    <t>Pedestrian Friendly Sidewalks, Resurfacing, Lighting &amp; Landscaping</t>
  </si>
  <si>
    <t>West Park Comments</t>
  </si>
  <si>
    <t>This needs to be a Complete Streets Project, The project may increase mobility and connectivity - West Park</t>
  </si>
  <si>
    <t>Pembroke Road is our northern most boundary - West Park</t>
  </si>
  <si>
    <t>NA - West Park</t>
  </si>
  <si>
    <t>Install marked bike lane in each direction, widen pavement as required. - Hollywood, Bike Lanes - West Park</t>
  </si>
  <si>
    <t>Hollywood and West Parkcomments</t>
  </si>
  <si>
    <t>Improves non-vehicular transportation - Hollywood</t>
  </si>
  <si>
    <t>Yes - Both</t>
  </si>
  <si>
    <t>No - Hollywood, Yes - West Park</t>
  </si>
  <si>
    <t>State Road 7 (441) is the western most boundary - West Park</t>
  </si>
  <si>
    <t>No - Miramar, NA - West Park</t>
  </si>
  <si>
    <t>West Park is from SW 25th Street to Pembroke Road on the westside.</t>
  </si>
  <si>
    <t>This is not within West Park on westside - West Park</t>
  </si>
  <si>
    <t>NA - Both</t>
  </si>
  <si>
    <t>The study may help create the opportunity for future connectivity - West Park</t>
  </si>
  <si>
    <t>ADA accessible and pedestrian-friendly sidewalks with  resurfacing and bicycle lanes</t>
  </si>
  <si>
    <t>ADA accessible and pedestrian-friendly with sidewalks and refurfacing and drainage</t>
  </si>
  <si>
    <t>ADA accessible and pedestrian-friendly sidewalks, resurfacing  and bicycle lanes</t>
  </si>
  <si>
    <t xml:space="preserve">ADA accessible and pedestrian-friendly sidewalks with  resurfacing </t>
  </si>
  <si>
    <t xml:space="preserve">ADA accessibility and pedestrian-friendly sidewalks with resurcacing </t>
  </si>
  <si>
    <t xml:space="preserve">ADA accessible and pedestrian-friendly sidewalks with resurfacing and bicycle lanes. </t>
  </si>
  <si>
    <t>S.W. 20th Court (southbound)</t>
  </si>
  <si>
    <t>These are much needed streetscape improvements within an underserved and blighted area that will provide sidewalk surface(s), bike lanes, and resurfacing with drainage. These multimodal improvements will include ADA accessibility.</t>
  </si>
  <si>
    <t xml:space="preserve">Currently, this underserved and at-risk low-income area is plagued by substandard sidewalks that do not provide ADA accessibility. The proposed design and construction improvements will provide sidewalks and resurfacing that meet ADA requirements.  </t>
  </si>
  <si>
    <t>This proposed area of low-to moderate income areas is in dire need of the creation of sidewalks, bicycle lane and resufacing. The project will provide connectivety for ADA accesibility, pedestrians mobility and bicyle ridership. Design and construction costs are needed.</t>
  </si>
  <si>
    <t>This proposed project will create ADA accessible and pedestrian-friendly sidewalk connectivity. The area includes access to a local community park within a low-to-moderate income area.</t>
  </si>
  <si>
    <t>These much needed improvements will provide design and construction of ADA accessible sidewalks within a low-to-moderate income area. The area consists of Hallandale Beach Boulevard from Williams Road to S.W. 56th Avenue.</t>
  </si>
  <si>
    <t>Multi-modal Station</t>
  </si>
  <si>
    <t>Area-wide improvements for multi-modal station</t>
  </si>
  <si>
    <t>Solar Lighting on all City's hurricane evacuation zones</t>
  </si>
  <si>
    <t>Drawbridge FEC Railroad tracks</t>
  </si>
  <si>
    <t>Add bike lanes, sidewalks and landscaping, lighting, drainage and transit improvements</t>
  </si>
  <si>
    <t>Add a bridge over Canal C-10</t>
  </si>
  <si>
    <t>Complete streets improvements for adjacent and connecting streets to FEC station</t>
  </si>
  <si>
    <t>Land Acquisition and development of FEC station</t>
  </si>
  <si>
    <t>Southern aligment and complete streets</t>
  </si>
  <si>
    <t xml:space="preserve">Additional traffic lanes on Sheridan Street for increased </t>
  </si>
  <si>
    <t>New solar lighting poles</t>
  </si>
  <si>
    <t>Drawbridge 2 tracking</t>
  </si>
  <si>
    <t>Raise Bridge height to 23 ft to allow medium size boats</t>
  </si>
  <si>
    <t>3 lane cross section with median, bike lanes, sidewalk, landscaping, lighting, drainage and transit</t>
  </si>
  <si>
    <t>City Limits</t>
  </si>
  <si>
    <t>SW 45th Terrace</t>
  </si>
  <si>
    <t>NW 1st</t>
  </si>
  <si>
    <t>City limits</t>
  </si>
  <si>
    <t xml:space="preserve">NW 3rd Place </t>
  </si>
  <si>
    <t xml:space="preserve"> NE 2nd Place</t>
  </si>
  <si>
    <t>Enhance corridors by including complete streets improvements</t>
  </si>
  <si>
    <t>Extend roadway and improve circulation</t>
  </si>
  <si>
    <t>New commuter rail station consistent with SFECC plan</t>
  </si>
  <si>
    <t>Area improvements to enhance and support the station</t>
  </si>
  <si>
    <t>Creates new waterfront development sites and complete streets</t>
  </si>
  <si>
    <t>Increase traffic capacity and safety on Sheridan Street</t>
  </si>
  <si>
    <t xml:space="preserve">New solar powered poles on evacuation routes for safety </t>
  </si>
  <si>
    <t>New drawbrdige for added waterway accesibility</t>
  </si>
  <si>
    <t>Expand waterway access to medium size boats</t>
  </si>
  <si>
    <t>Dania Beach comments</t>
  </si>
  <si>
    <t>This brings major redevelopment potential</t>
  </si>
  <si>
    <t>Landscaping in this area is of particular interest</t>
  </si>
  <si>
    <t>Drainage in this area should be considered</t>
  </si>
  <si>
    <t>Hollywood and Dania Beach comments</t>
  </si>
  <si>
    <t>This will tie in nicely with the Beach improvements - Dania Beach</t>
  </si>
  <si>
    <t>Compliments both improvements</t>
  </si>
  <si>
    <t>Turn Lanes</t>
  </si>
  <si>
    <t>Install dual left turn lanes on southbound NW 136 Ave at I-595</t>
  </si>
  <si>
    <t>Widen Sunrise Boulevard under Sawgrass Expressway bridge</t>
  </si>
  <si>
    <t>Sawgrass Expressway (east)</t>
  </si>
  <si>
    <t>Sawgrass Expressway (west)</t>
  </si>
  <si>
    <t>New pedestrian/bicycle bridge over Sawgrass Expressway</t>
  </si>
  <si>
    <t>NW 44 St</t>
  </si>
  <si>
    <t>Environ Blvd is a winding two lane local road with slow vehicular speeds that runs between Inverrary Blvd and Inverrary Blvd W.  The attached Bike Lanes, Greenways and Parks Map show an existing bike lane along Inverrary Blvd from OPB to University Drive.  Project Id 31 would provide a bike lane along Inverrary Blvd W between OPB and NW 44 Street.  In order to provide an alternative bike lane connection between Inverrary Blvd and Inverrary Blvd W, there is a need to provide bike lanes along Environ Blvd.  The purpose of Project Id 32, therefore, is to provide that missing bike lane segment.</t>
  </si>
  <si>
    <t>NW 26th St</t>
  </si>
  <si>
    <t>Inverrary Dr</t>
  </si>
  <si>
    <t>Sidewalk</t>
  </si>
  <si>
    <t>NW 44th St</t>
  </si>
  <si>
    <t>.  Inverrary Dr is a winding two lane local road that runs between Inverrary Blvd and NW 44 Street.  A sidewalk has recently been constructed along the north/west side of the road from Inverrary Blvd to the SFWMD C-13 but no sidewalk is available on the south/east from Inverrary Blvd to the SFWMD C-13.  In addition, no sidewalk is available along Inverrary Drive from the SFWMD C-13 to NW 44 St.   There are frequent school bus stops along Inverrary Dr but the lack of a sidewalk creates an uncomfortable environment for pedestrians and school transit riders.  Thus, there is a need to provide at least one continuous sidewalk along Inverrary Drive.  The purpose of Project Id 85 would be to address that need.</t>
  </si>
  <si>
    <t>Limit From</t>
  </si>
  <si>
    <t>FDOTID</t>
  </si>
  <si>
    <t>LRTPID</t>
  </si>
  <si>
    <t>LengthMiles</t>
  </si>
  <si>
    <t>TotalCost</t>
  </si>
  <si>
    <t>ImplAgency</t>
  </si>
  <si>
    <t>MaintAgency</t>
  </si>
  <si>
    <t>LimitTo</t>
  </si>
  <si>
    <t>Airport</t>
  </si>
  <si>
    <t>Seaport</t>
  </si>
  <si>
    <t>Freight Rail</t>
  </si>
  <si>
    <t>Intermodal</t>
  </si>
  <si>
    <t>Study</t>
  </si>
  <si>
    <t>System</t>
  </si>
  <si>
    <t>Mode</t>
  </si>
  <si>
    <t>Class</t>
  </si>
  <si>
    <t>Program</t>
  </si>
  <si>
    <t>Project</t>
  </si>
  <si>
    <t>ApproachType</t>
  </si>
  <si>
    <t>PROBABLY KILL THIS</t>
  </si>
  <si>
    <t>KEEP</t>
  </si>
  <si>
    <t>Wilton Manors</t>
  </si>
  <si>
    <t>KILL</t>
  </si>
  <si>
    <t>Central Broward East-West Transit</t>
  </si>
  <si>
    <t>Hollywood comments, killed by H41-095-8920 replacement</t>
  </si>
  <si>
    <t>Hollywood comments, (UNDER CONSTRUCTION NOW)</t>
  </si>
  <si>
    <t>ProjectNo</t>
  </si>
  <si>
    <t>PageNo</t>
  </si>
  <si>
    <t>Improvements over bridge</t>
  </si>
  <si>
    <t>Complete sidewalks</t>
  </si>
  <si>
    <t xml:space="preserve">Improve pedestrian accommodations </t>
  </si>
  <si>
    <t>bike accommodations as possible</t>
  </si>
  <si>
    <t>Install pedestrian path along creek</t>
  </si>
  <si>
    <t>BAYVIEW DR</t>
  </si>
  <si>
    <t>DIXIE HWY</t>
  </si>
  <si>
    <t>HIMMARSHEE ST</t>
  </si>
  <si>
    <t>MCNAB RD</t>
  </si>
  <si>
    <t>NE 2ND ST</t>
  </si>
  <si>
    <t>NE 4TH ST</t>
  </si>
  <si>
    <t>NE 6TH ST</t>
  </si>
  <si>
    <t>NE 26TH ST</t>
  </si>
  <si>
    <t>NE 56TH ST</t>
  </si>
  <si>
    <t>NW 2ND ST</t>
  </si>
  <si>
    <t>NW/NE 2ND ST</t>
  </si>
  <si>
    <t>NW 4TH ST</t>
  </si>
  <si>
    <t>NW/NE 4TH ST</t>
  </si>
  <si>
    <t>NE/NW 6TH ST</t>
  </si>
  <si>
    <t>NW 6TH ST</t>
  </si>
  <si>
    <t>NW 16TH ST</t>
  </si>
  <si>
    <t>NW 19TH ST</t>
  </si>
  <si>
    <t>NW 26TH ST</t>
  </si>
  <si>
    <t>PROSPECT RD</t>
  </si>
  <si>
    <t>RIVERLAND RD</t>
  </si>
  <si>
    <t>SE/SW 6TH ST</t>
  </si>
  <si>
    <t>SE 17TH ST</t>
  </si>
  <si>
    <t>SE 30TH ST</t>
  </si>
  <si>
    <t>SW/SE 2ND ST</t>
  </si>
  <si>
    <t>SW 9TH ST</t>
  </si>
  <si>
    <t>SW 17TH ST</t>
  </si>
  <si>
    <t>SW/SE 17TH ST</t>
  </si>
  <si>
    <t>SW 7TH ST</t>
  </si>
  <si>
    <t>VICTORIA PARK RD</t>
  </si>
  <si>
    <t>ADD BUFFER TO SIDEWALK. ADD PEDESTRIAN-ORIENTED LIGHTING. ADD SHADE.  ENHANCE PEDESTRIAN CROSSINGS.</t>
  </si>
  <si>
    <t>BIKE ACCOMMODATIONS AS APPROPRIATE</t>
  </si>
  <si>
    <t>ADD PEDESTRIAN-ORIENTED LIGHTING. ADD SHADE.  ENHANCE PEDESTRIAN CROSSINGS.</t>
  </si>
  <si>
    <t>IMPLEMENT LANE/ROAD DIET TO ADD SIDEWALK BUFFER. ADD PEDESTRIAN-ORIENTED LIGHTING. ADD SHADE.  ENHANCE PEDESTRIAN CROSSINGS.</t>
  </si>
  <si>
    <t>NARROW AUTO LANES AND IMPLEMENT LANE/ROAD DIET TO CONVERT BIKE SHOULDERS TO  BIKE LANES AND CONTINUE SOUTH.</t>
  </si>
  <si>
    <t>ADD PEDESTRIAN-ORIENTED LIGHTING.</t>
  </si>
  <si>
    <t>ADD PEDESTRIAN-ORIENTED LIGHTING. ADD SHADE.</t>
  </si>
  <si>
    <t>EXTEND BIKE SHOULDERS TO US 1.  ENHANCED BIKE ACCOMMODATIONS AS APPROPRIATE</t>
  </si>
  <si>
    <t>ADD PEDESTRIAN-ORIENTED LIGHTING. ADD SHARROWS AND SHARED LANE SIGNAGE.</t>
  </si>
  <si>
    <t>ADD PEDESTRIAN-ORIENTED LIGHTING.  ENHANCE PEDESTRIAN CROSSING.</t>
  </si>
  <si>
    <t>IMPLEMENT LANE/ROAD DIET TO CREATE SIDEWALK BUFFERS. ADD PEDESTRIAN-ORIENTED LIGHTING. ADD SHADE.</t>
  </si>
  <si>
    <t>CONVERT BIKE SHOULDERS TO BIKE LANES AS PART OF ROAD DIET.</t>
  </si>
  <si>
    <t>IMPLEMENT LANE/ROAD DIET TO CREATE SIDEWALK BUFFERS. ADD PEDESTRIAN-ORIENTED LIGHTING.  ADD SHADE.  ENHANCE PEDESTRIAN CROSSINGS.</t>
  </si>
  <si>
    <t>CONVERT BIKE SHOULDERS TO BIKE LANES AS PART OF ROAD LANE/DIET.</t>
  </si>
  <si>
    <t>ADD BIKE LANES AS PART OF LANE/ROAD DIET.</t>
  </si>
  <si>
    <t>EXTEND BIKE LANES AS PART OF LANE/ROAD DIET.  ADD SHARROWS AND SHARED-LANE SIGNAGE ON BRIDGE.</t>
  </si>
  <si>
    <t>IMPLEMENT LANE/ROAD DIET TO CREATE SIDEWALK BUFFERS. ADD PEDESTRIAN-ORIENTED LIGHTING.  ADD SHADE.  FILL SIDEWALK GAP.</t>
  </si>
  <si>
    <t>RECONSTRUCT SIDEWALKS WITH SIDEWALK BUFFERS.  ADD PEDESTRIAN-ORIENTED LIGHTING.  ADD SHADE.  ENHANCE PEDESTRIAN CROSSINGS.</t>
  </si>
  <si>
    <t>NARROW MEDIAN (ELIMINATING ONE LEFT TURN LANE WHERE DUAL LEFTS EXIST) AND AUTO LANES TO CREATE BUFFERED BIKE LANES WHERE BIKE LANES DO NOT EXIST.  NARROW AUTO LANES TO CREATE BUFFERS FOR EXISTING BIKE LANES.</t>
  </si>
  <si>
    <t xml:space="preserve">ADD PEDESTRIAN-ORIENTED LIGHTING.  EXTEND SIDEWALKS TO US 1. </t>
  </si>
  <si>
    <t>ADD BIKE LANES.</t>
  </si>
  <si>
    <t xml:space="preserve">COMPLETE SIDEWALKS ON BOTH SIDES.  ADD SIDEWALK BUFFERS. ADD PEDESTRIAN-ORIENTED LIGHTING.  ADD SHADE.  ENHANCE PEDESTRIAN CROSSINGS. </t>
  </si>
  <si>
    <t>IMPLEMENT LANE/ROAD DIET TO CREATE SIDEWALK BUFFERS. ADD PEDESTRIAN-ORIENTED LIGHTING. ADD SHADE.  ENHANCE PEDESTRIAN CROSSINGS.</t>
  </si>
  <si>
    <t xml:space="preserve">COMPLETE SIDEWALKS ON BOTH SIDES.  IMPLEMENT A LANE/ROAD DIET TO ADD SIDEWALK BUFFERS. ADD PEDESTRIAN-ORIENTED LIGHTING.  ADD SHADE.ENHANCE PEDESTRIAN CROSSINGS.  </t>
  </si>
  <si>
    <t>ADD PEDESTRIAN-ORIENTED LIGHTING.  ADD SHADE.</t>
  </si>
  <si>
    <t xml:space="preserve">ELIMINATE CENTER LEFT TURN LANE AND RE-STRIPE WITH BIKE LANES. </t>
  </si>
  <si>
    <t>ADD PEDESTRIAN-ORIENTED LIGHTING.  ADD SHADE. ENHANCE PEDESTRIAN CROSSING. UTILIZE THE EXISTING PATH ACROSS I95 AS MULTIMODAL PATH CONNECTION</t>
  </si>
  <si>
    <t>ELIMINATE CENTER LEFT TURN LANE AND RE-STRIPE WITH BIKE LANES.  ADD SHARROWS AND SHARED-LANE SIGNAGE ON RIVER BRIDGE AND APPROACHES.  UTILIZE THE EXISTING PATH ACROSS I95 AS MULTIMODAL PATH CONNECTION</t>
  </si>
  <si>
    <t>ADD PEDESTRIAN-ORIENTED LIGHTING.  ADD SHADE. ENHANCE PEDESTRIAN CROSSINGS.UTILIZE THE EXISTING PATH ACROSS I95 AS MULTIMODAL PATH CONNECTION</t>
  </si>
  <si>
    <t>NARROW AUTO LANES TO TRANSFORM BIKE SHOULDERS INTO BIKE LANES.  UTILIZE THE EXISTING PATH ACROSS I95 AS MULTIMODAL PATH CONNECTION</t>
  </si>
  <si>
    <t>ADD PEDESTRIAN-ORIENTED LIGHTING.  ADD SHADE.  ENHANCE PEDESTRIAN CROSSINGS.</t>
  </si>
  <si>
    <t>NARROW AUTO LANES TO TRANSFORM BIKE SHOULDERS INTO BIKE LANES.</t>
  </si>
  <si>
    <t>ADD SIDEWALKS WITH BUFFERS. ADD PEDESTRIAN-ORIENTED LIGHTING.  ADD SHADE.  ENHANCE PEDESTRIAN CROSSINGS.</t>
  </si>
  <si>
    <t xml:space="preserve">NARROW AUTO LANES AND WIDEN PAVED AREA TO CREATE BIKE LANES.  </t>
  </si>
  <si>
    <t>LANE/ROAD DIET TO EXTEND SIDEWALK BUFFERS AND SLOW AUTOS EAST OF GORDON RD TO INTERCOASTAL.  INSTALL GATEWAY TREATMENT NEAR GORDON RD TO SIGNIFY CHANGE IN ROADWAY CHARACTER AND SLOW AUTOS.  ENHANCE PEDESTRIAN CROSSINGS.</t>
  </si>
  <si>
    <t>ADD SHARROWS AND SHARED-LANE SIGNAGE ON BRIDGES. REPLACE ON-STREET PARKING AND TURN LANES WITH BIKE LANES BETWEEN SE 15TH AVE AND SE 16TH AVE.   NARROW NORTH SIDEWALK BETWEEN SE 16TH AVE AND SE 17TH AVE TO TRANSFORM EXISTING BIKE SHOULDER TO BIKE LANE</t>
  </si>
  <si>
    <t xml:space="preserve">ADD PEDESTRIAN-ORIENTED LIGHTING.  WIDEN SIDEWALKS AND BUFFERS.   ENHANCE PEDESTRIAN CROSSINGS. </t>
  </si>
  <si>
    <t>CREATE BIKE ACCOMMODATIONS.  WIDEN SIDEWALKS.  NARROW AUTO LANES OVER BRIDGE AND WHERE THERE IS NO ON-STREET PARKING.</t>
  </si>
  <si>
    <t xml:space="preserve">ADD PEDESTRIAN-ORIENTED LIGHTING. </t>
  </si>
  <si>
    <t>REMOVE MEDIAN AND TURN LANES EAST OF ANDREWS AVE TO CREATE BIKE LANES.  BETWEEN SE 1ST AVE AND SE 2ND AVE, NARROW SIDEWALK AND SIDEWALK BUFFERS TO CREATE BIKE LANE.</t>
  </si>
  <si>
    <t>PORT BYPASS ROAD TO BE DESIGNED AS COMMERCIAL AVENUE WITH SIDEWALKS ON 2 SIDES, PEDESTRIAN ORIENTED LIGHTING, AND SHADE.  PORT TO PROVIDE MULTIMODAL CONNECTIVITY SOUTH OF SPANGLER RD.</t>
  </si>
  <si>
    <t>PORT BYPASS RD TO BE DESIGNED AS COMMERCIAL AVENUE WITH 5' BIKE LANES.  PORT TO PROVIDE MULTIMODAL CONNECTIVITY SOUTH OF SPANGLER RD</t>
  </si>
  <si>
    <t>ADD SIDEWALKS ON 2 SIDES.  ADD SIDEWALK BUFFERS. ADD PEDESTRIAN-ORIENTED LIGHTING.  ADD SHADE.</t>
  </si>
  <si>
    <t>NARROW AUTO LANES AND ADD BIKE LANES. ADD SHARROWS AND SHARED-LANE SIGNAGE ON BRIDGE.</t>
  </si>
  <si>
    <t>REMOVE TURN LANES AND NARROW AUTO AND PARKING LANES WEST OF RAILROAD TO CREATE BIKE LANES.  (SECTION TO CONSIST OF 2 AUTO LANES, 2 PARKING LANES, AND 2 BIKE LANES)</t>
  </si>
  <si>
    <t>EAST OF POWERLINE RD:  NARROW AUTO LANES AND IMPLEMENT A ROAD DIET TO CREATE A 5-LANE SECTION.  ADD PEDESTRIAN-ORIENTED LIGHTING AND SHADE.
WEST OF POWERLINE RD:  COMPLETE SIDEWALKS WITH BUFFERS. ADD PEDESTRIAN-ORIENTED LIGHTING AND SHADE.  ENHANCE PEDESTRIAN CROSSINGS.</t>
  </si>
  <si>
    <t>EAST OF POWERLINE RD:  CONVERT BIKE SHOULDERS TO BIKE LANES AS PART OF LANE/ROAD DIET. WEST OF POWERLINE RD:  NARROW AUTO LANES AND ADD  BIKE LANES.</t>
  </si>
  <si>
    <t>ADD SIDEWALKS ON MISSING SIDE AND OTHER ACCOMMODATIONS AS NEEDED</t>
  </si>
  <si>
    <t>ADD PEDESTRIAN-ORIENTED LIGHTING WEST OF 14TH AVE</t>
  </si>
  <si>
    <t>NARROW AUTO LANES AND WIDEN PAVEMENT TO CREATE BIKE LANES BETWEEN US 1 AND NE 14TH AVE.  CREATE PATH WITH LIGHTING AND SHADE BETWEEN 14TH AVE AND NE 15TH AVE.  EXTEND LIGHTED AND SHADED PATH TO NE 16TH AVE ON SOUTH SIDE OF NE 2ND ST IN SIDEWALK BUFFER.  SIGN AND STRIPE PATH CROSSING ON NE 15TH AVE</t>
  </si>
  <si>
    <t>COMPLETE SIDEWALKS ON 2 SIDES.  ADD PEDESTRIAN-ORIENTED LIGHTING.  ADD SHADE.</t>
  </si>
  <si>
    <t>NARROW AUTO LANES TO CREATE BIKE LANE</t>
  </si>
  <si>
    <t>COMPLETE SIDEWALKS ON 2 SIDES.  ADD PEDESTRIAN-ORIENTED LIGHTING. ADD SHADE.</t>
  </si>
  <si>
    <t>COMPLETE SIDEWALK BUFFERS ON BOTH SIDES.  ADD PEDESTRIAN ORIENTED LIGHTING.  ADD SHADE.  ENHANCE PEDESTRIAN CROSSING</t>
  </si>
  <si>
    <t>NARROW AUTO LANES AND REMOVE MEDIAN/CENTER TURN LANE TO CREATE BIKE LANES.</t>
  </si>
  <si>
    <t>COMPLETE SIDEWALKS ON 2 SIDES.  ADD PEDESTRIAN-ORIENTED LIGHTING.</t>
  </si>
  <si>
    <t>NARROW AUTO LANES AND WIDEN PAVED AREA TO TRANSFORM BIKE SHOULDERS TO 5' BIKE LANES</t>
  </si>
  <si>
    <t>ADD SHARROWS AND SHARED LANE SIGNAGE</t>
  </si>
  <si>
    <t>IMPLEMENT LANE/ROAD DIET TO WIDEN SIDEWALK BUFFERS. ADD PEDESTRIAN-ORIENTED LIGHTING. ADD SHADE. ENHANCE 2 PEDESTRIAN CROSSINGS.</t>
  </si>
  <si>
    <t xml:space="preserve"> NORTH OF NE 9TH ST RESTRIPE TO CREATE BIKE LANES.  CREATE MEDIAN BREAK AT BROWARD BLVD FOR PED AND BIKE ONLY.  ADD SHARROWS AND SHARED LANE SIGNAGE SOUTH OF BROWARD BLVD</t>
  </si>
  <si>
    <t>NARROW AUTO LANES AND MEDIAN NORTH OF NE 13TH ST TO CREATE SIDEWALK BUFFERS.  ADD SIDEWALK BUFFERS SOUTH OF NE 13TH ST AS PART OF ROAD DIET.  ADD PEDESTRIAN-ORIENTED LIGHTING.  ADD SHADE.  ENHANCE PEDESTRIAN CROSSINGS.</t>
  </si>
  <si>
    <t>EXTEND BIKE LANES SOUTH OF NE 13TH ST AS PART OF MEDIAN NARROWING AND LANE/ROAD DIET</t>
  </si>
  <si>
    <t>IMPLEMENT LANE/ROAD DIET TO CREATE SIDEWALK BUFFERS. ADD PEDESTRIAN-ORIENTED LIGHTING.  ADD SHADE.</t>
  </si>
  <si>
    <t>ADD SIDEWALKS ON 2 SIDES.  ADD PEDESTRIAN-ORIENTED LIGHTING.  ADD SHADE.</t>
  </si>
  <si>
    <t>EXTEND BIKE SHOULDERS FROM NE 26TH ST TO US 1</t>
  </si>
  <si>
    <t>COMPLETE SIDEWALKS WITH BUFFERS ON 2 SIDES.  ADD PEDESTRIAN-ORIENTED LIGHTING. ADD SHADE.</t>
  </si>
  <si>
    <t>NARROW AUTO LANES AND WIDEN PAVED AREA TO CREATE BIKE LANES.  ADD SHARROWS AND SHARED LANE SIGNAGE ON BRIDGE</t>
  </si>
  <si>
    <t>COMPLETE SIDEWALKS ON 2 SIDES.  NARROW AUTO LANES TO CREATE SIDEWALK BUFFERS.  ADD PEDESTRIAN-ORIENTED LIGHTING.</t>
  </si>
  <si>
    <t>ADD SHARROWS AND SHARED LANE SIGNAGE AS PART OF A LANE/ROAD DIET. ADD PARKING WHERE APPROPRIATE</t>
  </si>
  <si>
    <t>CONTINUE PEDESTRIAN-ORIENTED LIGHTING WEST OF NW 12TH AVE.</t>
  </si>
  <si>
    <t>COMPLETE SIDEWALKS ON 2 SIDES.  ADD PEDESTRIAN ORIENTED LIGHTING, ADD SHADE</t>
  </si>
  <si>
    <t>ADD SHARROWS AND SHARED LANE SIGNAGE. ADD ON-STREET PARKING WHERE APPROPRIATE.</t>
  </si>
  <si>
    <t>COMPLETE PEDESTRIAN CONNECTIONS INCLUDING CROSSWALKS</t>
  </si>
  <si>
    <t>WEST OF ANDREWS AVE, FILL SIDEWALK GAPS.</t>
  </si>
  <si>
    <t xml:space="preserve">WEST OF ANDREWS AVE, IMPLEMENTLANE/ ROAD DIET TO CREATE ON-STREET PARKING AND CURB EXTENSIONS. </t>
  </si>
  <si>
    <t>BETWEEN US 1 AND ANDREWS AVE, ADD SHARROWS AND SHARED-LANE SIGNAGE.  WEST OF ANDREWS AVE, IMPLEMENT LANE/ROAD DIET TO CREATE ON-STREET PARKING AND ADD SHARROWS AND SHARED-LANE SIGNAGE TO REMAINING THROUGH LANE.</t>
  </si>
  <si>
    <t>EAST OF NW 9TH AVE, IMPLEMENT LANE/ROAD DIET TO ADD SHARROWS AND SHARED-LANE SIGNAGE TO REMAINING THROUGH LANE. WEST OF NW 9TH AVE, ADD SHARROWS AND SHARED-LANE SIGNAGE.</t>
  </si>
  <si>
    <t>EAST OF NW 9TH AVE, IMPLEMENT LANE/ROAD DIET TO CREATE ON-STREET PARKING AND ADD SHARROWS AND SHARED-LANE SIGNAGE TO REMAINING THROUGH LANE.</t>
  </si>
  <si>
    <t>ADD PEDESTRIAN-ORIENTED LIGHTING AND SHADE WEST OF NW 24TH AVE.</t>
  </si>
  <si>
    <t>IMPLEMENT LANE/ROAD DIET TO ADD SHARROWS AND SHARED-LANE SIGNAGE.</t>
  </si>
  <si>
    <t>IMPLEMENT LANE/ROAD DIET TO CREATE ON-STREET PARKING AND CURB EXTENSIONS WEST OF I-95.</t>
  </si>
  <si>
    <t xml:space="preserve">IMPLEMENT ROAD DIET TO CREATE SPACE FOR WIDER SIDEWALK BUFFERS AND BUS SHELTER PADS. ADD PEDESTRIAN-ORIENTED LIGHTING. ADD SHADE.  </t>
  </si>
  <si>
    <t>IMPLEMENT LANE/ROAD DIET TO CREATE BIKE LANES.</t>
  </si>
  <si>
    <t xml:space="preserve">IMPLEMENT LANE/ROAD DIET TO CREATE SPACE FOR WIDER SIDEWALK BUFFERS AND BUS SHELTER PADS. ADD PEDESTRIAN-ORIENTED LIGHTING. ADD SHADE.  </t>
  </si>
  <si>
    <t>IMPLEMENT LANE/ROAD DIET TO CREATE 5' BIKE LANES.</t>
  </si>
  <si>
    <t>ADD SIDEWALKS ON 2 SIDES.  ADD PEDESTRIAN-ORIENTED LIGHTING. ADD SHADE.</t>
  </si>
  <si>
    <t>ADD PEDESTRIAN-ORIENTED LIGHTING. ADD SHADE.  COMPLETE SIDEWALKS WITH BUFFERS ON BOTH SIDES.</t>
  </si>
  <si>
    <t xml:space="preserve">STRIPE 11' AUTO LANES AND WIDEN PAVED AREA AS NEEDED TO CREATE BIKE LANES.  </t>
  </si>
  <si>
    <t>IMPLEMENT LANE/ROAD DIET TO CREATE SIDEWALK BUFFERS AND SPACE FOR BUS SHELTER PADS. ADD PEDESTRIAN-ORIENTED LIGHTING. ADD SHADE. ENHANCE PEDESTRIAN CROSSINGS.</t>
  </si>
  <si>
    <t>IMPLEMENT LANE/ROAD DIET TO CREATE BUFFERED BIKE LANES.</t>
  </si>
  <si>
    <t xml:space="preserve">NARROW AUTO LANES AND SIDEWALK BUFFERS TO CREATE BIKE LANES. </t>
  </si>
  <si>
    <t>COMPLETE SIDEWALKS ON 2 SIDES.  ADD PEDESTRIAN-ORIENTED LIGHTING, ADD SHADE.</t>
  </si>
  <si>
    <t>CREATE SIDEWALK BUFFERS ON 2 SIDES BY NARROWING AUTO LANES AND IMPLEMENTING A LANE/ROAD DIET TO CREATE A 3-LANE SECTION.  CREATE SPACE FOR BUS SHELTER PADS.  ADD PEDESTRIAN-ORIENTED LIGHTING.  ADD SHADE. ENHANCE PEDESTRIAN CROSSINGS.</t>
  </si>
  <si>
    <t>CREATE BIKE LANES THROUGH LANE DIET AND A ROAD DIET TO CREATE A 3-LANE SECTION.</t>
  </si>
  <si>
    <t>CREATE SIDEWALK BUFFERS ON 2 SIDES BY LANE DIET AND IMPLEMENTING A ROAD DIET TO CREATE A 3-LANE SECTION.  CREATE SPACE FOR BUS SHELTER PADS.  ADD PEDESTRIAN-ORIENTED LIGHTING.  ADD SHADE. ENHANCE PEDESTRIAN CROSSINGS.</t>
  </si>
  <si>
    <t>CREATE BIKE LANES BY LANE DIET AND IMPLEMENTING A ROAD DIET TO CREATE A 3-LANE SECTION.</t>
  </si>
  <si>
    <t>NARROW AUTO LANES AND WIDEN PAVED AREA TO CREATE BIKE LANES. COORDINATE WITH COUNTY REGARDING OPPORTUNITY TO CREATE MULTI-USE TRAIL BETWEEN OAKLAND PARK BLVD AND COMMERCIAL BLVD.</t>
  </si>
  <si>
    <t xml:space="preserve">NARROW AUTO LANES AND WIDEN PAVED AREA TO CREATE BIKE LANES OR TWO-WAY BIKE PATH. </t>
  </si>
  <si>
    <t>RECONSTRUCT/WIDEN SIDEWALKS TO CREATE SIDEWALK BUFFERS.  ADD PEDESTRIAN-ORIENTED LIGHTING. ADD SHADE.</t>
  </si>
  <si>
    <t>SOUTH OF NW 20TH ST NARROW AUTO LANES TO TRANSFORM BIKE SHOULDERS INTO BIKE LANES.</t>
  </si>
  <si>
    <t xml:space="preserve">NARROW AUTO LANES AND WIDEN PAVED AREA TO CREATE BIKE LANES. </t>
  </si>
  <si>
    <t>CREATE SIDEWALK BUFFERS ON 2 SIDES BY NARROWING AUTO LANES AND IMPLEMENTING A LANE/ROAD DIET TO CREATE A 5-LANE SECTION.  CREATE SPACE FOR BUS SHELTER PADS.  ADD PEDESTRIAN-ORIENTED LIGHTING.  ADD SHADE.</t>
  </si>
  <si>
    <t>CREATE BIKE LANES THROUGH USE OF A  LANE DIET AND IMPLEMENTING A ROAD DIET TO CREATE A 5-LANE SECTION.</t>
  </si>
  <si>
    <t>COMPLETE SIDEWALKS ON 2 SIDES AND CREATE SIDEWALK BUFFERS ON 2 SIDES BY NARROWING AUTO LANES AND IMPLEMENTING A LANE/ROAD DIET TO CREATE A 5-LANE SECTION.  CREATE SPACE FOR BUS STOP PADS.  ADD PEDESTRIAN-ORIENTED LIGHTING.  ADD SHADE.  ENHANCE PEDESTRIAN CROSSINGS.  SIDEWALK IMPROVEMENTS AT NW 24TH ST</t>
  </si>
  <si>
    <t>CREATE BUFFERED BIKE LANES BY NARROWING AUTO LANES AND IMPLEMENTING A LANE/ROAD DIET TO CREATE A 5-LANE SECTION.</t>
  </si>
  <si>
    <t>NARROW AUTO LANES AND IMPLEMENT A LANE/ROAD DIET TO CREATE A 5-LANE SECTION.  CREATE SPACE FOR BUS SHELTER PADS.  ADD PEDESTRIAN-ORIENTED LIGHTING.  ADD SHADE.</t>
  </si>
  <si>
    <t>IMPLEMENT LANE/ROAD DIET TO CREATE 5 LANE SECTION WITH SIDEWALKS AND BUFFERS ALONG STREET AND SPACE FOR BUS SHELTER PADS.  ADD PEDESTRIAN-ORIENTED LIGHTING.  ADD SHADE. ENHANCE PEDESTRIAN CROSSINGS.</t>
  </si>
  <si>
    <t>IMPLEMENT LANE/ROAD DIET TO CREATE BIKE LANES.  ADD SHARROWS AND SHARED-LANE SIGNS ON BRIDGE AND EAST TO A1A</t>
  </si>
  <si>
    <t>ADD PEDESTRIAN-ORIENTED LIGHTING. ADD SHADE.  COMPLETE SIDEWALKS WITH BUFFERS ON BOTH SIDES. ENHANCE PEDESTRIAN CROSSINGS.</t>
  </si>
  <si>
    <t>NARROW AUTO LANES.  INCREASE PAVED WIDTH, REMOVE TURN LANES TO CREATE BUFFERED BIKE LANES.</t>
  </si>
  <si>
    <t>COMPLETE SIDEWALKS WITH BUFFERS AND SPACE FOR BUS SHELTER PADS ON 2 SIDES. ADD PEDESTRIAN-ORIENTED LIGHTING. ADD SHADE.</t>
  </si>
  <si>
    <t>INCREASE PAVED WIDTH TO CREATE BUFFERED BIKE LANES.</t>
  </si>
  <si>
    <t>COMPLETE SIDEWALKS WITH BUFFERS AND SPACE FOR BUS SHELTER PADS ON 2 SIDES. ADD PEDESTRIAN-ORIENTED LIGHTING. ADD SHADE. ENHANCE PEDESTRIAN CROSSINGS.</t>
  </si>
  <si>
    <t>NARROW AUTO LANES,  INCREASE PAVED WIDTH, AND REMOVE TURN LANES TO CREATE BUFFERED BIKE LANES.</t>
  </si>
  <si>
    <t>COMPLETE SIDEWALKS WITH BUFFERS ON 2 SIDES. ADD PEDESTRIAN-ORIENTED LIGHTING. ADD SHADE.</t>
  </si>
  <si>
    <t>NARROW AUTO LANES AND INCREASE PAVED WIDTH TO CREATE BUFFERED BIKE LANES.</t>
  </si>
  <si>
    <t>IMPLEMENT LANE/ROAD DIET TO CREATE SIDEWALK BUFFERS ON 2 SIDES. ADD PEDESTRIAN-ORIENTED LIGHTING. ADD SHADE.</t>
  </si>
  <si>
    <t>INPLEMENT LANE/ROAD DIET TO CREATE BIKE LANE.</t>
  </si>
  <si>
    <t>ADD PEDESTRIAN-ORIENTED LIGHTING. ADD SHADE. ADD SIDEWALK BUFFER SOUTH OF SE 16TH ST. BY NARROWING SIDEWALK.  ENHANCE PEDESTRIAN CROSSING.</t>
  </si>
  <si>
    <t>REMOVE MEDIAN TO CREATE BIKE LANES.</t>
  </si>
  <si>
    <t>ADD PEDESTRIAN-ORIENTED LIGHTING. ENHANCE PEDESTRIAN CROSSING.</t>
  </si>
  <si>
    <t>REMOVE MEDIAN AND CENTER TURN LANES TO CREATE BIKE LANES.  ADD SHARROWS AND SHARED ROAD SIGNS ON BRIDGE.</t>
  </si>
  <si>
    <t>ROADWAY REDESIGN TO INCORPORATE THE ONE-WAY CONDITION IN FRONT OF THE JUDICIAL COMPLES AND TWO-WAY CONDITION FOR THE SECTIONS EAST AND WEST OF THE COMPLEX. CREATE TRANSIT, PEDESTRIAN, AND BIKE ACCOMMODATIONS.</t>
  </si>
  <si>
    <t>NARROW LANES TO CREATE SIDEWALK BUFFERS.  ADD PEDESTRIAN-ORIENTED LIGHTING.  ADD SHADE. ENHANCE PEDESTRIAN CROSSING.</t>
  </si>
  <si>
    <t>GREENWAY</t>
  </si>
  <si>
    <t xml:space="preserve">ADD SIDEWALKS ON 2 SIDES. ADD PEDESTRIAN-ORIENTED LIGHTING.  ADD SHADE. </t>
  </si>
  <si>
    <t>ADD PEDESTRIAN-ORIENTED LIGHTING.  ADD SHADE.  PROPOSED GREENWAY IN CORRIDOR.</t>
  </si>
  <si>
    <t>ADD PEDESTRIAN-ORIENTED LIGHTING ON 2 SIDES NORTH OF NE 9TH ST.  ADD PEDESTRIAN-ORIENTED LIGHTING ON 1 SIDE SOUTH OF SE 9TH ST.  ADD SHADE.  PROPOSED GREENWAY IN CORRIDOR.</t>
  </si>
  <si>
    <t xml:space="preserve"> GREENWAY</t>
  </si>
  <si>
    <t>ADD PEDESTRIAN-ORIENTED LIGHTING ON 1 SIDE.  ADD SHADE.  PROPOSED GREENWAY IN CORRIDOR.</t>
  </si>
  <si>
    <t>GREENWAY.</t>
  </si>
  <si>
    <t>NARROW AUTO LANES/MEDIAN AND IMPLEMENT LANE/ROAD DIET TO CREATE SIDEWALK BUFFERS AND SPACE FOR BUS SHELTER PADS.  ADD PEDESTRIAN-ORIENTED LIGHTING. ADD SHADE.</t>
  </si>
  <si>
    <t>NARROW AUTO LANES/MEDIAN AND IMPLEMENT ROAD DIET TO EXTEND BIKE LANES SOUTH AND CREATE BUFFERS FOR BIKE LANES.</t>
  </si>
  <si>
    <t>PORT BYPASS TO BE DESIGNED AS COMMERCIAL AVENUE WITH SIDEWALKS ON 2 SIDES, SIDEWALK BUFFERS ON 2 SIDES, PEDESTRIAN-SCALE LIGHTING, AND SHADE.  PORT TO PROVIDE MULTIMODAL CONNECTIONS</t>
  </si>
  <si>
    <t xml:space="preserve">PORT BYPASS RD TO BE DESIGNED AS COMMERCIAL AVENUE WITH BIKE LANES.  </t>
  </si>
  <si>
    <t xml:space="preserve">ADD PEDESTRIAN-ORIENTED LIGHTING.  ADD SHADE. </t>
  </si>
  <si>
    <t>PROPOSED GREENWAY IN CORRIDOR.</t>
  </si>
  <si>
    <t>NARROW AUTO LANES/MEDIAN AND IMPLEMENT LANE/ROAD DIET TO CREATE SIDEWALK BUFFERS AND SPACE FOR BUS SHELTER PADS.  ADD PEDESTRIAN-ORIENTED LIGHTING. ADD SHADE. ENHANCE  PEDESTRIAN CROSSINGS.</t>
  </si>
  <si>
    <t>NARROW AUTO LANES/MEDIAN AND IMPLEMENT LANE/ROAD DIET TO TRANSFORM BIKE SHOULDERS INTO BIKE LANES, EXTEND BIKE LANES EAST, AND CREATE BUFFERS FOR BIKE LANES.</t>
  </si>
  <si>
    <t>NARROW AUTO LANES/MEDIAN AND IMPLEMENT LANE/ROAD DIET TO CREATE SIDEWALK BUFFERS AND SPACE FOR BUS SHELTER PADS.  ADD PEDESTRIAN-ORIENTED LIGHTING. ADD SHADE. ENHANCE PEDESTRIAN CROSSING.</t>
  </si>
  <si>
    <t>NARROW AUTO LANES/MEDIAN AND IMPLEMENT ROAD DIET TO TRANSFORM BIKE SHOULDERS INTO BIKE LANES, EXTEND BIKE LANES EAST, AND CREATE BUFFERS FOR BIKE LANES.</t>
  </si>
  <si>
    <t>NARROW AUTO LANES/MEDIAN AND IMPLEMENT LANE/ROAD DIET TO EXTEND BIKE LANES EAST.</t>
  </si>
  <si>
    <t>ADD PEDESTRIAN-SCALE LIGHTING THROUGH PARKING GARAGE. WAYFINDING UNDER PARKING GARAGE.</t>
  </si>
  <si>
    <t>ADD SHARROWS AND SHARED-LANE SIGNAGE.</t>
  </si>
  <si>
    <t>COMPLETE SIDEWALK ON 2 SIDES.  IMPLEMENT LANE/ROAD DIET TO CREATE SIDEWALK BUFFERS. ADD PEDESTRIAN-SCALE LIGHTING. ADD SHADE.</t>
  </si>
  <si>
    <t>ADD PEDESTRIAN-SCALE LIGHTING. ADD SHADE. NARROW AUTO LANES TO ADD SIDEWALK BUFFER SOUTH OF SW 20TH ST.</t>
  </si>
  <si>
    <t>ADD PEDESTRIAN-SCALE LIGHTING. ADD SHADE.</t>
  </si>
  <si>
    <t>COMPLETE SIDEWALKS ON 2 SIDES.  ADD PEDESTRIAN-SCALE LIGHTING. ADD SHADE.</t>
  </si>
  <si>
    <t>NARROW AUTO LANES AND WIDEN PAVED AREA TO CREATE 5' BIKE LANES.</t>
  </si>
  <si>
    <t>COMPLETE SIDEWALK ON 2 SIDES.  ADD PEDESTRIAN-SCALE LIGHTING.</t>
  </si>
  <si>
    <t>PROVIDE BIKE ACCOMMODATIONS</t>
  </si>
  <si>
    <t xml:space="preserve">REMOVE EASTBOUND RIGHT TURN LANE AT US 1 TO CREATE SIDEWALK BUFFER. ADD PEDESTRIAN-SCALE LIGHTING. ADD SHADE. </t>
  </si>
  <si>
    <t xml:space="preserve">WEST OF ANDREWS AVE, CREATE BIKE LANES BY NARROWING INSIDE AUTO LANES AND RESTRIPING WIDE OUTSIDE LANES WITH 1 AUTO LANE AND 1 BIKE LANE.  IMPLEMENT LANE/ROAD DIET BETWEEN ANDREWS AND SE 3RD AVE TO CREATE 5-LANE SECTION WITH BIKE LANES. CONVERT STRIPED SHOULDERS IN CURVES EAST OF SE 3RD AVE TO BIKE LANES.  REPLACE EASTBOUND RIGHT-TURN LANE AT US 1 WITH BIKE LANE AND SIDEWALK BUFFER.  RETRIPE WESTBOUND AUTO LANES BETWEEN USE 1 AND CURBES TO CREATE 2 AUTO LANES AND BIKE LANE.  </t>
  </si>
  <si>
    <t xml:space="preserve"> ADD PEDESTRIAN-SCALE LIGHTING. ADD SHADE.</t>
  </si>
  <si>
    <t xml:space="preserve">NARROW AUTO LANES AND IMPLEMENT LANE/ROAD DIET TO EXTEND SIDEWALK BUFFERS. ADD PEDESTRIAN-ORIENTED LIGHTING. LPIS. ADD SHADE. ENHANCE 1 PEDESTRIAN CROSSING. </t>
  </si>
  <si>
    <t>NARROW AUTO LANES AND IMPLEMENT LANE/ROAD DIET TO CREATE BUFFERED BIKE LANES.</t>
  </si>
  <si>
    <t xml:space="preserve">NARROW AUTO LANES AND IMPLEMENT LANE/ROAD DIET TO EXTEND SIDEWALK BUFFERS. ADD PEDESTRIAN-ORIENTED LIGHTING. ADD SHADE. LPIS. ENHANCE PEDESTRIAN CROSSINGS. </t>
  </si>
  <si>
    <t xml:space="preserve">NARROW AUTO LANES AND IMPLEMENT LANE/ROAD DIET TO EXTEND SIDEWALK BUFFERS. ADD PEDESTRIAN-ORIENTED LIGHTING. ADD SHADE. ENHANCE PEDESTRIAN CROSSINGS. </t>
  </si>
  <si>
    <t>OUTSIDE TUNNEL, NARROW AUTO LANES AND IMPLEMENT LANE/ROAD DIET TO CREATE BUFFERED BIKE LANES. LPIS. INSIDE TUNNEL, NARROW AUTO LANES TO CREATE BIKE LANES.  SUPPLEMENT WITH ADVANCE SIGNAGE.</t>
  </si>
  <si>
    <t>NARROW AUTO LANES AND IMPLEMENT LANE/ROAD DIET TO EXTEND SIDEWALK BUFFERS. ADD PEDESTRIAN-ORIENTED LIGHTING. ADD SHADE. ENHANCE PEDESTRIAN CROSSINGS. ADD LPI SIGNALS.</t>
  </si>
  <si>
    <t>IMPLEMENT LANE/ROAD DIET TO CREATE BUFFERED BIKE LANES. CONTINUE MULTI-USE PATH NORTH AND SOUTH WITH FUTURE REDEVELOPMENT.</t>
  </si>
  <si>
    <t xml:space="preserve">NARROW AUTO LANES AND IMPLEMENT LANE/ROAD DIET TO EXTEND SIDEWALK BUFFERS. ADD PEDESTRIAN-ORIENTED LIGHTING. ADD SHADE. LPIS.  </t>
  </si>
  <si>
    <t>NARROW AUTO LANES AND IMPLEMENT ROAD DIET TO CREATE BIKE LANES.</t>
  </si>
  <si>
    <t xml:space="preserve">NARROW AUTO LANES AND IMPLEMENT LANE/ROAD DIET TO EXTEND SIDEWALK BUFFERS. ADD PEDESTRIAN-ORIENTED LIGHTING. ADD SHADE. LPIS. ENHANCE PEDESTRIAN CROSSING. </t>
  </si>
  <si>
    <t>NARROW AUTO LANES AND IMPLEMENT LANE/ROAD DIET TO CREATE BIKE LANES.</t>
  </si>
  <si>
    <t>NARROW AUTO LANES AND WIDEN PAVED AREA TO TRANSFORM SHOULDERS TO BIKE LANES PER RESIDENT INPUT.</t>
  </si>
  <si>
    <t>SR 84/SW 24TH ST</t>
  </si>
  <si>
    <t>SE/SW 9TH ST</t>
  </si>
  <si>
    <t>NE 60th ST</t>
  </si>
  <si>
    <t>US 1/SR 5</t>
  </si>
  <si>
    <t>SR-5/US-1</t>
  </si>
  <si>
    <t>SR 5/US 1</t>
  </si>
  <si>
    <t>US 1/SR 5/FEDERAL HWY</t>
  </si>
  <si>
    <t>SR A1A/OCEAN DR</t>
  </si>
  <si>
    <t>NE 15TH TER</t>
  </si>
  <si>
    <t>SR 845/POWER-LINE RD</t>
  </si>
  <si>
    <t>TURNPIKE</t>
  </si>
  <si>
    <t>US 441/SR 7</t>
  </si>
  <si>
    <t>NE 20TH DR</t>
  </si>
  <si>
    <t>NE 13TH ST</t>
  </si>
  <si>
    <t>SR A1A NB</t>
  </si>
  <si>
    <t>ELLER DR</t>
  </si>
  <si>
    <t>NE 69TH ST</t>
  </si>
  <si>
    <t>SE 12TH ST</t>
  </si>
  <si>
    <t>SE 24TH ST/SR 84</t>
  </si>
  <si>
    <t>US 1/SR 5/FEDERAL HW</t>
  </si>
  <si>
    <t>NE 19TH ST</t>
  </si>
  <si>
    <t>US1/SR 5/FEDERAL HWY</t>
  </si>
  <si>
    <t>VICTORIA TER</t>
  </si>
  <si>
    <t>US 1/FEDERAL HWY</t>
  </si>
  <si>
    <t>US 1/SR 5/ FEDERAL HWY</t>
  </si>
  <si>
    <t>NW 23RD ST</t>
  </si>
  <si>
    <t>SR 9/I-95</t>
  </si>
  <si>
    <t>W MCNAB RD</t>
  </si>
  <si>
    <t>W CYPRESS CREEK RD</t>
  </si>
  <si>
    <t>CYPRESS CREEK RD/NW 62ND ST</t>
  </si>
  <si>
    <t>NW 13TH ST</t>
  </si>
  <si>
    <t xml:space="preserve">NW 26TH ST </t>
  </si>
  <si>
    <t>POWERLINE RD/SR 845</t>
  </si>
  <si>
    <t>BAHIA MAR HOTEL/SR A1A</t>
  </si>
  <si>
    <t>SEVILLA ST</t>
  </si>
  <si>
    <t>PORT ENTRANCE</t>
  </si>
  <si>
    <t xml:space="preserve">US 1 </t>
  </si>
  <si>
    <t>PERIMETER RD/SW 34TH ST</t>
  </si>
  <si>
    <t>SW 32ND CT</t>
  </si>
  <si>
    <t>NE 7TH ST</t>
  </si>
  <si>
    <t>A</t>
  </si>
  <si>
    <t>B</t>
  </si>
  <si>
    <t xml:space="preserve">C </t>
  </si>
  <si>
    <t>E</t>
  </si>
  <si>
    <t>F</t>
  </si>
  <si>
    <t xml:space="preserve">G </t>
  </si>
  <si>
    <t>H</t>
  </si>
  <si>
    <t>H.1</t>
  </si>
  <si>
    <t>H.2</t>
  </si>
  <si>
    <t>H.3</t>
  </si>
  <si>
    <t>H.4</t>
  </si>
  <si>
    <t>H.5</t>
  </si>
  <si>
    <t>J</t>
  </si>
  <si>
    <t>D</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</si>
  <si>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</si>
  <si>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</si>
  <si>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</si>
  <si>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</si>
  <si>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</si>
  <si>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</si>
  <si>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</si>
  <si>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</si>
  <si>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</si>
  <si>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</si>
  <si>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</si>
  <si>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</si>
  <si>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</si>
  <si>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</si>
  <si>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</si>
  <si>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</si>
  <si>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</si>
  <si>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</si>
  <si>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</si>
  <si>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</si>
  <si>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</si>
  <si>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</si>
  <si>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</si>
  <si>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</si>
  <si>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</si>
  <si>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</si>
  <si>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</si>
  <si>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</si>
  <si>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</si>
  <si>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</si>
  <si>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</si>
  <si>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</si>
  <si>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</si>
  <si>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</si>
  <si>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</si>
  <si>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</si>
  <si>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</si>
  <si>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</si>
  <si>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</si>
  <si>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</si>
  <si>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</si>
  <si>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</si>
  <si>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</si>
  <si>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</si>
  <si>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</si>
  <si>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</si>
  <si>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</si>
  <si>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252</t>
  </si>
  <si>
    <t>253</t>
  </si>
  <si>
    <t>254</t>
  </si>
  <si>
    <t>255</t>
  </si>
  <si>
    <t>256</t>
  </si>
  <si>
    <t>257</t>
  </si>
  <si>
    <t>258</t>
  </si>
  <si>
    <t>259</t>
  </si>
  <si>
    <t>260</t>
  </si>
  <si>
    <t>261</t>
  </si>
  <si>
    <t>262</t>
  </si>
  <si>
    <t>263</t>
  </si>
  <si>
    <t>264</t>
  </si>
  <si>
    <t>265</t>
  </si>
  <si>
    <t>278</t>
  </si>
  <si>
    <t>279</t>
  </si>
  <si>
    <t>280</t>
  </si>
  <si>
    <t>281</t>
  </si>
  <si>
    <t>282</t>
  </si>
  <si>
    <t>283</t>
  </si>
  <si>
    <t>284</t>
  </si>
  <si>
    <t>285</t>
  </si>
  <si>
    <t>286</t>
  </si>
  <si>
    <t>290</t>
  </si>
  <si>
    <t>291</t>
  </si>
  <si>
    <t>292</t>
  </si>
  <si>
    <t>293</t>
  </si>
  <si>
    <t>295</t>
  </si>
  <si>
    <t>296</t>
  </si>
  <si>
    <t>297</t>
  </si>
  <si>
    <t>298</t>
  </si>
  <si>
    <t>299</t>
  </si>
  <si>
    <t>300</t>
  </si>
  <si>
    <t>301</t>
  </si>
  <si>
    <t>302</t>
  </si>
  <si>
    <t>303</t>
  </si>
  <si>
    <t>304</t>
  </si>
  <si>
    <t>305</t>
  </si>
  <si>
    <t>306</t>
  </si>
  <si>
    <t>307</t>
  </si>
  <si>
    <t>308</t>
  </si>
  <si>
    <t>309</t>
  </si>
  <si>
    <t>CITY-WIDE PREMIUM TRANSIT CORRIDOR PEDESTRIAN ACCOMMODATIONS</t>
  </si>
  <si>
    <t>ADA TROLLEY STOPS</t>
  </si>
  <si>
    <t>CITY WAYFINDING PROGRAM</t>
  </si>
  <si>
    <t>CITY-WIDE SIDEWALKS, NON-PREMIUM TRANSIT CORRIDORS</t>
  </si>
  <si>
    <t>NW 14TH &amp; NW 15TH ST</t>
  </si>
  <si>
    <t>LAS OLAS INTRACOASTAL PROMENADE</t>
  </si>
  <si>
    <t>CHANNEL SQUARE</t>
  </si>
  <si>
    <t>FAT VILLAGE CORRIDOR IMPROVEMENTS</t>
  </si>
  <si>
    <t xml:space="preserve">NE 13TH ST CORRIDOR IMPROVEMENTS </t>
  </si>
  <si>
    <t>TAXIWAY ECHO EXTENSION</t>
  </si>
  <si>
    <t>TAXIWAY M EXTENSION</t>
  </si>
  <si>
    <t>TAXIWAY E REHABILITATION</t>
  </si>
  <si>
    <t>TAXIWAY F PAVEMENT REHABILITATION</t>
  </si>
  <si>
    <t>TAXIWAY G PAVEMENT REHABILITATION</t>
  </si>
  <si>
    <t>TAXIWAY H PAVEMENT REHABIITATION</t>
  </si>
  <si>
    <t>TAXIWAY L REHABILITATION</t>
  </si>
  <si>
    <t>TAXIWAY M REHABILITATION</t>
  </si>
  <si>
    <t>TAXIWAY N REHABILITATION</t>
  </si>
  <si>
    <t>TAXIWAY P REHABILITATION</t>
  </si>
  <si>
    <t>TAXIWAY Q REHABILITATION</t>
  </si>
  <si>
    <t>TAXIWAY R REHABILITATION</t>
  </si>
  <si>
    <t>NEW TROLLEYS</t>
  </si>
  <si>
    <t>NE 3RD ST</t>
  </si>
  <si>
    <t>BIRCH STATE PARK LOOP</t>
  </si>
  <si>
    <t xml:space="preserve">VISTAMAR ST </t>
  </si>
  <si>
    <t xml:space="preserve">BAYSHORE DR </t>
  </si>
  <si>
    <t xml:space="preserve">RIOMAR ST </t>
  </si>
  <si>
    <t>LAS OLAS CIR</t>
  </si>
  <si>
    <t>SOUTH BEACH BOARDWALK</t>
  </si>
  <si>
    <t xml:space="preserve">SE 19TH PL &amp; BARBARA DR </t>
  </si>
  <si>
    <t xml:space="preserve">SE 14TH CT </t>
  </si>
  <si>
    <t xml:space="preserve">SW 34TH ST </t>
  </si>
  <si>
    <t>SW 28TH ST</t>
  </si>
  <si>
    <t>SW 33RD CT</t>
  </si>
  <si>
    <t xml:space="preserve">SW 20TH ST </t>
  </si>
  <si>
    <t xml:space="preserve">SW 16TH ST </t>
  </si>
  <si>
    <t>E/W CAMPUS CIR</t>
  </si>
  <si>
    <t xml:space="preserve">SW 7TH ST </t>
  </si>
  <si>
    <t xml:space="preserve">SW 10TH ST </t>
  </si>
  <si>
    <t>SW 4TH PL</t>
  </si>
  <si>
    <t>NW 5TH ST</t>
  </si>
  <si>
    <t xml:space="preserve">NW 3RD CT </t>
  </si>
  <si>
    <t xml:space="preserve">NE 11TH ST </t>
  </si>
  <si>
    <t>NE 6TH TER</t>
  </si>
  <si>
    <t xml:space="preserve">NE 7TH ST </t>
  </si>
  <si>
    <t xml:space="preserve">NE 12TH ST </t>
  </si>
  <si>
    <t xml:space="preserve">NE 12TH ST &amp; FLAGLER DR &amp; NE 15TH ST </t>
  </si>
  <si>
    <t xml:space="preserve">NE 17TH CT </t>
  </si>
  <si>
    <t xml:space="preserve">MILL POND PARK </t>
  </si>
  <si>
    <t xml:space="preserve">NW 14TH CT </t>
  </si>
  <si>
    <t>TARPON DR 7 S BRICKELL DR</t>
  </si>
  <si>
    <t xml:space="preserve">N NEW RIVER PATH </t>
  </si>
  <si>
    <t>SW 6TH ST</t>
  </si>
  <si>
    <t>SW 3RD &amp; SW 4</t>
  </si>
  <si>
    <t xml:space="preserve">S - NORTH FORK NEW RIVER PATH </t>
  </si>
  <si>
    <t xml:space="preserve">NE 6TH CT </t>
  </si>
  <si>
    <t xml:space="preserve">NW 19TH ST </t>
  </si>
  <si>
    <t>WESTSIDE - EX AIRPORT LOOP</t>
  </si>
  <si>
    <t>IMPROVE PEDESTRIAN ACCOMMODATIONS ON STREETS THAT ARE WITHIN 1/2 MILE OF PREMIUM TRANSIT CORRIDORS TO FILL GAPS IN CONNECTIVITY</t>
  </si>
  <si>
    <t>UPGRADE SUN-TROLLY STOPS TO BE ADA COMPLIANT</t>
  </si>
  <si>
    <t>IMPLEMENT A WAYFINDING PROGRAM</t>
  </si>
  <si>
    <t>NEW SEAWALL, BOARDWALK (AS AN EXTENSION OF THE WALK), LIGHTING, BRICK PAVERS, AND STREET FURNITURE.</t>
  </si>
  <si>
    <t>EXTEND THE EXISTING FLAGLER GREENWAY</t>
  </si>
  <si>
    <t>DESIGN AND CONSTRUCT 12' MULTIUSE GREENWAY ALONG PROGRESSO DR</t>
  </si>
  <si>
    <t>DESIGN AND CONSTRUCTION OF THE WAVE STREETCAR EXTENSIONS TO THE AIRPORT, PORT, TRI-RAIL STATION ON BROWARD BLVD, AND BEACH</t>
  </si>
  <si>
    <t>WAVE EXPANSION TO THE INTERNATIONAL AIRPORT VIA ANDREWS AVE AND US1</t>
  </si>
  <si>
    <t>WAVE EXPANSION TO THE CONVENTION CENTER ALONG 17TH ST</t>
  </si>
  <si>
    <t>WAVE EXPANSION FROM CONVENTION CENTER ALONG BEACH VIA A1A AND SUNRISE BOULEVARD</t>
  </si>
  <si>
    <t>WAVE EXPANSION TO BROWARD BLVD TRI-RAIL STATION VIA BROWARD, SE 2ND ST</t>
  </si>
  <si>
    <t>WAVE EXPANSION ALONG SISTRUNK BLVD AND NE 27TH AVE</t>
  </si>
  <si>
    <t>REAL-TIME TRANSIT, EVENT AND DESTINATION INFORMATION THROUGH TECHNOLOGIES THAT INCLUDE INTERACTIVE KIOSKS, SMART PHONE APPLICATIONS, AND A WEBSITE</t>
  </si>
  <si>
    <t>COMPLETE SIDEWALKS ON STREETS CITY-WIDE TO FILL GAPS IN CONNECTIVITY NOT IN PREMIUM TRANSIT CORRIDORS</t>
  </si>
  <si>
    <t xml:space="preserve">CONVERT ONE-WAY SECTION WEST OF ANDREWS AVE TO TWO-WAY </t>
  </si>
  <si>
    <t>CONSTRUCTION OF NEW ROADS WHERE THEY ARE CURRENTLY NOT PAVED</t>
  </si>
  <si>
    <t>ROAD DIET RESTRIPE TO BE COMPLETE STREET WITH PARALLEL PARKING, 2 LANES OF TRAFFIC, AND A BIKE LANE IN EACH DIRECTION.</t>
  </si>
  <si>
    <t>ROAD DIET RESTRIPE AS PART OF CONTEXT SENSITIVE CORRIDOR TO INCLUDE BIKE LANES AND ON-STREET PARKING</t>
  </si>
  <si>
    <t xml:space="preserve">WALKABILITY UPGRADES IN COMPLIANCE WITH WALKABILITY STUDY </t>
  </si>
  <si>
    <t>LAS OLAS TUNNEL TOP PLAZA</t>
  </si>
  <si>
    <t>ROUNDABOUT</t>
  </si>
  <si>
    <t>EXPLORE BAT LANE CONCEPT.  OFF-PEAK ON-STREET PARKING.</t>
  </si>
  <si>
    <t>NEW SIDEWALKS, LANDSCAPING, AND LIGHTING WILL ADDRESS PUBLIC SAFETY ISSUES.  INSTALLATION OF REQUIRED INFRASTRUCTURE TO CLOSE OFF PORTION OF STREET TO CREATE PEDESTRIAN MALL FOR SPECIAL EVENTS.</t>
  </si>
  <si>
    <t>WATERFRONT PROMENADE AT LAS OLAS CIRCLE ICLUDING WALKWAY, LANDSCAPING LIGHTING, PEDESTRIAN AMENITIES.</t>
  </si>
  <si>
    <t xml:space="preserve">WATER TAXI STOP, LANDSCAPED PLAZA AND STREETSCAPE IMPROVEMENTS.  "CANALWALK"  </t>
  </si>
  <si>
    <t>WEST SIDE CORRIDOR IMPROVEMENTS - SIDEWALK, TREES AND LIGHT POLES, ADA UPGRADES TO SEBASTIAN PARKING LOT</t>
  </si>
  <si>
    <t>STREET ENHANCEMENTS TO NW 1ST AVE  AND NW 5TH ST BETWEEN ANDREWS AVE AND N FLAGLER DR.</t>
  </si>
  <si>
    <t>DESIGN AND CONSTRUCTION OF SAFETY IMPROVEMENTS INCLUDING ADA TROLLY STOPS, ON-STREET PARKING, SIDEWALKS, STREETSCAPE, TRAFFIC CALMING, LANDSCAPING, PEDESTRIAN SIGNALIZATION AND CROSSWALK UPGRADES</t>
  </si>
  <si>
    <t>COMPLETE STREETS PROJECT INCLUDING LANE REDUCTION, COLORED BIKE LANES, SAFETY ZONE, DECORATIVE CROSSWALKS, STREET LIGHTS, IN-GROUND LED LIGHTED CROSSWALK, TREE CANOPY, ADA IMPROVEMENTS, ON-STREET PARKING.</t>
  </si>
  <si>
    <t>MULTIUSE PATH AROUND PERIMETER ROAD AT THE EXECUTIVE AIRPORT</t>
  </si>
  <si>
    <t xml:space="preserve">DESIGN AND CONSTRUCT ACUTE ANGLE TAXIWAYS NOVEMBER AND DELTA AT THE EAST END OF RUNWAY 8/26 </t>
  </si>
  <si>
    <t>DESIGN AND CONSTRUCTION OF THE PERIMETER ROAD LOOP SYSTEM WITHIN THE SECURED FENCE AREA AT TEHE WESTERN END OF THE AIRPORT.</t>
  </si>
  <si>
    <t>DESIGN AND CONSTRUCTION OF LOOP PERIMETER ROAD AT THE SOUTH END OF THE AIRPORT AT RUNWAY 31 WITHIN THE SECURITY FENCED AREA</t>
  </si>
  <si>
    <t>DEISGN AND CONSTRUCTION OF ACUTE ANGLE TAXIWAY KILO AT THE WEST END OF RUNWAY 8/26</t>
  </si>
  <si>
    <t>DESIGN AND CONSTRUCT EXTENSION OF THE EASTERN 1,000 FEET OF TAXIWAY ECHO AND CONSTRUCT RUN-UP AREA ALONG WITH THE CONSTRUCTION OF A NEW RUN-UP AREA AND RELOCATION OF THE EXISTING BLAST DETECTOR FENCE</t>
  </si>
  <si>
    <t xml:space="preserve">DESIGN AND CONSTRUCTION OF EXTENSION OF MID-FIELD TAXIWAY FROM TAXIWAY BRAVO TO TAXIWAY ECHO ALONG WITH RELOCATION OF THE RUN-UP AREA AND BLAST DETECTION FENCE.  </t>
  </si>
  <si>
    <t>DEISGN AND CONSTRUCTION OF PHASED PERIMETER ROAD LOOP SYSTEM WITHIN THE SECURED FENCE AREA AT THE EASTERN END OF THE AIRPORT</t>
  </si>
  <si>
    <t>DESIGN AND COSTRUCTION OF RELOCATION OF 1,500 FEET OF TAXIWAY GOLF INCLUDING INSTALLATION OF LED LIGHTING AND SIGNAGE.</t>
  </si>
  <si>
    <t>DESIGN AND CONSTRUCTION OF RUNWAY 26 &amp; 31 BYPASS</t>
  </si>
  <si>
    <t xml:space="preserve">DESIGN AND CONSTRUCTION OF EXTENSION OF TAXIWAY M.  </t>
  </si>
  <si>
    <t>DESIGN AND CONSTRUCTION OF HOLDING PAD</t>
  </si>
  <si>
    <t>MILL AND RESURFACE RUNWAY</t>
  </si>
  <si>
    <t>MILL AND RESURFACE</t>
  </si>
  <si>
    <t>DESIGN AND CONSTRUCTION INCLUDING MILLING AND RESURFACING THE AIRFIELD PAVEMENT ALONG TAXIWAY FOXTROT.</t>
  </si>
  <si>
    <t>ENHANCED TRANSIT SERVICE ON WATERWAYS TO SUPPLEMENT LAND-BASED TRANSIT BOTH ACROSS RIVER AND TO COMMUTING DESITINATIONS</t>
  </si>
  <si>
    <t>PURCHASE OF 15 TROLLEYS FOR COMMUNITY BUS SERVICE</t>
  </si>
  <si>
    <t>SECONDARY ROAD BIKE ACCOMMODATIONS</t>
  </si>
  <si>
    <t xml:space="preserve">SECONDARY ROAD BIKE ACCOMMODATIONS </t>
  </si>
  <si>
    <t>CITY-WIDE</t>
  </si>
  <si>
    <t>NEW RIVER DR</t>
  </si>
  <si>
    <t>MULTIPLE</t>
  </si>
  <si>
    <t>AIRPORT</t>
  </si>
  <si>
    <t>NE 18TH CT</t>
  </si>
  <si>
    <t>POWERLINE RD</t>
  </si>
  <si>
    <t xml:space="preserve">HIMMARSHEE ST </t>
  </si>
  <si>
    <t>POINSETTA ST</t>
  </si>
  <si>
    <t>LAS OLAS CIRCLE</t>
  </si>
  <si>
    <t>BIRCH RD</t>
  </si>
  <si>
    <t>FT LAUDERDALE BEACH PARK</t>
  </si>
  <si>
    <t xml:space="preserve">NW 6TH ST </t>
  </si>
  <si>
    <t>FEC RAILROAD</t>
  </si>
  <si>
    <t>SE 2ND ST</t>
  </si>
  <si>
    <t>CONVENTION CENTER</t>
  </si>
  <si>
    <t xml:space="preserve">CORDOVA DR </t>
  </si>
  <si>
    <t>HARBOR DR</t>
  </si>
  <si>
    <t>NW 53RD RD</t>
  </si>
  <si>
    <t>W PROSPECT RD</t>
  </si>
  <si>
    <t>NE 45TH ST</t>
  </si>
  <si>
    <t xml:space="preserve">NE 56TH ST </t>
  </si>
  <si>
    <t>BEACH</t>
  </si>
  <si>
    <t>NE 19TH CT</t>
  </si>
  <si>
    <t xml:space="preserve">NE 19TH ST </t>
  </si>
  <si>
    <t>NE 17TH CT</t>
  </si>
  <si>
    <t>BIRCH STATE PARK N ENTRANCE</t>
  </si>
  <si>
    <t xml:space="preserve">NE 14TH CT </t>
  </si>
  <si>
    <t>BIRCH STATE PARK S ENTRANCE</t>
  </si>
  <si>
    <t>NE 14TH CT</t>
  </si>
  <si>
    <t>FORT LAUDERDALE BEACH</t>
  </si>
  <si>
    <t xml:space="preserve">LAS OLAS CIR </t>
  </si>
  <si>
    <t>S BIRCH RD</t>
  </si>
  <si>
    <t xml:space="preserve">FORT LAUDERDALE BEACH PARK ENTRANCE </t>
  </si>
  <si>
    <t xml:space="preserve">GRACE DR </t>
  </si>
  <si>
    <t xml:space="preserve">NE 2ND ST </t>
  </si>
  <si>
    <t xml:space="preserve">SW 14TH ST </t>
  </si>
  <si>
    <t xml:space="preserve">SE 17TH ST </t>
  </si>
  <si>
    <t>SE 24TH ST (SR840)</t>
  </si>
  <si>
    <t xml:space="preserve">SW 12TH ST </t>
  </si>
  <si>
    <t xml:space="preserve">E PERIMTETER RD </t>
  </si>
  <si>
    <t xml:space="preserve">SW 28TH ST </t>
  </si>
  <si>
    <t xml:space="preserve">SW 32ND CT </t>
  </si>
  <si>
    <t xml:space="preserve">SW 33RD ST </t>
  </si>
  <si>
    <t xml:space="preserve">SW 2 ND CT </t>
  </si>
  <si>
    <t>N POWERLINE RD</t>
  </si>
  <si>
    <t>NE 8TH ST</t>
  </si>
  <si>
    <t xml:space="preserve">NE 6TH ST </t>
  </si>
  <si>
    <t xml:space="preserve">NE FLAGLER DR </t>
  </si>
  <si>
    <t xml:space="preserve">NE 13TH ST </t>
  </si>
  <si>
    <t xml:space="preserve">N DIXIE HWY </t>
  </si>
  <si>
    <t xml:space="preserve">NE 16TH ST </t>
  </si>
  <si>
    <t>N DIXIE HWY</t>
  </si>
  <si>
    <t xml:space="preserve">NE 9TH ST </t>
  </si>
  <si>
    <t>BRICKEL DR</t>
  </si>
  <si>
    <t xml:space="preserve">SE 2ND ST </t>
  </si>
  <si>
    <t>BRICKELL DR</t>
  </si>
  <si>
    <t xml:space="preserve">SW 9TH ST </t>
  </si>
  <si>
    <t xml:space="preserve">S NEW RIVER PATH </t>
  </si>
  <si>
    <t xml:space="preserve">SW 6TH ST </t>
  </si>
  <si>
    <t xml:space="preserve">NW 25 TER (CITY LIMITS) </t>
  </si>
  <si>
    <t>DW 2ND ST</t>
  </si>
  <si>
    <t xml:space="preserve">N VICTORIA PARK </t>
  </si>
  <si>
    <t xml:space="preserve">N POWERLINE RD </t>
  </si>
  <si>
    <t xml:space="preserve">NE 62ND ST </t>
  </si>
  <si>
    <t>FDOT-D4</t>
  </si>
  <si>
    <t>FDOT-TPK</t>
  </si>
  <si>
    <t>Is this the same as LRTPID 10183?</t>
  </si>
  <si>
    <t>Is this the one under construction right now, if so, TIP not needs plan</t>
  </si>
  <si>
    <t>Pompano comments, check v/c to confirm (ww)</t>
  </si>
  <si>
    <t>CURRENT PROJECT (WW)</t>
  </si>
  <si>
    <t>2014 means it is already going</t>
  </si>
  <si>
    <t>FacFromTo</t>
  </si>
  <si>
    <t>Oakland Park (E+C, WW)</t>
  </si>
  <si>
    <t>ADD LANDSCAPED MEDIAN WEST OF NW 10TH AVE.</t>
  </si>
  <si>
    <t>WHERE IS THIS (WW)?</t>
  </si>
  <si>
    <t>Access Rd</t>
  </si>
  <si>
    <t>Bailey Rd</t>
  </si>
  <si>
    <t>Banks Rd</t>
  </si>
  <si>
    <t>Bryan Rd</t>
  </si>
  <si>
    <t>Cordova Rd</t>
  </si>
  <si>
    <t>Davie Rd Extension</t>
  </si>
  <si>
    <t>East Sample Rd</t>
  </si>
  <si>
    <t>Griffin Rd</t>
  </si>
  <si>
    <t>Hammondville Rd</t>
  </si>
  <si>
    <t>Hiatus Rd</t>
  </si>
  <si>
    <t>Locahatchee Rd</t>
  </si>
  <si>
    <t>Lyons Rd</t>
  </si>
  <si>
    <t>Nob Hill Rd</t>
  </si>
  <si>
    <t>North Douglas Rd</t>
  </si>
  <si>
    <t>North Flamingo Rd</t>
  </si>
  <si>
    <t>North Nob Hill Rd</t>
  </si>
  <si>
    <t>North Park Rd</t>
  </si>
  <si>
    <t>Pembroke Rd</t>
  </si>
  <si>
    <t>Perimeter Rd</t>
  </si>
  <si>
    <t>Perimeter Rd Loop</t>
  </si>
  <si>
    <t>Peters Rd</t>
  </si>
  <si>
    <t>Phippen Rd</t>
  </si>
  <si>
    <t>Ravenswood Rd</t>
  </si>
  <si>
    <t>Reese Rd</t>
  </si>
  <si>
    <t>Riverland Rd</t>
  </si>
  <si>
    <t>Rock Island Rd</t>
  </si>
  <si>
    <t>South Douglas Rd</t>
  </si>
  <si>
    <t>South Miami Rd</t>
  </si>
  <si>
    <t>South Powerline Rd</t>
  </si>
  <si>
    <t>State Rd 7</t>
  </si>
  <si>
    <t>State Rd 7/US 441</t>
  </si>
  <si>
    <t>State Rd 84</t>
  </si>
  <si>
    <t>Sutton Rd</t>
  </si>
  <si>
    <t>West Copans Rd</t>
  </si>
  <si>
    <t>West McNab Rd</t>
  </si>
  <si>
    <t>West Prospect Rd</t>
  </si>
  <si>
    <t>Weston Rd</t>
  </si>
  <si>
    <t>Wiles Rd</t>
  </si>
  <si>
    <t>Bayview Dr</t>
  </si>
  <si>
    <t>Bougainvilla Dr/Ocean Dr</t>
  </si>
  <si>
    <t>Broken Woods Dr</t>
  </si>
  <si>
    <t>Commodore Dr</t>
  </si>
  <si>
    <t>Coral Hills Dr</t>
  </si>
  <si>
    <t>Coral Ridge Dr</t>
  </si>
  <si>
    <t>Coral Springs Dr</t>
  </si>
  <si>
    <t>Corals Hills Dr</t>
  </si>
  <si>
    <t>Eller Dr</t>
  </si>
  <si>
    <t>Eller Dr/Eller Dr Extension</t>
  </si>
  <si>
    <t>Eller Dr/ICTF</t>
  </si>
  <si>
    <t>International Dr</t>
  </si>
  <si>
    <t>Lakeview Dr</t>
  </si>
  <si>
    <t>Mayan Dr/Grace Dr/Ocean Dr Loop</t>
  </si>
  <si>
    <t>North Ocean Dr</t>
  </si>
  <si>
    <t>North Rainbow Dr</t>
  </si>
  <si>
    <t>Parkside Dr</t>
  </si>
  <si>
    <t>Ramblewood Dr</t>
  </si>
  <si>
    <t>Riverside Dr</t>
  </si>
  <si>
    <t>Shotgun Rd/Orange Dr</t>
  </si>
  <si>
    <t>South Rainbow Dr</t>
  </si>
  <si>
    <t>Sportsplex Dr</t>
  </si>
  <si>
    <t>Turtle Creek Dr</t>
  </si>
  <si>
    <t>University Dr</t>
  </si>
  <si>
    <t>West Palomino Dr</t>
  </si>
  <si>
    <t>Westview Dr</t>
  </si>
  <si>
    <t>Wilton Dr</t>
  </si>
  <si>
    <t>A1A/Ocean Bl</t>
  </si>
  <si>
    <t>Atlantic Bl</t>
  </si>
  <si>
    <t>Bonaventure Bl</t>
  </si>
  <si>
    <t>Broward Bl</t>
  </si>
  <si>
    <t>Cleary Bl</t>
  </si>
  <si>
    <t>Commercial Bl</t>
  </si>
  <si>
    <t>Cypress Creek Bl</t>
  </si>
  <si>
    <t>Dania Beach Bl</t>
  </si>
  <si>
    <t>Davie Bl</t>
  </si>
  <si>
    <t>Eisenhower Bl</t>
  </si>
  <si>
    <t>Hallandale Beach Bl</t>
  </si>
  <si>
    <t>Hillsboro Bl</t>
  </si>
  <si>
    <t>Hollywood Bl</t>
  </si>
  <si>
    <t>Inverrary Bl</t>
  </si>
  <si>
    <t>Kimberly Bl</t>
  </si>
  <si>
    <t>Las Olas Bl</t>
  </si>
  <si>
    <t>Natura Bl</t>
  </si>
  <si>
    <t>Oakland Park Bl</t>
  </si>
  <si>
    <t>Pines Bl</t>
  </si>
  <si>
    <t>Royal Palm Bl</t>
  </si>
  <si>
    <t>Sistrunk Bl</t>
  </si>
  <si>
    <t>Southgate Bl</t>
  </si>
  <si>
    <t>Sunrise Bl</t>
  </si>
  <si>
    <t>Turtle Run Bl</t>
  </si>
  <si>
    <t>Baily Rd</t>
  </si>
  <si>
    <t>Bass Creek Rd</t>
  </si>
  <si>
    <t>Blount Rd</t>
  </si>
  <si>
    <t>CITY-WIDE SECONDARY Rd BIKE ACCOMMODATIONS</t>
  </si>
  <si>
    <t>Copans Rd</t>
  </si>
  <si>
    <t>Copans Rd Facility Administration Building #4 Rehabilitation</t>
  </si>
  <si>
    <t>Copans Rd Maintenance and Operations Facility Rehabilitation/Upgrade</t>
  </si>
  <si>
    <t>County Line Rd</t>
  </si>
  <si>
    <t>County Line Rd/HEFT Extention</t>
  </si>
  <si>
    <t>Countyline Rd Link</t>
  </si>
  <si>
    <t>Cypress Creek Rd</t>
  </si>
  <si>
    <t>Cypress Rd</t>
  </si>
  <si>
    <t>David Rd</t>
  </si>
  <si>
    <t>Davie Rd</t>
  </si>
  <si>
    <t>Dykes Rd</t>
  </si>
  <si>
    <t>Floranada Rd</t>
  </si>
  <si>
    <t>Hancock Rd</t>
  </si>
  <si>
    <t xml:space="preserve">Holmberg Rd </t>
  </si>
  <si>
    <t>Johnson Rd</t>
  </si>
  <si>
    <t>Loxahatchee Rd</t>
  </si>
  <si>
    <t>McIntosh Rd</t>
  </si>
  <si>
    <t>McIntosh Rd Loop</t>
  </si>
  <si>
    <t>McNab Rd</t>
  </si>
  <si>
    <t>N. Park Rd</t>
  </si>
  <si>
    <t>Oakes Rd</t>
  </si>
  <si>
    <t>Park Rd</t>
  </si>
  <si>
    <t>Powerline Rd</t>
  </si>
  <si>
    <t>Prospect Rd</t>
  </si>
  <si>
    <t>Race Track Rd/Palmetto Park Place</t>
  </si>
  <si>
    <t>Re-alignment of Old Griffin Rd</t>
  </si>
  <si>
    <t>S. Park Rd</t>
  </si>
  <si>
    <t>Saddle Club Rd</t>
  </si>
  <si>
    <t>Sample Rd</t>
  </si>
  <si>
    <t>Spangler Rd</t>
  </si>
  <si>
    <t>Taylor Rd</t>
  </si>
  <si>
    <t>Trails End Rd</t>
  </si>
  <si>
    <t>Victoria Park Rd</t>
  </si>
  <si>
    <t>Weston Rd Bridge</t>
  </si>
  <si>
    <t>10th St</t>
  </si>
  <si>
    <t>48th St/49th St</t>
  </si>
  <si>
    <t>Complete St Project for Dania Beach Bl</t>
  </si>
  <si>
    <t>Complete St Project for Griffin Rd</t>
  </si>
  <si>
    <t>Complete St Project for Ravenswood Rd</t>
  </si>
  <si>
    <t>Complete St Project on Sheridan St</t>
  </si>
  <si>
    <t>County Line Rd/SW 41st St</t>
  </si>
  <si>
    <t>Cross St</t>
  </si>
  <si>
    <t>Eisenhower Bl/SE 32nd St/Eller Dr</t>
  </si>
  <si>
    <t>Fillmore St</t>
  </si>
  <si>
    <t>Johnson St</t>
  </si>
  <si>
    <t>Lee Wagener Bl/SW 42 St</t>
  </si>
  <si>
    <t>NE 10th St</t>
  </si>
  <si>
    <t>NE 12th St</t>
  </si>
  <si>
    <t>NE 12th St/Middle River Dr</t>
  </si>
  <si>
    <t>NE 14th St</t>
  </si>
  <si>
    <t>NE 18th St</t>
  </si>
  <si>
    <t>NE 26th St</t>
  </si>
  <si>
    <t>NE 2nd St</t>
  </si>
  <si>
    <t>NE 33rd St</t>
  </si>
  <si>
    <t>NE 36th St</t>
  </si>
  <si>
    <t>NE 38th St</t>
  </si>
  <si>
    <t>NE 3rd St</t>
  </si>
  <si>
    <t>NE 40th St</t>
  </si>
  <si>
    <t>NE 45th St/Floranada Rd</t>
  </si>
  <si>
    <t>NE 48th St</t>
  </si>
  <si>
    <t>NE 49th St</t>
  </si>
  <si>
    <t>NE 4th St</t>
  </si>
  <si>
    <t>NE 56th St</t>
  </si>
  <si>
    <t>NE 58th St</t>
  </si>
  <si>
    <t>NE 62nd St</t>
  </si>
  <si>
    <t>NE 62nd St/Cypress Creek Rd</t>
  </si>
  <si>
    <t>NE 6th St</t>
  </si>
  <si>
    <t>NE 7th St/Sunrise Bl Connector</t>
  </si>
  <si>
    <t>NE/NW 13TH St</t>
  </si>
  <si>
    <t>NW 10th St</t>
  </si>
  <si>
    <t>NW 120th Way-NW 44th St Connector</t>
  </si>
  <si>
    <t>NW 12th St</t>
  </si>
  <si>
    <t>NW 13th St</t>
  </si>
  <si>
    <t>NW 15th St</t>
  </si>
  <si>
    <t>NW 16th St</t>
  </si>
  <si>
    <t>NW 19th St</t>
  </si>
  <si>
    <t>NW 2nd St</t>
  </si>
  <si>
    <t>NW 33 St</t>
  </si>
  <si>
    <t>NW 33rd St</t>
  </si>
  <si>
    <t>NW 35 St</t>
  </si>
  <si>
    <t>NW 36th St</t>
  </si>
  <si>
    <t>NW 38th St</t>
  </si>
  <si>
    <t>NW 39 St</t>
  </si>
  <si>
    <t>NW 39th St</t>
  </si>
  <si>
    <t>NW 40 St</t>
  </si>
  <si>
    <t>NW 40th St</t>
  </si>
  <si>
    <t>NW 41 St</t>
  </si>
  <si>
    <t>NW 45th St</t>
  </si>
  <si>
    <t>NW 50th St</t>
  </si>
  <si>
    <t>NW 57th St</t>
  </si>
  <si>
    <t>NW 5th St</t>
  </si>
  <si>
    <t>NW 62nd St</t>
  </si>
  <si>
    <t>NW 62nd St/Cypress Creek Rd</t>
  </si>
  <si>
    <t>NW 70th St</t>
  </si>
  <si>
    <t>NW 75th St</t>
  </si>
  <si>
    <t>NW 76th St</t>
  </si>
  <si>
    <t>NW 78th St</t>
  </si>
  <si>
    <t>NW 82nd St</t>
  </si>
  <si>
    <t>NW 8th St</t>
  </si>
  <si>
    <t>Old Griffin Rd/NW 4th St</t>
  </si>
  <si>
    <t>Polk St</t>
  </si>
  <si>
    <t>S.W. 25th St</t>
  </si>
  <si>
    <t>SE 12th St</t>
  </si>
  <si>
    <t>SE 15th St</t>
  </si>
  <si>
    <t>SE 15th St/NE 54th St</t>
  </si>
  <si>
    <t>SE 16th St Extension</t>
  </si>
  <si>
    <t>SE 24th St/Spangler Bl</t>
  </si>
  <si>
    <t>SE 2nd St</t>
  </si>
  <si>
    <t>SE 2nd St Extension</t>
  </si>
  <si>
    <t>SE 30th St</t>
  </si>
  <si>
    <t>SE 3rd St Corridor Bypass</t>
  </si>
  <si>
    <t>SE 5th St Corridor</t>
  </si>
  <si>
    <t>SE 6th St/SE 5th Court</t>
  </si>
  <si>
    <t>SE 7th St Corridor</t>
  </si>
  <si>
    <t>SE 9th St Corridor</t>
  </si>
  <si>
    <t>Sheridan St</t>
  </si>
  <si>
    <t>South 2nd St</t>
  </si>
  <si>
    <t>Southside of Basin/NW 339th St</t>
  </si>
  <si>
    <t>SW 10th St</t>
  </si>
  <si>
    <t>SW 14th St/Indian Trace</t>
  </si>
  <si>
    <t>SW 15th St</t>
  </si>
  <si>
    <t>SW 20th St</t>
  </si>
  <si>
    <t>SW 25th St</t>
  </si>
  <si>
    <t>SW 26th St</t>
  </si>
  <si>
    <t>SW 26th St/Hiatus Rd</t>
  </si>
  <si>
    <t>SW 28th St</t>
  </si>
  <si>
    <t>SW 3rd St</t>
  </si>
  <si>
    <t>SW 45th St</t>
  </si>
  <si>
    <t>SW 4th St</t>
  </si>
  <si>
    <t>SW 6th St</t>
  </si>
  <si>
    <t>SW 8th St</t>
  </si>
  <si>
    <t>SW 9th St</t>
  </si>
  <si>
    <t>Taft St</t>
  </si>
  <si>
    <t>Tyler St</t>
  </si>
  <si>
    <t>Van Buren St</t>
  </si>
  <si>
    <t>Washington St</t>
  </si>
  <si>
    <t>Coconut Creek Pkwy</t>
  </si>
  <si>
    <t>Coconut Creek Pkwy/Martin Luther King Bl</t>
  </si>
  <si>
    <t>Columbus Pkwy</t>
  </si>
  <si>
    <t>Diplomat Pkwy</t>
  </si>
  <si>
    <t>Glenn Pkwy</t>
  </si>
  <si>
    <t>Miramar Pkwy</t>
  </si>
  <si>
    <t>Panther Pkwy</t>
  </si>
  <si>
    <t>Pompano Pkwy/Powerline Rd</t>
  </si>
  <si>
    <t>Sawgrass Corporate Pkwy</t>
  </si>
  <si>
    <t>Snook Creek Pkwy</t>
  </si>
  <si>
    <t>NW 7th Av</t>
  </si>
  <si>
    <t>NW 9th Av</t>
  </si>
  <si>
    <t>NW 99 Av</t>
  </si>
  <si>
    <t>NW 99th Av</t>
  </si>
  <si>
    <t>Atlantic Shores Bl</t>
  </si>
  <si>
    <t>Brookwood Bl</t>
  </si>
  <si>
    <t>BROWARD Bl</t>
  </si>
  <si>
    <t>Coconut Creek Bl</t>
  </si>
  <si>
    <t>COMMERCIAL Bl</t>
  </si>
  <si>
    <t>DAVIE Bl</t>
  </si>
  <si>
    <t>E LAS OLAS Bl</t>
  </si>
  <si>
    <t>EISENHOWER Bl</t>
  </si>
  <si>
    <t>Eisenhower Bl/Marriot Dr</t>
  </si>
  <si>
    <t>Environ Bl</t>
  </si>
  <si>
    <t>Inverrary Bl W</t>
  </si>
  <si>
    <t>LAS OLAS Bl</t>
  </si>
  <si>
    <t>Pasadena Bl</t>
  </si>
  <si>
    <t>Sawgrass Exit Ramp/Sunrise Bl</t>
  </si>
  <si>
    <t>SEABREEZE Bl (SR A1A SOUTHBOUND)</t>
  </si>
  <si>
    <t>Shadow Wood Bl</t>
  </si>
  <si>
    <t>SUNRISE Bl</t>
  </si>
  <si>
    <t>SW Natura Bl</t>
  </si>
  <si>
    <t>West Inverrary Bl</t>
  </si>
  <si>
    <t>13th Av</t>
  </si>
  <si>
    <t>14th Av</t>
  </si>
  <si>
    <t>196th Av</t>
  </si>
  <si>
    <t>24th Av</t>
  </si>
  <si>
    <t>35th Av</t>
  </si>
  <si>
    <t>46th Av</t>
  </si>
  <si>
    <t>56th Av</t>
  </si>
  <si>
    <t>58th Av</t>
  </si>
  <si>
    <t>62nd Av</t>
  </si>
  <si>
    <t>Andrews Av</t>
  </si>
  <si>
    <t>Andrews Av Extension</t>
  </si>
  <si>
    <t>College Av</t>
  </si>
  <si>
    <t>Complete St Project on SE  5th Av</t>
  </si>
  <si>
    <t>Cypress Rd/NW 69th Av</t>
  </si>
  <si>
    <t>Flagler Av</t>
  </si>
  <si>
    <t>N 64th Av</t>
  </si>
  <si>
    <t>NE 11th Av</t>
  </si>
  <si>
    <t>NE 13th Av</t>
  </si>
  <si>
    <t>NE 14th Way/NE 13th Av</t>
  </si>
  <si>
    <t>NE 15th Av</t>
  </si>
  <si>
    <t>NE 16th Av</t>
  </si>
  <si>
    <t>NE 18th Av</t>
  </si>
  <si>
    <t>NE 1st Av</t>
  </si>
  <si>
    <t>NE 21st Av/NE 2nd St/NE 20th Av</t>
  </si>
  <si>
    <t>NE 23rd Av</t>
  </si>
  <si>
    <t>NE 26th Av/Harbor Dr</t>
  </si>
  <si>
    <t>NE 26th Av/NE 23rd Av</t>
  </si>
  <si>
    <t>NE 2nd Av</t>
  </si>
  <si>
    <t>NE 3rd Av</t>
  </si>
  <si>
    <t>NE 4th Av</t>
  </si>
  <si>
    <t>NE 5th Av</t>
  </si>
  <si>
    <t>NE 6th Av</t>
  </si>
  <si>
    <t>NE 7th Av</t>
  </si>
  <si>
    <t>North 14th Av</t>
  </si>
  <si>
    <t>North 26th Av</t>
  </si>
  <si>
    <t>North 46th Av</t>
  </si>
  <si>
    <t>North 56th Av</t>
  </si>
  <si>
    <t>North 63 Av/Hollywood Bl</t>
  </si>
  <si>
    <t>North 64th Av</t>
  </si>
  <si>
    <t>North 68th Av</t>
  </si>
  <si>
    <t>North 72nd Av</t>
  </si>
  <si>
    <t>North Andrews Av</t>
  </si>
  <si>
    <t>North Andrews Av Extension</t>
  </si>
  <si>
    <t>NW 11th Av</t>
  </si>
  <si>
    <t>NW 120 Av</t>
  </si>
  <si>
    <t>NW 124 Av</t>
  </si>
  <si>
    <t>NW 12th Av</t>
  </si>
  <si>
    <t>NW 136th Av</t>
  </si>
  <si>
    <t>NW 13th Av</t>
  </si>
  <si>
    <t>NW 15th Av</t>
  </si>
  <si>
    <t>NW 196th Av</t>
  </si>
  <si>
    <t>NW 1st Av</t>
  </si>
  <si>
    <t>NW 21st Av</t>
  </si>
  <si>
    <t>NW 21st Av/NW 23rd Av</t>
  </si>
  <si>
    <t>NW 22nd Av</t>
  </si>
  <si>
    <t>NW 27th Av</t>
  </si>
  <si>
    <t>NW 2nd Av</t>
  </si>
  <si>
    <t>NW 31st Av</t>
  </si>
  <si>
    <t>NW 33rd Av</t>
  </si>
  <si>
    <t>NW 33rd Av/NW 16th St</t>
  </si>
  <si>
    <t>NW 34th Av</t>
  </si>
  <si>
    <t>NW 35th Av</t>
  </si>
  <si>
    <t>NW 3rd Av</t>
  </si>
  <si>
    <t>NW 43rd Av</t>
  </si>
  <si>
    <t>NW 45th Av</t>
  </si>
  <si>
    <t>NW 47th Av</t>
  </si>
  <si>
    <t>NW 49th Av/NW 26th St</t>
  </si>
  <si>
    <t>NW 56th Av</t>
  </si>
  <si>
    <t>NW 5th Av</t>
  </si>
  <si>
    <t>NW 60th St/Andrews Av</t>
  </si>
  <si>
    <t>NW 63rd Av</t>
  </si>
  <si>
    <t>NW 64th Av/NW 19th St</t>
  </si>
  <si>
    <t>NW 6th Av</t>
  </si>
  <si>
    <t>NW 70th Av</t>
  </si>
  <si>
    <t>NW 72nd Av</t>
  </si>
  <si>
    <t>NW 80th Av/Lagos De Campo Bl</t>
  </si>
  <si>
    <t>NW 8th Av</t>
  </si>
  <si>
    <t>NW 9th Av/Military Trail</t>
  </si>
  <si>
    <t>Palm Av</t>
  </si>
  <si>
    <t>Peters Rd/SW 42nd Av</t>
  </si>
  <si>
    <t>Progresso Dr/NE 3rd Av</t>
  </si>
  <si>
    <t>S.W. 40th Av</t>
  </si>
  <si>
    <t>SE 10th Av</t>
  </si>
  <si>
    <t>SE 11th Av</t>
  </si>
  <si>
    <t>SE 12th Av</t>
  </si>
  <si>
    <t>SE 17th Av</t>
  </si>
  <si>
    <t>SE 19th Av</t>
  </si>
  <si>
    <t>SE 2nd Av</t>
  </si>
  <si>
    <t>SE 3rd Av</t>
  </si>
  <si>
    <t>SE 7th Dr/SE 28th Av</t>
  </si>
  <si>
    <t>South 26th Av</t>
  </si>
  <si>
    <t>South 35th Av</t>
  </si>
  <si>
    <t>South Andrews Av</t>
  </si>
  <si>
    <t>SW 100th Av/Nob Hill Rd</t>
  </si>
  <si>
    <t>SW 101st Av/Palm Av</t>
  </si>
  <si>
    <t>SW 11th Way/NE 3rd Av</t>
  </si>
  <si>
    <t>SW 130th Av</t>
  </si>
  <si>
    <t>SW 136th Av</t>
  </si>
  <si>
    <t>SW 142nd Av</t>
  </si>
  <si>
    <t>SW 148th Av</t>
  </si>
  <si>
    <t>SW 154th Av/Shotgun Rd</t>
  </si>
  <si>
    <t>SW 15th Av</t>
  </si>
  <si>
    <t>SW 160th Av</t>
  </si>
  <si>
    <t>SW 160th Av/Weston Rd</t>
  </si>
  <si>
    <t>SW 16th St/SW 63rd Av</t>
  </si>
  <si>
    <t>SW 172nd Av</t>
  </si>
  <si>
    <t>SW 184th Av</t>
  </si>
  <si>
    <t>SW 18th Av/Lauder Way</t>
  </si>
  <si>
    <t>SW 196 Av</t>
  </si>
  <si>
    <t>SW 196th Av</t>
  </si>
  <si>
    <t>SW 19th Av/SW 16th St</t>
  </si>
  <si>
    <t>SW 26th Terrace-SW 32nd Av Connector</t>
  </si>
  <si>
    <t>SW 27th Av</t>
  </si>
  <si>
    <t>SW 2nd Av</t>
  </si>
  <si>
    <t>SW 30th Av</t>
  </si>
  <si>
    <t>SW 31st Av</t>
  </si>
  <si>
    <t>SW 36th Av/North Palm Aire Dr</t>
  </si>
  <si>
    <t>SW 39th Av</t>
  </si>
  <si>
    <t>SW 3rd Av</t>
  </si>
  <si>
    <t>SW 40th Av</t>
  </si>
  <si>
    <t>SW 46th Av/East Country Club Circle</t>
  </si>
  <si>
    <t>SW 46th Av/SW 43rd Way Loop</t>
  </si>
  <si>
    <t>SW 4th Av</t>
  </si>
  <si>
    <t>SW 56th Av</t>
  </si>
  <si>
    <t>SW 58th Av</t>
  </si>
  <si>
    <t>SW 62nd Av</t>
  </si>
  <si>
    <t>SW 68th Av</t>
  </si>
  <si>
    <t>SW 71st Av</t>
  </si>
  <si>
    <t>SW 72nd Av</t>
  </si>
  <si>
    <t>SW 81st Av</t>
  </si>
  <si>
    <t>SW 81st Av/NW 64th Av</t>
  </si>
  <si>
    <t>SW 82nd Av</t>
  </si>
  <si>
    <t>SW 9th Av</t>
  </si>
  <si>
    <t>Taft St/186th Av</t>
  </si>
  <si>
    <t>ANDREWS Av</t>
  </si>
  <si>
    <t xml:space="preserve">INDIANA Av </t>
  </si>
  <si>
    <t xml:space="preserve">NE 13TH Av </t>
  </si>
  <si>
    <t>NE 14TH Av</t>
  </si>
  <si>
    <t>NE 15TH Av</t>
  </si>
  <si>
    <t xml:space="preserve">NE 16TH Av </t>
  </si>
  <si>
    <t xml:space="preserve">NE 16TH CT &amp; NE 9TH Av &amp; NE 17TH ST </t>
  </si>
  <si>
    <t>NE 18TH Av</t>
  </si>
  <si>
    <t xml:space="preserve">NE 18TH Av </t>
  </si>
  <si>
    <t xml:space="preserve">NE 22ND Av &amp; NE 32ND ST </t>
  </si>
  <si>
    <t xml:space="preserve">NE 26TH Av </t>
  </si>
  <si>
    <t>NE 32ND ST &amp; NE23 Av &amp; NE 33RD Av + ACCESS RDS</t>
  </si>
  <si>
    <t xml:space="preserve">NE 33RD Av </t>
  </si>
  <si>
    <t>NE 3RD Av</t>
  </si>
  <si>
    <t>NE 3RD/4TH Av</t>
  </si>
  <si>
    <t xml:space="preserve">NE 4TH Av </t>
  </si>
  <si>
    <t xml:space="preserve">NE 7TH Av </t>
  </si>
  <si>
    <t>NE 7TH ST/NE 20TH Av</t>
  </si>
  <si>
    <t>NW 10th Av.</t>
  </si>
  <si>
    <t xml:space="preserve">NW 12TH Av </t>
  </si>
  <si>
    <t>NW 12TH Av &amp; NW 10TH TER</t>
  </si>
  <si>
    <t>NW 15TH Av</t>
  </si>
  <si>
    <t xml:space="preserve">NW 15TH Av </t>
  </si>
  <si>
    <t xml:space="preserve">NW 18TH Av </t>
  </si>
  <si>
    <t xml:space="preserve">NW 18TH Av/ ST &amp; NW 16TH Av </t>
  </si>
  <si>
    <t>NW 21ST Av</t>
  </si>
  <si>
    <t xml:space="preserve">NW 21ST Av </t>
  </si>
  <si>
    <t>NW 23RD Av/NW 21ST Av</t>
  </si>
  <si>
    <t>NW 31ST Av</t>
  </si>
  <si>
    <t>NW 31ST Av/LYONS RD</t>
  </si>
  <si>
    <t>NW 33RD Av</t>
  </si>
  <si>
    <t>NW 35TH Av</t>
  </si>
  <si>
    <t>NW 55th Av</t>
  </si>
  <si>
    <t>NW 9TH Av/POWERLINE RD</t>
  </si>
  <si>
    <t>NW 9TH Av/POWER-LINE RD</t>
  </si>
  <si>
    <t xml:space="preserve">S NEW RIVER PATH &amp; SW 7TH Av </t>
  </si>
  <si>
    <t xml:space="preserve">SE 12TH ST &amp; SE 10TH Av </t>
  </si>
  <si>
    <t xml:space="preserve">SE 15TH Av </t>
  </si>
  <si>
    <t xml:space="preserve">SE 17TH Av </t>
  </si>
  <si>
    <t>SE 2ND Av</t>
  </si>
  <si>
    <t>SE 3RD Av</t>
  </si>
  <si>
    <t xml:space="preserve">SE 4TH Av </t>
  </si>
  <si>
    <t xml:space="preserve">SE 6TH Av &amp; SW 33RD ST </t>
  </si>
  <si>
    <t xml:space="preserve">SE 8TH Av </t>
  </si>
  <si>
    <t>SE/NE 3RD Av</t>
  </si>
  <si>
    <t>SW 17TH Av LOOP</t>
  </si>
  <si>
    <t>SW 188th Av</t>
  </si>
  <si>
    <t xml:space="preserve">SW 18TH Av &amp; SW 16TH Av </t>
  </si>
  <si>
    <t>SW 1ST Av</t>
  </si>
  <si>
    <t xml:space="preserve">SW 20TH Av </t>
  </si>
  <si>
    <t xml:space="preserve">SW 24TH Av </t>
  </si>
  <si>
    <t>SW 27TH Av</t>
  </si>
  <si>
    <t>SW 31ST Av</t>
  </si>
  <si>
    <t xml:space="preserve">SW 32TH Av </t>
  </si>
  <si>
    <t xml:space="preserve">SW 35TH Av </t>
  </si>
  <si>
    <t>SW 4TH Av</t>
  </si>
  <si>
    <t>SW 5TH Av</t>
  </si>
  <si>
    <t>SW 9TH Av</t>
  </si>
  <si>
    <t xml:space="preserve">SW 9TH Av &amp; SW 10TH Av </t>
  </si>
  <si>
    <t xml:space="preserve">SW FLAGLER Av </t>
  </si>
  <si>
    <t>College Av-SR 84 Connector</t>
  </si>
  <si>
    <t>Per Port Everglades (ww)</t>
  </si>
  <si>
    <t>Outside Broward (ww)</t>
  </si>
  <si>
    <t>Ok (ww)</t>
  </si>
  <si>
    <t>What does this mean (ww)?</t>
  </si>
  <si>
    <t>What is L35A (ww)</t>
  </si>
  <si>
    <t>Ok (ww).</t>
  </si>
  <si>
    <t>E+C Maybe (ww)?</t>
  </si>
  <si>
    <t>Needs network verification (ww).</t>
  </si>
  <si>
    <t>2013 Cost Estimate from ftp://ftp.dot.state.fl.us/LTS/CO/Estimates/CPM/U05URBAN_%20New%20Construction%204%20Lane%20Urban%20Road%20with%2022'%20Median%20and%204'%20Bike%20Lanes.PDF</t>
  </si>
  <si>
    <t>SR 5/ US 1</t>
  </si>
  <si>
    <t>SR 845 / Powerline Rd</t>
  </si>
  <si>
    <t>I think this is NW instead of NE 27th- changing it (ww).</t>
  </si>
  <si>
    <t>NE 8th Av</t>
  </si>
  <si>
    <t>NW 42nd Av</t>
  </si>
  <si>
    <t>NW 105th Av</t>
  </si>
  <si>
    <t>NW 50th Av</t>
  </si>
  <si>
    <t>NW 36th Av</t>
  </si>
  <si>
    <t>NE 22nd Av</t>
  </si>
  <si>
    <t>Andrews Av Intersection</t>
  </si>
  <si>
    <t>7th Av</t>
  </si>
  <si>
    <t>N 56th Av</t>
  </si>
  <si>
    <t>Just west of NW 14th Av</t>
  </si>
  <si>
    <t>NW 26th Av</t>
  </si>
  <si>
    <t>North 73rd Av</t>
  </si>
  <si>
    <t>NW 208th Av</t>
  </si>
  <si>
    <t>NW 64th Av</t>
  </si>
  <si>
    <t>N 41st Av</t>
  </si>
  <si>
    <t>N 35th Av</t>
  </si>
  <si>
    <t>N 8th Av</t>
  </si>
  <si>
    <t>SW 75th Av</t>
  </si>
  <si>
    <t>SW 64th Av</t>
  </si>
  <si>
    <t>160th Av</t>
  </si>
  <si>
    <t>SW 67th Av</t>
  </si>
  <si>
    <t>NE 25th Av</t>
  </si>
  <si>
    <t>NE 26th Av</t>
  </si>
  <si>
    <t>NE 14th Av</t>
  </si>
  <si>
    <t>Just west of NE 15th Av</t>
  </si>
  <si>
    <t>Just west of Flagler Av</t>
  </si>
  <si>
    <t>NW 24th Av</t>
  </si>
  <si>
    <t>NW 18th Av</t>
  </si>
  <si>
    <t>Just east of NW 3rd Av</t>
  </si>
  <si>
    <t>NW 101 Av</t>
  </si>
  <si>
    <t>NW 126 Av</t>
  </si>
  <si>
    <t>West of NW 126th Av</t>
  </si>
  <si>
    <t>NW 90th Av</t>
  </si>
  <si>
    <t>NW 65th Av</t>
  </si>
  <si>
    <t>NW 94th Av</t>
  </si>
  <si>
    <t>Just west of NW 73rd Av</t>
  </si>
  <si>
    <t>NW 80th Av</t>
  </si>
  <si>
    <t>NW 31 Av</t>
  </si>
  <si>
    <t>NW 46th Av</t>
  </si>
  <si>
    <t>SW 184 Av</t>
  </si>
  <si>
    <t>SW 127th Av</t>
  </si>
  <si>
    <t>SW 51st Av</t>
  </si>
  <si>
    <t>SW 63rd Av</t>
  </si>
  <si>
    <t>Oakridge Av</t>
  </si>
  <si>
    <t>SW 38th Av</t>
  </si>
  <si>
    <t>S.W. 68th Av</t>
  </si>
  <si>
    <t>NW 110 Av</t>
  </si>
  <si>
    <t>NW 124th Av</t>
  </si>
  <si>
    <t>Andrews Av Extension/Military Trail</t>
  </si>
  <si>
    <t>SW 11th Av</t>
  </si>
  <si>
    <t>Just west of 193rd Av</t>
  </si>
  <si>
    <t>Just west of SW 166th Av</t>
  </si>
  <si>
    <t>SW 7th Av</t>
  </si>
  <si>
    <t>Just west of SW 79th Av</t>
  </si>
  <si>
    <t>NW 39th Av</t>
  </si>
  <si>
    <t>Just east of NW 90th Av</t>
  </si>
  <si>
    <t>Hawkes Bluff Av</t>
  </si>
  <si>
    <t>SW 66th Av</t>
  </si>
  <si>
    <t>SW 19th Av</t>
  </si>
  <si>
    <t>SW 76th Av</t>
  </si>
  <si>
    <t>SW 84th Av</t>
  </si>
  <si>
    <t>45 / E. of NW 57th Av</t>
  </si>
  <si>
    <t>Ocean Bl</t>
  </si>
  <si>
    <t>Marcano Bl</t>
  </si>
  <si>
    <t>Hammondville Bl</t>
  </si>
  <si>
    <t>University Bl</t>
  </si>
  <si>
    <t>Winfield Bl</t>
  </si>
  <si>
    <t>South of Sunrise Bl</t>
  </si>
  <si>
    <t>Lagos De Campo Bl</t>
  </si>
  <si>
    <t>Hillboro Bl</t>
  </si>
  <si>
    <t>Lake Bl</t>
  </si>
  <si>
    <t>Just west of Watermark Bl</t>
  </si>
  <si>
    <t>North 26th Av/Oakland Bl</t>
  </si>
  <si>
    <t>Margate Bl</t>
  </si>
  <si>
    <t>Waterways Bl</t>
  </si>
  <si>
    <t>Blatt Bl</t>
  </si>
  <si>
    <t>Just north of Davie Bl</t>
  </si>
  <si>
    <t>Jackson Bl</t>
  </si>
  <si>
    <t>Just west of Century Bl</t>
  </si>
  <si>
    <t>NE 6TH ST/SISTRUNK Bl</t>
  </si>
  <si>
    <t>Dania County Bl</t>
  </si>
  <si>
    <t>OAKLAND PARK Bl/SR 816</t>
  </si>
  <si>
    <t>West Hallandale Beach Bl.</t>
  </si>
  <si>
    <t>Martin Luther King Bl</t>
  </si>
  <si>
    <t xml:space="preserve">DAVIE Bl </t>
  </si>
  <si>
    <t>W Oakland Park Bl</t>
  </si>
  <si>
    <t xml:space="preserve">E OAKLAND PARK Bl </t>
  </si>
  <si>
    <t xml:space="preserve">E SUNRISE Bl </t>
  </si>
  <si>
    <t>E SUNRISE Bl</t>
  </si>
  <si>
    <t xml:space="preserve">COMMERCIAL Bl </t>
  </si>
  <si>
    <t>SR 838/SUNRISE Bl</t>
  </si>
  <si>
    <t>W SUNRISE Bl</t>
  </si>
  <si>
    <t>NW 6TH ST/SISTRUNK Bl</t>
  </si>
  <si>
    <t>SUNRISE Bl/SR 838</t>
  </si>
  <si>
    <t>SR A1A/OCEAN Bl</t>
  </si>
  <si>
    <t xml:space="preserve">N OCEAN Bl </t>
  </si>
  <si>
    <t>COMMERCIAL Bl/SR 870</t>
  </si>
  <si>
    <t xml:space="preserve">E BROWARD Bl </t>
  </si>
  <si>
    <t xml:space="preserve">W BROWARD Bl </t>
  </si>
  <si>
    <t xml:space="preserve">E LAS OLAS Bl </t>
  </si>
  <si>
    <t>OCEAN Bl/SR A1A</t>
  </si>
  <si>
    <t>at Hollywood Bl</t>
  </si>
  <si>
    <t>at Sunrise Bl</t>
  </si>
  <si>
    <t>at Stirling Bl</t>
  </si>
  <si>
    <t>Commercial Bl.</t>
  </si>
  <si>
    <t>COMMECIAL Bl/SR 870</t>
  </si>
  <si>
    <t>Layne Bl.</t>
  </si>
  <si>
    <t xml:space="preserve">LAS OLA Bl </t>
  </si>
  <si>
    <t>66 / N. of Atlantic Bl.</t>
  </si>
  <si>
    <t>62 / Commercial Bl.</t>
  </si>
  <si>
    <t>58 / Sunrise Bl.</t>
  </si>
  <si>
    <t>1A / Sunrise Bl.</t>
  </si>
  <si>
    <t>Sandalfoot Bl</t>
  </si>
  <si>
    <t>Dupont Bl</t>
  </si>
  <si>
    <t>NW 9th Manor/Atlantic Bl</t>
  </si>
  <si>
    <t>Hillsboro Bl Extension</t>
  </si>
  <si>
    <t>Broward Bl at I-95</t>
  </si>
  <si>
    <t>Atlatic Bl</t>
  </si>
  <si>
    <t>Tigertail Bl</t>
  </si>
  <si>
    <t>Shadowwood Bl</t>
  </si>
  <si>
    <t>Hallendale Beach Bl</t>
  </si>
  <si>
    <t>Tivoli Park Bl</t>
  </si>
  <si>
    <t>at Pines Bl</t>
  </si>
  <si>
    <t>Just east of Century Bl</t>
  </si>
  <si>
    <t>South City limits on Andrews Av</t>
  </si>
  <si>
    <t>Briny Av</t>
  </si>
  <si>
    <t>NE 10th Av</t>
  </si>
  <si>
    <t>NE 19th Av</t>
  </si>
  <si>
    <t>NW 49th Av</t>
  </si>
  <si>
    <t>NW 84th Av</t>
  </si>
  <si>
    <t>Just west of NW 9th Av</t>
  </si>
  <si>
    <t>NW 69th Av</t>
  </si>
  <si>
    <t>East of SE 3rd Av</t>
  </si>
  <si>
    <t>NE 17th Av</t>
  </si>
  <si>
    <t>I-595 ramp/NE 7th Av</t>
  </si>
  <si>
    <t>SW 42nd Av</t>
  </si>
  <si>
    <t>NE 20th Av/Ocean Bl</t>
  </si>
  <si>
    <t>17th Av</t>
  </si>
  <si>
    <t>52nd Av</t>
  </si>
  <si>
    <t>S 35th Av</t>
  </si>
  <si>
    <t>8th Av</t>
  </si>
  <si>
    <t>North 19th Av</t>
  </si>
  <si>
    <t>North 62nd Av</t>
  </si>
  <si>
    <t>Just east of NW 72nd Av</t>
  </si>
  <si>
    <t>North 8th Av</t>
  </si>
  <si>
    <t>64th Av</t>
  </si>
  <si>
    <t>N 40th Av</t>
  </si>
  <si>
    <t>SW 73rd Av</t>
  </si>
  <si>
    <t>SE 15th Av</t>
  </si>
  <si>
    <t>Miramar Parkway/SW 67th Av</t>
  </si>
  <si>
    <t>NE 31st Av</t>
  </si>
  <si>
    <t>NE 12th Av</t>
  </si>
  <si>
    <t>NE 24th Av</t>
  </si>
  <si>
    <t>NW 23rd Av</t>
  </si>
  <si>
    <t>NW 38th Av</t>
  </si>
  <si>
    <t>NW 76 Av</t>
  </si>
  <si>
    <t>NE 56th Av</t>
  </si>
  <si>
    <t>NE 21st Av</t>
  </si>
  <si>
    <t>Just west of NW 43rd Av</t>
  </si>
  <si>
    <t>SW 200th Av</t>
  </si>
  <si>
    <t>SW 46th Av</t>
  </si>
  <si>
    <t>SW 186th Av</t>
  </si>
  <si>
    <t>28th Av</t>
  </si>
  <si>
    <t>NW 110th Av</t>
  </si>
  <si>
    <t>Midpoint of Sawgrass Corporate Parkway and NW 136th Av</t>
  </si>
  <si>
    <t>SE 23rd Av</t>
  </si>
  <si>
    <t>Just east of SE 10th Av</t>
  </si>
  <si>
    <t>NW 82nd Av</t>
  </si>
  <si>
    <t>NW 78th Av</t>
  </si>
  <si>
    <t>NW 184th Av</t>
  </si>
  <si>
    <t>North 66th Av</t>
  </si>
  <si>
    <t>Just east of SW 166th Av</t>
  </si>
  <si>
    <t>SW 143rd Av</t>
  </si>
  <si>
    <t>Just east of SW
81st Av</t>
  </si>
  <si>
    <t>Just east of SW 83rd Av</t>
  </si>
  <si>
    <t>SW 106th Av</t>
  </si>
  <si>
    <t>S.W. 56th Av</t>
  </si>
  <si>
    <t>NW 29th Av</t>
  </si>
  <si>
    <t>SW 12th Av</t>
  </si>
  <si>
    <t>Just east of 139th Av</t>
  </si>
  <si>
    <t>South End of SW 2nd Av</t>
  </si>
  <si>
    <t>Just east of SW 19th Av</t>
  </si>
  <si>
    <t>Just east of 66th Av</t>
  </si>
  <si>
    <t>NW 93rd Av</t>
  </si>
  <si>
    <t>Just east of North 14th Av</t>
  </si>
  <si>
    <t>NW 209th Av</t>
  </si>
  <si>
    <t>South 14th Av</t>
  </si>
  <si>
    <t>S 62nd Av</t>
  </si>
  <si>
    <t>MCNAB Rd</t>
  </si>
  <si>
    <t>NW 31st Rd</t>
  </si>
  <si>
    <t>Old Griffin Rd</t>
  </si>
  <si>
    <t>Propect Rd</t>
  </si>
  <si>
    <t>Holmberg Rd</t>
  </si>
  <si>
    <t>Gulfstream Rd</t>
  </si>
  <si>
    <t>Stirling Rd/Davie Bl</t>
  </si>
  <si>
    <t>Sample Rd Ramp</t>
  </si>
  <si>
    <t>Just north of access Rd</t>
  </si>
  <si>
    <t>McKintosh Rd</t>
  </si>
  <si>
    <t>State Rd 84/I-595 frontage</t>
  </si>
  <si>
    <t>Griffin Rd Tri-Rail Station</t>
  </si>
  <si>
    <t>Just west of Flamingo Rd</t>
  </si>
  <si>
    <t>Weston Rd/Dykes Rd</t>
  </si>
  <si>
    <t>Old Griffin Rd/Service Rd</t>
  </si>
  <si>
    <t>Sheridan Rd</t>
  </si>
  <si>
    <t>Nobhill Rd</t>
  </si>
  <si>
    <t>Just west of Access Rd</t>
  </si>
  <si>
    <t>State Rd 5/US 1</t>
  </si>
  <si>
    <t>at Griffin Rd</t>
  </si>
  <si>
    <t>State Rd 84 (westbound)</t>
  </si>
  <si>
    <t>State Rd 84 (eastbound)</t>
  </si>
  <si>
    <t>Lime Hill Rd</t>
  </si>
  <si>
    <t>Knights Rd</t>
  </si>
  <si>
    <t>Douglas Rd/Pine Island Rd</t>
  </si>
  <si>
    <t>Douglas Rd</t>
  </si>
  <si>
    <t>E of 31st Rd</t>
  </si>
  <si>
    <t>West end of Loxahatchee Rd</t>
  </si>
  <si>
    <t>Just south of Access Rd</t>
  </si>
  <si>
    <t>Just north of State Rd 84</t>
  </si>
  <si>
    <t>North end of Powerline Rd</t>
  </si>
  <si>
    <t>North of Loxahatchee Rd</t>
  </si>
  <si>
    <t>Cullum Rd</t>
  </si>
  <si>
    <t xml:space="preserve">Sample Rd </t>
  </si>
  <si>
    <t>Powerline Rd/Hammondville Rd</t>
  </si>
  <si>
    <t>Just south of Perimeter Rd</t>
  </si>
  <si>
    <t>Service Rd at Sunrise Bl</t>
  </si>
  <si>
    <t>North End of Rd</t>
  </si>
  <si>
    <t>Just south of Cypress Creek Rd</t>
  </si>
  <si>
    <t>NW 9th Av/Powerline Rd</t>
  </si>
  <si>
    <t>Shotgun Rd turn-off</t>
  </si>
  <si>
    <t>Park Rd turn-off</t>
  </si>
  <si>
    <t>Perimeter Rd Ramp</t>
  </si>
  <si>
    <t>Just east of Dykes Rd</t>
  </si>
  <si>
    <t>North County Line Rd</t>
  </si>
  <si>
    <t>Powerline Rd/SW 26th Av</t>
  </si>
  <si>
    <t xml:space="preserve">Davie Rd </t>
  </si>
  <si>
    <t>South State Rd 7 (US 441)</t>
  </si>
  <si>
    <t>State Rd 7 (US 441)</t>
  </si>
  <si>
    <t xml:space="preserve">Countyline Rd </t>
  </si>
  <si>
    <t>Just south of Green Toad Rd</t>
  </si>
  <si>
    <t>Miami Rd</t>
  </si>
  <si>
    <t>Volunteer Rd</t>
  </si>
  <si>
    <t>Multiple Arterial Rdways From Broward Bl to Palm Beach County Line</t>
  </si>
  <si>
    <t>Just north of State Rd 7 ramp</t>
  </si>
  <si>
    <t>Palm Av/Nob Hill Rd</t>
  </si>
  <si>
    <t>Davie Rd/Davie Rd Extension</t>
  </si>
  <si>
    <t>Pembroe Rd</t>
  </si>
  <si>
    <t>State Rd 84 (west bound)</t>
  </si>
  <si>
    <t>State Rd 85</t>
  </si>
  <si>
    <t>West end of the Rd</t>
  </si>
  <si>
    <t>Just east of Hiatus Rd</t>
  </si>
  <si>
    <t>53 / Griffin Rd</t>
  </si>
  <si>
    <t>Federated Rd</t>
  </si>
  <si>
    <t>South of Wiles Rd</t>
  </si>
  <si>
    <t>Caroadinal Rd</t>
  </si>
  <si>
    <t>at Pembroke Rd</t>
  </si>
  <si>
    <t>at Stirling Rd</t>
  </si>
  <si>
    <t xml:space="preserve"> Bryan Rd</t>
  </si>
  <si>
    <t>Turtle Creek Rd</t>
  </si>
  <si>
    <t>Just west of Lyons Rd</t>
  </si>
  <si>
    <t>Weston Rd and Griffin Rd Intersection</t>
  </si>
  <si>
    <t>East end of Wiles Rd</t>
  </si>
  <si>
    <t>SW 55th St</t>
  </si>
  <si>
    <t>Just south of NE 20th St</t>
  </si>
  <si>
    <t>South of SW 33rd St</t>
  </si>
  <si>
    <t>SE 28th St</t>
  </si>
  <si>
    <t>SE 5th St</t>
  </si>
  <si>
    <t>SE 7th St</t>
  </si>
  <si>
    <t>SE 9th St</t>
  </si>
  <si>
    <t>NW 18th St</t>
  </si>
  <si>
    <t>SE 1st St</t>
  </si>
  <si>
    <t>NE 1st St</t>
  </si>
  <si>
    <t>NE 44th St</t>
  </si>
  <si>
    <t>NE 32nd St</t>
  </si>
  <si>
    <t>NW 11th St</t>
  </si>
  <si>
    <t>NW 29 St</t>
  </si>
  <si>
    <t>SW 11th St</t>
  </si>
  <si>
    <t>NE 13th St</t>
  </si>
  <si>
    <t>Just south of SW 33rd St</t>
  </si>
  <si>
    <t>North of Johnson St</t>
  </si>
  <si>
    <t>Just south of NW 67th St</t>
  </si>
  <si>
    <t>at Sheridan St</t>
  </si>
  <si>
    <t>31st St</t>
  </si>
  <si>
    <t>N 56th St</t>
  </si>
  <si>
    <t>Access Rd just north of NW 74th St</t>
  </si>
  <si>
    <t>NW 30th St</t>
  </si>
  <si>
    <t>Just south of NW 15th St</t>
  </si>
  <si>
    <t>SE 20th St</t>
  </si>
  <si>
    <t>North of SE 46th St</t>
  </si>
  <si>
    <t>North of SE 36th St</t>
  </si>
  <si>
    <t>SW Park St</t>
  </si>
  <si>
    <t>N of Sheridan St</t>
  </si>
  <si>
    <t>NE 11th St</t>
  </si>
  <si>
    <t>NE 53rd St</t>
  </si>
  <si>
    <t>NE 9th St</t>
  </si>
  <si>
    <t>NE 21st St</t>
  </si>
  <si>
    <t>NE 59th St</t>
  </si>
  <si>
    <t>NE 55th St</t>
  </si>
  <si>
    <t>Just south of NE 42nd St</t>
  </si>
  <si>
    <t>NE 7th St</t>
  </si>
  <si>
    <t>NE 24th St</t>
  </si>
  <si>
    <t>48th St</t>
  </si>
  <si>
    <t>NE 45th St</t>
  </si>
  <si>
    <t>NE 20th St</t>
  </si>
  <si>
    <t>NE 43rd St</t>
  </si>
  <si>
    <t>NW 53rd St</t>
  </si>
  <si>
    <t>Harding St</t>
  </si>
  <si>
    <t>Arthur St</t>
  </si>
  <si>
    <t>Grant St</t>
  </si>
  <si>
    <t>North 33rd St</t>
  </si>
  <si>
    <t>Douglas St</t>
  </si>
  <si>
    <t>Hood St</t>
  </si>
  <si>
    <t>Taylor St</t>
  </si>
  <si>
    <t>Greene St</t>
  </si>
  <si>
    <t>McKinley St</t>
  </si>
  <si>
    <t>Hayes St</t>
  </si>
  <si>
    <t>Lee St</t>
  </si>
  <si>
    <t>McNab Rd/SW 15th St</t>
  </si>
  <si>
    <t>NE 51st St</t>
  </si>
  <si>
    <t>Just north of NE 48th St</t>
  </si>
  <si>
    <t>NE 57th St</t>
  </si>
  <si>
    <t>Palm St</t>
  </si>
  <si>
    <t>NW 3rd St</t>
  </si>
  <si>
    <t>Farragut St</t>
  </si>
  <si>
    <t>NW 36 St</t>
  </si>
  <si>
    <t>NW 4th St</t>
  </si>
  <si>
    <t>NW 51st St</t>
  </si>
  <si>
    <t>NW 9th St</t>
  </si>
  <si>
    <t>Just east of NW 2nd St</t>
  </si>
  <si>
    <t>NW 1st St</t>
  </si>
  <si>
    <t>Just north of NW 24th St</t>
  </si>
  <si>
    <t>NW 24th St</t>
  </si>
  <si>
    <t>NW 21st St</t>
  </si>
  <si>
    <t>East end of NW 5th St</t>
  </si>
  <si>
    <t>NW 60th St</t>
  </si>
  <si>
    <t>NW 6th St</t>
  </si>
  <si>
    <t>NW 49th Court/49th St/Green Rd</t>
  </si>
  <si>
    <t>NW 49th St/Green St</t>
  </si>
  <si>
    <t>SW 13th St</t>
  </si>
  <si>
    <t>SW 12th St</t>
  </si>
  <si>
    <t>Just south of SW 10th St</t>
  </si>
  <si>
    <t>SW 36th St</t>
  </si>
  <si>
    <t>SW 57th St</t>
  </si>
  <si>
    <t>NW 52nd St</t>
  </si>
  <si>
    <t>NW 31st St</t>
  </si>
  <si>
    <t>SW 42nd St</t>
  </si>
  <si>
    <t>SE 16th St</t>
  </si>
  <si>
    <t>SE 32nd St</t>
  </si>
  <si>
    <t>North 61st St</t>
  </si>
  <si>
    <t>SW 14th St</t>
  </si>
  <si>
    <t>Mayo St</t>
  </si>
  <si>
    <t>NW 48th St</t>
  </si>
  <si>
    <t>Indiana St</t>
  </si>
  <si>
    <t>NW 29th St</t>
  </si>
  <si>
    <t>Plunkett St</t>
  </si>
  <si>
    <t>Dewey St</t>
  </si>
  <si>
    <t>NW 37th St</t>
  </si>
  <si>
    <t>NW 34th St</t>
  </si>
  <si>
    <t>North of SW 27th St</t>
  </si>
  <si>
    <t>SW 7th St</t>
  </si>
  <si>
    <t>SW 16th St</t>
  </si>
  <si>
    <t>SW 63 St</t>
  </si>
  <si>
    <t>Just south of SW 32nd St</t>
  </si>
  <si>
    <t>SW 54 St</t>
  </si>
  <si>
    <t>SW 32nd St</t>
  </si>
  <si>
    <t>SW 17th St</t>
  </si>
  <si>
    <t>SW 2nd St</t>
  </si>
  <si>
    <t>SW 21st St</t>
  </si>
  <si>
    <t>SW 23rd St</t>
  </si>
  <si>
    <t>SW 34th St</t>
  </si>
  <si>
    <t>Just north of SW 33rd St</t>
  </si>
  <si>
    <t>28th St</t>
  </si>
  <si>
    <t>SW 38th St</t>
  </si>
  <si>
    <t>Just north of SW 41st St</t>
  </si>
  <si>
    <t>North of SW 48th St</t>
  </si>
  <si>
    <t>NW 62nd St/Bailey Rd</t>
  </si>
  <si>
    <t>North 20th St</t>
  </si>
  <si>
    <t>51 / N. of Johnson St</t>
  </si>
  <si>
    <t>NW 40th St (Cardinal)</t>
  </si>
  <si>
    <t>SE 12th St/Davie Bl</t>
  </si>
  <si>
    <t>Just south of NW 42nd St</t>
  </si>
  <si>
    <t>SW 66th St</t>
  </si>
  <si>
    <t>NE 26 St</t>
  </si>
  <si>
    <t>US 1/Federal Hwy</t>
  </si>
  <si>
    <t>Federal Hwy</t>
  </si>
  <si>
    <t>North Dixie Hwy</t>
  </si>
  <si>
    <t>US 1 / Federal Hwy</t>
  </si>
  <si>
    <t>FEDERAL Hwy</t>
  </si>
  <si>
    <t>US1/SE 6TH Av</t>
  </si>
  <si>
    <t>NE/SE 15TH Av</t>
  </si>
  <si>
    <t>NW 7TH Av</t>
  </si>
  <si>
    <t>SW/NW 5TH Av</t>
  </si>
  <si>
    <t>NE/SE 7TH Av</t>
  </si>
  <si>
    <t>NW/SW 1ST Av</t>
  </si>
  <si>
    <t>NW 27TH Av</t>
  </si>
  <si>
    <t>NE 6TH Av</t>
  </si>
  <si>
    <t>SE 15TH Av</t>
  </si>
  <si>
    <t>BRICKELL Av</t>
  </si>
  <si>
    <t>SW 7TH Av</t>
  </si>
  <si>
    <t xml:space="preserve">SW 31ST Av </t>
  </si>
  <si>
    <t xml:space="preserve">N ANDREWS Av </t>
  </si>
  <si>
    <t xml:space="preserve">SW 7TH Av </t>
  </si>
  <si>
    <t>SE 17TH Av</t>
  </si>
  <si>
    <t>NE 16TH Av</t>
  </si>
  <si>
    <t>NW 7TH Av/AVE OF THE ARTS</t>
  </si>
  <si>
    <t xml:space="preserve">SW 4TH Av </t>
  </si>
  <si>
    <t>NW 9TH Av</t>
  </si>
  <si>
    <t xml:space="preserve">NW 7TH Av </t>
  </si>
  <si>
    <t>NW 31ST Av/MLK JR Av</t>
  </si>
  <si>
    <t>NW 11TH Av</t>
  </si>
  <si>
    <t>NW 31 Av.</t>
  </si>
  <si>
    <t>NW 21 Av.</t>
  </si>
  <si>
    <t>NW 18TH Av</t>
  </si>
  <si>
    <t>NW 60 Av</t>
  </si>
  <si>
    <t>NE 24TH Av</t>
  </si>
  <si>
    <t>S ANDREWS Av</t>
  </si>
  <si>
    <t>SE 23RD Av</t>
  </si>
  <si>
    <t>SE 6TH Av</t>
  </si>
  <si>
    <t>NW 19TH Av/LINCOLN PARK</t>
  </si>
  <si>
    <t>FLAMINGO Av</t>
  </si>
  <si>
    <t>NW 24TH Av</t>
  </si>
  <si>
    <t>NE 26TH Av</t>
  </si>
  <si>
    <t>NE 19TH Av</t>
  </si>
  <si>
    <t>NE 7TH Av</t>
  </si>
  <si>
    <t xml:space="preserve">SW 27ST Av </t>
  </si>
  <si>
    <t xml:space="preserve">SW 15TH Av </t>
  </si>
  <si>
    <t>SW 24TH Av</t>
  </si>
  <si>
    <t xml:space="preserve">SW 12TH Av </t>
  </si>
  <si>
    <t xml:space="preserve">SW 2ND Av </t>
  </si>
  <si>
    <t xml:space="preserve">SE 3RD Av </t>
  </si>
  <si>
    <t xml:space="preserve">SW 11TH Av </t>
  </si>
  <si>
    <t xml:space="preserve">SW 16TH Av </t>
  </si>
  <si>
    <t>SE 1ST Av</t>
  </si>
  <si>
    <t>S Rainbow Dr</t>
  </si>
  <si>
    <t>New River Dr</t>
  </si>
  <si>
    <t>Middle River Dr</t>
  </si>
  <si>
    <t>Bay Colony Dr</t>
  </si>
  <si>
    <t xml:space="preserve">University Dr </t>
  </si>
  <si>
    <t>NW 106th Dr</t>
  </si>
  <si>
    <t>at University Dr / Sample Rd</t>
  </si>
  <si>
    <t>East of University Dr</t>
  </si>
  <si>
    <t>East end of Portside Dr</t>
  </si>
  <si>
    <t>Eller Dr/NE 7th Av</t>
  </si>
  <si>
    <t>Lakeview North Dr</t>
  </si>
  <si>
    <t>Palomino Dr</t>
  </si>
  <si>
    <t>Entrada Dr</t>
  </si>
  <si>
    <t>Utopia Dr</t>
  </si>
  <si>
    <t>NE 17th Dr</t>
  </si>
  <si>
    <t>Just west of NE 21st Dr</t>
  </si>
  <si>
    <t>Just east of Corporate Dr</t>
  </si>
  <si>
    <t>Midpoint between Sunset Dr and North 59th Terrace</t>
  </si>
  <si>
    <t>Just south of University Dr</t>
  </si>
  <si>
    <t>Royal Park Dr</t>
  </si>
  <si>
    <t xml:space="preserve">Woodside Dr </t>
  </si>
  <si>
    <t>Woodside Dr</t>
  </si>
  <si>
    <t>Crystal Lake Dr</t>
  </si>
  <si>
    <t>East Acre Dr</t>
  </si>
  <si>
    <t>Just west of University Dr</t>
  </si>
  <si>
    <t>Hollywood Dr</t>
  </si>
  <si>
    <t>Terminal Dr Ramp</t>
  </si>
  <si>
    <t>N Rainbow Dr</t>
  </si>
  <si>
    <t>Flagler Dr</t>
  </si>
  <si>
    <t>Just west of Lakeview Dr</t>
  </si>
  <si>
    <t>Just south of Pine Dr</t>
  </si>
  <si>
    <t>Just north of Eller Dr</t>
  </si>
  <si>
    <t>Just west of Sanibel Dr</t>
  </si>
  <si>
    <t>Osceola Dr</t>
  </si>
  <si>
    <t>SW 45th St/Orange Dr</t>
  </si>
  <si>
    <t>Lakeside Dr</t>
  </si>
  <si>
    <t>Flamingo Dr</t>
  </si>
  <si>
    <t>Just north of Sportsman Dr</t>
  </si>
  <si>
    <t>Lake View Dr</t>
  </si>
  <si>
    <t>Just east of Wimbledon Lakes Dr</t>
  </si>
  <si>
    <t>East Leitner Dr</t>
  </si>
  <si>
    <t>NW 9TH Av/Powerline Rd</t>
  </si>
  <si>
    <t>SR 838 / Sunrise Bl</t>
  </si>
  <si>
    <t>Duplicate</t>
  </si>
  <si>
    <t>Dixie Hwy - Central</t>
  </si>
  <si>
    <t>Dixie Hwy - North</t>
  </si>
  <si>
    <t>Dixie Hwy - South</t>
  </si>
  <si>
    <t xml:space="preserve">Dixie Hwy/East 1st Av Corridor </t>
  </si>
  <si>
    <t>Grade Separation at Hallandale Beach and Dixie Hwy</t>
  </si>
  <si>
    <t>N Dixie Hwy</t>
  </si>
  <si>
    <t>South Dixie Hwy</t>
  </si>
  <si>
    <t>Bayshore Dr</t>
  </si>
  <si>
    <t>Downtown ITS System</t>
  </si>
  <si>
    <t>Galt Ocean Dr</t>
  </si>
  <si>
    <t>Duplicate (ww).</t>
  </si>
  <si>
    <t>SR 93 /I-75 Express Bus Route</t>
  </si>
  <si>
    <t>SR 858/ Miramar Pkwy/Hallandale Beach Bl</t>
  </si>
  <si>
    <t>Developer will build sidewalk with project development</t>
  </si>
  <si>
    <t>SR A1A/Ocean Bl</t>
  </si>
  <si>
    <t>Notes</t>
  </si>
  <si>
    <t>Deteriorating bridges in the City of OP #867601, 867602,867603,867604,867606</t>
  </si>
  <si>
    <t>StillNeeded</t>
  </si>
  <si>
    <t>Transit Maintenance Off the Top</t>
  </si>
  <si>
    <t>Breakers Av</t>
  </si>
  <si>
    <t>SR 845/North Powerline Rd</t>
  </si>
  <si>
    <t>SR 817/University Dr</t>
  </si>
  <si>
    <t>SR 816/Oakland Park Bl</t>
  </si>
  <si>
    <t>SR 816/Oakland Park Bl &amp; Hiatus Rd</t>
  </si>
  <si>
    <t>SR 816/Oakland Park Bl &amp; NW 31st Av</t>
  </si>
  <si>
    <t>SR 816/Oakland Park Bl &amp; SR A1A</t>
  </si>
  <si>
    <t>Orton Av</t>
  </si>
  <si>
    <t>SR 824/Pembroke Rd &amp; SR 7/US 441</t>
  </si>
  <si>
    <t>SR 824/Pembroke Rd &amp; University Dr</t>
  </si>
  <si>
    <t>SR 820/Pines Bl</t>
  </si>
  <si>
    <t>SR 820/Pines Bl &amp; Douglas Rd</t>
  </si>
  <si>
    <t>SR 820/Pines Bl &amp; Dykes Rd</t>
  </si>
  <si>
    <t>SR 820/Pines Bl &amp; Palm Av</t>
  </si>
  <si>
    <t>SR 820/Pines Bl &amp; University Dr</t>
  </si>
  <si>
    <t>SR 820/Pines Bl East</t>
  </si>
  <si>
    <t>SR 820/Pines Bl West</t>
  </si>
  <si>
    <t>SR 820/Pines/Hollywood Bl</t>
  </si>
  <si>
    <t>SR 7/US 441 &amp; Hillsboro Bl</t>
  </si>
  <si>
    <t>SR 7/US 441/Coconut Creek Pkwy</t>
  </si>
  <si>
    <t>SR 848/Stirling Rd</t>
  </si>
  <si>
    <t>SR 838/Sunrise Bl</t>
  </si>
  <si>
    <t>Terramar St</t>
  </si>
  <si>
    <t>S. of Peters Rd (MP 55.9  - 56.4)</t>
  </si>
  <si>
    <t>SR 25/US 27</t>
  </si>
  <si>
    <t>SR 91/Florida's Turnpike</t>
  </si>
  <si>
    <t>SR25/US 27 Rail Corridor Study</t>
  </si>
  <si>
    <t>SR 814/Atlantic Bl</t>
  </si>
  <si>
    <t>SR 842/West Broward Bl</t>
  </si>
  <si>
    <t>SR 858/West Hallandale Beach Bl</t>
  </si>
  <si>
    <t>SR 810/West Hillsboro Bl</t>
  </si>
  <si>
    <t>SR 834/West Sample Rd</t>
  </si>
  <si>
    <t>SR 838/West Sunrise Bl</t>
  </si>
  <si>
    <t>SR 862/I-595</t>
  </si>
  <si>
    <t>SR 862/I-595 Causeway</t>
  </si>
  <si>
    <t>SR 862/I-595 EB Causeway</t>
  </si>
  <si>
    <t>SR 862/I-595 ML Connection</t>
  </si>
  <si>
    <t>SR 862/I-595 WB Causeway</t>
  </si>
  <si>
    <t>SR 862/I-595/P3/Utilities from I-75 To West of I-95</t>
  </si>
  <si>
    <t>N OF OAKLAND PARK BL</t>
  </si>
  <si>
    <t>OAKLAND PARK BLD</t>
  </si>
  <si>
    <t>S OF ATLANTIC Bl</t>
  </si>
  <si>
    <t>Preliminary Engineering P3</t>
  </si>
  <si>
    <t>Add 2 Reversible Use Lanes P3 CEI</t>
  </si>
  <si>
    <t>P3 ROW</t>
  </si>
  <si>
    <t>East</t>
  </si>
  <si>
    <t>West</t>
  </si>
  <si>
    <t>Project Development &amp; Environmental  Central Brow Transit Analysis</t>
  </si>
  <si>
    <t>SR 811/Dixie Hwy</t>
  </si>
  <si>
    <t>Pompano comments- IN WORK PROGRAM ALREADY</t>
  </si>
  <si>
    <t>SR 870/ Commercial Bl</t>
  </si>
  <si>
    <t>N OF SR 848/STIRLING</t>
  </si>
  <si>
    <t>S OF SR 842/BROWARD BV</t>
  </si>
  <si>
    <t>N OF SR 816/OAKLAND PK</t>
  </si>
  <si>
    <t>S OF SR842/BROWARD BV</t>
  </si>
  <si>
    <t>S OF SW 10TH ST</t>
  </si>
  <si>
    <t>S OF HILLSBORO Bl</t>
  </si>
  <si>
    <t>SR 848/STIRLING RD</t>
  </si>
  <si>
    <t>N OF SR 816/OAKLAND PK BV</t>
  </si>
  <si>
    <t>GRIFFIN RD</t>
  </si>
  <si>
    <t>BROWARD/PALM BCH CO/L</t>
  </si>
  <si>
    <t>MIAMI-DADE/BROWARD</t>
  </si>
  <si>
    <t>SR 842/BROWARD Bl</t>
  </si>
  <si>
    <t>N OF STIRLING RD</t>
  </si>
  <si>
    <t>PALM BEACH CO LINE</t>
  </si>
  <si>
    <t>PALM BCH C/L</t>
  </si>
  <si>
    <t>S OF SAMPLE Rd</t>
  </si>
  <si>
    <t>at Broward Bl</t>
  </si>
  <si>
    <t>Countyline Rd/A1A Intersection</t>
  </si>
  <si>
    <t>Dixie Hwy/21st Av</t>
  </si>
  <si>
    <t>Johnson St/Lincoln St</t>
  </si>
  <si>
    <t>SR 814/Atlantic Av/NW 31st Av</t>
  </si>
  <si>
    <t>SR 814/Atlantic Bl &amp; Dixie Hwy</t>
  </si>
  <si>
    <t>SR 814/Atlantic Bl &amp; SR 7/US 441</t>
  </si>
  <si>
    <t>SR 814/Atlantic Bl &amp; SR 817 /University Dr</t>
  </si>
  <si>
    <t>SR 814/Atlantic Bl &amp; SR 845/Powerline Rd</t>
  </si>
  <si>
    <t>SR 814/Atlantic Bl/NW 8th Court</t>
  </si>
  <si>
    <t>SR 818/Griffin Rd</t>
  </si>
  <si>
    <t>SR 818/Griffin Rd/Taylor Rd</t>
  </si>
  <si>
    <t>SR 820/Hollywood-Pines Bl/I-95 Transitway</t>
  </si>
  <si>
    <t>SR 822/Sheridan St</t>
  </si>
  <si>
    <t>SR 822/Sheridan St &amp; SR 7</t>
  </si>
  <si>
    <t>SR 822/Sheridan St &amp; University Dr</t>
  </si>
  <si>
    <t>SR 822/Sheridan St East</t>
  </si>
  <si>
    <t>SR 824/Pembroke Rd &amp; US 1</t>
  </si>
  <si>
    <t>SR 827/Pembroke Rd</t>
  </si>
  <si>
    <t>SR 834/Sample Rd</t>
  </si>
  <si>
    <t>SR 834/Sample Rd &amp; Coral Ridge Dr</t>
  </si>
  <si>
    <t>SR 834/Sample Rd &amp; Lyons Rd</t>
  </si>
  <si>
    <t>SR 834/Sample Rd &amp; Sportsplex Dr</t>
  </si>
  <si>
    <t>SR 834/Sample Rd &amp; US 1</t>
  </si>
  <si>
    <t>SR 842/Broward Bl</t>
  </si>
  <si>
    <t>SR 845/Powerline Rd</t>
  </si>
  <si>
    <t>SR 858/Hallandale Beach Bl</t>
  </si>
  <si>
    <t>SR 858/Miramar Pkwy/Hallandale Beach Bl</t>
  </si>
  <si>
    <t>SR 869/Sawgrass Expressway</t>
  </si>
  <si>
    <t>SR 870/Commercial Bl</t>
  </si>
  <si>
    <t>SR 9/I-95 Managed Lanes</t>
  </si>
  <si>
    <t>SR 93/I-75</t>
  </si>
  <si>
    <t>SR 93/I-75 Express Lanes</t>
  </si>
  <si>
    <t>SR A1A/East Dania Beach Bl</t>
  </si>
  <si>
    <t>SW 4TH Av/CT</t>
  </si>
  <si>
    <t>Vistamar St</t>
  </si>
  <si>
    <t>STUPID PRICE TAG</t>
  </si>
  <si>
    <t>Waldrep to Griffin _x000D_Connector</t>
  </si>
  <si>
    <t>SR5/US 1</t>
  </si>
  <si>
    <t>SR 820/Hollywood Bl</t>
  </si>
  <si>
    <t>SR 820/Hollywood Amtrak/Tri-Rail Station</t>
  </si>
  <si>
    <t>SR 820/Hillsboro Bl</t>
  </si>
  <si>
    <t>SR 810/Hillsboro Bl &amp; SR A1A</t>
  </si>
  <si>
    <t>SR 810/Hillsboro Bl/NE 2nd St Loop</t>
  </si>
  <si>
    <t>Indiana Av</t>
  </si>
  <si>
    <t>Executive Airport Multi-use Path</t>
  </si>
  <si>
    <t>Florida Av</t>
  </si>
  <si>
    <t>Extend runway 9R/27L</t>
  </si>
  <si>
    <t>New Gateway Hub</t>
  </si>
  <si>
    <t>NW 57 Av</t>
  </si>
  <si>
    <t>Miramar Toll Plaza (MP43-4)</t>
  </si>
  <si>
    <t>SR 821/HEFT</t>
  </si>
  <si>
    <t>WEST END OF RUNWAY 8/26</t>
  </si>
  <si>
    <t>KILO</t>
  </si>
  <si>
    <t>November &amp; Delta</t>
  </si>
  <si>
    <t>EAST END OF RUNWAY 8/26</t>
  </si>
  <si>
    <t>EXPENSIVE(WW), ROW</t>
  </si>
  <si>
    <t>Antioch Av</t>
  </si>
  <si>
    <t>Birch State Park Loop</t>
  </si>
  <si>
    <t>Central Beach Boardwalk</t>
  </si>
  <si>
    <t>Systemwide</t>
  </si>
  <si>
    <t>@</t>
  </si>
  <si>
    <t>Cross Over to N. Birch State Park</t>
  </si>
  <si>
    <t>Cypress Creek</t>
  </si>
  <si>
    <t>Davie Rd Ext.</t>
  </si>
  <si>
    <t>Deerfield Beach/Amtrak</t>
  </si>
  <si>
    <t>Palm Beach Co.</t>
  </si>
  <si>
    <t>Broward Co.</t>
  </si>
  <si>
    <t>Districtwide SIS/NHS Connectors</t>
  </si>
  <si>
    <t>COMPETES WITH COASTAL LINK, LACKS LIMITS</t>
  </si>
  <si>
    <t>Eastern Perimeter Rd (Phase 2)</t>
  </si>
  <si>
    <t>Within Secured</t>
  </si>
  <si>
    <t>Fence</t>
  </si>
  <si>
    <t>DUPLICATE</t>
  </si>
  <si>
    <t>Flagler Greenway (Phase 2)</t>
  </si>
  <si>
    <t>Street Car / People Mover, hub to hub connector FLL/Tri-Rail/Wave</t>
  </si>
  <si>
    <t>SR 811/OLD DIXIE HWY</t>
  </si>
  <si>
    <t>FLL Airport</t>
  </si>
  <si>
    <t>FLL</t>
  </si>
  <si>
    <t>Hard Rock Casino</t>
  </si>
  <si>
    <t>Broward Mall</t>
  </si>
  <si>
    <t>Tri-Rail Shuttle</t>
  </si>
  <si>
    <t>NW 57TH Av</t>
  </si>
  <si>
    <t>SR9/I-95</t>
  </si>
  <si>
    <t>Hollywood Stn</t>
  </si>
  <si>
    <t>Hollywood Bch</t>
  </si>
  <si>
    <t>Ambiguous with no price tag</t>
  </si>
  <si>
    <t>Probably in TIP/UPWP Already</t>
  </si>
  <si>
    <t>Iowa Av</t>
  </si>
  <si>
    <t>Las Olas Bl Safety Project</t>
  </si>
  <si>
    <t>Mayan Dr</t>
  </si>
  <si>
    <t>Ft. Lauderdale Bch Park Entrance</t>
  </si>
  <si>
    <t>Miami Beach</t>
  </si>
  <si>
    <t>FLL MID-FIELD TAXIWAY EXTENSION AND RUNUP AREA</t>
  </si>
  <si>
    <t>Birch Rd</t>
  </si>
  <si>
    <t>Flagler Dr N</t>
  </si>
  <si>
    <t>Atlantic Bl N</t>
  </si>
  <si>
    <t>North Beach Boardwalk</t>
  </si>
  <si>
    <t>SR-5/US 1</t>
  </si>
  <si>
    <t xml:space="preserve"> Bypass Rd</t>
  </si>
  <si>
    <t>PEV Spangler Bl</t>
  </si>
  <si>
    <t>PEV Connector//SR 84</t>
  </si>
  <si>
    <t>PEV Connector</t>
  </si>
  <si>
    <t>PEV</t>
  </si>
  <si>
    <t>FLL/GGI</t>
  </si>
  <si>
    <t>Port of Miami</t>
  </si>
  <si>
    <t>Progresso Dr Greenway</t>
  </si>
  <si>
    <t>FEC Real-Time Train Locations</t>
  </si>
  <si>
    <t>FLL RELOCATION OF TAXIWAY G - PHASE II</t>
  </si>
  <si>
    <t>Riomar St</t>
  </si>
  <si>
    <t>Riverwalk Streetscape SEAWALL PEDESTRIAN IMPROVEMENT PROJECT</t>
  </si>
  <si>
    <t>FLL RUNWAY 13 HOLDING PAD</t>
  </si>
  <si>
    <t>FLL RUNWAY 26 &amp; 31 BYPASS</t>
  </si>
  <si>
    <t>FLL RUNWAY 8/26 REHABILITATION</t>
  </si>
  <si>
    <t>SW 48th Av</t>
  </si>
  <si>
    <t>Hollywood Tri-Rail Station</t>
  </si>
  <si>
    <t>Pompano Beach Tr-Rail Station</t>
  </si>
  <si>
    <t>Hillsboro Bl/SR-810</t>
  </si>
  <si>
    <t>NW 36th St/Sample Rd/SR-834</t>
  </si>
  <si>
    <t>Copens Rd</t>
  </si>
  <si>
    <t>Atlantic Bl/SR-814</t>
  </si>
  <si>
    <t>NW 62nd/Cypress Creek</t>
  </si>
  <si>
    <t>Commercial Bl/SR-870</t>
  </si>
  <si>
    <t>Oakland Park Bl/SR-816</t>
  </si>
  <si>
    <t>New Griffin Rd/SR-818</t>
  </si>
  <si>
    <t>Stirling Rd/SR-848</t>
  </si>
  <si>
    <t>Hollywood Bl/SR-820</t>
  </si>
  <si>
    <t>Pembroke Rd/SR-824</t>
  </si>
  <si>
    <t>Hallandale Beach/SR-858</t>
  </si>
  <si>
    <t>FLL South Perimeter Loop Rd</t>
  </si>
  <si>
    <t>CSX/Tri-Rail</t>
  </si>
  <si>
    <t>Hollywood Bl/Dixie</t>
  </si>
  <si>
    <t>Duplicate (ww)</t>
  </si>
  <si>
    <t>MLK Bl/Hammondville Rd</t>
  </si>
  <si>
    <t>Andrews/FEC</t>
  </si>
  <si>
    <t>corp. park</t>
  </si>
  <si>
    <t>SR 816/Oakland Park</t>
  </si>
  <si>
    <t>SR7/US 441</t>
  </si>
  <si>
    <t>SR  820/Pines Bl</t>
  </si>
  <si>
    <t>SR 810/Hillsboro Bl</t>
  </si>
  <si>
    <t>136th Av</t>
  </si>
  <si>
    <t>Bayview Dr/Galleria</t>
  </si>
  <si>
    <t>Gateway</t>
  </si>
  <si>
    <t>Alhambra Dr</t>
  </si>
  <si>
    <t>Miramar Bl</t>
  </si>
  <si>
    <t>NW/SW 1st Av</t>
  </si>
  <si>
    <t>SR 820/Hollywood</t>
  </si>
  <si>
    <t>Eisenhower Bl via SE 17th St</t>
  </si>
  <si>
    <t>PEV ACOE Dredging Project</t>
  </si>
  <si>
    <t>FLL ACUTE ANGLE TAXIWAY K</t>
  </si>
  <si>
    <t>FLL ACUTE ANGLE TAXIWAYS N &amp; D</t>
  </si>
  <si>
    <t>WAY TOO CHEAP, $50K/INTERSECTION</t>
  </si>
  <si>
    <t>Almond Av</t>
  </si>
  <si>
    <t>PD&amp;E</t>
  </si>
  <si>
    <t>Traffic Circle</t>
  </si>
  <si>
    <t xml:space="preserve">Single-point intersection at Hallandale Beach Bl. &amp; Dixie Hwy.  Intersection modification to allow concurrent northbound and southbound, as well as eastbound and westbound traffic. </t>
  </si>
  <si>
    <t>TOO CHEAP.</t>
  </si>
  <si>
    <t>SR 5/US 1 Drawbridge</t>
  </si>
  <si>
    <t>MP49 / Hollywood Bl.</t>
  </si>
  <si>
    <t>SR-820/Pines Bl Ramps</t>
  </si>
  <si>
    <t>Miramar Pkwy Ramps</t>
  </si>
  <si>
    <t>N of Miramar Pkwy</t>
  </si>
  <si>
    <t>N of HEFT</t>
  </si>
  <si>
    <t>Royal Palm Bl F S OF SW 36 ST to N of SW 14 ST</t>
  </si>
  <si>
    <t>SR 820 Pines Bl F N of Miramar Pkwy to N OF PI</t>
  </si>
  <si>
    <t>I-95/I-595 Interchange</t>
  </si>
  <si>
    <t>Stirling Bl</t>
  </si>
  <si>
    <t>SR 838/Sunrise Bl(MP 58)</t>
  </si>
  <si>
    <t>SR 93/I-75 INTCHG (MP 39)</t>
  </si>
  <si>
    <t>SR 820/Hollywood Bl (MP 49)</t>
  </si>
  <si>
    <t>MP 53/I-595</t>
  </si>
  <si>
    <t>MP 54/I-595</t>
  </si>
  <si>
    <t>MP59 / N. of Sunrise Bl. (NB)</t>
  </si>
  <si>
    <t>MP51 / N. of Johnson St</t>
  </si>
  <si>
    <t>MP47 / HEFT</t>
  </si>
  <si>
    <t>MP66 / N. of Atlantic Bl. (NB)</t>
  </si>
  <si>
    <t>MP47 / HEFT @ Mainline</t>
  </si>
  <si>
    <t>S OF Miramar Pkwy</t>
  </si>
  <si>
    <t>N. of Griffin Rd</t>
  </si>
  <si>
    <t>S. of Miramar Pkwy Int.</t>
  </si>
  <si>
    <t>S. of Sheridan St.</t>
  </si>
  <si>
    <t>SR 811/Griffin Rd</t>
  </si>
  <si>
    <t>N. of Johnson St</t>
  </si>
  <si>
    <t>N. of Johnson St.</t>
  </si>
  <si>
    <t>Miami-Dade/Broward CL</t>
  </si>
  <si>
    <t>S. of Sheridan St</t>
  </si>
  <si>
    <t>N. of HEFT</t>
  </si>
  <si>
    <t>Capital Only? (ww)</t>
  </si>
  <si>
    <t>Southewest Ranches</t>
  </si>
  <si>
    <t>SR 858/Miramar Pkwy</t>
  </si>
  <si>
    <t>SW 1st Av</t>
  </si>
  <si>
    <t>Wiles Rd/NE 49 St</t>
  </si>
  <si>
    <t>City of Sunrise</t>
  </si>
  <si>
    <t>Many</t>
  </si>
  <si>
    <t>Water Ferry</t>
  </si>
  <si>
    <t>Need better description and cost estimate. $350k holder for now (ww)</t>
  </si>
  <si>
    <t>BCT's TDP costs do not appear to be refined enough to apply to individual projects. $1.5m placeholder for 3*500k vehicles for now (ww)</t>
  </si>
  <si>
    <t>Cost Unknown, Should be supplied by private market (ww)</t>
  </si>
  <si>
    <t>Already out to procurement (ww).</t>
  </si>
  <si>
    <t>Lauderhill Mall</t>
  </si>
  <si>
    <t>Transit Center</t>
  </si>
  <si>
    <t>FEC Railroad Grade Sep.</t>
  </si>
  <si>
    <t>Sample Rd / SR-834</t>
  </si>
  <si>
    <t>Sunrise Bl/SR-838</t>
  </si>
  <si>
    <t>W Broward Bl/SR-842</t>
  </si>
  <si>
    <t>SW 24th St/SR-84</t>
  </si>
  <si>
    <t>Hallandale Beach Bl/SR-858</t>
  </si>
  <si>
    <t>Miami</t>
  </si>
  <si>
    <t>Jacksonville</t>
  </si>
  <si>
    <t>FEC Railroad Amtrak Svc.</t>
  </si>
  <si>
    <t>West Palm Beach</t>
  </si>
  <si>
    <t>Tri-Rail Station Pompano Beach</t>
  </si>
  <si>
    <t>Hialeah Mkt Station</t>
  </si>
  <si>
    <t>MIC</t>
  </si>
  <si>
    <t>Tri-Rail Maintenance Facility</t>
  </si>
  <si>
    <t>N. of Oakland Park Bl</t>
  </si>
  <si>
    <t>S. of Atlantic Bl</t>
  </si>
  <si>
    <t>Griffin/I-595 Ramps</t>
  </si>
  <si>
    <t>Andrews Ave</t>
  </si>
  <si>
    <t>First Segment</t>
  </si>
  <si>
    <t>Should be in somewhere already- at least in part</t>
  </si>
  <si>
    <t xml:space="preserve"> Duplicate or an Either/Or with Other Alignment</t>
  </si>
  <si>
    <t>Eisenhower Bl via Sunrise Bl</t>
  </si>
  <si>
    <t>Wave Streetcar</t>
  </si>
  <si>
    <t xml:space="preserve">Wave Streetcar Connector </t>
  </si>
  <si>
    <t>Wave Streetcar Expansion</t>
  </si>
  <si>
    <t>Western Perimeter Rd Ext.</t>
  </si>
  <si>
    <t>Dania Beach Bl Bridge</t>
  </si>
  <si>
    <t>Needs Better Definition</t>
  </si>
  <si>
    <t>GGI</t>
  </si>
  <si>
    <t>Aventura Mall and Hallandale Beach</t>
  </si>
  <si>
    <t>FEC/Broward Bl</t>
  </si>
  <si>
    <t>$12,875,000 per mile for widening (use for unfunded needs)</t>
  </si>
  <si>
    <t>$25m placeholder</t>
  </si>
  <si>
    <t>$50m placeholder</t>
  </si>
  <si>
    <t>Absorbed in the AET systemwide costs (no marginal cost)</t>
  </si>
  <si>
    <t>NE 203 ST &amp; NE 215ST INTERSECTION IMPROVMTS</t>
  </si>
  <si>
    <t>W. Dixie Hwy</t>
  </si>
  <si>
    <t>Duplicate with Turnpike Project</t>
  </si>
  <si>
    <t>Table 8.4</t>
  </si>
  <si>
    <t>For all new fixed route</t>
  </si>
  <si>
    <t>For all new fixed route ($0 so totals work)</t>
  </si>
  <si>
    <t>for all enhanced</t>
  </si>
  <si>
    <t>Coral Springs comments, pending technical assessment to keep/kill (ww)</t>
  </si>
  <si>
    <t>Hollywood comments, await PEV determination (ww)</t>
  </si>
  <si>
    <t>Hollywood comments, keep pending PEV master plan (ww)</t>
  </si>
  <si>
    <t>CORDOVA RD</t>
  </si>
  <si>
    <t>SE 16TH ST</t>
  </si>
  <si>
    <t xml:space="preserve">PEDESTRIAN ENHANCEMENTS, CROSSWALKS, MEDIANS, SIDEWALK BUFFERS, LIGHTING </t>
  </si>
  <si>
    <t>BICYCLE ACCOMMODATIONS AS APPROPRIATE</t>
  </si>
  <si>
    <t>SE 17TH ST to SE 15TH ST</t>
  </si>
  <si>
    <t>CORDOVA RD to SE 15TH ST</t>
  </si>
  <si>
    <t>SE 15TH ST</t>
  </si>
  <si>
    <t>NE 15TH AVE</t>
  </si>
  <si>
    <t>ANDREWS AVE BRIDGE</t>
  </si>
  <si>
    <t>SUNRISE BLVD</t>
  </si>
  <si>
    <t>RIVERWALK</t>
  </si>
  <si>
    <t>SUNRISE BLVD to NE 13TH ST</t>
  </si>
  <si>
    <t>SUNRISE BLVD to COMMERCIAL BLVD</t>
  </si>
  <si>
    <t>RIVERWALK to RIVERWALK</t>
  </si>
  <si>
    <t xml:space="preserve">This project will implement the City's Connectivity Plan with the goal to create a network of connectivity for all modes of transportation in compliance with Complete Streets in Fort Lauderdale. This project will improve traffic flow, bike and pedestrian access through the corridor, and the ability to access the services and transit provided along this corridor. </t>
  </si>
  <si>
    <t xml:space="preserve">This project will implement the City's Connectivity Plan with the goal to create a network of connectivity for all modes of transportation in compliance with Complete Streets in Fort Lauderdale. This project will improve traffic flow, bike and pedestrian access through the corridor, and the ability to access the services along this corridor. </t>
  </si>
  <si>
    <t xml:space="preserve">This project will implement the City's Connectivity Plan with the goal to create a network of connectivity for all modes of transportation in compliance with Complete Streets in Fort Lauderdale. This project will improve pedestrian access through the corridor, and the ability to access the services and transit provided along this premium transit corridor. </t>
  </si>
  <si>
    <t>COMMERCIAL BLVD</t>
  </si>
  <si>
    <t>COMMUNITY HUB</t>
  </si>
  <si>
    <t>ANCHOR HUB</t>
  </si>
  <si>
    <t>US1</t>
  </si>
  <si>
    <t>FEC</t>
  </si>
  <si>
    <t xml:space="preserve">A healthy, vibrant area is necessary to support premium transit services.  These areas providing premium service and the intersections of premium service are considered Transit Hubs.  This area was determined to be a significant transit node and should be classified as a Transit Hub to ensure that adequate pedestrian and bicycle accommodations are provided to connect residents and visitors with businesses, jobs, housing, attractions, and other transit services.  This increased transit ammenity will help to increase ridership and reduce vehicle congestion and emissions.  </t>
  </si>
  <si>
    <t>NEW RIVER BOAT CROSSING &amp; PAVILLION</t>
  </si>
  <si>
    <t>The project will implement a multimodal connection above the Kinney Tunnel creating a boating connection for passenger service across the New River.  Transit mobility will be increased through this project by increasing the connectivity for passenger boat ferry service across the New RIver.</t>
  </si>
  <si>
    <t>Project Cost
 in 2012 $</t>
  </si>
  <si>
    <t>A1A to Commercial Blvd</t>
  </si>
  <si>
    <t>Commercial Blvd</t>
  </si>
  <si>
    <t>100 spaces. 2-4 yr timeframe, 2013 cost est</t>
  </si>
  <si>
    <t>200 spaces , 7-9 yr timeframe, 2013 cost est</t>
  </si>
  <si>
    <t>Updates</t>
  </si>
  <si>
    <t>New Estimates</t>
  </si>
  <si>
    <t>Status</t>
  </si>
  <si>
    <t>Value</t>
  </si>
  <si>
    <t>"2035 LRTP"=source deflate from 2023 to 2012 factor only for "keep" and for bike/ped/roadway modes only</t>
  </si>
  <si>
    <t>"Coral Springs"=source inflate from 2009 to 2012 factor only for "keep" and for bike/ped/roadway modes only</t>
  </si>
  <si>
    <t>"Dania Beach"=source inflate from 2009 to 2012 factor only for "keep" and for bike/ped/roadway modes only</t>
  </si>
  <si>
    <t>"Davie"=source inflate from 2009 to 2012 factor only for "keep" and for bike/ped/roadway modes only</t>
  </si>
  <si>
    <t>"Dearfield Beach"=source inflate from 2009 to 2012 factor only for "keep" and for bike/ped/roadway modes only</t>
  </si>
  <si>
    <t>"Ft Lauderdale"=source inflate from 2009 to 2012 factor only for "keep" and for bike/ped/roadway modes only</t>
  </si>
  <si>
    <t>"Hallendale Beach"=source inflate from 2009 to 2012 factor only for "keep" and for bike/ped/roadway modes only</t>
  </si>
  <si>
    <t>"Hollywood"=source inflate from 2009 to 2012 factor only for "keep" and for bike/ped/roadway modes only</t>
  </si>
  <si>
    <t>"Lauderhill"=source inflate from 2009 to 2012 factor only for "keep" and for bike/ped/roadway modes only</t>
  </si>
  <si>
    <t>"Margate"=source inflate from 2009 to 2012 factor only for "keep" and for bike/ped/roadway modes only</t>
  </si>
  <si>
    <t>"Miramar"=source inflate from 2009 to 2012 factor only for "keep" and for bike/ped/roadway modes only</t>
  </si>
  <si>
    <t>"Parkland"=source inflate from 2009 to 2012 factor only for "keep" and for bike/ped/roadway modes only</t>
  </si>
  <si>
    <t>"Pembroke Pines"=source inflate from 2009 to 2012 factor only for "keep" and for bike/ped/roadway modes only</t>
  </si>
  <si>
    <t>"Southwest Ranches"=source inflate from 2009 to 2012 factor only for "keep" and for bike/ped/roadway modes only</t>
  </si>
  <si>
    <t>"Sunrise"=source inflate from 2009 to 2012 factor only for "keep" and for bike/ped/roadway modes only</t>
  </si>
  <si>
    <t>"West Park"=source inflate from 2009 to 2012 factor only for "keep" and for bike/ped/roadway modes only</t>
  </si>
  <si>
    <t>"Wilton Manors"=source inflate from 2009 to 2012 factor only for "keep" and for bike/ped/roadway modes only</t>
  </si>
  <si>
    <t>Add a median, cost per mile, from June 2012 FDOT costs</t>
  </si>
  <si>
    <t>Add a 5' sidewalk, 1 side, cost per mile, from June 2012 FDOT costs</t>
  </si>
  <si>
    <t>Add 2-4 lanes on an urban arterial along with 5' sidewalk, from 2012 FDOT Costs</t>
  </si>
  <si>
    <t>Add secondary road bike accomodations, 2 way  paved 5" shoulder, FDOT Dec 2012 District est</t>
  </si>
  <si>
    <t>Crosswalk markings per intersection, FDOT Dec 2012 District est</t>
  </si>
  <si>
    <t>Crosswalk markings per intersection with lighting, FDOT Dec 2012 District est</t>
  </si>
  <si>
    <t>Crosswalk markings per intersection with an island, FDOT Dec 2012 District est</t>
  </si>
  <si>
    <t>Crosswalk markings per intersection with an signal, FDOT Dec 2012 District est</t>
  </si>
  <si>
    <t>Convert 4 lane undiv. Rd to 2 lanes divided with bike shoulder, cost per mile</t>
  </si>
  <si>
    <t>Multi-use bike trail, cost per mile</t>
  </si>
  <si>
    <t>Roadway markings for bike use on existing road, cost per mile</t>
  </si>
  <si>
    <t>Complete street, rebuild urban 4 lane arterial roadway with bike shoulder and sidewalks, cost per mile</t>
  </si>
  <si>
    <t>"Oakland Park"=source inflate from 2009 to 2012 factor only for "keep" and for bike/ped/roadway modes only</t>
  </si>
  <si>
    <t>Widen 2 lane bridge to 4 lanes, mid level, cost is per sq foot</t>
  </si>
  <si>
    <t>Build a 2 lane rural arterial, shoulder and sidewalks, cost per mile</t>
  </si>
  <si>
    <t>Lauderdale by the Sea</t>
  </si>
  <si>
    <t>"Lauderdale Lakes"=source inflate from 2009 to 2012 factor only for "keep" and for bike/ped/roadway modes only</t>
  </si>
  <si>
    <t>Convert 6 lane undiv. Rd to 4 lanes divided with bike shoulder, sidewalk, cost per mile</t>
  </si>
  <si>
    <t>Eliminate turn lane or add one</t>
  </si>
  <si>
    <t>Date</t>
  </si>
  <si>
    <t>Number of issues</t>
  </si>
  <si>
    <t>#</t>
  </si>
  <si>
    <t>these still don't have costs</t>
  </si>
  <si>
    <t>these have questionable costs</t>
  </si>
  <si>
    <t>these have confusing descriptions</t>
  </si>
  <si>
    <t>SPELLED OUT BY SFRTA</t>
  </si>
  <si>
    <t>Complete Costs</t>
  </si>
  <si>
    <t>Missing Costs</t>
  </si>
  <si>
    <t>SFRTA Program</t>
  </si>
  <si>
    <t>w/ resurfacing</t>
  </si>
  <si>
    <t>ped heads</t>
  </si>
  <si>
    <t>Study needed</t>
  </si>
  <si>
    <t>Study, ROW Reqd</t>
  </si>
  <si>
    <t>Pt. of I-95 Ultimate</t>
  </si>
  <si>
    <t>SEQNO</t>
  </si>
  <si>
    <t>Count</t>
  </si>
  <si>
    <t>GivenPN</t>
  </si>
  <si>
    <t>Total Projects Listed</t>
  </si>
  <si>
    <t>Project with P&amp;N</t>
  </si>
  <si>
    <t>Descriptive Statistics</t>
  </si>
  <si>
    <t>Percent</t>
  </si>
  <si>
    <t>Projects to Kill</t>
  </si>
  <si>
    <t>Pompano Pkwy/ SW 3rd St/Race Track Rd</t>
  </si>
  <si>
    <t xml:space="preserve">This area was determined to be a significant transit node and should be classified as a Transit Hub to ensure that adequate pedestrian and bicycle accommodations are provided to connect residents and visitors with businesses, jobs, housing, attractions, and other transit services. </t>
  </si>
  <si>
    <t>PDE</t>
  </si>
  <si>
    <t>PE</t>
  </si>
  <si>
    <t>ROW</t>
  </si>
  <si>
    <t>CST</t>
  </si>
  <si>
    <t>WAVE EXPANSION ALONG SISTRUNK BLVD AND NW 27TH AVE</t>
  </si>
  <si>
    <t>Est (ww)</t>
  </si>
  <si>
    <t>University Dr / Sample Rd</t>
  </si>
  <si>
    <t>US-1 / FLL</t>
  </si>
  <si>
    <t>YOE$PDE</t>
  </si>
  <si>
    <t>YOE$PE</t>
  </si>
  <si>
    <t>YOE$ROWCST</t>
  </si>
  <si>
    <t>DIST</t>
  </si>
  <si>
    <t>TOO CHEAP(WW)</t>
  </si>
  <si>
    <t>Inflation Rate</t>
  </si>
  <si>
    <t>Base Year</t>
  </si>
  <si>
    <t>Key Assumptions</t>
  </si>
  <si>
    <t>Coral Springs and Parkland comments (Opens in 2014)</t>
  </si>
  <si>
    <t xml:space="preserve"> Duplicate or an Either/Or with Other Alignment /Bridges</t>
  </si>
  <si>
    <t>Too Cheap</t>
  </si>
  <si>
    <t>PE Cost %</t>
  </si>
  <si>
    <t>Deerfield Beach Station</t>
  </si>
  <si>
    <t>Tri-Rail New Parking Deck</t>
  </si>
  <si>
    <t>SFRTA / Tri-Rail</t>
  </si>
  <si>
    <t>State Roads</t>
  </si>
  <si>
    <t>Year</t>
  </si>
  <si>
    <t>FDOT Appendix</t>
  </si>
  <si>
    <t>SFRTA Appendix</t>
  </si>
  <si>
    <t>YOI Local Transportation Tax Revenues</t>
  </si>
  <si>
    <t>Const. Fuel</t>
  </si>
  <si>
    <t>Cnty Fuel</t>
  </si>
  <si>
    <t>Municipal Fuel</t>
  </si>
  <si>
    <t>9th Cent Fuel</t>
  </si>
  <si>
    <t>6 Cent Local Opt.</t>
  </si>
  <si>
    <t>5 Cent Capital</t>
  </si>
  <si>
    <t>Concur. Fees</t>
  </si>
  <si>
    <t>YOI Revenues Used to Support County/Local O&amp;M</t>
  </si>
  <si>
    <t>Local Tax Rev Subtotal</t>
  </si>
  <si>
    <t>Distance</t>
  </si>
  <si>
    <t>#1</t>
  </si>
  <si>
    <t>#2</t>
  </si>
  <si>
    <t>CostAffordable</t>
  </si>
  <si>
    <t>Notes:</t>
  </si>
  <si>
    <t>YOE Expenditure Total County/Local O&amp;M Costs (2019 - 2040)</t>
  </si>
  <si>
    <t>BCT Capital Repl. value is 10 year average in TIP</t>
  </si>
  <si>
    <t>Sources:</t>
  </si>
  <si>
    <t>County / Local Roads*</t>
  </si>
  <si>
    <t>BCT Operating**</t>
  </si>
  <si>
    <t>BCT Capital Repl.***</t>
  </si>
  <si>
    <t>*County/Local=Broward County Capital Budget FY 2014 - 2018</t>
  </si>
  <si>
    <t>**BCT Operating = 2013 TDP</t>
  </si>
  <si>
    <t>***BCT Capital Repl. = 2013 TDP</t>
  </si>
  <si>
    <t>"  "</t>
  </si>
  <si>
    <t>PD</t>
  </si>
  <si>
    <t>YOE$PD</t>
  </si>
  <si>
    <t>19-20</t>
  </si>
  <si>
    <t>21-25</t>
  </si>
  <si>
    <t>26-30</t>
  </si>
  <si>
    <t>31-40</t>
  </si>
  <si>
    <t>Needs ($2012)</t>
  </si>
  <si>
    <t>Wave Ext to Conv. Center</t>
  </si>
  <si>
    <t>S.E. 17th</t>
  </si>
  <si>
    <t>BCT Vision Plan</t>
  </si>
  <si>
    <t>Other Revenues: Fares, Fees, Ad Valorem Taxes, 5307 Grants, Misc. Rev</t>
  </si>
  <si>
    <t xml:space="preserve">Complete WAVE Streetcar 1st Phase additional funding needed, </t>
  </si>
  <si>
    <t>Phase I-A &amp;B Unfunded Component</t>
  </si>
  <si>
    <t>TIP+</t>
  </si>
  <si>
    <t>Split over periods</t>
  </si>
  <si>
    <t>New Starts will cover rest of cost</t>
  </si>
  <si>
    <t>Must have ROW</t>
  </si>
  <si>
    <t>IN NEXT TIP</t>
  </si>
  <si>
    <t>DESIGN AND CONSTRUCTION OF PHASED PERIMETER ROAD LOOP SYSTEM WITHIN THE SECURED FENCE AREA AT THE EASTERN END OF THE AIRPORT</t>
  </si>
  <si>
    <t>killed based on discussion with Todd 3/3/14</t>
  </si>
  <si>
    <t>Brow Signal Comm Net</t>
  </si>
  <si>
    <t>NE Region</t>
  </si>
  <si>
    <t>NW Region</t>
  </si>
  <si>
    <t>SE Region</t>
  </si>
  <si>
    <t>SW Region</t>
  </si>
  <si>
    <t>Broward County TE</t>
  </si>
  <si>
    <t>FDOT Cellular Comm</t>
  </si>
  <si>
    <t>Overall Budget Remaining</t>
  </si>
  <si>
    <t>Percent Remaining</t>
  </si>
  <si>
    <t>Roadway Budget Remaining</t>
  </si>
  <si>
    <t>LRTP Roadway</t>
  </si>
  <si>
    <t>Total</t>
  </si>
  <si>
    <t>Roadway Budget</t>
  </si>
  <si>
    <t>ROW/CST</t>
  </si>
  <si>
    <t>YOE$</t>
  </si>
  <si>
    <t>Transit Budget Remaining</t>
  </si>
  <si>
    <t>YOE</t>
  </si>
  <si>
    <t>Cost w/ PD</t>
  </si>
  <si>
    <t>LRTP Transit</t>
  </si>
  <si>
    <t>REMOVE PD CALCULATION</t>
  </si>
  <si>
    <t>Transit Budget</t>
  </si>
  <si>
    <t>Total Funds</t>
  </si>
  <si>
    <t>Overall</t>
  </si>
  <si>
    <t>Funding Metric</t>
  </si>
  <si>
    <t>Year of Expenditure</t>
  </si>
  <si>
    <t>Local Transit Enhancement</t>
  </si>
  <si>
    <t>Total Investment</t>
  </si>
  <si>
    <t>subtotal: capacity improvement</t>
  </si>
  <si>
    <t>All Aboard Florida</t>
  </si>
  <si>
    <t>Regional Systems</t>
  </si>
  <si>
    <t>SIS Multimodal (Incl. Port/Airport)</t>
  </si>
  <si>
    <t>SIS Highway</t>
  </si>
  <si>
    <t>Programmatic Non-Regional</t>
  </si>
  <si>
    <t>Complete Streets and Other Localized Initiatives</t>
  </si>
  <si>
    <t>Non-SIS Roadway Improvements</t>
  </si>
  <si>
    <t>WAVE/BCT Transit Expansion</t>
  </si>
  <si>
    <t>Interstates and Turnpike</t>
  </si>
  <si>
    <t>Major Capital Transit Projects</t>
  </si>
  <si>
    <t>Transportation Capacity and Quality Improvements</t>
  </si>
  <si>
    <t>Maintain Local Transportation Systems</t>
  </si>
  <si>
    <t>Broward Commitment 2040 Overall Funding Distribution</t>
  </si>
  <si>
    <t>Expenditure Category</t>
  </si>
  <si>
    <t>Committed Funding</t>
  </si>
  <si>
    <t>Total Funding Need</t>
  </si>
  <si>
    <t>Unfunded Needs ($2012)</t>
  </si>
  <si>
    <t>Committed Funding (YOE)</t>
  </si>
  <si>
    <r>
      <rPr>
        <sz val="11"/>
        <color theme="1"/>
        <rFont val="Tw Cen MT"/>
        <family val="2"/>
      </rPr>
      <t>Excerpt from the Town's Comprehensive Plan:</t>
    </r>
    <r>
      <rPr>
        <b/>
        <sz val="11"/>
        <color theme="1"/>
        <rFont val="Tw Cen MT"/>
        <family val="2"/>
      </rPr>
      <t xml:space="preserve"> FLUE POLICY 1.16-f: </t>
    </r>
    <r>
      <rPr>
        <sz val="11"/>
        <color theme="1"/>
        <rFont val="Tw Cen MT"/>
        <family val="2"/>
      </rPr>
      <t>The Town shall strive to provide for horseback riding, walking and bicycling opportunities along its comprehensive multi-use Greenway trails system to enhance its rural character. {BCPC Policy 9.12.08} - Southwest Ranches</t>
    </r>
  </si>
  <si>
    <r>
      <rPr>
        <sz val="11"/>
        <color theme="1"/>
        <rFont val="Tw Cen MT"/>
        <family val="2"/>
      </rPr>
      <t>Excerpt from the Town's Comprehensive Plan:</t>
    </r>
    <r>
      <rPr>
        <b/>
        <sz val="11"/>
        <color theme="1"/>
        <rFont val="Tw Cen MT"/>
        <family val="2"/>
      </rPr>
      <t xml:space="preserve"> FLUE POLICY 1.16-f: </t>
    </r>
    <r>
      <rPr>
        <sz val="11"/>
        <color theme="1"/>
        <rFont val="Tw Cen MT"/>
        <family val="2"/>
      </rPr>
      <t>The Town shall strive to provide for horseback riding, walking and bicycling opportunities along its comprehensive multi-use Greenway trails system to enhance its rural character. {BCPC Policy 9.12.08} - Southwest Raches</t>
    </r>
  </si>
  <si>
    <r>
      <rPr>
        <sz val="11"/>
        <color theme="1"/>
        <rFont val="Tw Cen MT"/>
        <family val="2"/>
      </rPr>
      <t>Excerpt from the Town's Comprehensive Plan:</t>
    </r>
    <r>
      <rPr>
        <b/>
        <sz val="11"/>
        <color theme="1"/>
        <rFont val="Tw Cen MT"/>
        <family val="2"/>
      </rPr>
      <t xml:space="preserve"> FLUE POLICY 1.16-f: </t>
    </r>
    <r>
      <rPr>
        <sz val="11"/>
        <color theme="1"/>
        <rFont val="Tw Cen MT"/>
        <family val="2"/>
      </rPr>
      <t>The Town shall strive to provide for horseback riding, walking and bicycling opportunities along its comprehensive multi-use Greenway trails system to enhance its rural character. {BCPC Policy 9.12.08}</t>
    </r>
  </si>
  <si>
    <r>
      <rPr>
        <sz val="11"/>
        <color theme="1"/>
        <rFont val="Tw Cen MT"/>
        <family val="2"/>
      </rPr>
      <t xml:space="preserve">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t>
    </r>
  </si>
  <si>
    <r>
      <rPr>
        <sz val="11"/>
        <color theme="1"/>
        <rFont val="Tw Cen MT"/>
        <family val="2"/>
      </rPr>
      <t xml:space="preserve">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 Southwest Raches</t>
    </r>
  </si>
  <si>
    <r>
      <t xml:space="preserve">FLUE POLICY 1.16-f: </t>
    </r>
    <r>
      <rPr>
        <sz val="11"/>
        <color theme="1"/>
        <rFont val="Tw Cen MT"/>
        <family val="2"/>
      </rPr>
      <t>The Town shall strive to provide for horseback riding, walking and bicycling opportunities along its comprehensive multi-use Greenway trails system to enhance its rural character. {BCPC Policy 9.12.08}</t>
    </r>
  </si>
  <si>
    <r>
      <rPr>
        <sz val="11"/>
        <color theme="1"/>
        <rFont val="Tw Cen MT"/>
        <family val="2"/>
      </rPr>
      <t xml:space="preserve">There is an existing greenway trail along this road.  This greenway trail is on the Town's adopted Greenways Map. 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t>
    </r>
  </si>
  <si>
    <r>
      <rPr>
        <sz val="11"/>
        <color theme="1"/>
        <rFont val="Tw Cen MT"/>
        <family val="2"/>
      </rPr>
      <t xml:space="preserve">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 Southwest Ranches</t>
    </r>
  </si>
  <si>
    <r>
      <rPr>
        <sz val="11"/>
        <color theme="1"/>
        <rFont val="Tw Cen MT"/>
        <family val="2"/>
      </rPr>
      <t xml:space="preserve">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 Southwest Ranches</t>
    </r>
  </si>
  <si>
    <r>
      <t xml:space="preserve">Since 2002 the Town of Southwest Ranches supports extending SW 184th between Griffin and Sheridan as a two lane road.  As part of the Town's adopted Comprehensive Plan, the Town Council desires to explore possibilities of securing funds for improving traffic capacity by constructing SW 184th Avenue.    According to adopted Resolution 2004-39: </t>
    </r>
    <r>
      <rPr>
        <i/>
        <sz val="11"/>
        <color theme="1"/>
        <rFont val="Tw Cen MT"/>
        <family val="2"/>
      </rPr>
      <t>It is the desire of the Town of Southwest Ranches to create a roadway system in the Town that is safe, has reduced traffic volume, reduced traffic speed, ensures the welfare of the Town's residents and provides a viable access for cut through traffic.  It is the desire of the Town to increase the roadway system by providing additional viable north and south bound options on 184th Avenue, which is on the 2020 trafficways plan.</t>
    </r>
  </si>
  <si>
    <r>
      <t xml:space="preserve">The adopted Comprehensive Plan of the Town of Southwest Ranches has the following policy: </t>
    </r>
    <r>
      <rPr>
        <i/>
        <sz val="11"/>
        <color theme="1"/>
        <rFont val="Tw Cen MT"/>
        <family val="2"/>
      </rPr>
      <t>TE POLICY 1.2-g: All existing and future Trafficway and local streets within the Town of Southwest Ranches, other than arterial roads bordering the Town (Griffin Road, Sheridan Street, US-27, and Flamingo Road), proposed SW 184th Avenue and the existing four-lane section of Stirling Road, shall be constructed and maintained as two lane facilities.  However, it is the policy of the Town of Southwest Ranches that streets and roads wider than two lanes are inconsistent with the Town’s rural lifestyle and character and are likely to thwart efforts to reduce greenhouse gas emissions from the transportation sector, and are therefore strongly discouraged. Therefore, the Town will continue to advocate for changes to the policies of other units of government that would result in additional roads wider than two lanes through the interior of the Town’s jurisdiction.  This shall not affect the Town’s responsibility to enforce right-of-way reservations per the Broward County Trafficways Map.</t>
    </r>
  </si>
  <si>
    <t>While City planning and engineering staffs believe a ¼ mile radius is appropriate as the distance a person would walk (a 5 minute walk) we do not believe it is appropriate as a measure of the distance a person would commute by bicycle.  The attached Bike Lanes, Greenways and Parks Map show an existing bike lane on NW 44th Street from University Drive to Rock Island Road.  The on-going OPB Alternatives Analysis Study proposes bike lanes along Oakland Park Boulevard.  In order to provide bike lane continuity on Inverrary Blvd W from OPB to NW 44 Street, there is a need for bike lanes along this segment.  The purpose of Project Id 31, therefore, is to complete that missing bike lane segment.</t>
  </si>
  <si>
    <t>NW 55 Avenue is a two lane local road that extends between Sunrise Blvd and OPB.  The City has constructed a greenway segment that runs along NW 55 Avenue from John Mullins Park to NW 26th Street.  The attached Bike Lanes, Greenways and Parks Map show the City intends to extend that greenway along NW 55 Avenue to OPB and from OPB north along Rock Island Road to NW 44 St.  That greenway, however, is a long term project.  Assuming that right-of-way is available, there is a need in the short term to provide a bicycle connection along NW 55 Avenue from NW 26 Street to OPB.  The purpose of Project Id 82, therefore, is to provide in the short-term a bicycle connection along this roadway segment until such time as the greenway is constructed.</t>
  </si>
  <si>
    <r>
      <t>While City planning and engineering staffs believe a ¼ mile radius is appropriate as the distance a person would walk (a 5 minute walk) we do not believe it is appropriate as a measure of the distance a person would commute by bicycle.  The attached Bike Lanes, Greenways and Parks Map show an existing bike lane on NW 44</t>
    </r>
    <r>
      <rPr>
        <vertAlign val="superscript"/>
        <sz val="11"/>
        <color theme="1"/>
        <rFont val="Tw Cen MT"/>
        <family val="2"/>
      </rPr>
      <t>th</t>
    </r>
    <r>
      <rPr>
        <sz val="11"/>
        <color theme="1"/>
        <rFont val="Tw Cen MT"/>
        <family val="2"/>
      </rPr>
      <t xml:space="preserve"> Street from University Drive to Rock Island Road.  The on-going OPB Alternatives Analysis Study proposes bike lanes along Oakland Park Boulevard.  In order to provide bike lane continuity on Inverrary Blvd W from OPB to NW 44 Street, there is a need for bike lanes along this segment.  The purpose of Project Id 31, therefore, is to complete that missing bike lane segment.</t>
    </r>
  </si>
  <si>
    <r>
      <t>NW 55 Avenue is a two lane local road that extends between Sunrise Blvd and OPB.  The City has constructed a greenway segment that runs along NW 55 Avenue from John Mullins Park to NW 26</t>
    </r>
    <r>
      <rPr>
        <vertAlign val="superscript"/>
        <sz val="11"/>
        <color theme="1"/>
        <rFont val="Tw Cen MT"/>
        <family val="2"/>
      </rPr>
      <t>th</t>
    </r>
    <r>
      <rPr>
        <sz val="11"/>
        <color theme="1"/>
        <rFont val="Tw Cen MT"/>
        <family val="2"/>
      </rPr>
      <t xml:space="preserve"> Street.  The attached Bike Lanes, Greenways and Parks Map show the City intends to extend that greenway along NW 55 Avenue to OPB and from OPB north along Rock Island Road to NW 44 St.  That greenway, however, is a long term project.  Assuming that right-of-way is available, there is a need in the short term to provide a bicycle connection along NW 55 Avenue from NW 26 Street to OPB.  The purpose of Project Id 82, therefore, is to provide in the short-term a bicycle connection along this roadway segment until such time as the greenway is constructed.</t>
    </r>
  </si>
  <si>
    <t>Cost Estimates Calculator</t>
  </si>
  <si>
    <t>Commitment 2040: Cost Assumptions by Improvement Type</t>
  </si>
  <si>
    <t>Commitment 2040: Project Data Lookup Values</t>
  </si>
  <si>
    <r>
      <t xml:space="preserve">If you are </t>
    </r>
    <r>
      <rPr>
        <i/>
        <sz val="11"/>
        <color theme="0"/>
        <rFont val="Tw Cen MT"/>
        <family val="2"/>
      </rPr>
      <t>NOT</t>
    </r>
    <r>
      <rPr>
        <sz val="11"/>
        <color theme="0"/>
        <rFont val="Tw Cen MT"/>
        <family val="2"/>
      </rPr>
      <t xml:space="preserve"> the implementing agency, please provide comments of support and/or suggestions and considerations, which will be transmitted to the implementing agency.</t>
    </r>
  </si>
  <si>
    <r>
      <t xml:space="preserve">If you are </t>
    </r>
    <r>
      <rPr>
        <i/>
        <sz val="11"/>
        <color rgb="FF0054A4"/>
        <rFont val="Tw Cen MT"/>
        <family val="2"/>
      </rPr>
      <t>NOT</t>
    </r>
    <r>
      <rPr>
        <sz val="11"/>
        <color rgb="FF0054A4"/>
        <rFont val="Tw Cen MT"/>
        <family val="2"/>
      </rPr>
      <t xml:space="preserve"> the implementing agency, please provide comments of support and/or suggestions and considerations, which will be transmitted to the implementing agency.</t>
    </r>
  </si>
  <si>
    <r>
      <t xml:space="preserve">If you are </t>
    </r>
    <r>
      <rPr>
        <i/>
        <sz val="11"/>
        <color rgb="FFB9E0F7"/>
        <rFont val="Tw Cen MT"/>
        <family val="2"/>
      </rPr>
      <t>NOT</t>
    </r>
    <r>
      <rPr>
        <sz val="11"/>
        <color rgb="FFB9E0F7"/>
        <rFont val="Tw Cen MT"/>
        <family val="2"/>
      </rPr>
      <t xml:space="preserve"> the implementing agency, please provide comments of support and/or suggestions and considerations, which will be transmitted to the implementing agency.</t>
    </r>
  </si>
  <si>
    <t>BCT O&amp;M (Existing + Improvements)</t>
  </si>
  <si>
    <t>County/Local Roads O&amp;M (Existing + Improvements)</t>
  </si>
  <si>
    <t>subtotal: operations &amp; maintenance</t>
  </si>
  <si>
    <t>BCT Capital Replacement (Existing + Improvements)</t>
  </si>
  <si>
    <t>Commitment 2040:  Fiscal Breakdown by System</t>
  </si>
  <si>
    <t>Transit System</t>
  </si>
  <si>
    <t>Local / County Roads</t>
  </si>
  <si>
    <t>WAVE/BCT Transit Improvements</t>
  </si>
  <si>
    <r>
      <t>Local Systems</t>
    </r>
    <r>
      <rPr>
        <vertAlign val="superscript"/>
        <sz val="11"/>
        <color theme="1"/>
        <rFont val="Tw Cen MT"/>
        <family val="2"/>
      </rPr>
      <t>*</t>
    </r>
  </si>
  <si>
    <t>Commitment 2040: Operation and Maintenance (O&amp;M) Funding for Existing Systems and Improvements</t>
  </si>
  <si>
    <t>Commitment 2040: Comprensive Fiscal Breakdown of O&amp;M, Capital Improvements and Needs</t>
  </si>
  <si>
    <t>Commitment 2040: Other Arterial Capital Funding Controls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</si>
</sst>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quot;$&quot;#,##0"/>
    <numFmt numFmtId="165" formatCode="#,##0.0"/>
    <numFmt numFmtId="166" formatCode="_(&quot;$&quot;* #,##0_);_(&quot;$&quot;* \(#,##0\);_(&quot;$&quot;* &quot;-&quot;??_);_(@_)"/>
    <numFmt numFmtId="167" formatCode="0.000"/>
    <numFmt numFmtId="168" formatCode="_(* #,##0_);_(* \(#,##0\);_(* &quot;-&quot;??_);_(@_)"/>
    <numFmt numFmtId="169" formatCode="0.0%"/>
  </numFmts>
  <fonts count="30" x14ac:knownFonts="1">
    <font>
      <sz val="11"/>
      <color theme="1"/>
      <name val="Calibri"/>
      <family val="2"/>
      <scheme val="minor"/>
    </font>
    <font>
      <u/>
      <sz val="11"/>
      <color theme="10"/>
      <name val="Calibri"/>
      <family val="2"/>
      <scheme val="minor"/>
    </font>
    <font>
      <b/>
      <sz val="11"/>
      <color theme="1"/>
      <name val="Calibri"/>
      <family val="2"/>
      <scheme val="minor"/>
    </font>
    <font>
      <sz val="14"/>
      <color theme="1"/>
      <name val="Calibri"/>
      <family val="2"/>
      <scheme val="minor"/>
    </font>
    <font>
      <b/>
      <sz val="18"/>
      <color theme="1"/>
      <name val="Calibri"/>
      <family val="2"/>
      <scheme val="minor"/>
    </font>
    <font>
      <sz val="16"/>
      <color theme="1"/>
      <name val="Calibri"/>
      <family val="2"/>
      <scheme val="minor"/>
    </font>
    <font>
      <b/>
      <sz val="11"/>
      <color theme="0"/>
      <name val="Calibri"/>
      <family val="2"/>
      <scheme val="minor"/>
    </font>
    <font>
      <i/>
      <sz val="11"/>
      <color theme="1"/>
      <name val="Calibri"/>
      <family val="2"/>
      <scheme val="minor"/>
    </font>
    <font>
      <b/>
      <sz val="22"/>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Tw Cen MT"/>
      <family val="2"/>
    </font>
    <font>
      <sz val="11"/>
      <color theme="0"/>
      <name val="Tw Cen MT"/>
      <family val="2"/>
    </font>
    <font>
      <sz val="11"/>
      <color theme="1"/>
      <name val="Tw Cen MT"/>
      <family val="2"/>
    </font>
    <font>
      <sz val="11"/>
      <name val="Tw Cen MT"/>
      <family val="2"/>
    </font>
    <font>
      <b/>
      <sz val="11"/>
      <color theme="1"/>
      <name val="Tw Cen MT"/>
      <family val="2"/>
    </font>
    <font>
      <i/>
      <sz val="11"/>
      <color theme="1"/>
      <name val="Tw Cen MT"/>
      <family val="2"/>
    </font>
    <font>
      <b/>
      <i/>
      <u/>
      <sz val="11"/>
      <color theme="1"/>
      <name val="Tw Cen MT"/>
      <family val="2"/>
    </font>
    <font>
      <b/>
      <i/>
      <sz val="11"/>
      <color theme="1"/>
      <name val="Tw Cen MT"/>
      <family val="2"/>
    </font>
    <font>
      <sz val="11"/>
      <color rgb="FF9C0006"/>
      <name val="Tw Cen MT"/>
      <family val="2"/>
    </font>
    <font>
      <vertAlign val="superscript"/>
      <sz val="11"/>
      <color theme="1"/>
      <name val="Tw Cen MT"/>
      <family val="2"/>
    </font>
    <font>
      <i/>
      <sz val="11"/>
      <color theme="0"/>
      <name val="Tw Cen MT"/>
      <family val="2"/>
    </font>
    <font>
      <sz val="11"/>
      <color rgb="FFFF0000"/>
      <name val="Tw Cen MT"/>
      <family val="2"/>
    </font>
    <font>
      <b/>
      <sz val="14"/>
      <color theme="1"/>
      <name val="Tw Cen MT"/>
      <family val="2"/>
    </font>
    <font>
      <sz val="11"/>
      <color rgb="FF0054A4"/>
      <name val="Tw Cen MT"/>
      <family val="2"/>
    </font>
    <font>
      <i/>
      <sz val="11"/>
      <color rgb="FF0054A4"/>
      <name val="Tw Cen MT"/>
      <family val="2"/>
    </font>
    <font>
      <sz val="11"/>
      <color rgb="FFB9E0F7"/>
      <name val="Tw Cen MT"/>
      <family val="2"/>
    </font>
    <font>
      <i/>
      <sz val="11"/>
      <color rgb="FFB9E0F7"/>
      <name val="Tw Cen MT"/>
      <family val="2"/>
    </font>
  </fonts>
  <fills count="21">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00B0F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5" tint="0.399975585192419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B9E0F7"/>
        <bgColor indexed="64"/>
      </patternFill>
    </fill>
    <fill>
      <patternFill patternType="solid">
        <fgColor theme="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bottom style="thin">
        <color indexed="64"/>
      </bottom>
      <diagonal/>
    </border>
    <border>
      <left style="thin">
        <color indexed="64"/>
      </left>
      <right style="thin">
        <color indexed="64"/>
      </right>
      <top/>
      <bottom/>
      <diagonal/>
    </border>
    <border>
      <left style="thin">
        <color theme="0" tint="-4.9989318521683403E-2"/>
      </left>
      <right style="thin">
        <color theme="0" tint="-4.9989318521683403E-2"/>
      </right>
      <top style="thin">
        <color theme="0" tint="-4.9989318521683403E-2"/>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8">
    <xf numFmtId="0" fontId="0" fillId="0" borderId="0"/>
    <xf numFmtId="0" fontId="1"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2" fillId="15" borderId="0" applyNumberFormat="0" applyBorder="0" applyAlignment="0" applyProtection="0"/>
  </cellStyleXfs>
  <cellXfs count="377">
    <xf numFmtId="0" fontId="0" fillId="0" borderId="0" xfId="0"/>
    <xf numFmtId="0" fontId="0" fillId="0" borderId="0" xfId="0" applyAlignment="1">
      <alignment vertical="center"/>
    </xf>
    <xf numFmtId="0" fontId="0" fillId="0" borderId="0" xfId="0" applyAlignment="1">
      <alignment horizontal="center"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6" fillId="3" borderId="0" xfId="0" applyFont="1" applyFill="1" applyAlignment="1">
      <alignment vertical="center"/>
    </xf>
    <xf numFmtId="0" fontId="6" fillId="3" borderId="0" xfId="0" applyFont="1" applyFill="1" applyAlignment="1">
      <alignment horizontal="center" vertical="center"/>
    </xf>
    <xf numFmtId="0" fontId="7" fillId="0" borderId="0" xfId="0" applyFont="1" applyAlignment="1">
      <alignment vertical="center"/>
    </xf>
    <xf numFmtId="0" fontId="6" fillId="0" borderId="0" xfId="0" applyFont="1" applyFill="1" applyAlignment="1">
      <alignment vertical="center"/>
    </xf>
    <xf numFmtId="0" fontId="8" fillId="0" borderId="0" xfId="0" applyFont="1" applyAlignment="1">
      <alignment vertical="center"/>
    </xf>
    <xf numFmtId="0" fontId="15" fillId="0" borderId="0" xfId="0" applyFont="1"/>
    <xf numFmtId="0" fontId="15" fillId="0" borderId="0" xfId="0" applyFont="1" applyAlignment="1">
      <alignment vertical="center"/>
    </xf>
    <xf numFmtId="0" fontId="15" fillId="0" borderId="0" xfId="0" applyFont="1" applyAlignment="1">
      <alignment vertical="top"/>
    </xf>
    <xf numFmtId="0" fontId="15" fillId="0" borderId="0" xfId="0" applyFont="1" applyAlignment="1">
      <alignment horizontal="right"/>
    </xf>
    <xf numFmtId="43" fontId="15" fillId="0" borderId="0" xfId="2" applyFont="1"/>
    <xf numFmtId="42" fontId="15" fillId="0" borderId="0" xfId="0" applyNumberFormat="1" applyFont="1"/>
    <xf numFmtId="0" fontId="15" fillId="0" borderId="0" xfId="0" applyFont="1" applyAlignment="1">
      <alignment vertical="center" wrapText="1"/>
    </xf>
    <xf numFmtId="164" fontId="15" fillId="0" borderId="0" xfId="3" applyNumberFormat="1" applyFont="1" applyAlignment="1">
      <alignment vertical="center"/>
    </xf>
    <xf numFmtId="164" fontId="15" fillId="0" borderId="0" xfId="0" applyNumberFormat="1" applyFont="1"/>
    <xf numFmtId="0" fontId="15" fillId="0" borderId="0" xfId="0" applyFont="1" applyAlignment="1">
      <alignment horizontal="right" vertical="top"/>
    </xf>
    <xf numFmtId="0" fontId="15" fillId="4" borderId="0" xfId="0" applyFont="1" applyFill="1" applyAlignment="1">
      <alignment vertical="top"/>
    </xf>
    <xf numFmtId="43" fontId="15" fillId="0" borderId="0" xfId="2" applyFont="1" applyAlignment="1">
      <alignment horizontal="center" vertical="top"/>
    </xf>
    <xf numFmtId="42" fontId="16" fillId="0" borderId="0" xfId="1" applyNumberFormat="1" applyFont="1" applyAlignment="1">
      <alignment vertical="top"/>
    </xf>
    <xf numFmtId="0" fontId="15" fillId="4" borderId="0" xfId="0" applyFont="1" applyFill="1" applyAlignment="1">
      <alignment horizontal="left" vertical="top" wrapText="1"/>
    </xf>
    <xf numFmtId="0" fontId="15" fillId="8" borderId="0" xfId="0" applyFont="1" applyFill="1" applyAlignment="1">
      <alignment vertical="center"/>
    </xf>
    <xf numFmtId="0" fontId="15" fillId="5" borderId="0" xfId="0" applyFont="1" applyFill="1" applyAlignment="1">
      <alignment vertical="top"/>
    </xf>
    <xf numFmtId="0" fontId="15" fillId="7" borderId="0" xfId="0" applyFont="1" applyFill="1" applyAlignment="1">
      <alignment vertical="center"/>
    </xf>
    <xf numFmtId="0" fontId="15" fillId="4" borderId="0" xfId="0" applyFont="1" applyFill="1" applyBorder="1" applyAlignment="1">
      <alignment horizontal="left" vertical="top" wrapText="1"/>
    </xf>
    <xf numFmtId="0" fontId="15" fillId="4" borderId="0" xfId="0" applyFont="1" applyFill="1" applyAlignment="1">
      <alignment vertical="top" wrapText="1"/>
    </xf>
    <xf numFmtId="0" fontId="15" fillId="5" borderId="0" xfId="0" applyFont="1" applyFill="1" applyBorder="1" applyAlignment="1">
      <alignment horizontal="left" vertical="top" wrapText="1"/>
    </xf>
    <xf numFmtId="0" fontId="15" fillId="0" borderId="0" xfId="0" applyFont="1" applyFill="1" applyAlignment="1">
      <alignment horizontal="left" vertical="top" wrapText="1"/>
    </xf>
    <xf numFmtId="0" fontId="15" fillId="4" borderId="6" xfId="0" applyFont="1" applyFill="1" applyBorder="1" applyAlignment="1">
      <alignment horizontal="left" vertical="top" wrapText="1"/>
    </xf>
    <xf numFmtId="0" fontId="15" fillId="5" borderId="0" xfId="0" applyFont="1" applyFill="1" applyAlignment="1">
      <alignment horizontal="left" vertical="top" wrapText="1"/>
    </xf>
    <xf numFmtId="0" fontId="15" fillId="0" borderId="0" xfId="0" applyFont="1" applyBorder="1" applyAlignment="1">
      <alignment vertical="center"/>
    </xf>
    <xf numFmtId="0" fontId="15" fillId="4" borderId="0" xfId="0" applyFont="1" applyFill="1" applyBorder="1" applyAlignment="1">
      <alignment vertical="top" wrapText="1"/>
    </xf>
    <xf numFmtId="0" fontId="17" fillId="4" borderId="0" xfId="0" applyFont="1" applyFill="1" applyAlignment="1">
      <alignment wrapText="1"/>
    </xf>
    <xf numFmtId="0" fontId="17" fillId="4" borderId="0" xfId="0" applyFont="1" applyFill="1" applyAlignment="1">
      <alignment vertical="center" wrapText="1"/>
    </xf>
    <xf numFmtId="0" fontId="15" fillId="0" borderId="0" xfId="0" applyFont="1" applyBorder="1"/>
    <xf numFmtId="0" fontId="15" fillId="0" borderId="0" xfId="0" applyFont="1" applyBorder="1" applyAlignment="1">
      <alignment vertical="top"/>
    </xf>
    <xf numFmtId="0" fontId="15" fillId="0" borderId="0" xfId="0" applyFont="1" applyBorder="1" applyAlignment="1">
      <alignment horizontal="right" vertical="top"/>
    </xf>
    <xf numFmtId="0" fontId="15" fillId="4" borderId="0" xfId="0" applyFont="1" applyFill="1" applyBorder="1" applyAlignment="1">
      <alignment vertical="top"/>
    </xf>
    <xf numFmtId="43" fontId="15" fillId="0" borderId="0" xfId="2" applyFont="1" applyBorder="1" applyAlignment="1">
      <alignment horizontal="center" vertical="top"/>
    </xf>
    <xf numFmtId="42" fontId="16" fillId="0" borderId="0" xfId="1" applyNumberFormat="1" applyFont="1" applyBorder="1" applyAlignment="1">
      <alignment vertical="top"/>
    </xf>
    <xf numFmtId="0" fontId="15" fillId="0" borderId="0" xfId="0" applyFont="1" applyBorder="1" applyAlignment="1">
      <alignment vertical="center" wrapText="1"/>
    </xf>
    <xf numFmtId="0" fontId="15" fillId="9" borderId="0" xfId="0" applyFont="1" applyFill="1" applyAlignment="1">
      <alignment vertical="center"/>
    </xf>
    <xf numFmtId="0" fontId="15" fillId="0" borderId="0" xfId="0" applyFont="1" applyAlignment="1">
      <alignment vertical="top" wrapText="1"/>
    </xf>
    <xf numFmtId="0" fontId="15" fillId="0" borderId="0" xfId="0" applyFont="1" applyFill="1" applyAlignment="1">
      <alignment vertical="top"/>
    </xf>
    <xf numFmtId="0" fontId="15" fillId="6" borderId="0" xfId="0" applyFont="1" applyFill="1" applyAlignment="1">
      <alignment vertical="center" wrapText="1"/>
    </xf>
    <xf numFmtId="164" fontId="15" fillId="0" borderId="0" xfId="0" applyNumberFormat="1" applyFont="1" applyAlignment="1">
      <alignment vertical="center"/>
    </xf>
    <xf numFmtId="0" fontId="15" fillId="0" borderId="0" xfId="0" applyFont="1" applyFill="1" applyBorder="1" applyAlignment="1">
      <alignment horizontal="left" vertical="top" wrapText="1"/>
    </xf>
    <xf numFmtId="0" fontId="15" fillId="9" borderId="0" xfId="0" applyFont="1" applyFill="1"/>
    <xf numFmtId="0" fontId="15" fillId="9" borderId="0" xfId="0" applyFont="1" applyFill="1" applyAlignment="1">
      <alignment vertical="top"/>
    </xf>
    <xf numFmtId="0" fontId="15" fillId="9" borderId="0" xfId="0" applyFont="1" applyFill="1" applyAlignment="1">
      <alignment horizontal="right" vertical="top"/>
    </xf>
    <xf numFmtId="43" fontId="15" fillId="9" borderId="0" xfId="2" applyFont="1" applyFill="1" applyAlignment="1">
      <alignment horizontal="center" vertical="top"/>
    </xf>
    <xf numFmtId="42" fontId="16" fillId="9" borderId="0" xfId="1" applyNumberFormat="1" applyFont="1" applyFill="1" applyAlignment="1">
      <alignment vertical="top"/>
    </xf>
    <xf numFmtId="0" fontId="15" fillId="9" borderId="0" xfId="0" applyFont="1" applyFill="1" applyAlignment="1">
      <alignment horizontal="left" vertical="top" wrapText="1"/>
    </xf>
    <xf numFmtId="0" fontId="15" fillId="9" borderId="0" xfId="0" applyFont="1" applyFill="1" applyAlignment="1">
      <alignment vertical="center" wrapText="1"/>
    </xf>
    <xf numFmtId="0" fontId="15" fillId="8" borderId="0" xfId="0" applyFont="1" applyFill="1"/>
    <xf numFmtId="0" fontId="15" fillId="8" borderId="0" xfId="0" applyFont="1" applyFill="1" applyAlignment="1">
      <alignment vertical="top"/>
    </xf>
    <xf numFmtId="0" fontId="15" fillId="8" borderId="0" xfId="0" applyFont="1" applyFill="1" applyAlignment="1">
      <alignment horizontal="right" vertical="top"/>
    </xf>
    <xf numFmtId="43" fontId="15" fillId="8" borderId="0" xfId="2" applyFont="1" applyFill="1" applyAlignment="1">
      <alignment horizontal="center" vertical="top"/>
    </xf>
    <xf numFmtId="42" fontId="16" fillId="8" borderId="0" xfId="1" applyNumberFormat="1" applyFont="1" applyFill="1" applyAlignment="1">
      <alignment vertical="top"/>
    </xf>
    <xf numFmtId="0" fontId="15" fillId="8" borderId="0" xfId="0" applyFont="1" applyFill="1" applyAlignment="1">
      <alignment horizontal="left" vertical="top" wrapText="1"/>
    </xf>
    <xf numFmtId="0" fontId="15" fillId="8" borderId="0" xfId="0" applyFont="1" applyFill="1" applyAlignment="1">
      <alignment vertical="top" wrapText="1"/>
    </xf>
    <xf numFmtId="0" fontId="15" fillId="8" borderId="0" xfId="0" applyFont="1" applyFill="1" applyAlignment="1">
      <alignment vertical="center" wrapText="1"/>
    </xf>
    <xf numFmtId="0" fontId="15" fillId="10" borderId="0" xfId="0" applyFont="1" applyFill="1"/>
    <xf numFmtId="0" fontId="15" fillId="10" borderId="0" xfId="0" applyFont="1" applyFill="1" applyAlignment="1">
      <alignment vertical="top"/>
    </xf>
    <xf numFmtId="0" fontId="15" fillId="10" borderId="0" xfId="0" applyFont="1" applyFill="1" applyAlignment="1">
      <alignment horizontal="right" vertical="top"/>
    </xf>
    <xf numFmtId="43" fontId="15" fillId="10" borderId="0" xfId="2" applyFont="1" applyFill="1" applyAlignment="1">
      <alignment horizontal="center" vertical="top"/>
    </xf>
    <xf numFmtId="42" fontId="16" fillId="10" borderId="0" xfId="1" applyNumberFormat="1" applyFont="1" applyFill="1" applyAlignment="1">
      <alignment vertical="top"/>
    </xf>
    <xf numFmtId="164" fontId="15" fillId="10" borderId="0" xfId="3" applyNumberFormat="1" applyFont="1" applyFill="1" applyAlignment="1">
      <alignment vertical="center"/>
    </xf>
    <xf numFmtId="43" fontId="15" fillId="0" borderId="0" xfId="2" applyFont="1" applyAlignment="1">
      <alignment vertical="center"/>
    </xf>
    <xf numFmtId="0" fontId="15" fillId="10" borderId="0" xfId="0" applyFont="1" applyFill="1" applyAlignment="1">
      <alignment horizontal="right"/>
    </xf>
    <xf numFmtId="43" fontId="15" fillId="10" borderId="0" xfId="2" applyFont="1" applyFill="1"/>
    <xf numFmtId="0" fontId="15" fillId="0" borderId="0" xfId="0" quotePrefix="1" applyFont="1" applyAlignment="1">
      <alignment vertical="top"/>
    </xf>
    <xf numFmtId="0" fontId="15" fillId="0" borderId="0" xfId="0" applyFont="1" applyFill="1"/>
    <xf numFmtId="0" fontId="15" fillId="0" borderId="0" xfId="0" applyFont="1" applyFill="1" applyAlignment="1">
      <alignment horizontal="right"/>
    </xf>
    <xf numFmtId="0" fontId="15" fillId="7" borderId="0" xfId="0" applyFont="1" applyFill="1" applyAlignment="1">
      <alignment vertical="top"/>
    </xf>
    <xf numFmtId="43" fontId="15" fillId="0" borderId="0" xfId="2" applyFont="1" applyFill="1"/>
    <xf numFmtId="42" fontId="15" fillId="0" borderId="0" xfId="0" applyNumberFormat="1" applyFont="1" applyFill="1"/>
    <xf numFmtId="0" fontId="15" fillId="7" borderId="0" xfId="0" applyFont="1" applyFill="1"/>
    <xf numFmtId="0" fontId="15" fillId="0" borderId="0" xfId="0" applyFont="1" applyFill="1" applyAlignment="1">
      <alignment vertical="center" wrapText="1"/>
    </xf>
    <xf numFmtId="0" fontId="15" fillId="0" borderId="0" xfId="0" applyFont="1" applyFill="1" applyAlignment="1">
      <alignment vertical="center"/>
    </xf>
    <xf numFmtId="0" fontId="15" fillId="0" borderId="0" xfId="0" applyFont="1" applyAlignment="1"/>
    <xf numFmtId="0" fontId="15" fillId="0" borderId="0" xfId="0" applyFont="1" applyAlignment="1">
      <alignment wrapText="1"/>
    </xf>
    <xf numFmtId="0" fontId="15" fillId="10" borderId="0" xfId="0" applyFont="1" applyFill="1" applyAlignment="1"/>
    <xf numFmtId="0" fontId="15" fillId="10" borderId="0" xfId="0" applyFont="1" applyFill="1" applyAlignment="1">
      <alignment wrapText="1"/>
    </xf>
    <xf numFmtId="42" fontId="16" fillId="10" borderId="0" xfId="1" applyNumberFormat="1" applyFont="1" applyFill="1" applyAlignment="1">
      <alignment vertical="top" wrapText="1"/>
    </xf>
    <xf numFmtId="0" fontId="15" fillId="10" borderId="0" xfId="0" applyFont="1" applyFill="1" applyAlignment="1">
      <alignment vertical="center"/>
    </xf>
    <xf numFmtId="0" fontId="15" fillId="0" borderId="0" xfId="0" applyFont="1" applyFill="1" applyAlignment="1">
      <alignment horizontal="left"/>
    </xf>
    <xf numFmtId="0" fontId="15" fillId="8" borderId="0" xfId="0" applyFont="1" applyFill="1" applyAlignment="1"/>
    <xf numFmtId="0" fontId="15" fillId="8" borderId="0" xfId="0" applyFont="1" applyFill="1" applyAlignment="1">
      <alignment horizontal="right"/>
    </xf>
    <xf numFmtId="0" fontId="15" fillId="8" borderId="0" xfId="0" applyFont="1" applyFill="1" applyAlignment="1">
      <alignment wrapText="1"/>
    </xf>
    <xf numFmtId="43" fontId="15" fillId="8" borderId="0" xfId="2" applyFont="1" applyFill="1"/>
    <xf numFmtId="42" fontId="15" fillId="8" borderId="0" xfId="0" applyNumberFormat="1" applyFont="1" applyFill="1"/>
    <xf numFmtId="0" fontId="15" fillId="0" borderId="0" xfId="0" quotePrefix="1" applyFont="1" applyAlignment="1">
      <alignment wrapText="1"/>
    </xf>
    <xf numFmtId="0" fontId="15" fillId="0" borderId="0" xfId="0" quotePrefix="1" applyFont="1"/>
    <xf numFmtId="0" fontId="15" fillId="7" borderId="0" xfId="0" applyFont="1" applyFill="1" applyAlignment="1"/>
    <xf numFmtId="0" fontId="15" fillId="7" borderId="0" xfId="0" applyFont="1" applyFill="1" applyAlignment="1">
      <alignment horizontal="right"/>
    </xf>
    <xf numFmtId="0" fontId="15" fillId="7" borderId="0" xfId="0" applyFont="1" applyFill="1" applyAlignment="1">
      <alignment wrapText="1"/>
    </xf>
    <xf numFmtId="43" fontId="15" fillId="7" borderId="0" xfId="2" applyFont="1" applyFill="1"/>
    <xf numFmtId="42" fontId="15" fillId="7" borderId="0" xfId="0" applyNumberFormat="1" applyFont="1" applyFill="1"/>
    <xf numFmtId="42" fontId="15" fillId="0" borderId="0" xfId="0" applyNumberFormat="1" applyFont="1" applyAlignment="1">
      <alignment vertical="center"/>
    </xf>
    <xf numFmtId="0" fontId="15" fillId="0" borderId="0" xfId="0" applyFont="1" applyAlignment="1">
      <alignment horizontal="right" vertical="center"/>
    </xf>
    <xf numFmtId="0" fontId="15" fillId="0" borderId="0" xfId="0" applyFont="1" applyAlignment="1">
      <alignment horizontal="left" vertical="center"/>
    </xf>
    <xf numFmtId="0" fontId="15" fillId="0" borderId="0" xfId="0" applyFont="1" applyAlignment="1">
      <alignment horizontal="left"/>
    </xf>
    <xf numFmtId="43" fontId="15" fillId="0" borderId="0" xfId="2" applyFont="1" applyAlignment="1"/>
    <xf numFmtId="0" fontId="15" fillId="0" borderId="0" xfId="0" quotePrefix="1" applyFont="1" applyAlignment="1">
      <alignment horizontal="left" vertical="center"/>
    </xf>
    <xf numFmtId="0" fontId="15" fillId="7" borderId="0" xfId="0" applyFont="1" applyFill="1" applyBorder="1" applyAlignment="1">
      <alignment horizontal="left" vertical="top"/>
    </xf>
    <xf numFmtId="0" fontId="15" fillId="7" borderId="0" xfId="0" applyFont="1" applyFill="1" applyBorder="1" applyAlignment="1">
      <alignment horizontal="right" vertical="center"/>
    </xf>
    <xf numFmtId="0" fontId="15" fillId="7" borderId="0" xfId="0" applyFont="1" applyFill="1" applyBorder="1" applyAlignment="1">
      <alignment horizontal="left" vertical="top" wrapText="1"/>
    </xf>
    <xf numFmtId="0" fontId="15" fillId="7" borderId="0" xfId="0" applyFont="1" applyFill="1" applyBorder="1" applyAlignment="1">
      <alignment horizontal="left" vertical="center" wrapText="1"/>
    </xf>
    <xf numFmtId="0" fontId="15" fillId="7" borderId="0" xfId="0" applyFont="1" applyFill="1" applyBorder="1" applyAlignment="1">
      <alignment vertical="center" wrapText="1"/>
    </xf>
    <xf numFmtId="165" fontId="15" fillId="7" borderId="0" xfId="0" applyNumberFormat="1" applyFont="1" applyFill="1" applyBorder="1" applyAlignment="1">
      <alignment horizontal="right" vertical="top"/>
    </xf>
    <xf numFmtId="164" fontId="15" fillId="7" borderId="0" xfId="0" applyNumberFormat="1" applyFont="1" applyFill="1" applyBorder="1" applyAlignment="1">
      <alignment horizontal="right" vertical="top"/>
    </xf>
    <xf numFmtId="0" fontId="15" fillId="7" borderId="0" xfId="0" applyFont="1" applyFill="1" applyAlignment="1">
      <alignment horizontal="left" vertical="top"/>
    </xf>
    <xf numFmtId="0" fontId="15" fillId="7" borderId="0" xfId="0" applyFont="1" applyFill="1" applyBorder="1" applyAlignment="1">
      <alignment vertical="center"/>
    </xf>
    <xf numFmtId="164" fontId="15" fillId="7" borderId="0" xfId="3" applyNumberFormat="1" applyFont="1" applyFill="1" applyBorder="1" applyAlignment="1">
      <alignment horizontal="right" vertical="top"/>
    </xf>
    <xf numFmtId="0" fontId="15" fillId="0" borderId="0" xfId="0" applyFont="1" applyBorder="1" applyAlignment="1">
      <alignment horizontal="left" vertical="top"/>
    </xf>
    <xf numFmtId="164" fontId="15" fillId="0" borderId="0" xfId="3" applyNumberFormat="1" applyFont="1" applyAlignment="1">
      <alignment horizontal="right" vertical="center"/>
    </xf>
    <xf numFmtId="0" fontId="15" fillId="0" borderId="0" xfId="0" applyFont="1" applyAlignment="1">
      <alignment horizontal="left" vertical="top"/>
    </xf>
    <xf numFmtId="0" fontId="15" fillId="10" borderId="0" xfId="0" applyFont="1" applyFill="1" applyAlignment="1">
      <alignment horizontal="right" vertical="center"/>
    </xf>
    <xf numFmtId="0" fontId="15" fillId="10" borderId="0" xfId="0" applyFont="1" applyFill="1" applyAlignment="1">
      <alignment horizontal="left" vertical="center"/>
    </xf>
    <xf numFmtId="43" fontId="15" fillId="10" borderId="0" xfId="2" applyFont="1" applyFill="1" applyAlignment="1">
      <alignment vertical="center"/>
    </xf>
    <xf numFmtId="0" fontId="15" fillId="10" borderId="0" xfId="0" applyFont="1" applyFill="1" applyAlignment="1">
      <alignment horizontal="left" vertical="top"/>
    </xf>
    <xf numFmtId="43" fontId="15" fillId="10" borderId="0" xfId="2" applyFont="1" applyFill="1" applyAlignment="1"/>
    <xf numFmtId="0" fontId="15" fillId="10" borderId="0" xfId="0" applyFont="1" applyFill="1" applyAlignment="1">
      <alignment vertical="center" wrapText="1"/>
    </xf>
    <xf numFmtId="43" fontId="15" fillId="10" borderId="0" xfId="0" applyNumberFormat="1" applyFont="1" applyFill="1" applyAlignment="1">
      <alignment vertical="center"/>
    </xf>
    <xf numFmtId="0" fontId="15" fillId="7" borderId="0" xfId="0" applyFont="1" applyFill="1" applyBorder="1" applyAlignment="1"/>
    <xf numFmtId="0" fontId="16" fillId="7" borderId="0" xfId="0" applyFont="1" applyFill="1" applyBorder="1" applyAlignment="1">
      <alignment horizontal="right" vertical="center"/>
    </xf>
    <xf numFmtId="0" fontId="16" fillId="7" borderId="0" xfId="0" applyFont="1" applyFill="1" applyBorder="1" applyAlignment="1">
      <alignment horizontal="left" vertical="center" wrapText="1"/>
    </xf>
    <xf numFmtId="0" fontId="16" fillId="7" borderId="0" xfId="0" applyFont="1" applyFill="1" applyBorder="1" applyAlignment="1">
      <alignment horizontal="left" vertical="center"/>
    </xf>
    <xf numFmtId="43" fontId="15" fillId="7" borderId="0" xfId="2" applyFont="1" applyFill="1" applyBorder="1" applyAlignment="1">
      <alignment vertical="center"/>
    </xf>
    <xf numFmtId="164" fontId="16" fillId="7" borderId="0" xfId="0" applyNumberFormat="1" applyFont="1" applyFill="1" applyBorder="1" applyAlignment="1">
      <alignment vertical="center"/>
    </xf>
    <xf numFmtId="164" fontId="15" fillId="7" borderId="0" xfId="3" applyNumberFormat="1" applyFont="1" applyFill="1" applyAlignment="1">
      <alignment vertical="center"/>
    </xf>
    <xf numFmtId="164" fontId="15" fillId="7" borderId="0" xfId="0" applyNumberFormat="1" applyFont="1" applyFill="1" applyBorder="1" applyAlignment="1">
      <alignment vertical="center"/>
    </xf>
    <xf numFmtId="0" fontId="15" fillId="7" borderId="0" xfId="0" applyFont="1" applyFill="1" applyAlignment="1">
      <alignment horizontal="right" vertical="center"/>
    </xf>
    <xf numFmtId="0" fontId="15" fillId="7" borderId="0" xfId="0" applyFont="1" applyFill="1" applyAlignment="1">
      <alignment horizontal="left" vertical="center"/>
    </xf>
    <xf numFmtId="43" fontId="15" fillId="7" borderId="0" xfId="2" applyFont="1" applyFill="1" applyAlignment="1">
      <alignment vertical="center"/>
    </xf>
    <xf numFmtId="166" fontId="15" fillId="7" borderId="0" xfId="3" applyNumberFormat="1" applyFont="1" applyFill="1" applyAlignment="1">
      <alignment vertical="center"/>
    </xf>
    <xf numFmtId="42" fontId="15" fillId="10" borderId="0" xfId="0" applyNumberFormat="1" applyFont="1" applyFill="1"/>
    <xf numFmtId="0" fontId="15" fillId="0" borderId="0" xfId="0" applyFont="1" applyFill="1" applyAlignment="1">
      <alignment wrapText="1"/>
    </xf>
    <xf numFmtId="42" fontId="16" fillId="0" borderId="0" xfId="1" applyNumberFormat="1" applyFont="1" applyFill="1" applyAlignment="1">
      <alignment vertical="top"/>
    </xf>
    <xf numFmtId="0" fontId="15" fillId="0" borderId="0" xfId="0" applyFont="1" applyFill="1" applyAlignment="1"/>
    <xf numFmtId="0" fontId="15" fillId="0" borderId="0" xfId="0" applyFont="1" applyFill="1" applyBorder="1"/>
    <xf numFmtId="164" fontId="15" fillId="0" borderId="0" xfId="3" applyNumberFormat="1" applyFont="1" applyFill="1" applyAlignment="1">
      <alignment vertical="center"/>
    </xf>
    <xf numFmtId="6" fontId="16" fillId="0" borderId="0" xfId="1" applyNumberFormat="1" applyFont="1" applyFill="1" applyAlignment="1">
      <alignment vertical="top"/>
    </xf>
    <xf numFmtId="0" fontId="15" fillId="0" borderId="0" xfId="0" applyFont="1" applyFill="1" applyAlignment="1">
      <alignment horizontal="left" wrapText="1"/>
    </xf>
    <xf numFmtId="0" fontId="15" fillId="0" borderId="0" xfId="0" applyFont="1" applyAlignment="1">
      <alignment horizontal="justify" vertical="center"/>
    </xf>
    <xf numFmtId="43" fontId="15" fillId="4" borderId="0" xfId="2" applyFont="1" applyFill="1" applyAlignment="1">
      <alignment horizontal="center" vertical="top"/>
    </xf>
    <xf numFmtId="42" fontId="15" fillId="4" borderId="0" xfId="0" applyNumberFormat="1" applyFont="1" applyFill="1" applyAlignment="1">
      <alignment vertical="top" wrapText="1"/>
    </xf>
    <xf numFmtId="0" fontId="15" fillId="4" borderId="0" xfId="0" applyFont="1" applyFill="1" applyAlignment="1"/>
    <xf numFmtId="42" fontId="15" fillId="4" borderId="0" xfId="0" applyNumberFormat="1" applyFont="1" applyFill="1" applyAlignment="1">
      <alignment vertical="top"/>
    </xf>
    <xf numFmtId="0" fontId="15" fillId="0" borderId="0" xfId="0" applyFont="1" applyFill="1" applyBorder="1" applyAlignment="1">
      <alignment vertical="top"/>
    </xf>
    <xf numFmtId="0" fontId="15" fillId="0" borderId="0" xfId="0" applyFont="1" applyFill="1" applyBorder="1" applyAlignment="1">
      <alignment vertical="center"/>
    </xf>
    <xf numFmtId="0" fontId="15" fillId="5" borderId="0" xfId="0" applyNumberFormat="1" applyFont="1" applyFill="1" applyAlignment="1">
      <alignment horizontal="left" vertical="top" wrapText="1"/>
    </xf>
    <xf numFmtId="43" fontId="15" fillId="0" borderId="0" xfId="2" applyFont="1" applyAlignment="1">
      <alignment horizontal="left" vertical="top"/>
    </xf>
    <xf numFmtId="168" fontId="15" fillId="0" borderId="0" xfId="2" applyNumberFormat="1" applyFont="1" applyAlignment="1">
      <alignment horizontal="left" vertical="top"/>
    </xf>
    <xf numFmtId="164" fontId="15" fillId="0" borderId="0" xfId="0" applyNumberFormat="1" applyFont="1" applyAlignment="1">
      <alignment horizontal="left" vertical="top"/>
    </xf>
    <xf numFmtId="0" fontId="17" fillId="0" borderId="0" xfId="0" applyFont="1"/>
    <xf numFmtId="0" fontId="17" fillId="0" borderId="0" xfId="0" applyFont="1" applyAlignment="1">
      <alignment vertical="center"/>
    </xf>
    <xf numFmtId="10" fontId="17" fillId="7" borderId="0" xfId="0" applyNumberFormat="1" applyFont="1" applyFill="1"/>
    <xf numFmtId="167" fontId="15" fillId="0" borderId="0" xfId="0" applyNumberFormat="1" applyFont="1"/>
    <xf numFmtId="0" fontId="17" fillId="7" borderId="0" xfId="0" applyFont="1" applyFill="1"/>
    <xf numFmtId="9" fontId="17" fillId="7" borderId="0" xfId="0" applyNumberFormat="1" applyFont="1" applyFill="1"/>
    <xf numFmtId="166" fontId="15" fillId="0" borderId="0" xfId="3" applyNumberFormat="1" applyFont="1"/>
    <xf numFmtId="166" fontId="15" fillId="0" borderId="0" xfId="0" applyNumberFormat="1" applyFont="1"/>
    <xf numFmtId="0" fontId="15" fillId="12" borderId="0" xfId="0" applyFont="1" applyFill="1"/>
    <xf numFmtId="0" fontId="15" fillId="12" borderId="0" xfId="0" applyFont="1" applyFill="1" applyAlignment="1">
      <alignment horizontal="center"/>
    </xf>
    <xf numFmtId="0" fontId="15" fillId="0" borderId="0" xfId="0" applyFont="1" applyAlignment="1">
      <alignment horizontal="center"/>
    </xf>
    <xf numFmtId="168" fontId="15" fillId="0" borderId="0" xfId="2" applyNumberFormat="1" applyFont="1"/>
    <xf numFmtId="9" fontId="15" fillId="0" borderId="0" xfId="4" applyFont="1"/>
    <xf numFmtId="0" fontId="15" fillId="0" borderId="0" xfId="0" quotePrefix="1" applyFont="1" applyAlignment="1">
      <alignment horizontal="center"/>
    </xf>
    <xf numFmtId="0" fontId="18" fillId="0" borderId="1" xfId="0" applyFont="1" applyBorder="1" applyAlignment="1">
      <alignment horizontal="center"/>
    </xf>
    <xf numFmtId="164" fontId="18" fillId="0" borderId="1" xfId="0" applyNumberFormat="1" applyFont="1" applyBorder="1"/>
    <xf numFmtId="0" fontId="15" fillId="0" borderId="1" xfId="0" applyFont="1" applyBorder="1" applyAlignment="1">
      <alignment horizontal="center"/>
    </xf>
    <xf numFmtId="164" fontId="15" fillId="7" borderId="1" xfId="0" applyNumberFormat="1" applyFont="1" applyFill="1" applyBorder="1"/>
    <xf numFmtId="164" fontId="15" fillId="0" borderId="1" xfId="0" applyNumberFormat="1" applyFont="1" applyBorder="1"/>
    <xf numFmtId="0" fontId="15" fillId="0" borderId="1" xfId="0" quotePrefix="1" applyFont="1" applyBorder="1" applyAlignment="1">
      <alignment horizontal="center"/>
    </xf>
    <xf numFmtId="169" fontId="15" fillId="0" borderId="0" xfId="4" applyNumberFormat="1" applyFont="1"/>
    <xf numFmtId="0" fontId="15" fillId="0" borderId="0" xfId="0" applyFont="1" applyFill="1" applyBorder="1" applyAlignment="1">
      <alignment horizontal="center"/>
    </xf>
    <xf numFmtId="164" fontId="15" fillId="0" borderId="0" xfId="0" applyNumberFormat="1" applyFont="1" applyFill="1" applyBorder="1"/>
    <xf numFmtId="0" fontId="15" fillId="0" borderId="0" xfId="0" quotePrefix="1" applyFont="1" applyFill="1" applyBorder="1" applyAlignment="1">
      <alignment horizontal="center"/>
    </xf>
    <xf numFmtId="164" fontId="17" fillId="0" borderId="0" xfId="0" applyNumberFormat="1" applyFont="1"/>
    <xf numFmtId="0" fontId="15" fillId="0" borderId="8" xfId="0" applyFont="1" applyBorder="1"/>
    <xf numFmtId="0" fontId="18" fillId="0" borderId="8" xfId="0" applyFont="1" applyBorder="1"/>
    <xf numFmtId="0" fontId="18" fillId="0" borderId="8" xfId="0" applyFont="1" applyBorder="1" applyAlignment="1">
      <alignment horizontal="right"/>
    </xf>
    <xf numFmtId="164" fontId="15" fillId="0" borderId="8" xfId="0" applyNumberFormat="1" applyFont="1" applyBorder="1"/>
    <xf numFmtId="0" fontId="18" fillId="0" borderId="0" xfId="0" applyFont="1"/>
    <xf numFmtId="0" fontId="18" fillId="0" borderId="0" xfId="0" applyFont="1" applyAlignment="1">
      <alignment horizontal="right"/>
    </xf>
    <xf numFmtId="164" fontId="18" fillId="0" borderId="0" xfId="0" applyNumberFormat="1" applyFont="1"/>
    <xf numFmtId="0" fontId="17" fillId="0" borderId="8" xfId="0" applyFont="1" applyBorder="1"/>
    <xf numFmtId="164" fontId="17" fillId="0" borderId="8" xfId="0" applyNumberFormat="1" applyFont="1" applyBorder="1"/>
    <xf numFmtId="0" fontId="19" fillId="0" borderId="0" xfId="0" applyFont="1"/>
    <xf numFmtId="0" fontId="15" fillId="0" borderId="9" xfId="0" applyFont="1" applyBorder="1"/>
    <xf numFmtId="0" fontId="20" fillId="0" borderId="8" xfId="0" applyFont="1" applyBorder="1"/>
    <xf numFmtId="164" fontId="15" fillId="0" borderId="9" xfId="0" applyNumberFormat="1" applyFont="1" applyBorder="1"/>
    <xf numFmtId="164" fontId="15" fillId="0" borderId="0" xfId="0" applyNumberFormat="1" applyFont="1" applyBorder="1"/>
    <xf numFmtId="164" fontId="15" fillId="7" borderId="0" xfId="0" applyNumberFormat="1" applyFont="1" applyFill="1"/>
    <xf numFmtId="0" fontId="15" fillId="7" borderId="0" xfId="0" applyNumberFormat="1" applyFont="1" applyFill="1"/>
    <xf numFmtId="9" fontId="15" fillId="0" borderId="9" xfId="4" applyFont="1" applyBorder="1"/>
    <xf numFmtId="0" fontId="15" fillId="7" borderId="0" xfId="0" applyFont="1" applyFill="1" applyAlignment="1">
      <alignment horizontal="center"/>
    </xf>
    <xf numFmtId="0" fontId="15" fillId="17" borderId="0" xfId="0" applyFont="1" applyFill="1"/>
    <xf numFmtId="0" fontId="15" fillId="17" borderId="0" xfId="0" applyFont="1" applyFill="1" applyAlignment="1">
      <alignment vertical="top"/>
    </xf>
    <xf numFmtId="0" fontId="15" fillId="17" borderId="0" xfId="0" applyFont="1" applyFill="1" applyAlignment="1">
      <alignment horizontal="right"/>
    </xf>
    <xf numFmtId="0" fontId="15" fillId="17" borderId="0" xfId="0" applyFont="1" applyFill="1" applyAlignment="1">
      <alignment horizontal="right" vertical="top"/>
    </xf>
    <xf numFmtId="43" fontId="15" fillId="17" borderId="0" xfId="2" applyFont="1" applyFill="1"/>
    <xf numFmtId="42" fontId="15" fillId="17" borderId="0" xfId="0" applyNumberFormat="1" applyFont="1" applyFill="1"/>
    <xf numFmtId="0" fontId="15" fillId="17" borderId="0" xfId="0" applyFont="1" applyFill="1" applyAlignment="1">
      <alignment vertical="center"/>
    </xf>
    <xf numFmtId="164" fontId="15" fillId="17" borderId="0" xfId="3" applyNumberFormat="1" applyFont="1" applyFill="1" applyAlignment="1">
      <alignment vertical="center"/>
    </xf>
    <xf numFmtId="164" fontId="15" fillId="17" borderId="0" xfId="0" applyNumberFormat="1" applyFont="1" applyFill="1"/>
    <xf numFmtId="0" fontId="15" fillId="17" borderId="0" xfId="0" applyFont="1" applyFill="1" applyAlignment="1">
      <alignment horizontal="center"/>
    </xf>
    <xf numFmtId="0" fontId="15" fillId="18" borderId="0" xfId="0" applyFont="1" applyFill="1"/>
    <xf numFmtId="0" fontId="15" fillId="18" borderId="0" xfId="0" applyFont="1" applyFill="1" applyAlignment="1">
      <alignment vertical="top"/>
    </xf>
    <xf numFmtId="0" fontId="15" fillId="18" borderId="0" xfId="0" applyFont="1" applyFill="1" applyAlignment="1">
      <alignment horizontal="right"/>
    </xf>
    <xf numFmtId="0" fontId="15" fillId="18" borderId="0" xfId="0" applyFont="1" applyFill="1" applyAlignment="1">
      <alignment horizontal="right" vertical="top"/>
    </xf>
    <xf numFmtId="43" fontId="15" fillId="18" borderId="0" xfId="2" applyFont="1" applyFill="1"/>
    <xf numFmtId="42" fontId="15" fillId="18" borderId="0" xfId="0" applyNumberFormat="1" applyFont="1" applyFill="1"/>
    <xf numFmtId="0" fontId="15" fillId="18" borderId="0" xfId="0" applyFont="1" applyFill="1" applyAlignment="1">
      <alignment vertical="center"/>
    </xf>
    <xf numFmtId="164" fontId="15" fillId="18" borderId="0" xfId="3" applyNumberFormat="1" applyFont="1" applyFill="1" applyAlignment="1">
      <alignment vertical="center"/>
    </xf>
    <xf numFmtId="164" fontId="15" fillId="18" borderId="0" xfId="0" applyNumberFormat="1" applyFont="1" applyFill="1"/>
    <xf numFmtId="0" fontId="15" fillId="18" borderId="0" xfId="0" applyFont="1" applyFill="1" applyAlignment="1">
      <alignment horizontal="center"/>
    </xf>
    <xf numFmtId="0" fontId="15" fillId="0" borderId="1" xfId="0" applyFont="1" applyBorder="1"/>
    <xf numFmtId="0" fontId="14" fillId="3" borderId="0" xfId="0" applyFont="1" applyFill="1"/>
    <xf numFmtId="164" fontId="14" fillId="3" borderId="0" xfId="0" applyNumberFormat="1" applyFont="1" applyFill="1"/>
    <xf numFmtId="169" fontId="14" fillId="3" borderId="0" xfId="0" applyNumberFormat="1" applyFont="1" applyFill="1"/>
    <xf numFmtId="0" fontId="14" fillId="2" borderId="0" xfId="0" applyFont="1" applyFill="1"/>
    <xf numFmtId="164" fontId="14" fillId="2" borderId="0" xfId="0" applyNumberFormat="1" applyFont="1" applyFill="1"/>
    <xf numFmtId="169" fontId="14" fillId="2" borderId="0" xfId="0" applyNumberFormat="1" applyFont="1" applyFill="1"/>
    <xf numFmtId="0" fontId="15" fillId="19" borderId="0" xfId="0" applyFont="1" applyFill="1"/>
    <xf numFmtId="164" fontId="15" fillId="19" borderId="0" xfId="0" applyNumberFormat="1" applyFont="1" applyFill="1"/>
    <xf numFmtId="169" fontId="15" fillId="19" borderId="0" xfId="0" applyNumberFormat="1" applyFont="1" applyFill="1"/>
    <xf numFmtId="0" fontId="15" fillId="0" borderId="6" xfId="0" applyFont="1" applyBorder="1"/>
    <xf numFmtId="164" fontId="16" fillId="0" borderId="0" xfId="1" applyNumberFormat="1" applyFont="1" applyAlignment="1">
      <alignment vertical="top"/>
    </xf>
    <xf numFmtId="0" fontId="15" fillId="7" borderId="0" xfId="0" applyFont="1" applyFill="1" applyAlignment="1">
      <alignment horizontal="right" vertical="top"/>
    </xf>
    <xf numFmtId="43" fontId="15" fillId="7" borderId="0" xfId="2" applyFont="1" applyFill="1" applyAlignment="1">
      <alignment horizontal="center" vertical="top"/>
    </xf>
    <xf numFmtId="164" fontId="16" fillId="7" borderId="0" xfId="1" applyNumberFormat="1" applyFont="1" applyFill="1" applyAlignment="1">
      <alignment vertical="top"/>
    </xf>
    <xf numFmtId="0" fontId="15" fillId="0" borderId="0" xfId="0" applyFont="1" applyFill="1" applyAlignment="1">
      <alignment horizontal="right" vertical="top"/>
    </xf>
    <xf numFmtId="43" fontId="15" fillId="0" borderId="0" xfId="2" applyFont="1" applyFill="1" applyAlignment="1">
      <alignment horizontal="center" vertical="top"/>
    </xf>
    <xf numFmtId="164" fontId="16" fillId="0" borderId="0" xfId="1" applyNumberFormat="1" applyFont="1" applyFill="1" applyAlignment="1">
      <alignment vertical="top"/>
    </xf>
    <xf numFmtId="164" fontId="15" fillId="0" borderId="0" xfId="0" applyNumberFormat="1" applyFont="1" applyFill="1"/>
    <xf numFmtId="0" fontId="15" fillId="0" borderId="0" xfId="0" applyFont="1" applyFill="1" applyAlignment="1">
      <alignment horizontal="center"/>
    </xf>
    <xf numFmtId="0" fontId="15" fillId="16" borderId="0" xfId="0" applyFont="1" applyFill="1" applyAlignment="1">
      <alignment vertical="center"/>
    </xf>
    <xf numFmtId="0" fontId="15" fillId="16" borderId="0" xfId="0" applyFont="1" applyFill="1"/>
    <xf numFmtId="0" fontId="15" fillId="16" borderId="0" xfId="0" applyFont="1" applyFill="1" applyAlignment="1"/>
    <xf numFmtId="0" fontId="15" fillId="16" borderId="0" xfId="0" applyFont="1" applyFill="1" applyAlignment="1">
      <alignment horizontal="right" vertical="center"/>
    </xf>
    <xf numFmtId="0" fontId="15" fillId="16" borderId="0" xfId="0" applyFont="1" applyFill="1" applyAlignment="1">
      <alignment horizontal="right" vertical="top"/>
    </xf>
    <xf numFmtId="0" fontId="15" fillId="16" borderId="0" xfId="0" applyFont="1" applyFill="1" applyAlignment="1">
      <alignment vertical="top"/>
    </xf>
    <xf numFmtId="0" fontId="15" fillId="16" borderId="0" xfId="0" applyFont="1" applyFill="1" applyAlignment="1">
      <alignment horizontal="left" vertical="center"/>
    </xf>
    <xf numFmtId="43" fontId="15" fillId="16" borderId="0" xfId="2" applyFont="1" applyFill="1" applyAlignment="1">
      <alignment vertical="center"/>
    </xf>
    <xf numFmtId="164" fontId="16" fillId="16" borderId="0" xfId="1" applyNumberFormat="1" applyFont="1" applyFill="1" applyAlignment="1">
      <alignment vertical="top"/>
    </xf>
    <xf numFmtId="164" fontId="15" fillId="16" borderId="0" xfId="3" applyNumberFormat="1" applyFont="1" applyFill="1" applyAlignment="1">
      <alignment vertical="center"/>
    </xf>
    <xf numFmtId="164" fontId="15" fillId="16" borderId="0" xfId="0" applyNumberFormat="1" applyFont="1" applyFill="1"/>
    <xf numFmtId="0" fontId="15" fillId="16" borderId="0" xfId="0" applyFont="1" applyFill="1" applyAlignment="1">
      <alignment horizontal="center"/>
    </xf>
    <xf numFmtId="164" fontId="15" fillId="10" borderId="0" xfId="0" applyNumberFormat="1" applyFont="1" applyFill="1"/>
    <xf numFmtId="164" fontId="16" fillId="10" borderId="0" xfId="1" applyNumberFormat="1" applyFont="1" applyFill="1" applyAlignment="1">
      <alignment vertical="top"/>
    </xf>
    <xf numFmtId="164" fontId="15" fillId="4" borderId="0" xfId="0" applyNumberFormat="1" applyFont="1" applyFill="1" applyAlignment="1">
      <alignment vertical="top"/>
    </xf>
    <xf numFmtId="42" fontId="16" fillId="7" borderId="0" xfId="1" applyNumberFormat="1" applyFont="1" applyFill="1" applyAlignment="1">
      <alignment vertical="top"/>
    </xf>
    <xf numFmtId="0" fontId="21" fillId="14" borderId="0" xfId="6" applyFont="1"/>
    <xf numFmtId="0" fontId="21" fillId="14" borderId="0" xfId="6" applyFont="1" applyAlignment="1">
      <alignment vertical="top"/>
    </xf>
    <xf numFmtId="0" fontId="21" fillId="14" borderId="0" xfId="6" applyFont="1" applyAlignment="1">
      <alignment horizontal="right"/>
    </xf>
    <xf numFmtId="0" fontId="21" fillId="14" borderId="0" xfId="6" applyFont="1" applyAlignment="1">
      <alignment horizontal="right" vertical="top"/>
    </xf>
    <xf numFmtId="43" fontId="21" fillId="14" borderId="0" xfId="6" applyNumberFormat="1" applyFont="1"/>
    <xf numFmtId="42" fontId="21" fillId="14" borderId="0" xfId="6" applyNumberFormat="1" applyFont="1"/>
    <xf numFmtId="0" fontId="21" fillId="14" borderId="0" xfId="6" applyFont="1" applyAlignment="1">
      <alignment vertical="center"/>
    </xf>
    <xf numFmtId="164" fontId="21" fillId="14" borderId="0" xfId="6" applyNumberFormat="1" applyFont="1" applyAlignment="1">
      <alignment vertical="center"/>
    </xf>
    <xf numFmtId="42" fontId="21" fillId="14" borderId="0" xfId="6" applyNumberFormat="1" applyFont="1" applyAlignment="1">
      <alignment vertical="top"/>
    </xf>
    <xf numFmtId="0" fontId="21" fillId="14" borderId="0" xfId="6" applyFont="1" applyAlignment="1">
      <alignment wrapText="1"/>
    </xf>
    <xf numFmtId="0" fontId="15" fillId="11" borderId="0" xfId="0" applyFont="1" applyFill="1"/>
    <xf numFmtId="0" fontId="15" fillId="11" borderId="0" xfId="0" applyFont="1" applyFill="1" applyAlignment="1">
      <alignment horizontal="left" vertical="top" wrapText="1"/>
    </xf>
    <xf numFmtId="0" fontId="15" fillId="11" borderId="0" xfId="0" applyFont="1" applyFill="1" applyAlignment="1"/>
    <xf numFmtId="0" fontId="15" fillId="11" borderId="0" xfId="0" applyFont="1" applyFill="1" applyAlignment="1">
      <alignment wrapText="1"/>
    </xf>
    <xf numFmtId="0" fontId="8" fillId="0" borderId="0" xfId="0" applyFont="1" applyAlignment="1">
      <alignment horizontal="center" vertical="center"/>
    </xf>
    <xf numFmtId="0" fontId="5" fillId="0" borderId="0" xfId="0" applyFont="1" applyAlignment="1">
      <alignment horizontal="center" vertical="center"/>
    </xf>
    <xf numFmtId="0" fontId="24" fillId="20" borderId="0" xfId="0" quotePrefix="1" applyFont="1" applyFill="1" applyBorder="1" applyAlignment="1">
      <alignment horizontal="center"/>
    </xf>
    <xf numFmtId="0" fontId="13" fillId="20" borderId="1" xfId="0" applyFont="1" applyFill="1" applyBorder="1" applyAlignment="1">
      <alignment horizontal="center"/>
    </xf>
    <xf numFmtId="0" fontId="13" fillId="20" borderId="0" xfId="0" applyFont="1" applyFill="1"/>
    <xf numFmtId="0" fontId="14" fillId="20" borderId="0" xfId="0" applyFont="1" applyFill="1"/>
    <xf numFmtId="0" fontId="14" fillId="20" borderId="3" xfId="0" applyFont="1" applyFill="1" applyBorder="1" applyAlignment="1">
      <alignment vertical="center"/>
    </xf>
    <xf numFmtId="0" fontId="14" fillId="20" borderId="0" xfId="7" applyFont="1" applyFill="1" applyAlignment="1">
      <alignment horizontal="center"/>
    </xf>
    <xf numFmtId="0" fontId="14" fillId="20" borderId="0" xfId="0" applyFont="1" applyFill="1" applyAlignment="1">
      <alignment horizontal="center"/>
    </xf>
    <xf numFmtId="0" fontId="14" fillId="20" borderId="0" xfId="5" applyFont="1" applyFill="1" applyAlignment="1">
      <alignment horizontal="center"/>
    </xf>
    <xf numFmtId="0" fontId="14" fillId="20" borderId="0" xfId="0" applyFont="1" applyFill="1" applyAlignment="1"/>
    <xf numFmtId="0" fontId="14" fillId="20" borderId="0" xfId="0" applyFont="1" applyFill="1" applyBorder="1" applyAlignment="1">
      <alignment vertical="center"/>
    </xf>
    <xf numFmtId="0" fontId="14" fillId="20" borderId="0" xfId="7" applyFont="1" applyFill="1" applyBorder="1" applyAlignment="1">
      <alignment horizontal="center" vertical="center"/>
    </xf>
    <xf numFmtId="0" fontId="14" fillId="20" borderId="0" xfId="0" applyFont="1" applyFill="1" applyBorder="1" applyAlignment="1">
      <alignment horizontal="center" vertical="center"/>
    </xf>
    <xf numFmtId="0" fontId="14" fillId="20" borderId="0" xfId="5" applyFont="1" applyFill="1" applyBorder="1" applyAlignment="1">
      <alignment horizontal="center" vertical="center"/>
    </xf>
    <xf numFmtId="0" fontId="14" fillId="20" borderId="0" xfId="0" applyFont="1" applyFill="1" applyBorder="1" applyAlignment="1">
      <alignment horizontal="right" vertical="center"/>
    </xf>
    <xf numFmtId="0" fontId="14" fillId="20" borderId="0" xfId="0" applyFont="1" applyFill="1" applyBorder="1" applyAlignment="1">
      <alignment horizontal="left" vertical="center"/>
    </xf>
    <xf numFmtId="43" fontId="14" fillId="20" borderId="0" xfId="2" applyFont="1" applyFill="1" applyBorder="1" applyAlignment="1">
      <alignment vertical="center"/>
    </xf>
    <xf numFmtId="164" fontId="14" fillId="20" borderId="0" xfId="0" applyNumberFormat="1" applyFont="1" applyFill="1" applyBorder="1" applyAlignment="1">
      <alignment horizontal="right" vertical="center"/>
    </xf>
    <xf numFmtId="0" fontId="14" fillId="20" borderId="4" xfId="0" applyFont="1" applyFill="1" applyBorder="1" applyAlignment="1">
      <alignment vertical="center"/>
    </xf>
    <xf numFmtId="0" fontId="14" fillId="20" borderId="5" xfId="0" applyFont="1" applyFill="1" applyBorder="1" applyAlignment="1">
      <alignment vertical="center"/>
    </xf>
    <xf numFmtId="0" fontId="14" fillId="20" borderId="2" xfId="0" applyFont="1" applyFill="1" applyBorder="1" applyAlignment="1">
      <alignment horizontal="center" vertical="center"/>
    </xf>
    <xf numFmtId="0" fontId="14" fillId="20" borderId="2" xfId="0" applyFont="1" applyFill="1" applyBorder="1" applyAlignment="1">
      <alignment horizontal="right" vertical="center"/>
    </xf>
    <xf numFmtId="0" fontId="14" fillId="20" borderId="7" xfId="0" applyFont="1" applyFill="1" applyBorder="1" applyAlignment="1">
      <alignment horizontal="right" vertical="center"/>
    </xf>
    <xf numFmtId="0" fontId="14" fillId="20" borderId="3" xfId="0" applyFont="1" applyFill="1" applyBorder="1" applyAlignment="1">
      <alignment horizontal="left" vertical="center"/>
    </xf>
    <xf numFmtId="43" fontId="14" fillId="20" borderId="3" xfId="2" applyFont="1" applyFill="1" applyBorder="1" applyAlignment="1">
      <alignment vertical="center"/>
    </xf>
    <xf numFmtId="0" fontId="14" fillId="20" borderId="1" xfId="0" applyFont="1" applyFill="1" applyBorder="1" applyAlignment="1">
      <alignment horizontal="left" vertical="top"/>
    </xf>
    <xf numFmtId="164" fontId="14" fillId="20" borderId="0" xfId="0" applyNumberFormat="1" applyFont="1" applyFill="1" applyAlignment="1">
      <alignment horizontal="right" vertical="center"/>
    </xf>
    <xf numFmtId="0" fontId="13" fillId="20" borderId="0" xfId="0" applyFont="1" applyFill="1" applyAlignment="1"/>
    <xf numFmtId="0" fontId="25" fillId="0" borderId="0" xfId="0" applyFont="1"/>
    <xf numFmtId="0" fontId="14" fillId="20" borderId="0" xfId="0" applyFont="1" applyFill="1" applyBorder="1" applyAlignment="1">
      <alignment horizontal="left" vertical="top"/>
    </xf>
    <xf numFmtId="0" fontId="14" fillId="20" borderId="0" xfId="0" applyFont="1" applyFill="1" applyBorder="1" applyAlignment="1"/>
    <xf numFmtId="0" fontId="14" fillId="20" borderId="0" xfId="7" applyFont="1" applyFill="1" applyBorder="1" applyAlignment="1">
      <alignment horizontal="center"/>
    </xf>
    <xf numFmtId="0" fontId="14" fillId="20" borderId="0" xfId="0" applyFont="1" applyFill="1" applyBorder="1" applyAlignment="1">
      <alignment horizontal="center"/>
    </xf>
    <xf numFmtId="0" fontId="14" fillId="20" borderId="0" xfId="5" applyFont="1" applyFill="1" applyBorder="1" applyAlignment="1">
      <alignment horizontal="center"/>
    </xf>
    <xf numFmtId="0" fontId="26" fillId="19" borderId="3" xfId="0" applyFont="1" applyFill="1" applyBorder="1" applyAlignment="1">
      <alignment vertical="center"/>
    </xf>
    <xf numFmtId="0" fontId="26" fillId="19" borderId="0" xfId="7" applyFont="1" applyFill="1" applyAlignment="1">
      <alignment horizontal="center"/>
    </xf>
    <xf numFmtId="0" fontId="26" fillId="19" borderId="0" xfId="0" applyFont="1" applyFill="1" applyAlignment="1">
      <alignment horizontal="center"/>
    </xf>
    <xf numFmtId="0" fontId="26" fillId="19" borderId="0" xfId="5" applyFont="1" applyFill="1" applyAlignment="1">
      <alignment horizontal="center"/>
    </xf>
    <xf numFmtId="0" fontId="26" fillId="19" borderId="4" xfId="0" applyFont="1" applyFill="1" applyBorder="1" applyAlignment="1">
      <alignment vertical="center"/>
    </xf>
    <xf numFmtId="0" fontId="26" fillId="19" borderId="5" xfId="0" applyFont="1" applyFill="1" applyBorder="1" applyAlignment="1">
      <alignment vertical="center"/>
    </xf>
    <xf numFmtId="0" fontId="26" fillId="19" borderId="2" xfId="0" applyFont="1" applyFill="1" applyBorder="1" applyAlignment="1">
      <alignment horizontal="right" vertical="center"/>
    </xf>
    <xf numFmtId="0" fontId="26" fillId="19" borderId="7" xfId="0" applyFont="1" applyFill="1" applyBorder="1" applyAlignment="1">
      <alignment horizontal="right" vertical="center"/>
    </xf>
    <xf numFmtId="0" fontId="26" fillId="19" borderId="2" xfId="0" applyFont="1" applyFill="1" applyBorder="1" applyAlignment="1">
      <alignment horizontal="center" vertical="center"/>
    </xf>
    <xf numFmtId="0" fontId="26" fillId="19" borderId="3" xfId="0" applyFont="1" applyFill="1" applyBorder="1" applyAlignment="1">
      <alignment horizontal="left" vertical="center"/>
    </xf>
    <xf numFmtId="43" fontId="26" fillId="19" borderId="3" xfId="2" applyFont="1" applyFill="1" applyBorder="1" applyAlignment="1">
      <alignment vertical="center"/>
    </xf>
    <xf numFmtId="0" fontId="26" fillId="19" borderId="1" xfId="0" applyFont="1" applyFill="1" applyBorder="1" applyAlignment="1">
      <alignment horizontal="left" vertical="top"/>
    </xf>
    <xf numFmtId="164" fontId="26" fillId="19" borderId="0" xfId="0" applyNumberFormat="1" applyFont="1" applyFill="1" applyAlignment="1">
      <alignment horizontal="right" vertical="center"/>
    </xf>
    <xf numFmtId="0" fontId="26" fillId="19" borderId="0" xfId="0" applyFont="1" applyFill="1" applyAlignment="1"/>
    <xf numFmtId="0" fontId="26" fillId="19" borderId="0" xfId="0" applyFont="1" applyFill="1" applyBorder="1" applyAlignment="1">
      <alignment vertical="center"/>
    </xf>
    <xf numFmtId="0" fontId="26" fillId="19" borderId="0" xfId="0" applyFont="1" applyFill="1" applyBorder="1" applyAlignment="1">
      <alignment horizontal="right" vertical="center"/>
    </xf>
    <xf numFmtId="0" fontId="26" fillId="19" borderId="0" xfId="0" applyFont="1" applyFill="1" applyBorder="1" applyAlignment="1">
      <alignment horizontal="center" vertical="center"/>
    </xf>
    <xf numFmtId="0" fontId="26" fillId="19" borderId="0" xfId="0" applyFont="1" applyFill="1" applyBorder="1" applyAlignment="1">
      <alignment horizontal="left" vertical="center"/>
    </xf>
    <xf numFmtId="43" fontId="26" fillId="19" borderId="0" xfId="2" applyFont="1" applyFill="1" applyBorder="1" applyAlignment="1">
      <alignment vertical="center"/>
    </xf>
    <xf numFmtId="0" fontId="26" fillId="19" borderId="0" xfId="0" applyFont="1" applyFill="1" applyBorder="1" applyAlignment="1">
      <alignment horizontal="left" vertical="top"/>
    </xf>
    <xf numFmtId="164" fontId="26" fillId="19" borderId="0" xfId="0" applyNumberFormat="1" applyFont="1" applyFill="1" applyBorder="1" applyAlignment="1">
      <alignment horizontal="right" vertical="center"/>
    </xf>
    <xf numFmtId="0" fontId="26" fillId="19" borderId="0" xfId="0" applyFont="1" applyFill="1" applyBorder="1" applyAlignment="1"/>
    <xf numFmtId="0" fontId="26" fillId="19" borderId="0" xfId="7" applyFont="1" applyFill="1" applyBorder="1" applyAlignment="1">
      <alignment horizontal="center"/>
    </xf>
    <xf numFmtId="0" fontId="26" fillId="19" borderId="0" xfId="0" applyFont="1" applyFill="1" applyBorder="1" applyAlignment="1">
      <alignment horizontal="center"/>
    </xf>
    <xf numFmtId="0" fontId="26" fillId="19" borderId="0" xfId="5" applyFont="1" applyFill="1" applyBorder="1" applyAlignment="1">
      <alignment horizontal="center"/>
    </xf>
    <xf numFmtId="0" fontId="13" fillId="20" borderId="0" xfId="0" applyFont="1" applyFill="1" applyBorder="1" applyAlignment="1">
      <alignment horizontal="center"/>
    </xf>
    <xf numFmtId="164" fontId="13" fillId="20" borderId="0" xfId="0" applyNumberFormat="1" applyFont="1" applyFill="1" applyBorder="1"/>
    <xf numFmtId="0" fontId="14" fillId="2" borderId="0" xfId="0" applyFont="1" applyFill="1" applyBorder="1" applyAlignment="1">
      <alignment vertical="center"/>
    </xf>
    <xf numFmtId="0" fontId="14" fillId="2" borderId="0" xfId="0" applyFont="1" applyFill="1" applyBorder="1" applyAlignment="1">
      <alignment horizontal="right" vertical="center"/>
    </xf>
    <xf numFmtId="0" fontId="14" fillId="2" borderId="0" xfId="0" applyFont="1" applyFill="1" applyBorder="1" applyAlignment="1">
      <alignment horizontal="center" vertical="center"/>
    </xf>
    <xf numFmtId="0" fontId="14" fillId="2" borderId="0" xfId="0" applyFont="1" applyFill="1" applyBorder="1" applyAlignment="1">
      <alignment horizontal="left" vertical="center"/>
    </xf>
    <xf numFmtId="43" fontId="14" fillId="2" borderId="0" xfId="2" applyFont="1" applyFill="1" applyBorder="1" applyAlignment="1">
      <alignment vertical="center"/>
    </xf>
    <xf numFmtId="164" fontId="14" fillId="2" borderId="0" xfId="0" applyNumberFormat="1" applyFont="1" applyFill="1" applyBorder="1" applyAlignment="1">
      <alignment vertical="center"/>
    </xf>
    <xf numFmtId="0" fontId="14" fillId="2" borderId="0" xfId="0" applyFont="1" applyFill="1" applyBorder="1" applyAlignment="1">
      <alignment horizontal="left" vertical="top"/>
    </xf>
    <xf numFmtId="164" fontId="14" fillId="2" borderId="0" xfId="0" applyNumberFormat="1" applyFont="1" applyFill="1" applyBorder="1" applyAlignment="1">
      <alignment horizontal="right" vertical="center"/>
    </xf>
    <xf numFmtId="0" fontId="14" fillId="2" borderId="0" xfId="0" applyFont="1" applyFill="1" applyBorder="1" applyAlignment="1"/>
    <xf numFmtId="0" fontId="14" fillId="2" borderId="0" xfId="7" applyFont="1" applyFill="1" applyBorder="1" applyAlignment="1">
      <alignment horizontal="center"/>
    </xf>
    <xf numFmtId="0" fontId="14" fillId="2" borderId="0" xfId="0" applyFont="1" applyFill="1" applyBorder="1" applyAlignment="1">
      <alignment horizontal="center"/>
    </xf>
    <xf numFmtId="0" fontId="14" fillId="2" borderId="0" xfId="5" applyFont="1" applyFill="1" applyBorder="1" applyAlignment="1">
      <alignment horizontal="center"/>
    </xf>
    <xf numFmtId="0" fontId="14" fillId="2" borderId="0" xfId="0" quotePrefix="1" applyFont="1" applyFill="1" applyBorder="1" applyAlignment="1">
      <alignment horizontal="center"/>
    </xf>
    <xf numFmtId="164" fontId="14" fillId="2" borderId="0" xfId="0" applyNumberFormat="1" applyFont="1" applyFill="1" applyBorder="1" applyAlignment="1">
      <alignment horizontal="center" vertical="center"/>
    </xf>
    <xf numFmtId="0" fontId="28" fillId="3" borderId="0" xfId="0" applyFont="1" applyFill="1" applyBorder="1" applyAlignment="1">
      <alignment vertical="center"/>
    </xf>
    <xf numFmtId="0" fontId="28" fillId="3" borderId="0" xfId="0" applyFont="1" applyFill="1" applyBorder="1" applyAlignment="1">
      <alignment horizontal="right" vertical="center"/>
    </xf>
    <xf numFmtId="0" fontId="28" fillId="3" borderId="0" xfId="0" applyFont="1" applyFill="1" applyBorder="1" applyAlignment="1">
      <alignment horizontal="center" vertical="center"/>
    </xf>
    <xf numFmtId="0" fontId="28" fillId="3" borderId="0" xfId="0" applyFont="1" applyFill="1" applyBorder="1" applyAlignment="1">
      <alignment horizontal="left" vertical="center"/>
    </xf>
    <xf numFmtId="43" fontId="28" fillId="3" borderId="0" xfId="2" applyFont="1" applyFill="1" applyBorder="1" applyAlignment="1">
      <alignment vertical="center"/>
    </xf>
    <xf numFmtId="0" fontId="28" fillId="3" borderId="0" xfId="0" applyFont="1" applyFill="1" applyBorder="1" applyAlignment="1">
      <alignment horizontal="left" vertical="top"/>
    </xf>
    <xf numFmtId="164" fontId="28" fillId="3" borderId="0" xfId="0" applyNumberFormat="1" applyFont="1" applyFill="1" applyBorder="1" applyAlignment="1">
      <alignment horizontal="right" vertical="center"/>
    </xf>
    <xf numFmtId="0" fontId="28" fillId="3" borderId="0" xfId="0" applyFont="1" applyFill="1" applyBorder="1" applyAlignment="1"/>
    <xf numFmtId="0" fontId="28" fillId="3" borderId="0" xfId="7" applyFont="1" applyFill="1" applyBorder="1" applyAlignment="1">
      <alignment horizontal="center"/>
    </xf>
    <xf numFmtId="0" fontId="28" fillId="3" borderId="0" xfId="0" applyFont="1" applyFill="1" applyBorder="1" applyAlignment="1">
      <alignment horizontal="center"/>
    </xf>
    <xf numFmtId="0" fontId="28" fillId="3" borderId="0" xfId="5" applyFont="1" applyFill="1" applyBorder="1" applyAlignment="1">
      <alignment horizontal="center"/>
    </xf>
    <xf numFmtId="0" fontId="28" fillId="3" borderId="0" xfId="0" quotePrefix="1" applyFont="1" applyFill="1" applyBorder="1" applyAlignment="1">
      <alignment horizontal="center"/>
    </xf>
    <xf numFmtId="0" fontId="13" fillId="20" borderId="11" xfId="0" applyFont="1" applyFill="1" applyBorder="1" applyAlignment="1">
      <alignment horizontal="center"/>
    </xf>
    <xf numFmtId="0" fontId="13" fillId="20" borderId="1" xfId="0" applyFont="1" applyFill="1" applyBorder="1" applyAlignment="1">
      <alignment horizontal="center"/>
    </xf>
    <xf numFmtId="0" fontId="13" fillId="20" borderId="1" xfId="0" applyFont="1" applyFill="1" applyBorder="1" applyAlignment="1">
      <alignment horizontal="center" wrapText="1"/>
    </xf>
    <xf numFmtId="0" fontId="13" fillId="20" borderId="10" xfId="0" applyFont="1" applyFill="1" applyBorder="1" applyAlignment="1">
      <alignment horizontal="center"/>
    </xf>
    <xf numFmtId="0" fontId="13" fillId="20" borderId="1" xfId="0" quotePrefix="1" applyFont="1" applyFill="1" applyBorder="1" applyAlignment="1">
      <alignment horizontal="center"/>
    </xf>
    <xf numFmtId="0" fontId="23" fillId="20" borderId="1" xfId="0" applyFont="1" applyFill="1" applyBorder="1"/>
    <xf numFmtId="164" fontId="23" fillId="20" borderId="1" xfId="0" applyNumberFormat="1" applyFont="1" applyFill="1" applyBorder="1"/>
    <xf numFmtId="0" fontId="13" fillId="20" borderId="1" xfId="0" applyFont="1" applyFill="1" applyBorder="1"/>
    <xf numFmtId="164" fontId="13" fillId="20" borderId="1" xfId="0" applyNumberFormat="1" applyFont="1" applyFill="1" applyBorder="1"/>
    <xf numFmtId="0" fontId="15" fillId="4" borderId="8" xfId="0" applyFont="1" applyFill="1" applyBorder="1"/>
    <xf numFmtId="164" fontId="15" fillId="4" borderId="8" xfId="0" applyNumberFormat="1" applyFont="1" applyFill="1" applyBorder="1"/>
    <xf numFmtId="0" fontId="25" fillId="0" borderId="9" xfId="0" applyFont="1" applyBorder="1"/>
    <xf numFmtId="0" fontId="13" fillId="20" borderId="9" xfId="0" applyFont="1" applyFill="1" applyBorder="1" applyAlignment="1">
      <alignment horizontal="center"/>
    </xf>
    <xf numFmtId="0" fontId="13" fillId="20" borderId="9" xfId="0" applyFont="1" applyFill="1" applyBorder="1"/>
    <xf numFmtId="0" fontId="13" fillId="20" borderId="9" xfId="0" quotePrefix="1" applyFont="1" applyFill="1" applyBorder="1" applyAlignment="1">
      <alignment horizontal="center"/>
    </xf>
    <xf numFmtId="0" fontId="13" fillId="20" borderId="9" xfId="0" applyFont="1" applyFill="1" applyBorder="1" applyAlignment="1">
      <alignment horizontal="center"/>
    </xf>
  </cellXfs>
  <cellStyles count="8">
    <cellStyle name="Bad" xfId="6" builtinId="27"/>
    <cellStyle name="Comma" xfId="2" builtinId="3"/>
    <cellStyle name="Currency" xfId="3" builtinId="4"/>
    <cellStyle name="Good" xfId="5" builtinId="26"/>
    <cellStyle name="Hyperlink" xfId="1" builtinId="8"/>
    <cellStyle name="Neutral" xfId="7" builtinId="28"/>
    <cellStyle name="Normal" xfId="0" builtinId="0"/>
    <cellStyle name="Percent" xfId="4" builtinId="5"/>
  </cellStyles>
  <dxfs count="201">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s>
  <tableStyles count="0" defaultTableStyle="TableStyleMedium2" defaultPivotStyle="PivotStyleLight16"/>
  <colors>
    <mruColors>
      <color rgb="FFB9E0F7"/>
      <color rgb="FF0054A4"/>
      <color rgb="FF009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rowardmpo.org/userfiles/files/RevisedMasterProjectList(SIS)-2014012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Project List"/>
      <sheetName val="ActivePivot"/>
      <sheetName val="SISSummary"/>
      <sheetName val="SISFunded"/>
      <sheetName val="SISUnfunded"/>
      <sheetName val="SISUnfPivot"/>
      <sheetName val="Lists"/>
      <sheetName val="Data-Lookups"/>
    </sheetNames>
    <sheetDataSet>
      <sheetData sheetId="0"/>
      <sheetData sheetId="1"/>
      <sheetData sheetId="2"/>
      <sheetData sheetId="3">
        <row r="34">
          <cell r="S34">
            <v>99.59</v>
          </cell>
          <cell r="T34">
            <v>96.41</v>
          </cell>
          <cell r="U34">
            <v>93.33</v>
          </cell>
          <cell r="V34">
            <v>90.35</v>
          </cell>
          <cell r="W34">
            <v>87.46</v>
          </cell>
        </row>
        <row r="35">
          <cell r="S35">
            <v>72331.289999999994</v>
          </cell>
          <cell r="T35">
            <v>68660.12</v>
          </cell>
          <cell r="U35">
            <v>68413.89</v>
          </cell>
          <cell r="V35">
            <v>68168.97</v>
          </cell>
          <cell r="W35">
            <v>67924.47</v>
          </cell>
        </row>
        <row r="36">
          <cell r="S36">
            <v>0</v>
          </cell>
          <cell r="T36">
            <v>0</v>
          </cell>
          <cell r="U36">
            <v>0</v>
          </cell>
          <cell r="V36">
            <v>3758.38</v>
          </cell>
          <cell r="W36">
            <v>0</v>
          </cell>
        </row>
        <row r="37">
          <cell r="S37">
            <v>0</v>
          </cell>
          <cell r="T37">
            <v>0</v>
          </cell>
          <cell r="U37">
            <v>0</v>
          </cell>
          <cell r="V37">
            <v>0</v>
          </cell>
          <cell r="W37">
            <v>3386.43</v>
          </cell>
        </row>
        <row r="38">
          <cell r="S38">
            <v>0</v>
          </cell>
          <cell r="T38">
            <v>0</v>
          </cell>
          <cell r="U38">
            <v>686.14</v>
          </cell>
          <cell r="V38">
            <v>0</v>
          </cell>
          <cell r="W38">
            <v>7186.36</v>
          </cell>
        </row>
        <row r="39">
          <cell r="S39">
            <v>0</v>
          </cell>
          <cell r="T39">
            <v>0</v>
          </cell>
          <cell r="U39">
            <v>74.66</v>
          </cell>
          <cell r="V39">
            <v>84379.86</v>
          </cell>
          <cell r="W39">
            <v>0</v>
          </cell>
        </row>
        <row r="40">
          <cell r="S40">
            <v>141195.31</v>
          </cell>
          <cell r="T40">
            <v>0</v>
          </cell>
          <cell r="U40">
            <v>0</v>
          </cell>
          <cell r="V40">
            <v>0</v>
          </cell>
          <cell r="W40">
            <v>0</v>
          </cell>
        </row>
        <row r="41">
          <cell r="S41">
            <v>0</v>
          </cell>
          <cell r="T41">
            <v>77.13</v>
          </cell>
          <cell r="U41">
            <v>171467.76</v>
          </cell>
          <cell r="V41">
            <v>0</v>
          </cell>
          <cell r="W41">
            <v>0</v>
          </cell>
        </row>
        <row r="47">
          <cell r="V47">
            <v>579617000</v>
          </cell>
        </row>
        <row r="48">
          <cell r="Z48">
            <v>47290163</v>
          </cell>
        </row>
        <row r="49">
          <cell r="Z49">
            <v>21392114</v>
          </cell>
        </row>
        <row r="50">
          <cell r="Z50">
            <v>55959087</v>
          </cell>
        </row>
        <row r="51">
          <cell r="Z51">
            <v>94134028</v>
          </cell>
        </row>
        <row r="52">
          <cell r="Z52">
            <v>59659000</v>
          </cell>
        </row>
        <row r="53">
          <cell r="Z53">
            <v>50988734</v>
          </cell>
        </row>
        <row r="54">
          <cell r="Z54">
            <v>246139599</v>
          </cell>
        </row>
        <row r="60">
          <cell r="T60">
            <v>1.59</v>
          </cell>
        </row>
      </sheetData>
      <sheetData sheetId="4">
        <row r="6">
          <cell r="I6">
            <v>36903139</v>
          </cell>
        </row>
        <row r="7">
          <cell r="I7">
            <v>36903139</v>
          </cell>
        </row>
        <row r="8">
          <cell r="I8">
            <v>36903139</v>
          </cell>
        </row>
        <row r="9">
          <cell r="I9">
            <v>49073289</v>
          </cell>
        </row>
        <row r="10">
          <cell r="I10">
            <v>36903139</v>
          </cell>
        </row>
        <row r="11">
          <cell r="I11">
            <v>5557400</v>
          </cell>
        </row>
        <row r="12">
          <cell r="I12">
            <v>6964890</v>
          </cell>
        </row>
        <row r="13">
          <cell r="I13">
            <v>55886652</v>
          </cell>
        </row>
        <row r="14">
          <cell r="I14">
            <v>56905722</v>
          </cell>
        </row>
        <row r="15">
          <cell r="I15">
            <v>65930094</v>
          </cell>
        </row>
        <row r="16">
          <cell r="I16">
            <v>58604528</v>
          </cell>
        </row>
        <row r="17">
          <cell r="I17">
            <v>62000005</v>
          </cell>
        </row>
        <row r="18">
          <cell r="I18">
            <v>21341780</v>
          </cell>
        </row>
        <row r="19">
          <cell r="I19">
            <v>10670890</v>
          </cell>
        </row>
        <row r="20">
          <cell r="I20">
            <v>5335445</v>
          </cell>
        </row>
        <row r="21">
          <cell r="I21">
            <v>10670890</v>
          </cell>
        </row>
        <row r="22">
          <cell r="I22">
            <v>10670890</v>
          </cell>
        </row>
        <row r="23">
          <cell r="I23">
            <v>276376</v>
          </cell>
        </row>
        <row r="24">
          <cell r="I24">
            <v>10670890</v>
          </cell>
        </row>
        <row r="25">
          <cell r="I25">
            <v>138360894</v>
          </cell>
        </row>
        <row r="26">
          <cell r="I26">
            <v>35703731</v>
          </cell>
        </row>
        <row r="27">
          <cell r="I27">
            <v>160063350</v>
          </cell>
        </row>
        <row r="28">
          <cell r="I28">
            <v>298784920</v>
          </cell>
        </row>
        <row r="29">
          <cell r="I29">
            <v>1620289279</v>
          </cell>
        </row>
        <row r="30">
          <cell r="I30">
            <v>10670890</v>
          </cell>
        </row>
        <row r="31">
          <cell r="I31">
            <v>21341780</v>
          </cell>
        </row>
        <row r="32">
          <cell r="I32">
            <v>21302298</v>
          </cell>
        </row>
        <row r="33">
          <cell r="I33">
            <v>10670890</v>
          </cell>
        </row>
        <row r="34">
          <cell r="I34">
            <v>10670890</v>
          </cell>
        </row>
        <row r="35">
          <cell r="I35">
            <v>10670890</v>
          </cell>
        </row>
        <row r="36">
          <cell r="I36">
            <v>10670890</v>
          </cell>
        </row>
        <row r="37">
          <cell r="I37">
            <v>10670890</v>
          </cell>
        </row>
        <row r="38">
          <cell r="I38">
            <v>10670890</v>
          </cell>
        </row>
        <row r="112">
          <cell r="I112">
            <v>12310569357</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05"/>
  <sheetViews>
    <sheetView showGridLines="0" tabSelected="1" zoomScaleNormal="100" workbookViewId="0">
      <pane xSplit="6" ySplit="1" topLeftCell="G2" activePane="bottomRight" state="frozen"/>
      <selection pane="topRight" activeCell="G1" sqref="G1"/>
      <selection pane="bottomLeft" activeCell="A2" sqref="A2"/>
      <selection pane="bottomRight"/>
    </sheetView>
  </sheetViews>
  <sheetFormatPr defaultColWidth="9.140625" defaultRowHeight="14.25" x14ac:dyDescent="0.25"/>
  <cols>
    <col min="1" max="1" width="15.140625" style="12" bestFit="1" customWidth="1"/>
    <col min="2" max="2" width="5.28515625" style="12" hidden="1" customWidth="1"/>
    <col min="3" max="3" width="6.85546875" style="12" bestFit="1" customWidth="1"/>
    <col min="4" max="4" width="21.42578125" style="12" bestFit="1" customWidth="1"/>
    <col min="5" max="5" width="9.5703125" style="104" bestFit="1" customWidth="1"/>
    <col min="6" max="6" width="8.140625" style="104" bestFit="1" customWidth="1"/>
    <col min="7" max="7" width="8" style="104" bestFit="1" customWidth="1"/>
    <col min="8" max="8" width="99.5703125" style="12" bestFit="1" customWidth="1"/>
    <col min="9" max="9" width="107.5703125" style="12" bestFit="1" customWidth="1"/>
    <col min="10" max="10" width="10.7109375" style="12" bestFit="1" customWidth="1"/>
    <col min="11" max="11" width="14" style="12" bestFit="1" customWidth="1"/>
    <col min="12" max="12" width="255.7109375" style="12" bestFit="1" customWidth="1"/>
    <col min="13" max="13" width="62.42578125" style="105" bestFit="1" customWidth="1"/>
    <col min="14" max="14" width="47.7109375" style="12" bestFit="1" customWidth="1"/>
    <col min="15" max="16" width="20.140625" style="12" bestFit="1" customWidth="1"/>
    <col min="17" max="17" width="15.5703125" style="72" bestFit="1" customWidth="1"/>
    <col min="18" max="18" width="16.140625" style="12" bestFit="1" customWidth="1"/>
    <col min="19" max="19" width="39.85546875" style="12" bestFit="1" customWidth="1"/>
    <col min="20" max="20" width="78.140625" style="12" bestFit="1" customWidth="1"/>
    <col min="21" max="21" width="77.42578125" style="12" bestFit="1" customWidth="1"/>
    <col min="22" max="24" width="255.7109375" style="12" bestFit="1" customWidth="1"/>
    <col min="25" max="25" width="31.28515625" style="12" customWidth="1"/>
    <col min="26" max="26" width="22.7109375" style="49" bestFit="1" customWidth="1"/>
    <col min="27" max="27" width="8.85546875" style="12" bestFit="1" customWidth="1"/>
    <col min="28" max="29" width="5.5703125" style="12" bestFit="1" customWidth="1"/>
    <col min="30" max="30" width="6" style="12" bestFit="1" customWidth="1"/>
    <col min="31" max="31" width="5.5703125" style="12" bestFit="1" customWidth="1"/>
    <col min="32" max="32" width="9.5703125" style="12" bestFit="1" customWidth="1"/>
    <col min="33" max="34" width="15" style="12" bestFit="1" customWidth="1"/>
    <col min="35" max="16384" width="9.140625" style="12"/>
  </cols>
  <sheetData>
    <row r="1" spans="1:39" s="161" customFormat="1" ht="30" customHeight="1" x14ac:dyDescent="0.25">
      <c r="A1" s="284" t="s">
        <v>1192</v>
      </c>
      <c r="B1" s="284" t="s">
        <v>1211</v>
      </c>
      <c r="C1" s="284" t="s">
        <v>1193</v>
      </c>
      <c r="D1" s="284" t="s">
        <v>419</v>
      </c>
      <c r="E1" s="288" t="s">
        <v>1217</v>
      </c>
      <c r="F1" s="288" t="s">
        <v>1218</v>
      </c>
      <c r="G1" s="288" t="s">
        <v>3105</v>
      </c>
      <c r="H1" s="284" t="s">
        <v>1</v>
      </c>
      <c r="I1" s="284" t="s">
        <v>1739</v>
      </c>
      <c r="J1" s="284" t="s">
        <v>299</v>
      </c>
      <c r="K1" s="286" t="s">
        <v>1209</v>
      </c>
      <c r="L1" s="284" t="s">
        <v>2</v>
      </c>
      <c r="M1" s="289" t="s">
        <v>1191</v>
      </c>
      <c r="N1" s="284" t="s">
        <v>1198</v>
      </c>
      <c r="O1" s="284" t="s">
        <v>1196</v>
      </c>
      <c r="P1" s="284" t="s">
        <v>1197</v>
      </c>
      <c r="Q1" s="290" t="s">
        <v>1194</v>
      </c>
      <c r="R1" s="284" t="s">
        <v>1195</v>
      </c>
      <c r="S1" s="284" t="s">
        <v>2705</v>
      </c>
      <c r="T1" s="289" t="s">
        <v>349</v>
      </c>
      <c r="U1" s="289" t="s">
        <v>358</v>
      </c>
      <c r="V1" s="289" t="s">
        <v>434</v>
      </c>
      <c r="W1" s="289" t="s">
        <v>3251</v>
      </c>
      <c r="X1" s="289" t="s">
        <v>360</v>
      </c>
      <c r="Y1" s="284" t="s">
        <v>2703</v>
      </c>
      <c r="Z1" s="291" t="s">
        <v>3045</v>
      </c>
      <c r="AA1" s="284" t="s">
        <v>3107</v>
      </c>
      <c r="AB1" s="284" t="s">
        <v>3115</v>
      </c>
      <c r="AC1" s="284" t="s">
        <v>3116</v>
      </c>
      <c r="AD1" s="284" t="s">
        <v>3117</v>
      </c>
      <c r="AE1" s="284" t="s">
        <v>3118</v>
      </c>
      <c r="AF1" s="284" t="s">
        <v>3123</v>
      </c>
      <c r="AG1" s="284" t="s">
        <v>3124</v>
      </c>
      <c r="AH1" s="284" t="s">
        <v>3125</v>
      </c>
    </row>
    <row r="2" spans="1:39" ht="15" customHeight="1" x14ac:dyDescent="0.2">
      <c r="A2" s="11"/>
      <c r="B2" s="11" t="s">
        <v>1211</v>
      </c>
      <c r="C2" s="11">
        <v>1028</v>
      </c>
      <c r="D2" s="13" t="s">
        <v>420</v>
      </c>
      <c r="E2" s="14"/>
      <c r="F2" s="14">
        <v>204</v>
      </c>
      <c r="G2" s="14">
        <v>1</v>
      </c>
      <c r="H2" s="13" t="s">
        <v>373</v>
      </c>
      <c r="I2" s="13" t="str">
        <f t="shared" ref="I2:I65" si="0">IF(M2="@",H2&amp;" ("&amp;M2&amp;"  "&amp;N2&amp;")",H2&amp;" ("&amp;M2&amp;" to "&amp;N2&amp;")")</f>
        <v>AVI-Ground Transportation Management System ( to )</v>
      </c>
      <c r="J2" s="11" t="s">
        <v>1199</v>
      </c>
      <c r="K2" s="13" t="str">
        <f>VLOOKUP(J2,'Data-ProjectTypes'!A$3:B$13,2,FALSE)</f>
        <v>Program</v>
      </c>
      <c r="L2" s="11" t="s">
        <v>393</v>
      </c>
      <c r="M2" s="11"/>
      <c r="N2" s="11"/>
      <c r="O2" s="11" t="s">
        <v>270</v>
      </c>
      <c r="P2" s="11" t="s">
        <v>270</v>
      </c>
      <c r="Q2" s="15"/>
      <c r="R2" s="16">
        <v>1857535</v>
      </c>
      <c r="S2" s="11"/>
      <c r="T2" s="11"/>
      <c r="U2" s="11"/>
      <c r="V2" s="11"/>
      <c r="W2" s="11"/>
      <c r="X2" s="11"/>
      <c r="Y2" s="17"/>
      <c r="Z2" s="18">
        <f>ROUND(R2*'Data-CostAssumptions'!$C$3,-3)</f>
        <v>2571000</v>
      </c>
      <c r="AA2" s="11">
        <f>IF(V2="",IF(W2="",0,1),1)</f>
        <v>0</v>
      </c>
      <c r="AB2" s="11">
        <v>2041</v>
      </c>
      <c r="AC2" s="11">
        <v>2041</v>
      </c>
      <c r="AD2" s="11">
        <v>2041</v>
      </c>
      <c r="AE2" s="11">
        <v>2041</v>
      </c>
      <c r="AF2" s="11">
        <v>0</v>
      </c>
      <c r="AG2" s="19">
        <f>ROUND((Z2*0.18)*(1+'Data-CostAssumptions'!$G$3)^(AC2-'Data-CostAssumptions'!$G$4),-3)</f>
        <v>1187000</v>
      </c>
      <c r="AH2" s="19">
        <f>ROUND((Z2)*(1+'Data-CostAssumptions'!$G$3)^(AE2-'Data-CostAssumptions'!$G$4),-3)</f>
        <v>6592000</v>
      </c>
    </row>
    <row r="3" spans="1:39" ht="15" customHeight="1" x14ac:dyDescent="0.2">
      <c r="A3" s="11"/>
      <c r="B3" s="11" t="s">
        <v>1213</v>
      </c>
      <c r="C3" s="13">
        <v>740</v>
      </c>
      <c r="D3" s="13" t="s">
        <v>420</v>
      </c>
      <c r="E3" s="20">
        <v>36</v>
      </c>
      <c r="F3" s="20">
        <v>183</v>
      </c>
      <c r="G3" s="20">
        <v>2</v>
      </c>
      <c r="H3" s="13" t="s">
        <v>1870</v>
      </c>
      <c r="I3" s="13" t="str">
        <f t="shared" si="0"/>
        <v>10th St (SR 5/US 1 to SW 11th Way)</v>
      </c>
      <c r="J3" s="13" t="s">
        <v>29</v>
      </c>
      <c r="K3" s="13" t="str">
        <f>VLOOKUP(J3,'Data-ProjectTypes'!A$3:B$13,2,FALSE)</f>
        <v>Program</v>
      </c>
      <c r="L3" s="21" t="s">
        <v>348</v>
      </c>
      <c r="M3" s="13" t="s">
        <v>1424</v>
      </c>
      <c r="N3" s="13" t="s">
        <v>240</v>
      </c>
      <c r="O3" s="13" t="s">
        <v>289</v>
      </c>
      <c r="P3" s="13" t="s">
        <v>289</v>
      </c>
      <c r="Q3" s="22">
        <v>1.4</v>
      </c>
      <c r="R3" s="23">
        <v>329212</v>
      </c>
      <c r="S3" s="21" t="s">
        <v>25</v>
      </c>
      <c r="T3" s="21"/>
      <c r="U3" s="21"/>
      <c r="V3" s="24"/>
      <c r="W3" s="24"/>
      <c r="X3" s="24"/>
      <c r="Y3" s="17" t="s">
        <v>492</v>
      </c>
      <c r="Z3" s="18">
        <f>ROUND(R3*'Data-CostAssumptions'!$C$3,-3)</f>
        <v>456000</v>
      </c>
      <c r="AA3" s="11">
        <f t="shared" ref="AA3:AA66" si="1">IF(V3="",IF(W3="",0,1),1)</f>
        <v>0</v>
      </c>
      <c r="AB3" s="11">
        <v>2041</v>
      </c>
      <c r="AC3" s="11">
        <v>2041</v>
      </c>
      <c r="AD3" s="11">
        <v>2041</v>
      </c>
      <c r="AE3" s="11">
        <v>2041</v>
      </c>
      <c r="AF3" s="11">
        <v>0</v>
      </c>
      <c r="AG3" s="19">
        <f>ROUND((Z3*0.18)*(1+'Data-CostAssumptions'!$G$3)^(AC3-'Data-CostAssumptions'!$G$4),-3)</f>
        <v>210000</v>
      </c>
      <c r="AH3" s="19">
        <f>ROUND((Z3)*(1+'Data-CostAssumptions'!$G$3)^(AE3-'Data-CostAssumptions'!$G$4),-3)</f>
        <v>1169000</v>
      </c>
    </row>
    <row r="4" spans="1:39" s="25" customFormat="1" ht="15" customHeight="1" x14ac:dyDescent="0.2">
      <c r="A4" s="11"/>
      <c r="B4" s="11" t="s">
        <v>1213</v>
      </c>
      <c r="C4" s="13">
        <v>678</v>
      </c>
      <c r="D4" s="13" t="s">
        <v>420</v>
      </c>
      <c r="E4" s="20">
        <v>205</v>
      </c>
      <c r="F4" s="20">
        <v>180</v>
      </c>
      <c r="G4" s="20">
        <v>3</v>
      </c>
      <c r="H4" s="13" t="s">
        <v>2011</v>
      </c>
      <c r="I4" s="13" t="str">
        <f t="shared" si="0"/>
        <v>56th Av (Washington St to Stirling Rd)</v>
      </c>
      <c r="J4" s="13" t="s">
        <v>29</v>
      </c>
      <c r="K4" s="13" t="str">
        <f>VLOOKUP(J4,'Data-ProjectTypes'!A$3:B$13,2,FALSE)</f>
        <v>Program</v>
      </c>
      <c r="L4" s="21" t="s">
        <v>562</v>
      </c>
      <c r="M4" s="13" t="s">
        <v>1971</v>
      </c>
      <c r="N4" s="13" t="s">
        <v>177</v>
      </c>
      <c r="O4" s="13" t="s">
        <v>282</v>
      </c>
      <c r="P4" s="13" t="s">
        <v>282</v>
      </c>
      <c r="Q4" s="22">
        <v>3</v>
      </c>
      <c r="R4" s="23">
        <v>694469</v>
      </c>
      <c r="S4" s="21" t="s">
        <v>24</v>
      </c>
      <c r="T4" s="21" t="s">
        <v>25</v>
      </c>
      <c r="U4" s="21" t="s">
        <v>24</v>
      </c>
      <c r="V4" s="24" t="s">
        <v>561</v>
      </c>
      <c r="W4" s="24"/>
      <c r="X4" s="24" t="s">
        <v>564</v>
      </c>
      <c r="Y4" s="17" t="s">
        <v>538</v>
      </c>
      <c r="Z4" s="18">
        <f>ROUND(R4*'Data-CostAssumptions'!$C$3,-3)</f>
        <v>961000</v>
      </c>
      <c r="AA4" s="11">
        <f t="shared" si="1"/>
        <v>1</v>
      </c>
      <c r="AB4" s="11">
        <v>2041</v>
      </c>
      <c r="AC4" s="11">
        <v>2041</v>
      </c>
      <c r="AD4" s="11">
        <v>2041</v>
      </c>
      <c r="AE4" s="11">
        <v>2041</v>
      </c>
      <c r="AF4" s="11">
        <v>0</v>
      </c>
      <c r="AG4" s="19">
        <f>ROUND((Z4*0.18)*(1+'Data-CostAssumptions'!$G$3)^(AC4-'Data-CostAssumptions'!$G$4),-3)</f>
        <v>444000</v>
      </c>
      <c r="AH4" s="19">
        <f>ROUND((Z4)*(1+'Data-CostAssumptions'!$G$3)^(AE4-'Data-CostAssumptions'!$G$4),-3)</f>
        <v>2464000</v>
      </c>
      <c r="AI4" s="12"/>
      <c r="AJ4" s="12"/>
      <c r="AK4" s="12"/>
      <c r="AL4" s="12"/>
      <c r="AM4" s="12"/>
    </row>
    <row r="5" spans="1:39" ht="15" customHeight="1" x14ac:dyDescent="0.2">
      <c r="A5" s="11"/>
      <c r="B5" s="11" t="s">
        <v>1213</v>
      </c>
      <c r="C5" s="13">
        <v>682</v>
      </c>
      <c r="D5" s="13" t="s">
        <v>420</v>
      </c>
      <c r="E5" s="20">
        <v>323</v>
      </c>
      <c r="F5" s="20">
        <v>180</v>
      </c>
      <c r="G5" s="20">
        <v>4</v>
      </c>
      <c r="H5" s="13" t="s">
        <v>1878</v>
      </c>
      <c r="I5" s="13" t="str">
        <f t="shared" si="0"/>
        <v>Eisenhower Bl/SE 32nd St/Eller Dr (Eller Dr/NE 7th Av to SE 17th St)</v>
      </c>
      <c r="J5" s="13" t="s">
        <v>29</v>
      </c>
      <c r="K5" s="13" t="str">
        <f>VLOOKUP(J5,'Data-ProjectTypes'!A$3:B$13,2,FALSE)</f>
        <v>Program</v>
      </c>
      <c r="L5" s="21" t="s">
        <v>348</v>
      </c>
      <c r="M5" s="13" t="s">
        <v>2653</v>
      </c>
      <c r="N5" s="13" t="s">
        <v>182</v>
      </c>
      <c r="O5" s="13" t="s">
        <v>272</v>
      </c>
      <c r="P5" s="13" t="s">
        <v>272</v>
      </c>
      <c r="Q5" s="22">
        <v>2.4</v>
      </c>
      <c r="R5" s="23">
        <v>555934</v>
      </c>
      <c r="S5" s="12" t="s">
        <v>25</v>
      </c>
      <c r="T5" s="21"/>
      <c r="U5" s="21" t="s">
        <v>25</v>
      </c>
      <c r="V5" s="24"/>
      <c r="W5" s="24"/>
      <c r="X5" s="24" t="s">
        <v>567</v>
      </c>
      <c r="Y5" s="17" t="s">
        <v>538</v>
      </c>
      <c r="Z5" s="18">
        <f>ROUND(R5*'Data-CostAssumptions'!$C$3,-3)</f>
        <v>769000</v>
      </c>
      <c r="AA5" s="11">
        <f t="shared" si="1"/>
        <v>0</v>
      </c>
      <c r="AB5" s="11">
        <v>2041</v>
      </c>
      <c r="AC5" s="11">
        <v>2041</v>
      </c>
      <c r="AD5" s="11">
        <v>2041</v>
      </c>
      <c r="AE5" s="11">
        <v>2041</v>
      </c>
      <c r="AF5" s="11">
        <v>0</v>
      </c>
      <c r="AG5" s="19">
        <f>ROUND((Z5*0.18)*(1+'Data-CostAssumptions'!$G$3)^(AC5-'Data-CostAssumptions'!$G$4),-3)</f>
        <v>355000</v>
      </c>
      <c r="AH5" s="19">
        <f>ROUND((Z5)*(1+'Data-CostAssumptions'!$G$3)^(AE5-'Data-CostAssumptions'!$G$4),-3)</f>
        <v>1972000</v>
      </c>
    </row>
    <row r="6" spans="1:39" ht="15" customHeight="1" x14ac:dyDescent="0.2">
      <c r="A6" s="11"/>
      <c r="B6" s="11" t="s">
        <v>1213</v>
      </c>
      <c r="C6" s="13">
        <v>956</v>
      </c>
      <c r="D6" s="13" t="s">
        <v>420</v>
      </c>
      <c r="E6" s="20">
        <v>297</v>
      </c>
      <c r="F6" s="20">
        <v>195</v>
      </c>
      <c r="G6" s="20">
        <v>5</v>
      </c>
      <c r="H6" s="13" t="s">
        <v>33</v>
      </c>
      <c r="I6" s="13" t="str">
        <f t="shared" si="0"/>
        <v>Indian Trace (State Rd 84 (eastbound) to State Rd 84 (westbound))</v>
      </c>
      <c r="J6" s="13" t="s">
        <v>29</v>
      </c>
      <c r="K6" s="13" t="str">
        <f>VLOOKUP(J6,'Data-ProjectTypes'!A$3:B$13,2,FALSE)</f>
        <v>Program</v>
      </c>
      <c r="L6" s="21" t="s">
        <v>348</v>
      </c>
      <c r="M6" s="13" t="s">
        <v>2421</v>
      </c>
      <c r="N6" s="13" t="s">
        <v>2420</v>
      </c>
      <c r="O6" s="13" t="s">
        <v>270</v>
      </c>
      <c r="P6" s="13" t="s">
        <v>270</v>
      </c>
      <c r="Q6" s="22">
        <v>0.1</v>
      </c>
      <c r="R6" s="23">
        <v>14606</v>
      </c>
      <c r="S6" s="21" t="s">
        <v>350</v>
      </c>
      <c r="T6" s="21" t="s">
        <v>684</v>
      </c>
      <c r="U6" s="21" t="s">
        <v>684</v>
      </c>
      <c r="V6" s="24"/>
      <c r="W6" s="24"/>
      <c r="X6" s="24"/>
      <c r="Y6" s="17" t="s">
        <v>831</v>
      </c>
      <c r="Z6" s="18">
        <f>ROUND(R6*'Data-CostAssumptions'!$C$3,-3)</f>
        <v>20000</v>
      </c>
      <c r="AA6" s="11">
        <f t="shared" si="1"/>
        <v>0</v>
      </c>
      <c r="AB6" s="11">
        <v>2041</v>
      </c>
      <c r="AC6" s="11">
        <v>2041</v>
      </c>
      <c r="AD6" s="11">
        <v>2041</v>
      </c>
      <c r="AE6" s="11">
        <v>2041</v>
      </c>
      <c r="AF6" s="11">
        <v>0</v>
      </c>
      <c r="AG6" s="19">
        <f>ROUND((Z6*0.18)*(1+'Data-CostAssumptions'!$G$3)^(AC6-'Data-CostAssumptions'!$G$4),-3)</f>
        <v>9000</v>
      </c>
      <c r="AH6" s="19">
        <f>ROUND((Z6)*(1+'Data-CostAssumptions'!$G$3)^(AE6-'Data-CostAssumptions'!$G$4),-3)</f>
        <v>51000</v>
      </c>
    </row>
    <row r="7" spans="1:39" ht="15" customHeight="1" x14ac:dyDescent="0.2">
      <c r="A7" s="11"/>
      <c r="B7" s="11" t="s">
        <v>1211</v>
      </c>
      <c r="C7" s="13">
        <v>625</v>
      </c>
      <c r="D7" s="13" t="s">
        <v>420</v>
      </c>
      <c r="E7" s="20">
        <v>8</v>
      </c>
      <c r="F7" s="20">
        <v>177</v>
      </c>
      <c r="G7" s="20">
        <v>6</v>
      </c>
      <c r="H7" s="13" t="s">
        <v>1780</v>
      </c>
      <c r="I7" s="13" t="str">
        <f t="shared" si="0"/>
        <v>Wiles Rd (State Rd 7 to Rock Island Rd)</v>
      </c>
      <c r="J7" s="13" t="s">
        <v>29</v>
      </c>
      <c r="K7" s="13" t="str">
        <f>VLOOKUP(J7,'Data-ProjectTypes'!A$3:B$13,2,FALSE)</f>
        <v>Program</v>
      </c>
      <c r="L7" s="21" t="s">
        <v>348</v>
      </c>
      <c r="M7" s="13" t="s">
        <v>1772</v>
      </c>
      <c r="N7" s="13" t="s">
        <v>1768</v>
      </c>
      <c r="O7" s="13" t="s">
        <v>273</v>
      </c>
      <c r="P7" s="13" t="s">
        <v>273</v>
      </c>
      <c r="Q7" s="22">
        <v>1.1000000000000001</v>
      </c>
      <c r="R7" s="23">
        <v>249968</v>
      </c>
      <c r="S7" s="21" t="s">
        <v>24</v>
      </c>
      <c r="T7" s="21"/>
      <c r="U7" s="21"/>
      <c r="V7" s="24"/>
      <c r="W7" s="24"/>
      <c r="X7" s="24"/>
      <c r="Y7" s="17" t="s">
        <v>460</v>
      </c>
      <c r="Z7" s="18">
        <f>ROUND(R7*'Data-CostAssumptions'!$C$3,-3)</f>
        <v>346000</v>
      </c>
      <c r="AA7" s="11">
        <f t="shared" si="1"/>
        <v>0</v>
      </c>
      <c r="AB7" s="11">
        <v>2041</v>
      </c>
      <c r="AC7" s="11">
        <v>2041</v>
      </c>
      <c r="AD7" s="11">
        <v>2041</v>
      </c>
      <c r="AE7" s="11">
        <v>2041</v>
      </c>
      <c r="AF7" s="11">
        <v>0</v>
      </c>
      <c r="AG7" s="19">
        <f>ROUND((Z7*0.18)*(1+'Data-CostAssumptions'!$G$3)^(AC7-'Data-CostAssumptions'!$G$4),-3)</f>
        <v>160000</v>
      </c>
      <c r="AH7" s="19">
        <f>ROUND((Z7)*(1+'Data-CostAssumptions'!$G$3)^(AE7-'Data-CostAssumptions'!$G$4),-3)</f>
        <v>887000</v>
      </c>
    </row>
    <row r="8" spans="1:39" ht="15" customHeight="1" x14ac:dyDescent="0.2">
      <c r="A8" s="11"/>
      <c r="B8" s="11" t="s">
        <v>1211</v>
      </c>
      <c r="C8" s="13">
        <v>626</v>
      </c>
      <c r="D8" s="13" t="s">
        <v>420</v>
      </c>
      <c r="E8" s="20">
        <v>22</v>
      </c>
      <c r="F8" s="20">
        <v>177</v>
      </c>
      <c r="G8" s="20">
        <v>7</v>
      </c>
      <c r="H8" s="13" t="s">
        <v>2035</v>
      </c>
      <c r="I8" s="13" t="str">
        <f t="shared" si="0"/>
        <v>NE 5th Av (Atlantic Bl to Copans Rd)</v>
      </c>
      <c r="J8" s="13" t="s">
        <v>29</v>
      </c>
      <c r="K8" s="13" t="str">
        <f>VLOOKUP(J8,'Data-ProjectTypes'!A$3:B$13,2,FALSE)</f>
        <v>Program</v>
      </c>
      <c r="L8" s="21" t="s">
        <v>348</v>
      </c>
      <c r="M8" s="13" t="s">
        <v>1809</v>
      </c>
      <c r="N8" s="13" t="s">
        <v>1836</v>
      </c>
      <c r="O8" s="13" t="s">
        <v>275</v>
      </c>
      <c r="P8" s="13" t="s">
        <v>275</v>
      </c>
      <c r="Q8" s="22">
        <v>2</v>
      </c>
      <c r="R8" s="23">
        <v>469467</v>
      </c>
      <c r="S8" s="21"/>
      <c r="T8" s="21"/>
      <c r="U8" s="21"/>
      <c r="V8" s="24"/>
      <c r="W8" s="24"/>
      <c r="X8" s="24" t="s">
        <v>775</v>
      </c>
      <c r="Y8" s="17" t="s">
        <v>765</v>
      </c>
      <c r="Z8" s="18">
        <f>ROUND(R8*'Data-CostAssumptions'!$C$3,-3)</f>
        <v>650000</v>
      </c>
      <c r="AA8" s="11">
        <f t="shared" si="1"/>
        <v>0</v>
      </c>
      <c r="AB8" s="11">
        <v>2041</v>
      </c>
      <c r="AC8" s="11">
        <v>2041</v>
      </c>
      <c r="AD8" s="11">
        <v>2041</v>
      </c>
      <c r="AE8" s="11">
        <v>2041</v>
      </c>
      <c r="AF8" s="11">
        <v>0</v>
      </c>
      <c r="AG8" s="19">
        <f>ROUND((Z8*0.18)*(1+'Data-CostAssumptions'!$G$3)^(AC8-'Data-CostAssumptions'!$G$4),-3)</f>
        <v>300000</v>
      </c>
      <c r="AH8" s="19">
        <f>ROUND((Z8)*(1+'Data-CostAssumptions'!$G$3)^(AE8-'Data-CostAssumptions'!$G$4),-3)</f>
        <v>1667000</v>
      </c>
    </row>
    <row r="9" spans="1:39" ht="15" customHeight="1" x14ac:dyDescent="0.2">
      <c r="A9" s="11"/>
      <c r="B9" s="11" t="s">
        <v>1211</v>
      </c>
      <c r="C9" s="13">
        <v>627</v>
      </c>
      <c r="D9" s="13" t="s">
        <v>420</v>
      </c>
      <c r="E9" s="20">
        <v>59</v>
      </c>
      <c r="F9" s="20">
        <v>177</v>
      </c>
      <c r="G9" s="20">
        <v>8</v>
      </c>
      <c r="H9" s="13" t="s">
        <v>1977</v>
      </c>
      <c r="I9" s="13" t="str">
        <f t="shared" si="0"/>
        <v>Miramar Pkwy (Palm Av to Hiatus Rd)</v>
      </c>
      <c r="J9" s="13" t="s">
        <v>29</v>
      </c>
      <c r="K9" s="13" t="str">
        <f>VLOOKUP(J9,'Data-ProjectTypes'!A$3:B$13,2,FALSE)</f>
        <v>Program</v>
      </c>
      <c r="L9" s="21" t="s">
        <v>348</v>
      </c>
      <c r="M9" s="13" t="s">
        <v>2083</v>
      </c>
      <c r="N9" s="13" t="s">
        <v>1752</v>
      </c>
      <c r="O9" s="13" t="s">
        <v>274</v>
      </c>
      <c r="P9" s="13" t="s">
        <v>274</v>
      </c>
      <c r="Q9" s="22">
        <v>1.1000000000000001</v>
      </c>
      <c r="R9" s="23">
        <v>254935</v>
      </c>
      <c r="S9" s="21" t="s">
        <v>24</v>
      </c>
      <c r="T9" s="21" t="s">
        <v>684</v>
      </c>
      <c r="U9" s="21" t="s">
        <v>684</v>
      </c>
      <c r="V9" s="24"/>
      <c r="W9" s="24"/>
      <c r="X9" s="24"/>
      <c r="Y9" s="17" t="s">
        <v>685</v>
      </c>
      <c r="Z9" s="18">
        <f>ROUND(R9*'Data-CostAssumptions'!$C$3,-3)</f>
        <v>353000</v>
      </c>
      <c r="AA9" s="11">
        <f t="shared" si="1"/>
        <v>0</v>
      </c>
      <c r="AB9" s="11">
        <v>2041</v>
      </c>
      <c r="AC9" s="11">
        <v>2041</v>
      </c>
      <c r="AD9" s="11">
        <v>2041</v>
      </c>
      <c r="AE9" s="11">
        <v>2041</v>
      </c>
      <c r="AF9" s="11">
        <v>0</v>
      </c>
      <c r="AG9" s="19">
        <f>ROUND((Z9*0.18)*(1+'Data-CostAssumptions'!$G$3)^(AC9-'Data-CostAssumptions'!$G$4),-3)</f>
        <v>163000</v>
      </c>
      <c r="AH9" s="19">
        <f>ROUND((Z9)*(1+'Data-CostAssumptions'!$G$3)^(AE9-'Data-CostAssumptions'!$G$4),-3)</f>
        <v>905000</v>
      </c>
    </row>
    <row r="10" spans="1:39" ht="15" customHeight="1" x14ac:dyDescent="0.2">
      <c r="A10" s="11"/>
      <c r="B10" s="11" t="s">
        <v>1211</v>
      </c>
      <c r="C10" s="13">
        <v>628</v>
      </c>
      <c r="D10" s="13" t="s">
        <v>420</v>
      </c>
      <c r="E10" s="20">
        <v>64</v>
      </c>
      <c r="F10" s="20">
        <v>177</v>
      </c>
      <c r="G10" s="20">
        <v>9</v>
      </c>
      <c r="H10" s="13" t="s">
        <v>2734</v>
      </c>
      <c r="I10" s="13" t="str">
        <f t="shared" si="0"/>
        <v>SR 814/Atlantic Bl (US 1/Federal Hwy to NE 1st Av)</v>
      </c>
      <c r="J10" s="13" t="s">
        <v>29</v>
      </c>
      <c r="K10" s="13" t="str">
        <f>VLOOKUP(J10,'Data-ProjectTypes'!A$3:B$13,2,FALSE)</f>
        <v>Program</v>
      </c>
      <c r="L10" s="21" t="s">
        <v>348</v>
      </c>
      <c r="M10" s="13" t="s">
        <v>2594</v>
      </c>
      <c r="N10" s="13" t="s">
        <v>2027</v>
      </c>
      <c r="O10" s="13" t="s">
        <v>270</v>
      </c>
      <c r="P10" s="13" t="s">
        <v>270</v>
      </c>
      <c r="Q10" s="22">
        <v>1.3</v>
      </c>
      <c r="R10" s="23">
        <v>309157</v>
      </c>
      <c r="S10" s="21"/>
      <c r="T10" s="21"/>
      <c r="U10" s="21"/>
      <c r="V10" s="24"/>
      <c r="W10" s="24"/>
      <c r="X10" s="24"/>
      <c r="Y10" s="17"/>
      <c r="Z10" s="18">
        <f>ROUND(R10*'Data-CostAssumptions'!$C$3,-3)</f>
        <v>428000</v>
      </c>
      <c r="AA10" s="11">
        <f t="shared" si="1"/>
        <v>0</v>
      </c>
      <c r="AB10" s="11">
        <v>2041</v>
      </c>
      <c r="AC10" s="11">
        <v>2041</v>
      </c>
      <c r="AD10" s="11">
        <v>2041</v>
      </c>
      <c r="AE10" s="11">
        <v>2041</v>
      </c>
      <c r="AF10" s="11">
        <v>0</v>
      </c>
      <c r="AG10" s="19">
        <f>ROUND((Z10*0.18)*(1+'Data-CostAssumptions'!$G$3)^(AC10-'Data-CostAssumptions'!$G$4),-3)</f>
        <v>198000</v>
      </c>
      <c r="AH10" s="19">
        <f>ROUND((Z10)*(1+'Data-CostAssumptions'!$G$3)^(AE10-'Data-CostAssumptions'!$G$4),-3)</f>
        <v>1097000</v>
      </c>
    </row>
    <row r="11" spans="1:39" ht="15" customHeight="1" x14ac:dyDescent="0.2">
      <c r="A11" s="11"/>
      <c r="B11" s="11" t="s">
        <v>1211</v>
      </c>
      <c r="C11" s="13">
        <v>629</v>
      </c>
      <c r="D11" s="13" t="s">
        <v>420</v>
      </c>
      <c r="E11" s="20">
        <v>66</v>
      </c>
      <c r="F11" s="20">
        <v>177</v>
      </c>
      <c r="G11" s="20">
        <v>10</v>
      </c>
      <c r="H11" s="13" t="s">
        <v>2755</v>
      </c>
      <c r="I11" s="13" t="str">
        <f t="shared" si="0"/>
        <v>SR 811/Dixie Hwy (SW 3rd St to Atlantic Bl)</v>
      </c>
      <c r="J11" s="13" t="s">
        <v>29</v>
      </c>
      <c r="K11" s="13" t="str">
        <f>VLOOKUP(J11,'Data-ProjectTypes'!A$3:B$13,2,FALSE)</f>
        <v>Program</v>
      </c>
      <c r="L11" s="21" t="s">
        <v>348</v>
      </c>
      <c r="M11" s="13" t="s">
        <v>1962</v>
      </c>
      <c r="N11" s="13" t="s">
        <v>1809</v>
      </c>
      <c r="O11" s="13" t="s">
        <v>270</v>
      </c>
      <c r="P11" s="13" t="s">
        <v>270</v>
      </c>
      <c r="Q11" s="22">
        <v>0.4</v>
      </c>
      <c r="R11" s="23">
        <v>85719</v>
      </c>
      <c r="S11" s="21"/>
      <c r="T11" s="21"/>
      <c r="U11" s="21"/>
      <c r="V11" s="24"/>
      <c r="W11" s="24"/>
      <c r="X11" s="24"/>
      <c r="Y11" s="17"/>
      <c r="Z11" s="18">
        <f>ROUND(R11*'Data-CostAssumptions'!$C$3,-3)</f>
        <v>119000</v>
      </c>
      <c r="AA11" s="11">
        <f t="shared" si="1"/>
        <v>0</v>
      </c>
      <c r="AB11" s="11">
        <v>2041</v>
      </c>
      <c r="AC11" s="11">
        <v>2041</v>
      </c>
      <c r="AD11" s="11">
        <v>2041</v>
      </c>
      <c r="AE11" s="11">
        <v>2041</v>
      </c>
      <c r="AF11" s="11">
        <v>0</v>
      </c>
      <c r="AG11" s="19">
        <f>ROUND((Z11*0.18)*(1+'Data-CostAssumptions'!$G$3)^(AC11-'Data-CostAssumptions'!$G$4),-3)</f>
        <v>55000</v>
      </c>
      <c r="AH11" s="19">
        <f>ROUND((Z11)*(1+'Data-CostAssumptions'!$G$3)^(AE11-'Data-CostAssumptions'!$G$4),-3)</f>
        <v>305000</v>
      </c>
    </row>
    <row r="12" spans="1:39" s="25" customFormat="1" ht="15" customHeight="1" x14ac:dyDescent="0.2">
      <c r="A12" s="11"/>
      <c r="B12" s="11" t="s">
        <v>1211</v>
      </c>
      <c r="C12" s="13">
        <v>630</v>
      </c>
      <c r="D12" s="13" t="s">
        <v>420</v>
      </c>
      <c r="E12" s="20">
        <v>67</v>
      </c>
      <c r="F12" s="20">
        <v>177</v>
      </c>
      <c r="G12" s="20">
        <v>11</v>
      </c>
      <c r="H12" s="13" t="s">
        <v>1962</v>
      </c>
      <c r="I12" s="13" t="str">
        <f t="shared" si="0"/>
        <v>SW 3rd St (Cypress Rd to Andrews Av)</v>
      </c>
      <c r="J12" s="13" t="s">
        <v>29</v>
      </c>
      <c r="K12" s="13" t="str">
        <f>VLOOKUP(J12,'Data-ProjectTypes'!A$3:B$13,2,FALSE)</f>
        <v>Program</v>
      </c>
      <c r="L12" s="21" t="s">
        <v>348</v>
      </c>
      <c r="M12" s="13" t="s">
        <v>1843</v>
      </c>
      <c r="N12" s="13" t="s">
        <v>2014</v>
      </c>
      <c r="O12" s="13" t="s">
        <v>273</v>
      </c>
      <c r="P12" s="13" t="s">
        <v>273</v>
      </c>
      <c r="Q12" s="22">
        <v>1</v>
      </c>
      <c r="R12" s="23">
        <v>230492</v>
      </c>
      <c r="S12" s="21"/>
      <c r="T12" s="21"/>
      <c r="U12" s="21"/>
      <c r="V12" s="24"/>
      <c r="W12" s="24"/>
      <c r="X12" s="24"/>
      <c r="Y12" s="17"/>
      <c r="Z12" s="18">
        <f>ROUND(R12*'Data-CostAssumptions'!$C$3,-3)</f>
        <v>319000</v>
      </c>
      <c r="AA12" s="11">
        <f t="shared" si="1"/>
        <v>0</v>
      </c>
      <c r="AB12" s="11">
        <v>2041</v>
      </c>
      <c r="AC12" s="11">
        <v>2041</v>
      </c>
      <c r="AD12" s="11">
        <v>2041</v>
      </c>
      <c r="AE12" s="11">
        <v>2041</v>
      </c>
      <c r="AF12" s="11">
        <v>0</v>
      </c>
      <c r="AG12" s="19">
        <f>ROUND((Z12*0.18)*(1+'Data-CostAssumptions'!$G$3)^(AC12-'Data-CostAssumptions'!$G$4),-3)</f>
        <v>147000</v>
      </c>
      <c r="AH12" s="19">
        <f>ROUND((Z12)*(1+'Data-CostAssumptions'!$G$3)^(AE12-'Data-CostAssumptions'!$G$4),-3)</f>
        <v>818000</v>
      </c>
      <c r="AI12" s="12"/>
      <c r="AJ12" s="12"/>
      <c r="AK12" s="12"/>
      <c r="AL12" s="12"/>
      <c r="AM12" s="12"/>
    </row>
    <row r="13" spans="1:39" ht="15" customHeight="1" x14ac:dyDescent="0.2">
      <c r="A13" s="11"/>
      <c r="B13" s="11" t="s">
        <v>1211</v>
      </c>
      <c r="C13" s="13">
        <v>631</v>
      </c>
      <c r="D13" s="13" t="s">
        <v>420</v>
      </c>
      <c r="E13" s="20">
        <v>98</v>
      </c>
      <c r="F13" s="20">
        <v>177</v>
      </c>
      <c r="G13" s="20">
        <v>12</v>
      </c>
      <c r="H13" s="13" t="s">
        <v>1908</v>
      </c>
      <c r="I13" s="13" t="str">
        <f t="shared" si="0"/>
        <v>NW 13th St (US 1/Federal Highwau to Powerline Rd)</v>
      </c>
      <c r="J13" s="13" t="s">
        <v>29</v>
      </c>
      <c r="K13" s="13" t="str">
        <f>VLOOKUP(J13,'Data-ProjectTypes'!A$3:B$13,2,FALSE)</f>
        <v>Program</v>
      </c>
      <c r="L13" s="21" t="s">
        <v>348</v>
      </c>
      <c r="M13" s="13" t="s">
        <v>215</v>
      </c>
      <c r="N13" s="13" t="s">
        <v>1858</v>
      </c>
      <c r="O13" s="13" t="s">
        <v>276</v>
      </c>
      <c r="P13" s="13" t="s">
        <v>276</v>
      </c>
      <c r="Q13" s="22">
        <v>2.1</v>
      </c>
      <c r="R13" s="23">
        <v>489700</v>
      </c>
      <c r="S13" s="21"/>
      <c r="T13" s="21"/>
      <c r="U13" s="21"/>
      <c r="V13" s="24"/>
      <c r="W13" s="24"/>
      <c r="X13" s="24"/>
      <c r="Y13" s="17"/>
      <c r="Z13" s="18">
        <f>ROUND(R13*'Data-CostAssumptions'!$C$3,-3)</f>
        <v>678000</v>
      </c>
      <c r="AA13" s="11">
        <f t="shared" si="1"/>
        <v>0</v>
      </c>
      <c r="AB13" s="11">
        <v>2041</v>
      </c>
      <c r="AC13" s="11">
        <v>2041</v>
      </c>
      <c r="AD13" s="11">
        <v>2041</v>
      </c>
      <c r="AE13" s="11">
        <v>2041</v>
      </c>
      <c r="AF13" s="11">
        <v>0</v>
      </c>
      <c r="AG13" s="19">
        <f>ROUND((Z13*0.18)*(1+'Data-CostAssumptions'!$G$3)^(AC13-'Data-CostAssumptions'!$G$4),-3)</f>
        <v>313000</v>
      </c>
      <c r="AH13" s="19">
        <f>ROUND((Z13)*(1+'Data-CostAssumptions'!$G$3)^(AE13-'Data-CostAssumptions'!$G$4),-3)</f>
        <v>1738000</v>
      </c>
    </row>
    <row r="14" spans="1:39" ht="15" customHeight="1" x14ac:dyDescent="0.2">
      <c r="A14" s="11"/>
      <c r="B14" s="11" t="s">
        <v>1211</v>
      </c>
      <c r="C14" s="13">
        <v>632</v>
      </c>
      <c r="D14" s="13" t="s">
        <v>420</v>
      </c>
      <c r="E14" s="20">
        <v>103</v>
      </c>
      <c r="F14" s="20">
        <v>177</v>
      </c>
      <c r="G14" s="20">
        <v>13</v>
      </c>
      <c r="H14" s="13" t="s">
        <v>2209</v>
      </c>
      <c r="I14" s="13" t="str">
        <f t="shared" si="0"/>
        <v>SR 5/ US 1 (SE 12th ST/ Davie BL to Broward BL)</v>
      </c>
      <c r="J14" s="13" t="s">
        <v>29</v>
      </c>
      <c r="K14" s="13" t="str">
        <f>VLOOKUP(J14,'Data-ProjectTypes'!A$3:B$13,2,FALSE)</f>
        <v>Program</v>
      </c>
      <c r="L14" s="21" t="s">
        <v>348</v>
      </c>
      <c r="M14" s="13" t="s">
        <v>213</v>
      </c>
      <c r="N14" s="13" t="s">
        <v>58</v>
      </c>
      <c r="O14" s="13" t="s">
        <v>270</v>
      </c>
      <c r="P14" s="13" t="s">
        <v>270</v>
      </c>
      <c r="Q14" s="22">
        <v>1</v>
      </c>
      <c r="R14" s="23">
        <v>236571</v>
      </c>
      <c r="S14" s="21"/>
      <c r="T14" s="21"/>
      <c r="U14" s="21"/>
      <c r="V14" s="24"/>
      <c r="W14" s="24"/>
      <c r="X14" s="24"/>
      <c r="Y14" s="17"/>
      <c r="Z14" s="18">
        <f>ROUND(R14*'Data-CostAssumptions'!$C$3,-3)</f>
        <v>327000</v>
      </c>
      <c r="AA14" s="11">
        <f t="shared" si="1"/>
        <v>0</v>
      </c>
      <c r="AB14" s="11">
        <v>2041</v>
      </c>
      <c r="AC14" s="11">
        <v>2041</v>
      </c>
      <c r="AD14" s="11">
        <v>2041</v>
      </c>
      <c r="AE14" s="11">
        <v>2041</v>
      </c>
      <c r="AF14" s="11">
        <v>0</v>
      </c>
      <c r="AG14" s="19">
        <f>ROUND((Z14*0.18)*(1+'Data-CostAssumptions'!$G$3)^(AC14-'Data-CostAssumptions'!$G$4),-3)</f>
        <v>151000</v>
      </c>
      <c r="AH14" s="19">
        <f>ROUND((Z14)*(1+'Data-CostAssumptions'!$G$3)^(AE14-'Data-CostAssumptions'!$G$4),-3)</f>
        <v>838000</v>
      </c>
    </row>
    <row r="15" spans="1:39" ht="15" customHeight="1" x14ac:dyDescent="0.2">
      <c r="A15" s="11"/>
      <c r="B15" s="11" t="s">
        <v>1211</v>
      </c>
      <c r="C15" s="13">
        <v>633</v>
      </c>
      <c r="D15" s="13" t="s">
        <v>420</v>
      </c>
      <c r="E15" s="20">
        <v>114</v>
      </c>
      <c r="F15" s="20">
        <v>177</v>
      </c>
      <c r="G15" s="20">
        <v>14</v>
      </c>
      <c r="H15" s="13" t="s">
        <v>1761</v>
      </c>
      <c r="I15" s="13" t="str">
        <f t="shared" si="0"/>
        <v>Perimeter Rd (Perimeter Rd Ramp to Perimeter Rd Ramp)</v>
      </c>
      <c r="J15" s="13" t="s">
        <v>29</v>
      </c>
      <c r="K15" s="13" t="str">
        <f>VLOOKUP(J15,'Data-ProjectTypes'!A$3:B$13,2,FALSE)</f>
        <v>Program</v>
      </c>
      <c r="L15" s="21" t="s">
        <v>348</v>
      </c>
      <c r="M15" s="13" t="s">
        <v>2442</v>
      </c>
      <c r="N15" s="13" t="s">
        <v>2442</v>
      </c>
      <c r="O15" s="13" t="s">
        <v>273</v>
      </c>
      <c r="P15" s="13" t="s">
        <v>273</v>
      </c>
      <c r="Q15" s="22">
        <v>5.7</v>
      </c>
      <c r="R15" s="23">
        <v>1319438</v>
      </c>
      <c r="S15" s="21"/>
      <c r="T15" s="21"/>
      <c r="U15" s="21"/>
      <c r="V15" s="24"/>
      <c r="W15" s="24"/>
      <c r="X15" s="24"/>
      <c r="Y15" s="17"/>
      <c r="Z15" s="18">
        <f>ROUND(R15*'Data-CostAssumptions'!$C$3,-3)</f>
        <v>1826000</v>
      </c>
      <c r="AA15" s="11">
        <f t="shared" si="1"/>
        <v>0</v>
      </c>
      <c r="AB15" s="11">
        <v>2041</v>
      </c>
      <c r="AC15" s="11">
        <v>2041</v>
      </c>
      <c r="AD15" s="11">
        <v>2041</v>
      </c>
      <c r="AE15" s="11">
        <v>2041</v>
      </c>
      <c r="AF15" s="11">
        <v>0</v>
      </c>
      <c r="AG15" s="19">
        <f>ROUND((Z15*0.18)*(1+'Data-CostAssumptions'!$G$3)^(AC15-'Data-CostAssumptions'!$G$4),-3)</f>
        <v>843000</v>
      </c>
      <c r="AH15" s="19">
        <f>ROUND((Z15)*(1+'Data-CostAssumptions'!$G$3)^(AE15-'Data-CostAssumptions'!$G$4),-3)</f>
        <v>4682000</v>
      </c>
    </row>
    <row r="16" spans="1:39" ht="15" customHeight="1" x14ac:dyDescent="0.2">
      <c r="A16" s="11"/>
      <c r="B16" s="11" t="s">
        <v>1211</v>
      </c>
      <c r="C16" s="13">
        <v>634</v>
      </c>
      <c r="D16" s="13" t="s">
        <v>420</v>
      </c>
      <c r="E16" s="20">
        <v>126</v>
      </c>
      <c r="F16" s="20">
        <v>177</v>
      </c>
      <c r="G16" s="20">
        <v>15</v>
      </c>
      <c r="H16" s="13" t="s">
        <v>2014</v>
      </c>
      <c r="I16" s="13" t="str">
        <f t="shared" si="0"/>
        <v>Andrews Av (NE 6th St to Oakland Park Bl)</v>
      </c>
      <c r="J16" s="13" t="s">
        <v>29</v>
      </c>
      <c r="K16" s="13" t="str">
        <f>VLOOKUP(J16,'Data-ProjectTypes'!A$3:B$13,2,FALSE)</f>
        <v>Program</v>
      </c>
      <c r="L16" s="26" t="s">
        <v>847</v>
      </c>
      <c r="M16" s="13" t="s">
        <v>1902</v>
      </c>
      <c r="N16" s="13" t="s">
        <v>1825</v>
      </c>
      <c r="O16" s="13" t="s">
        <v>273</v>
      </c>
      <c r="P16" s="13" t="s">
        <v>273</v>
      </c>
      <c r="Q16" s="22">
        <v>2.6</v>
      </c>
      <c r="R16" s="23">
        <v>592106</v>
      </c>
      <c r="S16" s="21"/>
      <c r="T16" s="21"/>
      <c r="U16" s="21" t="s">
        <v>24</v>
      </c>
      <c r="V16" s="24"/>
      <c r="W16" s="24"/>
      <c r="X16" s="24"/>
      <c r="Y16" s="17" t="s">
        <v>846</v>
      </c>
      <c r="Z16" s="18">
        <f>ROUND(R16*'Data-CostAssumptions'!$C$3,-3)</f>
        <v>819000</v>
      </c>
      <c r="AA16" s="11">
        <f t="shared" si="1"/>
        <v>0</v>
      </c>
      <c r="AB16" s="11">
        <v>2041</v>
      </c>
      <c r="AC16" s="11">
        <v>2041</v>
      </c>
      <c r="AD16" s="11">
        <v>2041</v>
      </c>
      <c r="AE16" s="11">
        <v>2041</v>
      </c>
      <c r="AF16" s="11">
        <v>0</v>
      </c>
      <c r="AG16" s="19">
        <f>ROUND((Z16*0.18)*(1+'Data-CostAssumptions'!$G$3)^(AC16-'Data-CostAssumptions'!$G$4),-3)</f>
        <v>378000</v>
      </c>
      <c r="AH16" s="19">
        <f>ROUND((Z16)*(1+'Data-CostAssumptions'!$G$3)^(AE16-'Data-CostAssumptions'!$G$4),-3)</f>
        <v>2100000</v>
      </c>
    </row>
    <row r="17" spans="1:39" ht="15" customHeight="1" x14ac:dyDescent="0.2">
      <c r="A17" s="11"/>
      <c r="B17" s="11" t="s">
        <v>1211</v>
      </c>
      <c r="C17" s="13">
        <v>635</v>
      </c>
      <c r="D17" s="13" t="s">
        <v>420</v>
      </c>
      <c r="E17" s="20">
        <v>127</v>
      </c>
      <c r="F17" s="20">
        <v>177</v>
      </c>
      <c r="G17" s="20">
        <v>16</v>
      </c>
      <c r="H17" s="13" t="s">
        <v>2014</v>
      </c>
      <c r="I17" s="13" t="str">
        <f t="shared" si="0"/>
        <v>Andrews Av (Las Olas Bl to NE 6th St)</v>
      </c>
      <c r="J17" s="13" t="s">
        <v>29</v>
      </c>
      <c r="K17" s="13" t="str">
        <f>VLOOKUP(J17,'Data-ProjectTypes'!A$3:B$13,2,FALSE)</f>
        <v>Program</v>
      </c>
      <c r="L17" s="21" t="s">
        <v>348</v>
      </c>
      <c r="M17" s="13" t="s">
        <v>1823</v>
      </c>
      <c r="N17" s="13" t="s">
        <v>1902</v>
      </c>
      <c r="O17" s="13" t="s">
        <v>273</v>
      </c>
      <c r="P17" s="13" t="s">
        <v>273</v>
      </c>
      <c r="Q17" s="22">
        <v>0.7</v>
      </c>
      <c r="R17" s="23">
        <v>164121</v>
      </c>
      <c r="S17" s="21"/>
      <c r="T17" s="21"/>
      <c r="U17" s="21"/>
      <c r="V17" s="24"/>
      <c r="W17" s="24"/>
      <c r="X17" s="24"/>
      <c r="Y17" s="17"/>
      <c r="Z17" s="18">
        <f>ROUND(R17*'Data-CostAssumptions'!$C$3,-3)</f>
        <v>227000</v>
      </c>
      <c r="AA17" s="11">
        <f t="shared" si="1"/>
        <v>0</v>
      </c>
      <c r="AB17" s="11">
        <v>2041</v>
      </c>
      <c r="AC17" s="11">
        <v>2041</v>
      </c>
      <c r="AD17" s="11">
        <v>2041</v>
      </c>
      <c r="AE17" s="11">
        <v>2041</v>
      </c>
      <c r="AF17" s="11">
        <v>0</v>
      </c>
      <c r="AG17" s="19">
        <f>ROUND((Z17*0.18)*(1+'Data-CostAssumptions'!$G$3)^(AC17-'Data-CostAssumptions'!$G$4),-3)</f>
        <v>105000</v>
      </c>
      <c r="AH17" s="19">
        <f>ROUND((Z17)*(1+'Data-CostAssumptions'!$G$3)^(AE17-'Data-CostAssumptions'!$G$4),-3)</f>
        <v>582000</v>
      </c>
    </row>
    <row r="18" spans="1:39" s="27" customFormat="1" ht="15" customHeight="1" x14ac:dyDescent="0.2">
      <c r="A18" s="11"/>
      <c r="B18" s="11" t="s">
        <v>1211</v>
      </c>
      <c r="C18" s="13">
        <v>636</v>
      </c>
      <c r="D18" s="13" t="s">
        <v>420</v>
      </c>
      <c r="E18" s="20">
        <v>131</v>
      </c>
      <c r="F18" s="20">
        <v>177</v>
      </c>
      <c r="G18" s="20">
        <v>17</v>
      </c>
      <c r="H18" s="13" t="s">
        <v>2033</v>
      </c>
      <c r="I18" s="13" t="str">
        <f t="shared" si="0"/>
        <v>NE 3rd Av (Las Olas Bl to Sunrise Bl)</v>
      </c>
      <c r="J18" s="13" t="s">
        <v>29</v>
      </c>
      <c r="K18" s="13" t="str">
        <f>VLOOKUP(J18,'Data-ProjectTypes'!A$3:B$13,2,FALSE)</f>
        <v>Program</v>
      </c>
      <c r="L18" s="21" t="s">
        <v>348</v>
      </c>
      <c r="M18" s="13" t="s">
        <v>1823</v>
      </c>
      <c r="N18" s="13" t="s">
        <v>1830</v>
      </c>
      <c r="O18" s="13" t="s">
        <v>273</v>
      </c>
      <c r="P18" s="13" t="s">
        <v>273</v>
      </c>
      <c r="Q18" s="22">
        <v>1.2</v>
      </c>
      <c r="R18" s="23">
        <v>286803</v>
      </c>
      <c r="S18" s="21"/>
      <c r="T18" s="21"/>
      <c r="U18" s="21"/>
      <c r="V18" s="24"/>
      <c r="W18" s="24"/>
      <c r="X18" s="24"/>
      <c r="Y18" s="17"/>
      <c r="Z18" s="18">
        <f>ROUND(R18*'Data-CostAssumptions'!$C$3,-3)</f>
        <v>397000</v>
      </c>
      <c r="AA18" s="11">
        <f t="shared" si="1"/>
        <v>0</v>
      </c>
      <c r="AB18" s="11">
        <v>2041</v>
      </c>
      <c r="AC18" s="11">
        <v>2041</v>
      </c>
      <c r="AD18" s="11">
        <v>2041</v>
      </c>
      <c r="AE18" s="11">
        <v>2041</v>
      </c>
      <c r="AF18" s="11">
        <v>0</v>
      </c>
      <c r="AG18" s="19">
        <f>ROUND((Z18*0.18)*(1+'Data-CostAssumptions'!$G$3)^(AC18-'Data-CostAssumptions'!$G$4),-3)</f>
        <v>183000</v>
      </c>
      <c r="AH18" s="19">
        <f>ROUND((Z18)*(1+'Data-CostAssumptions'!$G$3)^(AE18-'Data-CostAssumptions'!$G$4),-3)</f>
        <v>1018000</v>
      </c>
      <c r="AI18" s="12"/>
      <c r="AJ18" s="12"/>
      <c r="AK18" s="12"/>
      <c r="AL18" s="12"/>
      <c r="AM18" s="12"/>
    </row>
    <row r="19" spans="1:39" ht="15" customHeight="1" x14ac:dyDescent="0.2">
      <c r="A19" s="11"/>
      <c r="B19" s="11" t="s">
        <v>1211</v>
      </c>
      <c r="C19" s="13">
        <v>637</v>
      </c>
      <c r="D19" s="13" t="s">
        <v>420</v>
      </c>
      <c r="E19" s="20">
        <v>132</v>
      </c>
      <c r="F19" s="20">
        <v>177</v>
      </c>
      <c r="G19" s="20">
        <v>18</v>
      </c>
      <c r="H19" s="13" t="s">
        <v>1823</v>
      </c>
      <c r="I19" s="13" t="str">
        <f t="shared" si="0"/>
        <v>Las Olas Bl (SE 15th Av to Andrews Av)</v>
      </c>
      <c r="J19" s="13" t="s">
        <v>29</v>
      </c>
      <c r="K19" s="13" t="str">
        <f>VLOOKUP(J19,'Data-ProjectTypes'!A$3:B$13,2,FALSE)</f>
        <v>Program</v>
      </c>
      <c r="L19" s="21" t="s">
        <v>348</v>
      </c>
      <c r="M19" s="13" t="s">
        <v>2360</v>
      </c>
      <c r="N19" s="13" t="s">
        <v>2014</v>
      </c>
      <c r="O19" s="13" t="s">
        <v>276</v>
      </c>
      <c r="P19" s="13" t="s">
        <v>276</v>
      </c>
      <c r="Q19" s="22">
        <v>0.9</v>
      </c>
      <c r="R19" s="23">
        <v>215412</v>
      </c>
      <c r="S19" s="21"/>
      <c r="T19" s="21"/>
      <c r="U19" s="21"/>
      <c r="V19" s="24"/>
      <c r="W19" s="24"/>
      <c r="X19" s="24"/>
      <c r="Y19" s="17"/>
      <c r="Z19" s="18">
        <f>ROUND(R19*'Data-CostAssumptions'!$C$3,-3)</f>
        <v>298000</v>
      </c>
      <c r="AA19" s="11">
        <f t="shared" si="1"/>
        <v>0</v>
      </c>
      <c r="AB19" s="11">
        <v>2041</v>
      </c>
      <c r="AC19" s="11">
        <v>2041</v>
      </c>
      <c r="AD19" s="11">
        <v>2041</v>
      </c>
      <c r="AE19" s="11">
        <v>2041</v>
      </c>
      <c r="AF19" s="11">
        <v>0</v>
      </c>
      <c r="AG19" s="19">
        <f>ROUND((Z19*0.18)*(1+'Data-CostAssumptions'!$G$3)^(AC19-'Data-CostAssumptions'!$G$4),-3)</f>
        <v>138000</v>
      </c>
      <c r="AH19" s="19">
        <f>ROUND((Z19)*(1+'Data-CostAssumptions'!$G$3)^(AE19-'Data-CostAssumptions'!$G$4),-3)</f>
        <v>764000</v>
      </c>
    </row>
    <row r="20" spans="1:39" ht="15" customHeight="1" x14ac:dyDescent="0.2">
      <c r="A20" s="11"/>
      <c r="B20" s="11" t="s">
        <v>1211</v>
      </c>
      <c r="C20" s="13">
        <v>638</v>
      </c>
      <c r="D20" s="13" t="s">
        <v>420</v>
      </c>
      <c r="E20" s="20">
        <v>155</v>
      </c>
      <c r="F20" s="20">
        <v>177</v>
      </c>
      <c r="G20" s="20">
        <v>19</v>
      </c>
      <c r="H20" s="13" t="s">
        <v>2728</v>
      </c>
      <c r="I20" s="13" t="str">
        <f t="shared" si="0"/>
        <v>SR 838/Sunrise Bl (I-95 to NW 47th Av)</v>
      </c>
      <c r="J20" s="13" t="s">
        <v>29</v>
      </c>
      <c r="K20" s="13" t="str">
        <f>VLOOKUP(J20,'Data-ProjectTypes'!A$3:B$13,2,FALSE)</f>
        <v>Program</v>
      </c>
      <c r="L20" s="21" t="s">
        <v>348</v>
      </c>
      <c r="M20" s="13" t="s">
        <v>41</v>
      </c>
      <c r="N20" s="13" t="s">
        <v>2070</v>
      </c>
      <c r="O20" s="13" t="s">
        <v>270</v>
      </c>
      <c r="P20" s="13" t="s">
        <v>270</v>
      </c>
      <c r="Q20" s="22">
        <v>2.7</v>
      </c>
      <c r="R20" s="23">
        <v>616666</v>
      </c>
      <c r="S20" s="21"/>
      <c r="T20" s="21"/>
      <c r="U20" s="21"/>
      <c r="V20" s="24"/>
      <c r="W20" s="24"/>
      <c r="X20" s="24"/>
      <c r="Y20" s="17"/>
      <c r="Z20" s="18">
        <f>ROUND(R20*'Data-CostAssumptions'!$C$3,-3)</f>
        <v>853000</v>
      </c>
      <c r="AA20" s="11">
        <f t="shared" si="1"/>
        <v>0</v>
      </c>
      <c r="AB20" s="11">
        <v>2041</v>
      </c>
      <c r="AC20" s="11">
        <v>2041</v>
      </c>
      <c r="AD20" s="11">
        <v>2041</v>
      </c>
      <c r="AE20" s="11">
        <v>2041</v>
      </c>
      <c r="AF20" s="11">
        <v>0</v>
      </c>
      <c r="AG20" s="19">
        <f>ROUND((Z20*0.18)*(1+'Data-CostAssumptions'!$G$3)^(AC20-'Data-CostAssumptions'!$G$4),-3)</f>
        <v>394000</v>
      </c>
      <c r="AH20" s="19">
        <f>ROUND((Z20)*(1+'Data-CostAssumptions'!$G$3)^(AE20-'Data-CostAssumptions'!$G$4),-3)</f>
        <v>2187000</v>
      </c>
    </row>
    <row r="21" spans="1:39" ht="15" customHeight="1" x14ac:dyDescent="0.2">
      <c r="A21" s="11"/>
      <c r="B21" s="11" t="s">
        <v>1211</v>
      </c>
      <c r="C21" s="13">
        <v>639</v>
      </c>
      <c r="D21" s="13" t="s">
        <v>420</v>
      </c>
      <c r="E21" s="20" t="s">
        <v>298</v>
      </c>
      <c r="F21" s="20">
        <v>177</v>
      </c>
      <c r="G21" s="20">
        <v>20</v>
      </c>
      <c r="H21" s="13" t="s">
        <v>2798</v>
      </c>
      <c r="I21" s="13" t="str">
        <f t="shared" si="0"/>
        <v>SR 842/Broward Bl (I-95 to SR 7)</v>
      </c>
      <c r="J21" s="13" t="s">
        <v>29</v>
      </c>
      <c r="K21" s="13" t="str">
        <f>VLOOKUP(J21,'Data-ProjectTypes'!A$3:B$13,2,FALSE)</f>
        <v>Program</v>
      </c>
      <c r="L21" s="21" t="s">
        <v>348</v>
      </c>
      <c r="M21" s="13" t="s">
        <v>41</v>
      </c>
      <c r="N21" s="13" t="s">
        <v>53</v>
      </c>
      <c r="O21" s="13" t="s">
        <v>270</v>
      </c>
      <c r="P21" s="13" t="s">
        <v>270</v>
      </c>
      <c r="Q21" s="22">
        <v>2.1</v>
      </c>
      <c r="R21" s="23">
        <v>489631</v>
      </c>
      <c r="S21" s="21"/>
      <c r="T21" s="21"/>
      <c r="U21" s="21"/>
      <c r="V21" s="24"/>
      <c r="W21" s="24"/>
      <c r="X21" s="24"/>
      <c r="Y21" s="17"/>
      <c r="Z21" s="18">
        <f>ROUND(R21*'Data-CostAssumptions'!$C$3,-3)</f>
        <v>678000</v>
      </c>
      <c r="AA21" s="11">
        <f t="shared" si="1"/>
        <v>0</v>
      </c>
      <c r="AB21" s="11">
        <v>2041</v>
      </c>
      <c r="AC21" s="11">
        <v>2041</v>
      </c>
      <c r="AD21" s="11">
        <v>2041</v>
      </c>
      <c r="AE21" s="11">
        <v>2041</v>
      </c>
      <c r="AF21" s="11">
        <v>0</v>
      </c>
      <c r="AG21" s="19">
        <f>ROUND((Z21*0.18)*(1+'Data-CostAssumptions'!$G$3)^(AC21-'Data-CostAssumptions'!$G$4),-3)</f>
        <v>313000</v>
      </c>
      <c r="AH21" s="19">
        <f>ROUND((Z21)*(1+'Data-CostAssumptions'!$G$3)^(AE21-'Data-CostAssumptions'!$G$4),-3)</f>
        <v>1738000</v>
      </c>
    </row>
    <row r="22" spans="1:39" ht="15" customHeight="1" x14ac:dyDescent="0.2">
      <c r="A22" s="11"/>
      <c r="B22" s="11" t="s">
        <v>1211</v>
      </c>
      <c r="C22" s="13">
        <v>640</v>
      </c>
      <c r="D22" s="13" t="s">
        <v>420</v>
      </c>
      <c r="E22" s="20">
        <v>161</v>
      </c>
      <c r="F22" s="20">
        <v>177</v>
      </c>
      <c r="G22" s="20">
        <v>21</v>
      </c>
      <c r="H22" s="13" t="s">
        <v>2078</v>
      </c>
      <c r="I22" s="13" t="str">
        <f t="shared" si="0"/>
        <v>NW 70th Av (Broward Bl to Sunrise Bl)</v>
      </c>
      <c r="J22" s="13" t="s">
        <v>29</v>
      </c>
      <c r="K22" s="13" t="str">
        <f>VLOOKUP(J22,'Data-ProjectTypes'!A$3:B$13,2,FALSE)</f>
        <v>Program</v>
      </c>
      <c r="L22" s="21" t="s">
        <v>348</v>
      </c>
      <c r="M22" s="13" t="s">
        <v>1811</v>
      </c>
      <c r="N22" s="13" t="s">
        <v>1830</v>
      </c>
      <c r="O22" s="13" t="s">
        <v>284</v>
      </c>
      <c r="P22" s="13" t="s">
        <v>284</v>
      </c>
      <c r="Q22" s="22">
        <v>2</v>
      </c>
      <c r="R22" s="23">
        <v>468166</v>
      </c>
      <c r="S22" s="21"/>
      <c r="T22" s="21"/>
      <c r="U22" s="21"/>
      <c r="V22" s="24"/>
      <c r="W22" s="24"/>
      <c r="X22" s="24"/>
      <c r="Y22" s="17"/>
      <c r="Z22" s="18">
        <f>ROUND(R22*'Data-CostAssumptions'!$C$3,-3)</f>
        <v>648000</v>
      </c>
      <c r="AA22" s="11">
        <f t="shared" si="1"/>
        <v>0</v>
      </c>
      <c r="AB22" s="11">
        <v>2041</v>
      </c>
      <c r="AC22" s="11">
        <v>2041</v>
      </c>
      <c r="AD22" s="11">
        <v>2041</v>
      </c>
      <c r="AE22" s="11">
        <v>2041</v>
      </c>
      <c r="AF22" s="11">
        <v>0</v>
      </c>
      <c r="AG22" s="19">
        <f>ROUND((Z22*0.18)*(1+'Data-CostAssumptions'!$G$3)^(AC22-'Data-CostAssumptions'!$G$4),-3)</f>
        <v>299000</v>
      </c>
      <c r="AH22" s="19">
        <f>ROUND((Z22)*(1+'Data-CostAssumptions'!$G$3)^(AE22-'Data-CostAssumptions'!$G$4),-3)</f>
        <v>1661000</v>
      </c>
    </row>
    <row r="23" spans="1:39" ht="15" customHeight="1" x14ac:dyDescent="0.2">
      <c r="A23" s="11"/>
      <c r="B23" s="11" t="s">
        <v>1211</v>
      </c>
      <c r="C23" s="13">
        <v>641</v>
      </c>
      <c r="D23" s="13" t="s">
        <v>420</v>
      </c>
      <c r="E23" s="20">
        <v>187</v>
      </c>
      <c r="F23" s="20">
        <v>177</v>
      </c>
      <c r="G23" s="20">
        <v>22</v>
      </c>
      <c r="H23" s="13" t="s">
        <v>2792</v>
      </c>
      <c r="I23" s="13" t="str">
        <f t="shared" si="0"/>
        <v>SR 827/Pembroke Rd (US 1/Federal Hwy to I-95)</v>
      </c>
      <c r="J23" s="13" t="s">
        <v>29</v>
      </c>
      <c r="K23" s="13" t="str">
        <f>VLOOKUP(J23,'Data-ProjectTypes'!A$3:B$13,2,FALSE)</f>
        <v>Program</v>
      </c>
      <c r="L23" s="21" t="s">
        <v>348</v>
      </c>
      <c r="M23" s="13" t="s">
        <v>2594</v>
      </c>
      <c r="N23" s="13" t="s">
        <v>41</v>
      </c>
      <c r="O23" s="13" t="s">
        <v>270</v>
      </c>
      <c r="P23" s="13" t="s">
        <v>270</v>
      </c>
      <c r="Q23" s="22">
        <v>1.5</v>
      </c>
      <c r="R23" s="23">
        <v>344239</v>
      </c>
      <c r="S23" s="21" t="s">
        <v>24</v>
      </c>
      <c r="T23" s="21" t="s">
        <v>25</v>
      </c>
      <c r="U23" s="21"/>
      <c r="V23" s="24"/>
      <c r="W23" s="24" t="s">
        <v>560</v>
      </c>
      <c r="X23" s="24"/>
      <c r="Y23" s="17" t="s">
        <v>558</v>
      </c>
      <c r="Z23" s="18">
        <f>ROUND(R23*'Data-CostAssumptions'!$C$3,-3)</f>
        <v>476000</v>
      </c>
      <c r="AA23" s="11">
        <f t="shared" si="1"/>
        <v>1</v>
      </c>
      <c r="AB23" s="11">
        <v>2041</v>
      </c>
      <c r="AC23" s="11">
        <v>2041</v>
      </c>
      <c r="AD23" s="11">
        <v>2041</v>
      </c>
      <c r="AE23" s="11">
        <v>2041</v>
      </c>
      <c r="AF23" s="11">
        <v>0</v>
      </c>
      <c r="AG23" s="19">
        <f>ROUND((Z23*0.18)*(1+'Data-CostAssumptions'!$G$3)^(AC23-'Data-CostAssumptions'!$G$4),-3)</f>
        <v>220000</v>
      </c>
      <c r="AH23" s="19">
        <f>ROUND((Z23)*(1+'Data-CostAssumptions'!$G$3)^(AE23-'Data-CostAssumptions'!$G$4),-3)</f>
        <v>1220000</v>
      </c>
    </row>
    <row r="24" spans="1:39" ht="15" customHeight="1" x14ac:dyDescent="0.2">
      <c r="A24" s="11"/>
      <c r="B24" s="11" t="s">
        <v>1211</v>
      </c>
      <c r="C24" s="13">
        <v>642</v>
      </c>
      <c r="D24" s="13" t="s">
        <v>420</v>
      </c>
      <c r="E24" s="20">
        <v>197</v>
      </c>
      <c r="F24" s="20">
        <v>177</v>
      </c>
      <c r="G24" s="20">
        <v>23</v>
      </c>
      <c r="H24" s="13" t="s">
        <v>2209</v>
      </c>
      <c r="I24" s="13" t="str">
        <f t="shared" si="0"/>
        <v>SR 5/ US 1 (Young Circle to Sheridan St)</v>
      </c>
      <c r="J24" s="13" t="s">
        <v>29</v>
      </c>
      <c r="K24" s="13" t="str">
        <f>VLOOKUP(J24,'Data-ProjectTypes'!A$3:B$13,2,FALSE)</f>
        <v>Program</v>
      </c>
      <c r="L24" s="21" t="s">
        <v>348</v>
      </c>
      <c r="M24" s="13" t="s">
        <v>189</v>
      </c>
      <c r="N24" s="13" t="s">
        <v>1951</v>
      </c>
      <c r="O24" s="13" t="s">
        <v>270</v>
      </c>
      <c r="P24" s="13" t="s">
        <v>270</v>
      </c>
      <c r="Q24" s="22">
        <v>1.4</v>
      </c>
      <c r="R24" s="23">
        <v>332671</v>
      </c>
      <c r="S24" s="21" t="s">
        <v>24</v>
      </c>
      <c r="T24" s="21"/>
      <c r="U24" s="21"/>
      <c r="V24" s="24"/>
      <c r="W24" s="24" t="s">
        <v>559</v>
      </c>
      <c r="X24" s="24"/>
      <c r="Y24" s="17" t="s">
        <v>538</v>
      </c>
      <c r="Z24" s="18">
        <f>ROUND(R24*'Data-CostAssumptions'!$C$3,-3)</f>
        <v>460000</v>
      </c>
      <c r="AA24" s="11">
        <f t="shared" si="1"/>
        <v>1</v>
      </c>
      <c r="AB24" s="11">
        <v>2041</v>
      </c>
      <c r="AC24" s="11">
        <v>2041</v>
      </c>
      <c r="AD24" s="11">
        <v>2041</v>
      </c>
      <c r="AE24" s="11">
        <v>2041</v>
      </c>
      <c r="AF24" s="11">
        <v>0</v>
      </c>
      <c r="AG24" s="19">
        <f>ROUND((Z24*0.18)*(1+'Data-CostAssumptions'!$G$3)^(AC24-'Data-CostAssumptions'!$G$4),-3)</f>
        <v>212000</v>
      </c>
      <c r="AH24" s="19">
        <f>ROUND((Z24)*(1+'Data-CostAssumptions'!$G$3)^(AE24-'Data-CostAssumptions'!$G$4),-3)</f>
        <v>1179000</v>
      </c>
    </row>
    <row r="25" spans="1:39" ht="15" customHeight="1" x14ac:dyDescent="0.2">
      <c r="A25" s="11"/>
      <c r="B25" s="11" t="s">
        <v>1211</v>
      </c>
      <c r="C25" s="13">
        <v>643</v>
      </c>
      <c r="D25" s="13" t="s">
        <v>420</v>
      </c>
      <c r="E25" s="20">
        <v>210</v>
      </c>
      <c r="F25" s="20">
        <v>178</v>
      </c>
      <c r="G25" s="20">
        <v>24</v>
      </c>
      <c r="H25" s="13" t="s">
        <v>2043</v>
      </c>
      <c r="I25" s="13" t="str">
        <f t="shared" si="0"/>
        <v>North 64th Av (Hollywood Bl to Hood St)</v>
      </c>
      <c r="J25" s="13" t="s">
        <v>29</v>
      </c>
      <c r="K25" s="13" t="str">
        <f>VLOOKUP(J25,'Data-ProjectTypes'!A$3:B$13,2,FALSE)</f>
        <v>Program</v>
      </c>
      <c r="L25" s="21" t="s">
        <v>562</v>
      </c>
      <c r="M25" s="13" t="s">
        <v>1820</v>
      </c>
      <c r="N25" s="13" t="s">
        <v>2522</v>
      </c>
      <c r="O25" s="13" t="s">
        <v>272</v>
      </c>
      <c r="P25" s="13" t="s">
        <v>272</v>
      </c>
      <c r="Q25" s="22">
        <v>1.6</v>
      </c>
      <c r="R25" s="23">
        <v>364142</v>
      </c>
      <c r="S25" s="21" t="s">
        <v>24</v>
      </c>
      <c r="T25" s="21" t="s">
        <v>25</v>
      </c>
      <c r="U25" s="21" t="s">
        <v>24</v>
      </c>
      <c r="V25" s="24" t="s">
        <v>561</v>
      </c>
      <c r="W25" s="24"/>
      <c r="X25" s="24"/>
      <c r="Y25" s="17" t="s">
        <v>538</v>
      </c>
      <c r="Z25" s="18">
        <f>ROUND(R25*'Data-CostAssumptions'!$C$3,-3)</f>
        <v>504000</v>
      </c>
      <c r="AA25" s="11">
        <f t="shared" si="1"/>
        <v>1</v>
      </c>
      <c r="AB25" s="11">
        <v>2041</v>
      </c>
      <c r="AC25" s="11">
        <v>2041</v>
      </c>
      <c r="AD25" s="11">
        <v>2041</v>
      </c>
      <c r="AE25" s="11">
        <v>2041</v>
      </c>
      <c r="AF25" s="11">
        <v>0</v>
      </c>
      <c r="AG25" s="19">
        <f>ROUND((Z25*0.18)*(1+'Data-CostAssumptions'!$G$3)^(AC25-'Data-CostAssumptions'!$G$4),-3)</f>
        <v>233000</v>
      </c>
      <c r="AH25" s="19">
        <f>ROUND((Z25)*(1+'Data-CostAssumptions'!$G$3)^(AE25-'Data-CostAssumptions'!$G$4),-3)</f>
        <v>1292000</v>
      </c>
    </row>
    <row r="26" spans="1:39" ht="15" customHeight="1" x14ac:dyDescent="0.2">
      <c r="A26" s="11"/>
      <c r="B26" s="11" t="s">
        <v>1211</v>
      </c>
      <c r="C26" s="13">
        <v>644</v>
      </c>
      <c r="D26" s="13" t="s">
        <v>420</v>
      </c>
      <c r="E26" s="20">
        <v>234</v>
      </c>
      <c r="F26" s="20">
        <v>178</v>
      </c>
      <c r="G26" s="20">
        <v>25</v>
      </c>
      <c r="H26" s="13" t="s">
        <v>1843</v>
      </c>
      <c r="I26" s="13" t="str">
        <f t="shared" si="0"/>
        <v>Cypress Rd (McNab Rd to Atlantic Bl)</v>
      </c>
      <c r="J26" s="13" t="s">
        <v>29</v>
      </c>
      <c r="K26" s="13" t="str">
        <f>VLOOKUP(J26,'Data-ProjectTypes'!A$3:B$13,2,FALSE)</f>
        <v>Program</v>
      </c>
      <c r="L26" s="21" t="s">
        <v>348</v>
      </c>
      <c r="M26" s="13" t="s">
        <v>1854</v>
      </c>
      <c r="N26" s="13" t="s">
        <v>1809</v>
      </c>
      <c r="O26" s="13" t="s">
        <v>275</v>
      </c>
      <c r="P26" s="13" t="s">
        <v>275</v>
      </c>
      <c r="Q26" s="22">
        <v>1.4</v>
      </c>
      <c r="R26" s="23">
        <v>328014</v>
      </c>
      <c r="S26" s="21"/>
      <c r="T26" s="21"/>
      <c r="U26" s="21"/>
      <c r="V26" s="24"/>
      <c r="W26" s="24"/>
      <c r="X26" s="24" t="s">
        <v>776</v>
      </c>
      <c r="Y26" s="17" t="s">
        <v>765</v>
      </c>
      <c r="Z26" s="18">
        <f>ROUND(R26*'Data-CostAssumptions'!$C$3,-3)</f>
        <v>454000</v>
      </c>
      <c r="AA26" s="11">
        <f t="shared" si="1"/>
        <v>0</v>
      </c>
      <c r="AB26" s="11">
        <v>2041</v>
      </c>
      <c r="AC26" s="11">
        <v>2041</v>
      </c>
      <c r="AD26" s="11">
        <v>2041</v>
      </c>
      <c r="AE26" s="11">
        <v>2041</v>
      </c>
      <c r="AF26" s="11">
        <v>0</v>
      </c>
      <c r="AG26" s="19">
        <f>ROUND((Z26*0.18)*(1+'Data-CostAssumptions'!$G$3)^(AC26-'Data-CostAssumptions'!$G$4),-3)</f>
        <v>210000</v>
      </c>
      <c r="AH26" s="19">
        <f>ROUND((Z26)*(1+'Data-CostAssumptions'!$G$3)^(AE26-'Data-CostAssumptions'!$G$4),-3)</f>
        <v>1164000</v>
      </c>
    </row>
    <row r="27" spans="1:39" ht="15" customHeight="1" x14ac:dyDescent="0.2">
      <c r="A27" s="11"/>
      <c r="B27" s="11" t="s">
        <v>1211</v>
      </c>
      <c r="C27" s="13">
        <v>645</v>
      </c>
      <c r="D27" s="13" t="s">
        <v>420</v>
      </c>
      <c r="E27" s="20">
        <v>317</v>
      </c>
      <c r="F27" s="20">
        <v>178</v>
      </c>
      <c r="G27" s="20">
        <v>26</v>
      </c>
      <c r="H27" s="13" t="s">
        <v>1952</v>
      </c>
      <c r="I27" s="13" t="str">
        <f t="shared" si="0"/>
        <v>South 2nd St (SE 3rd Av to SW 7th Av)</v>
      </c>
      <c r="J27" s="13" t="s">
        <v>29</v>
      </c>
      <c r="K27" s="13" t="str">
        <f>VLOOKUP(J27,'Data-ProjectTypes'!A$3:B$13,2,FALSE)</f>
        <v>Program</v>
      </c>
      <c r="L27" s="21" t="s">
        <v>348</v>
      </c>
      <c r="M27" s="13" t="s">
        <v>2093</v>
      </c>
      <c r="N27" s="13" t="s">
        <v>2264</v>
      </c>
      <c r="O27" s="13" t="s">
        <v>276</v>
      </c>
      <c r="P27" s="13" t="s">
        <v>276</v>
      </c>
      <c r="Q27" s="22">
        <v>0.6</v>
      </c>
      <c r="R27" s="23">
        <v>143775</v>
      </c>
      <c r="S27" s="21"/>
      <c r="T27" s="21"/>
      <c r="U27" s="21"/>
      <c r="V27" s="24"/>
      <c r="W27" s="24"/>
      <c r="X27" s="24"/>
      <c r="Y27" s="17"/>
      <c r="Z27" s="18">
        <f>ROUND(R27*'Data-CostAssumptions'!$C$3,-3)</f>
        <v>199000</v>
      </c>
      <c r="AA27" s="11">
        <f t="shared" si="1"/>
        <v>0</v>
      </c>
      <c r="AB27" s="11">
        <v>2041</v>
      </c>
      <c r="AC27" s="11">
        <v>2041</v>
      </c>
      <c r="AD27" s="11">
        <v>2041</v>
      </c>
      <c r="AE27" s="11">
        <v>2041</v>
      </c>
      <c r="AF27" s="11">
        <v>0</v>
      </c>
      <c r="AG27" s="19">
        <f>ROUND((Z27*0.18)*(1+'Data-CostAssumptions'!$G$3)^(AC27-'Data-CostAssumptions'!$G$4),-3)</f>
        <v>92000</v>
      </c>
      <c r="AH27" s="19">
        <f>ROUND((Z27)*(1+'Data-CostAssumptions'!$G$3)^(AE27-'Data-CostAssumptions'!$G$4),-3)</f>
        <v>510000</v>
      </c>
    </row>
    <row r="28" spans="1:39" ht="15" customHeight="1" x14ac:dyDescent="0.2">
      <c r="A28" s="11"/>
      <c r="B28" s="11" t="s">
        <v>1211</v>
      </c>
      <c r="C28" s="13">
        <v>646</v>
      </c>
      <c r="D28" s="13" t="s">
        <v>420</v>
      </c>
      <c r="E28" s="20">
        <v>318</v>
      </c>
      <c r="F28" s="20">
        <v>178</v>
      </c>
      <c r="G28" s="20">
        <v>27</v>
      </c>
      <c r="H28" s="13" t="s">
        <v>2093</v>
      </c>
      <c r="I28" s="13" t="str">
        <f t="shared" si="0"/>
        <v>SE 3rd Av (SE 17th St to Las Olas Bl)</v>
      </c>
      <c r="J28" s="13" t="s">
        <v>29</v>
      </c>
      <c r="K28" s="13" t="str">
        <f>VLOOKUP(J28,'Data-ProjectTypes'!A$3:B$13,2,FALSE)</f>
        <v>Program</v>
      </c>
      <c r="L28" s="21" t="s">
        <v>348</v>
      </c>
      <c r="M28" s="13" t="s">
        <v>182</v>
      </c>
      <c r="N28" s="13" t="s">
        <v>1823</v>
      </c>
      <c r="O28" s="13" t="s">
        <v>273</v>
      </c>
      <c r="P28" s="13" t="s">
        <v>273</v>
      </c>
      <c r="Q28" s="22">
        <v>1.3</v>
      </c>
      <c r="R28" s="23">
        <v>291543</v>
      </c>
      <c r="S28" s="21"/>
      <c r="T28" s="21"/>
      <c r="U28" s="21"/>
      <c r="V28" s="24"/>
      <c r="W28" s="24"/>
      <c r="X28" s="24"/>
      <c r="Y28" s="17"/>
      <c r="Z28" s="18">
        <f>ROUND(R28*'Data-CostAssumptions'!$C$3,-3)</f>
        <v>403000</v>
      </c>
      <c r="AA28" s="11">
        <f t="shared" si="1"/>
        <v>0</v>
      </c>
      <c r="AB28" s="11">
        <v>2041</v>
      </c>
      <c r="AC28" s="11">
        <v>2041</v>
      </c>
      <c r="AD28" s="11">
        <v>2041</v>
      </c>
      <c r="AE28" s="11">
        <v>2041</v>
      </c>
      <c r="AF28" s="11">
        <v>0</v>
      </c>
      <c r="AG28" s="19">
        <f>ROUND((Z28*0.18)*(1+'Data-CostAssumptions'!$G$3)^(AC28-'Data-CostAssumptions'!$G$4),-3)</f>
        <v>186000</v>
      </c>
      <c r="AH28" s="19">
        <f>ROUND((Z28)*(1+'Data-CostAssumptions'!$G$3)^(AE28-'Data-CostAssumptions'!$G$4),-3)</f>
        <v>1033000</v>
      </c>
    </row>
    <row r="29" spans="1:39" ht="15" customHeight="1" x14ac:dyDescent="0.2">
      <c r="A29" s="11"/>
      <c r="B29" s="11" t="s">
        <v>1211</v>
      </c>
      <c r="C29" s="13">
        <v>647</v>
      </c>
      <c r="D29" s="13" t="s">
        <v>420</v>
      </c>
      <c r="E29" s="20">
        <v>10</v>
      </c>
      <c r="F29" s="20">
        <v>178</v>
      </c>
      <c r="G29" s="20">
        <v>28</v>
      </c>
      <c r="H29" s="13" t="s">
        <v>1754</v>
      </c>
      <c r="I29" s="13" t="str">
        <f t="shared" si="0"/>
        <v>Lyons Rd (Copans Rd to Sawgrass Expressway)</v>
      </c>
      <c r="J29" s="13" t="s">
        <v>29</v>
      </c>
      <c r="K29" s="13" t="str">
        <f>VLOOKUP(J29,'Data-ProjectTypes'!A$3:B$13,2,FALSE)</f>
        <v>Program</v>
      </c>
      <c r="L29" s="21" t="s">
        <v>348</v>
      </c>
      <c r="M29" s="13" t="s">
        <v>1836</v>
      </c>
      <c r="N29" s="13" t="s">
        <v>72</v>
      </c>
      <c r="O29" s="13" t="s">
        <v>273</v>
      </c>
      <c r="P29" s="13" t="s">
        <v>273</v>
      </c>
      <c r="Q29" s="22">
        <v>2.9</v>
      </c>
      <c r="R29" s="23">
        <v>671133</v>
      </c>
      <c r="S29" s="21"/>
      <c r="T29" s="21"/>
      <c r="U29" s="21"/>
      <c r="V29" s="24"/>
      <c r="W29" s="24"/>
      <c r="X29" s="24"/>
      <c r="Y29" s="17"/>
      <c r="Z29" s="18">
        <f>ROUND(R29*'Data-CostAssumptions'!$C$3,-3)</f>
        <v>929000</v>
      </c>
      <c r="AA29" s="11">
        <f t="shared" si="1"/>
        <v>0</v>
      </c>
      <c r="AB29" s="11">
        <v>2041</v>
      </c>
      <c r="AC29" s="11">
        <v>2041</v>
      </c>
      <c r="AD29" s="11">
        <v>2041</v>
      </c>
      <c r="AE29" s="11">
        <v>2041</v>
      </c>
      <c r="AF29" s="11">
        <v>0</v>
      </c>
      <c r="AG29" s="19">
        <f>ROUND((Z29*0.18)*(1+'Data-CostAssumptions'!$G$3)^(AC29-'Data-CostAssumptions'!$G$4),-3)</f>
        <v>429000</v>
      </c>
      <c r="AH29" s="19">
        <f>ROUND((Z29)*(1+'Data-CostAssumptions'!$G$3)^(AE29-'Data-CostAssumptions'!$G$4),-3)</f>
        <v>2382000</v>
      </c>
    </row>
    <row r="30" spans="1:39" s="27" customFormat="1" ht="15" customHeight="1" x14ac:dyDescent="0.2">
      <c r="A30" s="11"/>
      <c r="B30" s="11" t="s">
        <v>1211</v>
      </c>
      <c r="C30" s="13">
        <v>648</v>
      </c>
      <c r="D30" s="13" t="s">
        <v>420</v>
      </c>
      <c r="E30" s="20">
        <v>28</v>
      </c>
      <c r="F30" s="20">
        <v>178</v>
      </c>
      <c r="G30" s="20">
        <v>29</v>
      </c>
      <c r="H30" s="13" t="s">
        <v>2033</v>
      </c>
      <c r="I30" s="13" t="str">
        <f t="shared" si="0"/>
        <v>NE 3rd Av (Copans Rd to Sample Rd)</v>
      </c>
      <c r="J30" s="13" t="s">
        <v>29</v>
      </c>
      <c r="K30" s="13" t="str">
        <f>VLOOKUP(J30,'Data-ProjectTypes'!A$3:B$13,2,FALSE)</f>
        <v>Program</v>
      </c>
      <c r="L30" s="21" t="s">
        <v>348</v>
      </c>
      <c r="M30" s="13" t="s">
        <v>1836</v>
      </c>
      <c r="N30" s="13" t="s">
        <v>1864</v>
      </c>
      <c r="O30" s="13" t="s">
        <v>272</v>
      </c>
      <c r="P30" s="13" t="s">
        <v>272</v>
      </c>
      <c r="Q30" s="22">
        <v>1</v>
      </c>
      <c r="R30" s="23">
        <v>229171</v>
      </c>
      <c r="S30" s="21"/>
      <c r="T30" s="21"/>
      <c r="U30" s="21"/>
      <c r="V30" s="24"/>
      <c r="W30" s="24"/>
      <c r="X30" s="24" t="s">
        <v>493</v>
      </c>
      <c r="Y30" s="17" t="s">
        <v>492</v>
      </c>
      <c r="Z30" s="18">
        <f>ROUND(R30*'Data-CostAssumptions'!$C$3,-3)</f>
        <v>317000</v>
      </c>
      <c r="AA30" s="11">
        <f t="shared" si="1"/>
        <v>0</v>
      </c>
      <c r="AB30" s="11">
        <v>2041</v>
      </c>
      <c r="AC30" s="11">
        <v>2041</v>
      </c>
      <c r="AD30" s="11">
        <v>2041</v>
      </c>
      <c r="AE30" s="11">
        <v>2041</v>
      </c>
      <c r="AF30" s="11">
        <v>0</v>
      </c>
      <c r="AG30" s="19">
        <f>ROUND((Z30*0.18)*(1+'Data-CostAssumptions'!$G$3)^(AC30-'Data-CostAssumptions'!$G$4),-3)</f>
        <v>146000</v>
      </c>
      <c r="AH30" s="19">
        <f>ROUND((Z30)*(1+'Data-CostAssumptions'!$G$3)^(AE30-'Data-CostAssumptions'!$G$4),-3)</f>
        <v>813000</v>
      </c>
      <c r="AI30" s="12"/>
      <c r="AJ30" s="12"/>
      <c r="AK30" s="12"/>
      <c r="AL30" s="12"/>
      <c r="AM30" s="12"/>
    </row>
    <row r="31" spans="1:39" ht="15" customHeight="1" x14ac:dyDescent="0.2">
      <c r="A31" s="11"/>
      <c r="B31" s="11" t="s">
        <v>1211</v>
      </c>
      <c r="C31" s="13">
        <v>649</v>
      </c>
      <c r="D31" s="13" t="s">
        <v>420</v>
      </c>
      <c r="E31" s="20">
        <v>65</v>
      </c>
      <c r="F31" s="20">
        <v>178</v>
      </c>
      <c r="G31" s="20">
        <v>30</v>
      </c>
      <c r="H31" s="13" t="s">
        <v>1751</v>
      </c>
      <c r="I31" s="13" t="str">
        <f t="shared" si="0"/>
        <v>Hammondville Rd (Dixie Hwy to NW 26th Av)</v>
      </c>
      <c r="J31" s="13" t="s">
        <v>29</v>
      </c>
      <c r="K31" s="13" t="str">
        <f>VLOOKUP(J31,'Data-ProjectTypes'!A$3:B$13,2,FALSE)</f>
        <v>Program</v>
      </c>
      <c r="L31" s="21" t="s">
        <v>348</v>
      </c>
      <c r="M31" s="13" t="s">
        <v>728</v>
      </c>
      <c r="N31" s="13" t="s">
        <v>2222</v>
      </c>
      <c r="O31" s="13" t="s">
        <v>275</v>
      </c>
      <c r="P31" s="13" t="s">
        <v>275</v>
      </c>
      <c r="Q31" s="22">
        <v>2.2000000000000002</v>
      </c>
      <c r="R31" s="23">
        <v>516400</v>
      </c>
      <c r="S31" s="21"/>
      <c r="T31" s="21"/>
      <c r="U31" s="21"/>
      <c r="V31" s="24"/>
      <c r="W31" s="24"/>
      <c r="X31" s="28"/>
      <c r="Y31" s="17"/>
      <c r="Z31" s="18">
        <f>ROUND(R31*'Data-CostAssumptions'!$C$3,-3)</f>
        <v>715000</v>
      </c>
      <c r="AA31" s="11">
        <f t="shared" si="1"/>
        <v>0</v>
      </c>
      <c r="AB31" s="11">
        <v>2041</v>
      </c>
      <c r="AC31" s="11">
        <v>2041</v>
      </c>
      <c r="AD31" s="11">
        <v>2041</v>
      </c>
      <c r="AE31" s="11">
        <v>2041</v>
      </c>
      <c r="AF31" s="11">
        <v>0</v>
      </c>
      <c r="AG31" s="19">
        <f>ROUND((Z31*0.18)*(1+'Data-CostAssumptions'!$G$3)^(AC31-'Data-CostAssumptions'!$G$4),-3)</f>
        <v>330000</v>
      </c>
      <c r="AH31" s="19">
        <f>ROUND((Z31)*(1+'Data-CostAssumptions'!$G$3)^(AE31-'Data-CostAssumptions'!$G$4),-3)</f>
        <v>1833000</v>
      </c>
    </row>
    <row r="32" spans="1:39" ht="15" customHeight="1" x14ac:dyDescent="0.2">
      <c r="A32" s="11"/>
      <c r="B32" s="11" t="s">
        <v>1211</v>
      </c>
      <c r="C32" s="13">
        <v>650</v>
      </c>
      <c r="D32" s="13" t="s">
        <v>420</v>
      </c>
      <c r="E32" s="20">
        <v>70</v>
      </c>
      <c r="F32" s="20">
        <v>178</v>
      </c>
      <c r="G32" s="20">
        <v>31</v>
      </c>
      <c r="H32" s="13" t="s">
        <v>1928</v>
      </c>
      <c r="I32" s="13" t="str">
        <f t="shared" si="0"/>
        <v>NW 62nd St/Cypress Creek Rd (US 1/Federal Hwy to Dixie Hwy)</v>
      </c>
      <c r="J32" s="13" t="s">
        <v>29</v>
      </c>
      <c r="K32" s="13" t="str">
        <f>VLOOKUP(J32,'Data-ProjectTypes'!A$3:B$13,2,FALSE)</f>
        <v>Program</v>
      </c>
      <c r="L32" s="21" t="s">
        <v>348</v>
      </c>
      <c r="M32" s="13" t="s">
        <v>2594</v>
      </c>
      <c r="N32" s="13" t="s">
        <v>728</v>
      </c>
      <c r="O32" s="13" t="s">
        <v>273</v>
      </c>
      <c r="P32" s="13" t="s">
        <v>273</v>
      </c>
      <c r="Q32" s="22">
        <v>1.5</v>
      </c>
      <c r="R32" s="23">
        <v>347786</v>
      </c>
      <c r="S32" s="21"/>
      <c r="T32" s="21"/>
      <c r="U32" s="21"/>
      <c r="V32" s="24"/>
      <c r="W32" s="24" t="s">
        <v>702</v>
      </c>
      <c r="X32" s="29" t="s">
        <v>703</v>
      </c>
      <c r="Y32" s="17" t="s">
        <v>287</v>
      </c>
      <c r="Z32" s="18">
        <f>ROUND(R32*'Data-CostAssumptions'!$C$3,-3)</f>
        <v>481000</v>
      </c>
      <c r="AA32" s="11">
        <f t="shared" si="1"/>
        <v>1</v>
      </c>
      <c r="AB32" s="11">
        <v>2041</v>
      </c>
      <c r="AC32" s="11">
        <v>2041</v>
      </c>
      <c r="AD32" s="11">
        <v>2041</v>
      </c>
      <c r="AE32" s="11">
        <v>2041</v>
      </c>
      <c r="AF32" s="11">
        <v>0</v>
      </c>
      <c r="AG32" s="19">
        <f>ROUND((Z32*0.18)*(1+'Data-CostAssumptions'!$G$3)^(AC32-'Data-CostAssumptions'!$G$4),-3)</f>
        <v>222000</v>
      </c>
      <c r="AH32" s="19">
        <f>ROUND((Z32)*(1+'Data-CostAssumptions'!$G$3)^(AE32-'Data-CostAssumptions'!$G$4),-3)</f>
        <v>1233000</v>
      </c>
    </row>
    <row r="33" spans="1:34" ht="15" customHeight="1" x14ac:dyDescent="0.2">
      <c r="A33" s="11"/>
      <c r="B33" s="11" t="s">
        <v>1211</v>
      </c>
      <c r="C33" s="13">
        <v>651</v>
      </c>
      <c r="D33" s="13" t="s">
        <v>420</v>
      </c>
      <c r="E33" s="20">
        <v>79</v>
      </c>
      <c r="F33" s="20">
        <v>178</v>
      </c>
      <c r="G33" s="20">
        <v>32</v>
      </c>
      <c r="H33" s="13" t="s">
        <v>1898</v>
      </c>
      <c r="I33" s="13" t="str">
        <f t="shared" si="0"/>
        <v>NE 56th St (Dixie Hwy to Andrews Av)</v>
      </c>
      <c r="J33" s="13" t="s">
        <v>29</v>
      </c>
      <c r="K33" s="13" t="str">
        <f>VLOOKUP(J33,'Data-ProjectTypes'!A$3:B$13,2,FALSE)</f>
        <v>Program</v>
      </c>
      <c r="L33" s="21" t="s">
        <v>348</v>
      </c>
      <c r="M33" s="13" t="s">
        <v>728</v>
      </c>
      <c r="N33" s="13" t="s">
        <v>2014</v>
      </c>
      <c r="O33" s="13" t="s">
        <v>287</v>
      </c>
      <c r="P33" s="13" t="s">
        <v>287</v>
      </c>
      <c r="Q33" s="22">
        <v>0.9</v>
      </c>
      <c r="R33" s="23">
        <v>213590</v>
      </c>
      <c r="S33" s="21"/>
      <c r="T33" s="21"/>
      <c r="U33" s="21"/>
      <c r="V33" s="24"/>
      <c r="W33" s="24" t="s">
        <v>696</v>
      </c>
      <c r="X33" s="24"/>
      <c r="Y33" s="17" t="s">
        <v>287</v>
      </c>
      <c r="Z33" s="18">
        <f>ROUND(R33*'Data-CostAssumptions'!$C$3,-3)</f>
        <v>296000</v>
      </c>
      <c r="AA33" s="11">
        <f t="shared" si="1"/>
        <v>1</v>
      </c>
      <c r="AB33" s="11">
        <v>2041</v>
      </c>
      <c r="AC33" s="11">
        <v>2041</v>
      </c>
      <c r="AD33" s="11">
        <v>2041</v>
      </c>
      <c r="AE33" s="11">
        <v>2041</v>
      </c>
      <c r="AF33" s="11">
        <v>0</v>
      </c>
      <c r="AG33" s="19">
        <f>ROUND((Z33*0.18)*(1+'Data-CostAssumptions'!$G$3)^(AC33-'Data-CostAssumptions'!$G$4),-3)</f>
        <v>137000</v>
      </c>
      <c r="AH33" s="19">
        <f>ROUND((Z33)*(1+'Data-CostAssumptions'!$G$3)^(AE33-'Data-CostAssumptions'!$G$4),-3)</f>
        <v>759000</v>
      </c>
    </row>
    <row r="34" spans="1:34" ht="15" customHeight="1" x14ac:dyDescent="0.2">
      <c r="A34" s="11"/>
      <c r="B34" s="11" t="s">
        <v>1211</v>
      </c>
      <c r="C34" s="13">
        <v>652</v>
      </c>
      <c r="D34" s="13" t="s">
        <v>420</v>
      </c>
      <c r="E34" s="20">
        <v>86</v>
      </c>
      <c r="F34" s="20">
        <v>178</v>
      </c>
      <c r="G34" s="20">
        <v>33</v>
      </c>
      <c r="H34" s="13" t="s">
        <v>2755</v>
      </c>
      <c r="I34" s="13" t="str">
        <f t="shared" si="0"/>
        <v>SR 811/Dixie Hwy (Oakland Park Bl to Commercial Bl)</v>
      </c>
      <c r="J34" s="13" t="s">
        <v>29</v>
      </c>
      <c r="K34" s="13" t="str">
        <f>VLOOKUP(J34,'Data-ProjectTypes'!A$3:B$13,2,FALSE)</f>
        <v>Program</v>
      </c>
      <c r="L34" s="21" t="s">
        <v>348</v>
      </c>
      <c r="M34" s="13" t="s">
        <v>1825</v>
      </c>
      <c r="N34" s="13" t="s">
        <v>1813</v>
      </c>
      <c r="O34" s="13" t="s">
        <v>270</v>
      </c>
      <c r="P34" s="13" t="s">
        <v>270</v>
      </c>
      <c r="Q34" s="22">
        <v>1.6</v>
      </c>
      <c r="R34" s="23">
        <v>369978</v>
      </c>
      <c r="S34" s="21"/>
      <c r="T34" s="21"/>
      <c r="U34" s="21"/>
      <c r="V34" s="24"/>
      <c r="W34" s="24" t="s">
        <v>696</v>
      </c>
      <c r="X34" s="24"/>
      <c r="Y34" s="17" t="s">
        <v>287</v>
      </c>
      <c r="Z34" s="18">
        <f>ROUND(R34*'Data-CostAssumptions'!$C$3,-3)</f>
        <v>512000</v>
      </c>
      <c r="AA34" s="11">
        <f t="shared" si="1"/>
        <v>1</v>
      </c>
      <c r="AB34" s="11">
        <v>2041</v>
      </c>
      <c r="AC34" s="11">
        <v>2041</v>
      </c>
      <c r="AD34" s="11">
        <v>2041</v>
      </c>
      <c r="AE34" s="11">
        <v>2041</v>
      </c>
      <c r="AF34" s="11">
        <v>0</v>
      </c>
      <c r="AG34" s="19">
        <f>ROUND((Z34*0.18)*(1+'Data-CostAssumptions'!$G$3)^(AC34-'Data-CostAssumptions'!$G$4),-3)</f>
        <v>236000</v>
      </c>
      <c r="AH34" s="19">
        <f>ROUND((Z34)*(1+'Data-CostAssumptions'!$G$3)^(AE34-'Data-CostAssumptions'!$G$4),-3)</f>
        <v>1313000</v>
      </c>
    </row>
    <row r="35" spans="1:34" ht="15" customHeight="1" x14ac:dyDescent="0.2">
      <c r="A35" s="11"/>
      <c r="B35" s="11" t="s">
        <v>1211</v>
      </c>
      <c r="C35" s="13">
        <v>653</v>
      </c>
      <c r="D35" s="13" t="s">
        <v>420</v>
      </c>
      <c r="E35" s="20">
        <v>96</v>
      </c>
      <c r="F35" s="20">
        <v>178</v>
      </c>
      <c r="G35" s="20">
        <v>34</v>
      </c>
      <c r="H35" s="13" t="s">
        <v>2036</v>
      </c>
      <c r="I35" s="13" t="str">
        <f t="shared" si="0"/>
        <v>NE 6th Av (Prospect Rd to NE 61st Court)</v>
      </c>
      <c r="J35" s="13" t="s">
        <v>29</v>
      </c>
      <c r="K35" s="13" t="str">
        <f>VLOOKUP(J35,'Data-ProjectTypes'!A$3:B$13,2,FALSE)</f>
        <v>Program</v>
      </c>
      <c r="L35" s="21" t="s">
        <v>348</v>
      </c>
      <c r="M35" s="13" t="s">
        <v>1859</v>
      </c>
      <c r="N35" s="13" t="s">
        <v>148</v>
      </c>
      <c r="O35" s="13" t="s">
        <v>273</v>
      </c>
      <c r="P35" s="13" t="s">
        <v>273</v>
      </c>
      <c r="Q35" s="22">
        <v>1.5</v>
      </c>
      <c r="R35" s="23">
        <v>351451</v>
      </c>
      <c r="S35" s="21"/>
      <c r="T35" s="21"/>
      <c r="U35" s="21"/>
      <c r="V35" s="24"/>
      <c r="W35" s="24" t="s">
        <v>696</v>
      </c>
      <c r="X35" s="24"/>
      <c r="Y35" s="17" t="s">
        <v>287</v>
      </c>
      <c r="Z35" s="18">
        <f>ROUND(R35*'Data-CostAssumptions'!$C$3,-3)</f>
        <v>486000</v>
      </c>
      <c r="AA35" s="11">
        <f t="shared" si="1"/>
        <v>1</v>
      </c>
      <c r="AB35" s="11">
        <v>2041</v>
      </c>
      <c r="AC35" s="11">
        <v>2041</v>
      </c>
      <c r="AD35" s="11">
        <v>2041</v>
      </c>
      <c r="AE35" s="11">
        <v>2041</v>
      </c>
      <c r="AF35" s="11">
        <v>0</v>
      </c>
      <c r="AG35" s="19">
        <f>ROUND((Z35*0.18)*(1+'Data-CostAssumptions'!$G$3)^(AC35-'Data-CostAssumptions'!$G$4),-3)</f>
        <v>224000</v>
      </c>
      <c r="AH35" s="19">
        <f>ROUND((Z35)*(1+'Data-CostAssumptions'!$G$3)^(AE35-'Data-CostAssumptions'!$G$4),-3)</f>
        <v>1246000</v>
      </c>
    </row>
    <row r="36" spans="1:34" ht="15" customHeight="1" x14ac:dyDescent="0.2">
      <c r="A36" s="11"/>
      <c r="B36" s="11" t="s">
        <v>1211</v>
      </c>
      <c r="C36" s="13">
        <v>654</v>
      </c>
      <c r="D36" s="13" t="s">
        <v>420</v>
      </c>
      <c r="E36" s="20">
        <v>97</v>
      </c>
      <c r="F36" s="20">
        <v>178</v>
      </c>
      <c r="G36" s="20">
        <v>35</v>
      </c>
      <c r="H36" s="13" t="s">
        <v>2755</v>
      </c>
      <c r="I36" s="13" t="str">
        <f t="shared" si="0"/>
        <v>SR 811/Dixie Hwy (NE 13th St to Oakland Park Bl)</v>
      </c>
      <c r="J36" s="13" t="s">
        <v>29</v>
      </c>
      <c r="K36" s="13" t="str">
        <f>VLOOKUP(J36,'Data-ProjectTypes'!A$3:B$13,2,FALSE)</f>
        <v>Program</v>
      </c>
      <c r="L36" s="26" t="s">
        <v>847</v>
      </c>
      <c r="M36" s="13" t="s">
        <v>2488</v>
      </c>
      <c r="N36" s="13" t="s">
        <v>1825</v>
      </c>
      <c r="O36" s="13" t="s">
        <v>272</v>
      </c>
      <c r="P36" s="13" t="s">
        <v>272</v>
      </c>
      <c r="Q36" s="22">
        <v>1.8</v>
      </c>
      <c r="R36" s="23">
        <v>421899</v>
      </c>
      <c r="S36" s="21"/>
      <c r="T36" s="21"/>
      <c r="U36" s="21" t="s">
        <v>24</v>
      </c>
      <c r="V36" s="24"/>
      <c r="W36" s="24"/>
      <c r="X36" s="24" t="s">
        <v>704</v>
      </c>
      <c r="Y36" s="17" t="s">
        <v>844</v>
      </c>
      <c r="Z36" s="18">
        <f>ROUND(R36*'Data-CostAssumptions'!$C$3,-3)</f>
        <v>584000</v>
      </c>
      <c r="AA36" s="11">
        <f t="shared" si="1"/>
        <v>0</v>
      </c>
      <c r="AB36" s="11">
        <v>2041</v>
      </c>
      <c r="AC36" s="11">
        <v>2041</v>
      </c>
      <c r="AD36" s="11">
        <v>2041</v>
      </c>
      <c r="AE36" s="11">
        <v>2041</v>
      </c>
      <c r="AF36" s="11">
        <v>0</v>
      </c>
      <c r="AG36" s="19">
        <f>ROUND((Z36*0.18)*(1+'Data-CostAssumptions'!$G$3)^(AC36-'Data-CostAssumptions'!$G$4),-3)</f>
        <v>270000</v>
      </c>
      <c r="AH36" s="19">
        <f>ROUND((Z36)*(1+'Data-CostAssumptions'!$G$3)^(AE36-'Data-CostAssumptions'!$G$4),-3)</f>
        <v>1497000</v>
      </c>
    </row>
    <row r="37" spans="1:34" ht="15" customHeight="1" x14ac:dyDescent="0.2">
      <c r="A37" s="11"/>
      <c r="B37" s="11" t="s">
        <v>1211</v>
      </c>
      <c r="C37" s="13">
        <v>655</v>
      </c>
      <c r="D37" s="13" t="s">
        <v>420</v>
      </c>
      <c r="E37" s="20">
        <v>101</v>
      </c>
      <c r="F37" s="20">
        <v>178</v>
      </c>
      <c r="G37" s="20">
        <v>36</v>
      </c>
      <c r="H37" s="13" t="s">
        <v>1424</v>
      </c>
      <c r="I37" s="13" t="str">
        <f t="shared" si="0"/>
        <v>SR 5/US 1 (Broward BL to Sunrise BL)</v>
      </c>
      <c r="J37" s="13" t="s">
        <v>29</v>
      </c>
      <c r="K37" s="13" t="str">
        <f>VLOOKUP(J37,'Data-ProjectTypes'!A$3:B$13,2,FALSE)</f>
        <v>Program</v>
      </c>
      <c r="L37" s="21" t="s">
        <v>348</v>
      </c>
      <c r="M37" s="13" t="s">
        <v>58</v>
      </c>
      <c r="N37" s="13" t="s">
        <v>214</v>
      </c>
      <c r="O37" s="13" t="s">
        <v>270</v>
      </c>
      <c r="P37" s="13" t="s">
        <v>270</v>
      </c>
      <c r="Q37" s="22">
        <v>1.1000000000000001</v>
      </c>
      <c r="R37" s="23">
        <v>246241</v>
      </c>
      <c r="S37" s="21"/>
      <c r="T37" s="21"/>
      <c r="U37" s="21"/>
      <c r="V37" s="24"/>
      <c r="W37" s="24"/>
      <c r="X37" s="24"/>
      <c r="Y37" s="17"/>
      <c r="Z37" s="18">
        <f>ROUND(R37*'Data-CostAssumptions'!$C$3,-3)</f>
        <v>341000</v>
      </c>
      <c r="AA37" s="11">
        <f t="shared" si="1"/>
        <v>0</v>
      </c>
      <c r="AB37" s="11">
        <v>2041</v>
      </c>
      <c r="AC37" s="11">
        <v>2041</v>
      </c>
      <c r="AD37" s="11">
        <v>2041</v>
      </c>
      <c r="AE37" s="11">
        <v>2041</v>
      </c>
      <c r="AF37" s="11">
        <v>0</v>
      </c>
      <c r="AG37" s="19">
        <f>ROUND((Z37*'Data-CostAssumptions'!$G$5)*(1+'Data-CostAssumptions'!$G$3)^(AC37-'Data-CostAssumptions'!$G$4),-3)</f>
        <v>192000</v>
      </c>
      <c r="AH37" s="19">
        <f>ROUND((Z37)*(1+'Data-CostAssumptions'!$G$3)^(AE37-'Data-CostAssumptions'!$G$4),-3)</f>
        <v>874000</v>
      </c>
    </row>
    <row r="38" spans="1:34" ht="15" customHeight="1" x14ac:dyDescent="0.2">
      <c r="A38" s="11"/>
      <c r="B38" s="11" t="s">
        <v>1211</v>
      </c>
      <c r="C38" s="13">
        <v>656</v>
      </c>
      <c r="D38" s="13" t="s">
        <v>420</v>
      </c>
      <c r="E38" s="20">
        <v>102</v>
      </c>
      <c r="F38" s="20">
        <v>178</v>
      </c>
      <c r="G38" s="20">
        <v>37</v>
      </c>
      <c r="H38" s="13" t="s">
        <v>2798</v>
      </c>
      <c r="I38" s="13" t="str">
        <f t="shared" si="0"/>
        <v>SR 842/Broward Bl (Victoria Park Rd to US 1/Federal Hwy)</v>
      </c>
      <c r="J38" s="13" t="s">
        <v>29</v>
      </c>
      <c r="K38" s="13" t="str">
        <f>VLOOKUP(J38,'Data-ProjectTypes'!A$3:B$13,2,FALSE)</f>
        <v>Program</v>
      </c>
      <c r="L38" s="21" t="s">
        <v>348</v>
      </c>
      <c r="M38" s="13" t="s">
        <v>1868</v>
      </c>
      <c r="N38" s="13" t="s">
        <v>2594</v>
      </c>
      <c r="O38" s="13" t="s">
        <v>273</v>
      </c>
      <c r="P38" s="13" t="s">
        <v>273</v>
      </c>
      <c r="Q38" s="22">
        <v>0.8</v>
      </c>
      <c r="R38" s="23">
        <v>179028</v>
      </c>
      <c r="S38" s="21"/>
      <c r="T38" s="21"/>
      <c r="U38" s="21"/>
      <c r="V38" s="24"/>
      <c r="W38" s="24"/>
      <c r="X38" s="24"/>
      <c r="Y38" s="17"/>
      <c r="Z38" s="18">
        <f>ROUND(R38*'Data-CostAssumptions'!$C$3,-3)</f>
        <v>248000</v>
      </c>
      <c r="AA38" s="11">
        <f t="shared" si="1"/>
        <v>0</v>
      </c>
      <c r="AB38" s="11">
        <v>2041</v>
      </c>
      <c r="AC38" s="11">
        <v>2041</v>
      </c>
      <c r="AD38" s="11">
        <v>2041</v>
      </c>
      <c r="AE38" s="11">
        <v>2041</v>
      </c>
      <c r="AF38" s="11">
        <v>0</v>
      </c>
      <c r="AG38" s="19">
        <f>ROUND((Z38*'Data-CostAssumptions'!$G$5)*(1+'Data-CostAssumptions'!$G$3)^(AC38-'Data-CostAssumptions'!$G$4),-3)</f>
        <v>140000</v>
      </c>
      <c r="AH38" s="19">
        <f>ROUND((Z38)*(1+'Data-CostAssumptions'!$G$3)^(AE38-'Data-CostAssumptions'!$G$4),-3)</f>
        <v>636000</v>
      </c>
    </row>
    <row r="39" spans="1:34" ht="15" customHeight="1" x14ac:dyDescent="0.2">
      <c r="A39" s="11"/>
      <c r="B39" s="11" t="s">
        <v>1211</v>
      </c>
      <c r="C39" s="13">
        <v>657</v>
      </c>
      <c r="D39" s="13" t="s">
        <v>420</v>
      </c>
      <c r="E39" s="20">
        <v>104</v>
      </c>
      <c r="F39" s="20">
        <v>178</v>
      </c>
      <c r="G39" s="20">
        <v>38</v>
      </c>
      <c r="H39" s="13" t="s">
        <v>2090</v>
      </c>
      <c r="I39" s="13" t="str">
        <f t="shared" si="0"/>
        <v>SE 17th Av (SE 23rd Av to US 1/Federal Hwy)</v>
      </c>
      <c r="J39" s="13" t="s">
        <v>29</v>
      </c>
      <c r="K39" s="13" t="str">
        <f>VLOOKUP(J39,'Data-ProjectTypes'!A$3:B$13,2,FALSE)</f>
        <v>Program</v>
      </c>
      <c r="L39" s="21" t="s">
        <v>348</v>
      </c>
      <c r="M39" s="13" t="s">
        <v>2377</v>
      </c>
      <c r="N39" s="13" t="s">
        <v>2594</v>
      </c>
      <c r="O39" s="13" t="s">
        <v>270</v>
      </c>
      <c r="P39" s="13" t="s">
        <v>270</v>
      </c>
      <c r="Q39" s="22">
        <v>1.4</v>
      </c>
      <c r="R39" s="23">
        <v>320893</v>
      </c>
      <c r="S39" s="21"/>
      <c r="T39" s="21"/>
      <c r="U39" s="21"/>
      <c r="V39" s="24"/>
      <c r="W39" s="24"/>
      <c r="X39" s="24"/>
      <c r="Y39" s="17"/>
      <c r="Z39" s="18">
        <f>ROUND(R39*'Data-CostAssumptions'!$C$3,-3)</f>
        <v>444000</v>
      </c>
      <c r="AA39" s="11">
        <f t="shared" si="1"/>
        <v>0</v>
      </c>
      <c r="AB39" s="11">
        <v>2041</v>
      </c>
      <c r="AC39" s="11">
        <v>2041</v>
      </c>
      <c r="AD39" s="11">
        <v>2041</v>
      </c>
      <c r="AE39" s="11">
        <v>2041</v>
      </c>
      <c r="AF39" s="11">
        <v>0</v>
      </c>
      <c r="AG39" s="19">
        <f>ROUND((Z39*'Data-CostAssumptions'!$G$5)*(1+'Data-CostAssumptions'!$G$3)^(AC39-'Data-CostAssumptions'!$G$4),-3)</f>
        <v>250000</v>
      </c>
      <c r="AH39" s="19">
        <f>ROUND((Z39)*(1+'Data-CostAssumptions'!$G$3)^(AE39-'Data-CostAssumptions'!$G$4),-3)</f>
        <v>1138000</v>
      </c>
    </row>
    <row r="40" spans="1:34" ht="15" customHeight="1" x14ac:dyDescent="0.2">
      <c r="A40" s="11"/>
      <c r="B40" s="11" t="s">
        <v>1211</v>
      </c>
      <c r="C40" s="13">
        <v>658</v>
      </c>
      <c r="D40" s="13" t="s">
        <v>420</v>
      </c>
      <c r="E40" s="20">
        <v>107</v>
      </c>
      <c r="F40" s="20">
        <v>178</v>
      </c>
      <c r="G40" s="20">
        <v>39</v>
      </c>
      <c r="H40" s="13" t="s">
        <v>2014</v>
      </c>
      <c r="I40" s="13" t="str">
        <f t="shared" si="0"/>
        <v>Andrews Av (Davie Bl to SE 5th St)</v>
      </c>
      <c r="J40" s="13" t="s">
        <v>29</v>
      </c>
      <c r="K40" s="13" t="str">
        <f>VLOOKUP(J40,'Data-ProjectTypes'!A$3:B$13,2,FALSE)</f>
        <v>Program</v>
      </c>
      <c r="L40" s="21" t="s">
        <v>348</v>
      </c>
      <c r="M40" s="13" t="s">
        <v>1816</v>
      </c>
      <c r="N40" s="13" t="s">
        <v>2477</v>
      </c>
      <c r="O40" s="13" t="s">
        <v>273</v>
      </c>
      <c r="P40" s="13" t="s">
        <v>273</v>
      </c>
      <c r="Q40" s="22">
        <v>0.6</v>
      </c>
      <c r="R40" s="23">
        <v>139875</v>
      </c>
      <c r="S40" s="21"/>
      <c r="T40" s="21"/>
      <c r="U40" s="21"/>
      <c r="V40" s="24"/>
      <c r="W40" s="24"/>
      <c r="X40" s="24"/>
      <c r="Y40" s="17"/>
      <c r="Z40" s="18">
        <f>ROUND(R40*'Data-CostAssumptions'!$C$3,-3)</f>
        <v>194000</v>
      </c>
      <c r="AA40" s="11">
        <f t="shared" si="1"/>
        <v>0</v>
      </c>
      <c r="AB40" s="11">
        <v>2041</v>
      </c>
      <c r="AC40" s="11">
        <v>2041</v>
      </c>
      <c r="AD40" s="11">
        <v>2041</v>
      </c>
      <c r="AE40" s="11">
        <v>2041</v>
      </c>
      <c r="AF40" s="11">
        <v>0</v>
      </c>
      <c r="AG40" s="19">
        <f>ROUND((Z40*'Data-CostAssumptions'!$G$5)*(1+'Data-CostAssumptions'!$G$3)^(AC40-'Data-CostAssumptions'!$G$4),-3)</f>
        <v>109000</v>
      </c>
      <c r="AH40" s="19">
        <f>ROUND((Z40)*(1+'Data-CostAssumptions'!$G$3)^(AE40-'Data-CostAssumptions'!$G$4),-3)</f>
        <v>497000</v>
      </c>
    </row>
    <row r="41" spans="1:34" ht="15" customHeight="1" x14ac:dyDescent="0.2">
      <c r="A41" s="11"/>
      <c r="B41" s="11" t="s">
        <v>1211</v>
      </c>
      <c r="C41" s="13">
        <v>659</v>
      </c>
      <c r="D41" s="13" t="s">
        <v>420</v>
      </c>
      <c r="E41" s="20">
        <v>108</v>
      </c>
      <c r="F41" s="20">
        <v>179</v>
      </c>
      <c r="G41" s="20">
        <v>40</v>
      </c>
      <c r="H41" s="13" t="s">
        <v>2014</v>
      </c>
      <c r="I41" s="13" t="str">
        <f t="shared" si="0"/>
        <v>Andrews Av (Eller Dr to Davie Bl)</v>
      </c>
      <c r="J41" s="13" t="s">
        <v>29</v>
      </c>
      <c r="K41" s="13" t="str">
        <f>VLOOKUP(J41,'Data-ProjectTypes'!A$3:B$13,2,FALSE)</f>
        <v>Program</v>
      </c>
      <c r="L41" s="21" t="s">
        <v>348</v>
      </c>
      <c r="M41" s="13" t="s">
        <v>1789</v>
      </c>
      <c r="N41" s="13" t="s">
        <v>1816</v>
      </c>
      <c r="O41" s="13" t="s">
        <v>273</v>
      </c>
      <c r="P41" s="13" t="s">
        <v>273</v>
      </c>
      <c r="Q41" s="22">
        <v>1.7</v>
      </c>
      <c r="R41" s="23">
        <v>402223</v>
      </c>
      <c r="S41" s="21"/>
      <c r="T41" s="21"/>
      <c r="U41" s="21"/>
      <c r="V41" s="24"/>
      <c r="W41" s="24"/>
      <c r="X41" s="24"/>
      <c r="Y41" s="17"/>
      <c r="Z41" s="18">
        <f>ROUND(R41*'Data-CostAssumptions'!$C$3,-3)</f>
        <v>557000</v>
      </c>
      <c r="AA41" s="11">
        <f t="shared" si="1"/>
        <v>0</v>
      </c>
      <c r="AB41" s="11">
        <v>2041</v>
      </c>
      <c r="AC41" s="11">
        <v>2041</v>
      </c>
      <c r="AD41" s="11">
        <v>2041</v>
      </c>
      <c r="AE41" s="11">
        <v>2041</v>
      </c>
      <c r="AF41" s="11">
        <v>0</v>
      </c>
      <c r="AG41" s="19">
        <f>ROUND((Z41*'Data-CostAssumptions'!$G$5)*(1+'Data-CostAssumptions'!$G$3)^(AC41-'Data-CostAssumptions'!$G$4),-3)</f>
        <v>314000</v>
      </c>
      <c r="AH41" s="19">
        <f>ROUND((Z41)*(1+'Data-CostAssumptions'!$G$3)^(AE41-'Data-CostAssumptions'!$G$4),-3)</f>
        <v>1428000</v>
      </c>
    </row>
    <row r="42" spans="1:34" ht="15" customHeight="1" x14ac:dyDescent="0.2">
      <c r="A42" s="11"/>
      <c r="B42" s="11" t="s">
        <v>1211</v>
      </c>
      <c r="C42" s="13">
        <v>660</v>
      </c>
      <c r="D42" s="13" t="s">
        <v>420</v>
      </c>
      <c r="E42" s="20">
        <v>109</v>
      </c>
      <c r="F42" s="20">
        <v>179</v>
      </c>
      <c r="G42" s="20">
        <v>41</v>
      </c>
      <c r="H42" s="13" t="s">
        <v>2127</v>
      </c>
      <c r="I42" s="13" t="str">
        <f t="shared" si="0"/>
        <v>SW 4th Av (Perimeter Rd to SW 23rd St)</v>
      </c>
      <c r="J42" s="13" t="s">
        <v>29</v>
      </c>
      <c r="K42" s="13" t="str">
        <f>VLOOKUP(J42,'Data-ProjectTypes'!A$3:B$13,2,FALSE)</f>
        <v>Program</v>
      </c>
      <c r="L42" s="21" t="s">
        <v>348</v>
      </c>
      <c r="M42" s="13" t="s">
        <v>1761</v>
      </c>
      <c r="N42" s="13" t="s">
        <v>2579</v>
      </c>
      <c r="O42" s="13" t="s">
        <v>276</v>
      </c>
      <c r="P42" s="13" t="s">
        <v>276</v>
      </c>
      <c r="Q42" s="22">
        <v>0.8</v>
      </c>
      <c r="R42" s="23">
        <v>194064</v>
      </c>
      <c r="S42" s="21"/>
      <c r="T42" s="21"/>
      <c r="U42" s="21"/>
      <c r="V42" s="24"/>
      <c r="W42" s="24"/>
      <c r="X42" s="24"/>
      <c r="Y42" s="17"/>
      <c r="Z42" s="18">
        <f>ROUND(R42*'Data-CostAssumptions'!$C$3,-3)</f>
        <v>269000</v>
      </c>
      <c r="AA42" s="11">
        <f t="shared" si="1"/>
        <v>0</v>
      </c>
      <c r="AB42" s="11">
        <v>2041</v>
      </c>
      <c r="AC42" s="11">
        <v>2041</v>
      </c>
      <c r="AD42" s="11">
        <v>2041</v>
      </c>
      <c r="AE42" s="11">
        <v>2041</v>
      </c>
      <c r="AF42" s="11">
        <v>0</v>
      </c>
      <c r="AG42" s="19">
        <f>ROUND((Z42*'Data-CostAssumptions'!$G$5)*(1+'Data-CostAssumptions'!$G$3)^(AC42-'Data-CostAssumptions'!$G$4),-3)</f>
        <v>152000</v>
      </c>
      <c r="AH42" s="19">
        <f>ROUND((Z42)*(1+'Data-CostAssumptions'!$G$3)^(AE42-'Data-CostAssumptions'!$G$4),-3)</f>
        <v>690000</v>
      </c>
    </row>
    <row r="43" spans="1:34" ht="15" customHeight="1" x14ac:dyDescent="0.2">
      <c r="A43" s="11"/>
      <c r="B43" s="11" t="s">
        <v>1211</v>
      </c>
      <c r="C43" s="13">
        <v>661</v>
      </c>
      <c r="D43" s="13" t="s">
        <v>420</v>
      </c>
      <c r="E43" s="20">
        <v>117</v>
      </c>
      <c r="F43" s="20">
        <v>179</v>
      </c>
      <c r="G43" s="20">
        <v>42</v>
      </c>
      <c r="H43" s="13" t="s">
        <v>45</v>
      </c>
      <c r="I43" s="13" t="str">
        <f t="shared" si="0"/>
        <v>SR 84 (US 1/Federal Hwy to I-95)</v>
      </c>
      <c r="J43" s="13" t="s">
        <v>29</v>
      </c>
      <c r="K43" s="13" t="str">
        <f>VLOOKUP(J43,'Data-ProjectTypes'!A$3:B$13,2,FALSE)</f>
        <v>Program</v>
      </c>
      <c r="L43" s="21" t="s">
        <v>348</v>
      </c>
      <c r="M43" s="13" t="s">
        <v>2594</v>
      </c>
      <c r="N43" s="13" t="s">
        <v>41</v>
      </c>
      <c r="O43" s="13" t="s">
        <v>270</v>
      </c>
      <c r="P43" s="13" t="s">
        <v>270</v>
      </c>
      <c r="Q43" s="22">
        <v>2</v>
      </c>
      <c r="R43" s="23">
        <v>474967</v>
      </c>
      <c r="S43" s="21"/>
      <c r="T43" s="21"/>
      <c r="U43" s="21"/>
      <c r="V43" s="24"/>
      <c r="W43" s="24"/>
      <c r="X43" s="24"/>
      <c r="Y43" s="17"/>
      <c r="Z43" s="18">
        <f>ROUND(R43*'Data-CostAssumptions'!$C$3,-3)</f>
        <v>657000</v>
      </c>
      <c r="AA43" s="11">
        <f t="shared" si="1"/>
        <v>0</v>
      </c>
      <c r="AB43" s="11">
        <v>2041</v>
      </c>
      <c r="AC43" s="11">
        <v>2041</v>
      </c>
      <c r="AD43" s="11">
        <v>2041</v>
      </c>
      <c r="AE43" s="11">
        <v>2041</v>
      </c>
      <c r="AF43" s="11">
        <v>0</v>
      </c>
      <c r="AG43" s="19">
        <f>ROUND((Z43*'Data-CostAssumptions'!$G$5)*(1+'Data-CostAssumptions'!$G$3)^(AC43-'Data-CostAssumptions'!$G$4),-3)</f>
        <v>371000</v>
      </c>
      <c r="AH43" s="19">
        <f>ROUND((Z43)*(1+'Data-CostAssumptions'!$G$3)^(AE43-'Data-CostAssumptions'!$G$4),-3)</f>
        <v>1685000</v>
      </c>
    </row>
    <row r="44" spans="1:34" ht="15" customHeight="1" x14ac:dyDescent="0.2">
      <c r="A44" s="11"/>
      <c r="B44" s="11" t="s">
        <v>1211</v>
      </c>
      <c r="C44" s="13">
        <v>662</v>
      </c>
      <c r="D44" s="13" t="s">
        <v>420</v>
      </c>
      <c r="E44" s="20">
        <v>119</v>
      </c>
      <c r="F44" s="20">
        <v>179</v>
      </c>
      <c r="G44" s="20">
        <v>43</v>
      </c>
      <c r="H44" s="13" t="s">
        <v>2124</v>
      </c>
      <c r="I44" s="13" t="str">
        <f t="shared" si="0"/>
        <v>SW 40th Av (Stirling Rd to Griffin Rd)</v>
      </c>
      <c r="J44" s="13" t="s">
        <v>29</v>
      </c>
      <c r="K44" s="13" t="str">
        <f>VLOOKUP(J44,'Data-ProjectTypes'!A$3:B$13,2,FALSE)</f>
        <v>Program</v>
      </c>
      <c r="L44" s="21" t="s">
        <v>562</v>
      </c>
      <c r="M44" s="13" t="s">
        <v>177</v>
      </c>
      <c r="N44" s="13" t="s">
        <v>1750</v>
      </c>
      <c r="O44" s="13" t="s">
        <v>272</v>
      </c>
      <c r="P44" s="13" t="s">
        <v>272</v>
      </c>
      <c r="Q44" s="22">
        <v>1.1000000000000001</v>
      </c>
      <c r="R44" s="23">
        <v>258269</v>
      </c>
      <c r="S44" s="21" t="s">
        <v>24</v>
      </c>
      <c r="T44" s="21" t="s">
        <v>25</v>
      </c>
      <c r="U44" s="21" t="s">
        <v>24</v>
      </c>
      <c r="V44" s="24" t="s">
        <v>561</v>
      </c>
      <c r="W44" s="24"/>
      <c r="X44" s="24"/>
      <c r="Y44" s="17" t="s">
        <v>538</v>
      </c>
      <c r="Z44" s="18">
        <f>ROUND(R44*'Data-CostAssumptions'!$C$3,-3)</f>
        <v>357000</v>
      </c>
      <c r="AA44" s="11">
        <f t="shared" si="1"/>
        <v>1</v>
      </c>
      <c r="AB44" s="11">
        <v>2041</v>
      </c>
      <c r="AC44" s="11">
        <v>2041</v>
      </c>
      <c r="AD44" s="11">
        <v>2041</v>
      </c>
      <c r="AE44" s="11">
        <v>2041</v>
      </c>
      <c r="AF44" s="11">
        <v>0</v>
      </c>
      <c r="AG44" s="19">
        <f>ROUND((Z44*'Data-CostAssumptions'!$G$5)*(1+'Data-CostAssumptions'!$G$3)^(AC44-'Data-CostAssumptions'!$G$4),-3)</f>
        <v>201000</v>
      </c>
      <c r="AH44" s="19">
        <f>ROUND((Z44)*(1+'Data-CostAssumptions'!$G$3)^(AE44-'Data-CostAssumptions'!$G$4),-3)</f>
        <v>915000</v>
      </c>
    </row>
    <row r="45" spans="1:34" ht="15" customHeight="1" x14ac:dyDescent="0.2">
      <c r="A45" s="11"/>
      <c r="B45" s="11" t="s">
        <v>1211</v>
      </c>
      <c r="C45" s="13">
        <v>663</v>
      </c>
      <c r="D45" s="13" t="s">
        <v>420</v>
      </c>
      <c r="E45" s="20">
        <v>121</v>
      </c>
      <c r="F45" s="20">
        <v>179</v>
      </c>
      <c r="G45" s="20">
        <v>44</v>
      </c>
      <c r="H45" s="13" t="s">
        <v>2727</v>
      </c>
      <c r="I45" s="13" t="str">
        <f t="shared" si="0"/>
        <v>SR 848/Stirling Rd (Ravenswood Rd to Just west of Florida's Turnpike)</v>
      </c>
      <c r="J45" s="13" t="s">
        <v>29</v>
      </c>
      <c r="K45" s="13" t="str">
        <f>VLOOKUP(J45,'Data-ProjectTypes'!A$3:B$13,2,FALSE)</f>
        <v>Program</v>
      </c>
      <c r="M45" s="13" t="s">
        <v>1765</v>
      </c>
      <c r="N45" s="13" t="s">
        <v>69</v>
      </c>
      <c r="O45" s="13" t="s">
        <v>270</v>
      </c>
      <c r="P45" s="13" t="s">
        <v>270</v>
      </c>
      <c r="Q45" s="22">
        <v>2.9</v>
      </c>
      <c r="R45" s="23">
        <v>678547</v>
      </c>
      <c r="S45" s="21" t="s">
        <v>24</v>
      </c>
      <c r="T45" s="21"/>
      <c r="U45" s="21"/>
      <c r="V45" s="24"/>
      <c r="W45" s="24"/>
      <c r="X45" s="24"/>
      <c r="Y45" s="17" t="s">
        <v>538</v>
      </c>
      <c r="Z45" s="18">
        <f>ROUND(R45*'Data-CostAssumptions'!$C$3,-3)</f>
        <v>939000</v>
      </c>
      <c r="AA45" s="11">
        <f t="shared" si="1"/>
        <v>0</v>
      </c>
      <c r="AB45" s="11">
        <v>2041</v>
      </c>
      <c r="AC45" s="11">
        <v>2041</v>
      </c>
      <c r="AD45" s="11">
        <v>2041</v>
      </c>
      <c r="AE45" s="11">
        <v>2041</v>
      </c>
      <c r="AF45" s="11">
        <v>0</v>
      </c>
      <c r="AG45" s="19">
        <f>ROUND((Z45*'Data-CostAssumptions'!$G$5)*(1+'Data-CostAssumptions'!$G$3)^(AC45-'Data-CostAssumptions'!$G$4),-3)</f>
        <v>530000</v>
      </c>
      <c r="AH45" s="19">
        <f>ROUND((Z45)*(1+'Data-CostAssumptions'!$G$3)^(AE45-'Data-CostAssumptions'!$G$4),-3)</f>
        <v>2408000</v>
      </c>
    </row>
    <row r="46" spans="1:34" ht="15" customHeight="1" x14ac:dyDescent="0.2">
      <c r="A46" s="11"/>
      <c r="B46" s="11" t="s">
        <v>1211</v>
      </c>
      <c r="C46" s="13">
        <v>664</v>
      </c>
      <c r="D46" s="13" t="s">
        <v>420</v>
      </c>
      <c r="E46" s="20">
        <v>130</v>
      </c>
      <c r="F46" s="20">
        <v>179</v>
      </c>
      <c r="G46" s="20">
        <v>45</v>
      </c>
      <c r="H46" s="13" t="s">
        <v>2034</v>
      </c>
      <c r="I46" s="13" t="str">
        <f t="shared" si="0"/>
        <v>NE 4th Av (Sunrise Bl to NE 20th St)</v>
      </c>
      <c r="J46" s="13" t="s">
        <v>29</v>
      </c>
      <c r="K46" s="13" t="str">
        <f>VLOOKUP(J46,'Data-ProjectTypes'!A$3:B$13,2,FALSE)</f>
        <v>Program</v>
      </c>
      <c r="L46" s="26" t="s">
        <v>847</v>
      </c>
      <c r="M46" s="13" t="s">
        <v>1830</v>
      </c>
      <c r="N46" s="13" t="s">
        <v>2514</v>
      </c>
      <c r="O46" s="13" t="s">
        <v>270</v>
      </c>
      <c r="P46" s="13" t="s">
        <v>270</v>
      </c>
      <c r="Q46" s="22">
        <v>1.1000000000000001</v>
      </c>
      <c r="R46" s="23">
        <v>254880</v>
      </c>
      <c r="S46" s="21"/>
      <c r="T46" s="21"/>
      <c r="U46" s="21" t="s">
        <v>24</v>
      </c>
      <c r="V46" s="24"/>
      <c r="W46" s="24"/>
      <c r="X46" s="24"/>
      <c r="Y46" s="17" t="s">
        <v>846</v>
      </c>
      <c r="Z46" s="18">
        <f>ROUND(R46*'Data-CostAssumptions'!$C$3,-3)</f>
        <v>353000</v>
      </c>
      <c r="AA46" s="11">
        <f t="shared" si="1"/>
        <v>0</v>
      </c>
      <c r="AB46" s="11">
        <v>2041</v>
      </c>
      <c r="AC46" s="11">
        <v>2041</v>
      </c>
      <c r="AD46" s="11">
        <v>2041</v>
      </c>
      <c r="AE46" s="11">
        <v>2041</v>
      </c>
      <c r="AF46" s="11">
        <v>0</v>
      </c>
      <c r="AG46" s="19">
        <f>ROUND((Z46*'Data-CostAssumptions'!$G$5)*(1+'Data-CostAssumptions'!$G$3)^(AC46-'Data-CostAssumptions'!$G$4),-3)</f>
        <v>199000</v>
      </c>
      <c r="AH46" s="19">
        <f>ROUND((Z46)*(1+'Data-CostAssumptions'!$G$3)^(AE46-'Data-CostAssumptions'!$G$4),-3)</f>
        <v>905000</v>
      </c>
    </row>
    <row r="47" spans="1:34" ht="15" customHeight="1" x14ac:dyDescent="0.2">
      <c r="A47" s="11"/>
      <c r="B47" s="11" t="s">
        <v>1211</v>
      </c>
      <c r="C47" s="13">
        <v>665</v>
      </c>
      <c r="D47" s="13" t="s">
        <v>420</v>
      </c>
      <c r="E47" s="20">
        <v>144</v>
      </c>
      <c r="F47" s="20">
        <v>179</v>
      </c>
      <c r="G47" s="20">
        <v>46</v>
      </c>
      <c r="H47" s="13" t="s">
        <v>2062</v>
      </c>
      <c r="I47" s="13" t="str">
        <f t="shared" si="0"/>
        <v>NW 31st Av (Oakland Park Bl to Commercial Bl)</v>
      </c>
      <c r="J47" s="13" t="s">
        <v>29</v>
      </c>
      <c r="K47" s="13" t="str">
        <f>VLOOKUP(J47,'Data-ProjectTypes'!A$3:B$13,2,FALSE)</f>
        <v>Program</v>
      </c>
      <c r="L47" s="21" t="s">
        <v>348</v>
      </c>
      <c r="M47" s="13" t="s">
        <v>1825</v>
      </c>
      <c r="N47" s="13" t="s">
        <v>1813</v>
      </c>
      <c r="O47" s="13" t="s">
        <v>273</v>
      </c>
      <c r="P47" s="13" t="s">
        <v>273</v>
      </c>
      <c r="Q47" s="22">
        <v>1.4</v>
      </c>
      <c r="R47" s="23">
        <v>328661</v>
      </c>
      <c r="S47" s="21"/>
      <c r="T47" s="21"/>
      <c r="U47" s="21"/>
      <c r="V47" s="24"/>
      <c r="W47" s="24" t="s">
        <v>696</v>
      </c>
      <c r="X47" s="24"/>
      <c r="Y47" s="17" t="s">
        <v>287</v>
      </c>
      <c r="Z47" s="18">
        <f>ROUND(R47*'Data-CostAssumptions'!$C$3,-3)</f>
        <v>455000</v>
      </c>
      <c r="AA47" s="11">
        <f t="shared" si="1"/>
        <v>1</v>
      </c>
      <c r="AB47" s="11">
        <v>2041</v>
      </c>
      <c r="AC47" s="11">
        <v>2041</v>
      </c>
      <c r="AD47" s="11">
        <v>2041</v>
      </c>
      <c r="AE47" s="11">
        <v>2041</v>
      </c>
      <c r="AF47" s="11">
        <v>0</v>
      </c>
      <c r="AG47" s="19">
        <f>ROUND((Z47*'Data-CostAssumptions'!$G$5)*(1+'Data-CostAssumptions'!$G$3)^(AC47-'Data-CostAssumptions'!$G$4),-3)</f>
        <v>257000</v>
      </c>
      <c r="AH47" s="19">
        <f>ROUND((Z47)*(1+'Data-CostAssumptions'!$G$3)^(AE47-'Data-CostAssumptions'!$G$4),-3)</f>
        <v>1167000</v>
      </c>
    </row>
    <row r="48" spans="1:34" ht="15" customHeight="1" x14ac:dyDescent="0.2">
      <c r="A48" s="11"/>
      <c r="B48" s="11" t="s">
        <v>1211</v>
      </c>
      <c r="C48" s="13">
        <v>666</v>
      </c>
      <c r="D48" s="13" t="s">
        <v>420</v>
      </c>
      <c r="E48" s="20">
        <v>146</v>
      </c>
      <c r="F48" s="20">
        <v>179</v>
      </c>
      <c r="G48" s="20">
        <v>47</v>
      </c>
      <c r="H48" s="13" t="s">
        <v>57</v>
      </c>
      <c r="I48" s="13" t="str">
        <f t="shared" si="0"/>
        <v>SR 7/US 441 (NW 3rd St to Sunrise Bl)</v>
      </c>
      <c r="J48" s="13" t="s">
        <v>29</v>
      </c>
      <c r="K48" s="13" t="str">
        <f>VLOOKUP(J48,'Data-ProjectTypes'!A$3:B$13,2,FALSE)</f>
        <v>Program</v>
      </c>
      <c r="L48" s="21" t="s">
        <v>348</v>
      </c>
      <c r="M48" s="13" t="s">
        <v>2533</v>
      </c>
      <c r="N48" s="13" t="s">
        <v>1830</v>
      </c>
      <c r="O48" s="13" t="s">
        <v>270</v>
      </c>
      <c r="P48" s="13" t="s">
        <v>270</v>
      </c>
      <c r="Q48" s="22">
        <v>0.8</v>
      </c>
      <c r="R48" s="23">
        <v>195575</v>
      </c>
      <c r="S48" s="21"/>
      <c r="T48" s="21"/>
      <c r="U48" s="21"/>
      <c r="V48" s="24"/>
      <c r="W48" s="24"/>
      <c r="X48" s="24"/>
      <c r="Y48" s="17"/>
      <c r="Z48" s="18">
        <f>ROUND(R48*'Data-CostAssumptions'!$C$3,-3)</f>
        <v>271000</v>
      </c>
      <c r="AA48" s="11">
        <f t="shared" si="1"/>
        <v>0</v>
      </c>
      <c r="AB48" s="11">
        <v>2041</v>
      </c>
      <c r="AC48" s="11">
        <v>2041</v>
      </c>
      <c r="AD48" s="11">
        <v>2041</v>
      </c>
      <c r="AE48" s="11">
        <v>2041</v>
      </c>
      <c r="AF48" s="11">
        <v>0</v>
      </c>
      <c r="AG48" s="19">
        <f>ROUND((Z48*'Data-CostAssumptions'!$G$5)*(1+'Data-CostAssumptions'!$G$3)^(AC48-'Data-CostAssumptions'!$G$4),-3)</f>
        <v>153000</v>
      </c>
      <c r="AH48" s="19">
        <f>ROUND((Z48)*(1+'Data-CostAssumptions'!$G$3)^(AE48-'Data-CostAssumptions'!$G$4),-3)</f>
        <v>695000</v>
      </c>
    </row>
    <row r="49" spans="1:34" ht="15" customHeight="1" x14ac:dyDescent="0.2">
      <c r="A49" s="11"/>
      <c r="B49" s="11" t="s">
        <v>1211</v>
      </c>
      <c r="C49" s="13">
        <v>667</v>
      </c>
      <c r="D49" s="13" t="s">
        <v>420</v>
      </c>
      <c r="E49" s="20">
        <v>147</v>
      </c>
      <c r="F49" s="20">
        <v>179</v>
      </c>
      <c r="G49" s="20">
        <v>48</v>
      </c>
      <c r="H49" s="13" t="s">
        <v>2062</v>
      </c>
      <c r="I49" s="13" t="str">
        <f t="shared" si="0"/>
        <v>NW 31st Av (Sunrise Bl to Oakland Park Bl)</v>
      </c>
      <c r="J49" s="13" t="s">
        <v>29</v>
      </c>
      <c r="K49" s="13" t="str">
        <f>VLOOKUP(J49,'Data-ProjectTypes'!A$3:B$13,2,FALSE)</f>
        <v>Program</v>
      </c>
      <c r="L49" s="21" t="s">
        <v>348</v>
      </c>
      <c r="M49" s="13" t="s">
        <v>1830</v>
      </c>
      <c r="N49" s="13" t="s">
        <v>1825</v>
      </c>
      <c r="O49" s="13" t="s">
        <v>273</v>
      </c>
      <c r="P49" s="13" t="s">
        <v>273</v>
      </c>
      <c r="Q49" s="22">
        <v>2</v>
      </c>
      <c r="R49" s="23">
        <v>463296</v>
      </c>
      <c r="S49" s="21"/>
      <c r="T49" s="21"/>
      <c r="U49" s="21"/>
      <c r="V49" s="24"/>
      <c r="W49" s="24"/>
      <c r="X49" s="24" t="s">
        <v>704</v>
      </c>
      <c r="Y49" s="17" t="s">
        <v>287</v>
      </c>
      <c r="Z49" s="18">
        <f>ROUND(R49*'Data-CostAssumptions'!$C$3,-3)</f>
        <v>641000</v>
      </c>
      <c r="AA49" s="11">
        <f t="shared" si="1"/>
        <v>0</v>
      </c>
      <c r="AB49" s="11">
        <v>2041</v>
      </c>
      <c r="AC49" s="11">
        <v>2041</v>
      </c>
      <c r="AD49" s="11">
        <v>2041</v>
      </c>
      <c r="AE49" s="11">
        <v>2041</v>
      </c>
      <c r="AF49" s="11">
        <v>0</v>
      </c>
      <c r="AG49" s="19">
        <f>ROUND((Z49*'Data-CostAssumptions'!$G$5)*(1+'Data-CostAssumptions'!$G$3)^(AC49-'Data-CostAssumptions'!$G$4),-3)</f>
        <v>362000</v>
      </c>
      <c r="AH49" s="19">
        <f>ROUND((Z49)*(1+'Data-CostAssumptions'!$G$3)^(AE49-'Data-CostAssumptions'!$G$4),-3)</f>
        <v>1643000</v>
      </c>
    </row>
    <row r="50" spans="1:34" ht="15" customHeight="1" x14ac:dyDescent="0.2">
      <c r="A50" s="11"/>
      <c r="B50" s="11" t="s">
        <v>1211</v>
      </c>
      <c r="C50" s="13">
        <v>668</v>
      </c>
      <c r="D50" s="13" t="s">
        <v>420</v>
      </c>
      <c r="E50" s="20">
        <v>148</v>
      </c>
      <c r="F50" s="20">
        <v>179</v>
      </c>
      <c r="G50" s="20">
        <v>49</v>
      </c>
      <c r="H50" s="13" t="s">
        <v>2062</v>
      </c>
      <c r="I50" s="13" t="str">
        <f t="shared" si="0"/>
        <v>NW 31st Av (Broward Bl to Sunrise Bl)</v>
      </c>
      <c r="J50" s="13" t="s">
        <v>29</v>
      </c>
      <c r="K50" s="13" t="str">
        <f>VLOOKUP(J50,'Data-ProjectTypes'!A$3:B$13,2,FALSE)</f>
        <v>Program</v>
      </c>
      <c r="L50" s="21" t="s">
        <v>348</v>
      </c>
      <c r="M50" s="13" t="s">
        <v>1811</v>
      </c>
      <c r="N50" s="13" t="s">
        <v>1830</v>
      </c>
      <c r="O50" s="13" t="s">
        <v>273</v>
      </c>
      <c r="P50" s="13" t="s">
        <v>273</v>
      </c>
      <c r="Q50" s="22">
        <v>1</v>
      </c>
      <c r="R50" s="23">
        <v>237960</v>
      </c>
      <c r="S50" s="21"/>
      <c r="T50" s="21"/>
      <c r="U50" s="21"/>
      <c r="V50" s="24"/>
      <c r="W50" s="24"/>
      <c r="X50" s="24"/>
      <c r="Y50" s="17"/>
      <c r="Z50" s="18">
        <f>ROUND(R50*'Data-CostAssumptions'!$C$3,-3)</f>
        <v>329000</v>
      </c>
      <c r="AA50" s="11">
        <f t="shared" si="1"/>
        <v>0</v>
      </c>
      <c r="AB50" s="11">
        <v>2041</v>
      </c>
      <c r="AC50" s="11">
        <v>2041</v>
      </c>
      <c r="AD50" s="11">
        <v>2041</v>
      </c>
      <c r="AE50" s="11">
        <v>2041</v>
      </c>
      <c r="AF50" s="11">
        <v>0</v>
      </c>
      <c r="AG50" s="19">
        <f>ROUND((Z50*'Data-CostAssumptions'!$G$5)*(1+'Data-CostAssumptions'!$G$3)^(AC50-'Data-CostAssumptions'!$G$4),-3)</f>
        <v>186000</v>
      </c>
      <c r="AH50" s="19">
        <f>ROUND((Z50)*(1+'Data-CostAssumptions'!$G$3)^(AE50-'Data-CostAssumptions'!$G$4),-3)</f>
        <v>844000</v>
      </c>
    </row>
    <row r="51" spans="1:34" ht="15" customHeight="1" x14ac:dyDescent="0.2">
      <c r="A51" s="11"/>
      <c r="B51" s="11" t="s">
        <v>1211</v>
      </c>
      <c r="C51" s="13">
        <v>669</v>
      </c>
      <c r="D51" s="13" t="s">
        <v>420</v>
      </c>
      <c r="E51" s="20">
        <v>152</v>
      </c>
      <c r="F51" s="20">
        <v>179</v>
      </c>
      <c r="G51" s="20">
        <v>50</v>
      </c>
      <c r="H51" s="13" t="s">
        <v>1828</v>
      </c>
      <c r="I51" s="13" t="str">
        <f t="shared" si="0"/>
        <v>Sistrunk Bl (NE 3rd Av to NW 27th Av)</v>
      </c>
      <c r="J51" s="13" t="s">
        <v>29</v>
      </c>
      <c r="K51" s="13" t="str">
        <f>VLOOKUP(J51,'Data-ProjectTypes'!A$3:B$13,2,FALSE)</f>
        <v>Program</v>
      </c>
      <c r="L51" s="21" t="s">
        <v>348</v>
      </c>
      <c r="M51" s="13" t="s">
        <v>2033</v>
      </c>
      <c r="N51" s="13" t="s">
        <v>2060</v>
      </c>
      <c r="O51" s="13" t="s">
        <v>272</v>
      </c>
      <c r="P51" s="13" t="s">
        <v>272</v>
      </c>
      <c r="Q51" s="22">
        <v>2.2999999999999998</v>
      </c>
      <c r="R51" s="23">
        <v>539409</v>
      </c>
      <c r="S51" s="21"/>
      <c r="T51" s="21"/>
      <c r="U51" s="21"/>
      <c r="V51" s="24"/>
      <c r="W51" s="24"/>
      <c r="X51" s="24"/>
      <c r="Y51" s="17"/>
      <c r="Z51" s="18">
        <f>ROUND(R51*'Data-CostAssumptions'!$C$3,-3)</f>
        <v>747000</v>
      </c>
      <c r="AA51" s="11">
        <f t="shared" si="1"/>
        <v>0</v>
      </c>
      <c r="AB51" s="11">
        <v>2041</v>
      </c>
      <c r="AC51" s="11">
        <v>2041</v>
      </c>
      <c r="AD51" s="11">
        <v>2041</v>
      </c>
      <c r="AE51" s="11">
        <v>2041</v>
      </c>
      <c r="AF51" s="11">
        <v>0</v>
      </c>
      <c r="AG51" s="19">
        <f>ROUND((Z51*'Data-CostAssumptions'!$G$5)*(1+'Data-CostAssumptions'!$G$3)^(AC51-'Data-CostAssumptions'!$G$4),-3)</f>
        <v>421000</v>
      </c>
      <c r="AH51" s="19">
        <f>ROUND((Z51)*(1+'Data-CostAssumptions'!$G$3)^(AE51-'Data-CostAssumptions'!$G$4),-3)</f>
        <v>1915000</v>
      </c>
    </row>
    <row r="52" spans="1:34" ht="15" customHeight="1" x14ac:dyDescent="0.2">
      <c r="A52" s="11"/>
      <c r="B52" s="11" t="s">
        <v>1211</v>
      </c>
      <c r="C52" s="13">
        <v>670</v>
      </c>
      <c r="D52" s="13" t="s">
        <v>420</v>
      </c>
      <c r="E52" s="20">
        <v>162</v>
      </c>
      <c r="F52" s="20">
        <v>179</v>
      </c>
      <c r="G52" s="20">
        <v>51</v>
      </c>
      <c r="H52" s="13" t="s">
        <v>1926</v>
      </c>
      <c r="I52" s="13" t="str">
        <f t="shared" si="0"/>
        <v>NW 5th St (Sunrise Bl to University Bl)</v>
      </c>
      <c r="J52" s="13" t="s">
        <v>29</v>
      </c>
      <c r="K52" s="13" t="str">
        <f>VLOOKUP(J52,'Data-ProjectTypes'!A$3:B$13,2,FALSE)</f>
        <v>Program</v>
      </c>
      <c r="L52" s="21" t="s">
        <v>348</v>
      </c>
      <c r="M52" s="13" t="s">
        <v>1830</v>
      </c>
      <c r="N52" s="13" t="s">
        <v>2277</v>
      </c>
      <c r="O52" s="13" t="s">
        <v>284</v>
      </c>
      <c r="P52" s="13" t="s">
        <v>284</v>
      </c>
      <c r="Q52" s="22">
        <v>1.8</v>
      </c>
      <c r="R52" s="23">
        <v>408079</v>
      </c>
      <c r="S52" s="21"/>
      <c r="T52" s="21"/>
      <c r="U52" s="21"/>
      <c r="V52" s="24"/>
      <c r="W52" s="24"/>
      <c r="X52" s="24"/>
      <c r="Y52" s="17"/>
      <c r="Z52" s="18">
        <f>ROUND(R52*'Data-CostAssumptions'!$C$3,-3)</f>
        <v>565000</v>
      </c>
      <c r="AA52" s="11">
        <f t="shared" si="1"/>
        <v>0</v>
      </c>
      <c r="AB52" s="11">
        <v>2041</v>
      </c>
      <c r="AC52" s="11">
        <v>2041</v>
      </c>
      <c r="AD52" s="11">
        <v>2041</v>
      </c>
      <c r="AE52" s="11">
        <v>2041</v>
      </c>
      <c r="AF52" s="11">
        <v>0</v>
      </c>
      <c r="AG52" s="19">
        <f>ROUND((Z52*'Data-CostAssumptions'!$G$5)*(1+'Data-CostAssumptions'!$G$3)^(AC52-'Data-CostAssumptions'!$G$4),-3)</f>
        <v>319000</v>
      </c>
      <c r="AH52" s="19">
        <f>ROUND((Z52)*(1+'Data-CostAssumptions'!$G$3)^(AE52-'Data-CostAssumptions'!$G$4),-3)</f>
        <v>1449000</v>
      </c>
    </row>
    <row r="53" spans="1:34" ht="15" customHeight="1" x14ac:dyDescent="0.2">
      <c r="A53" s="11"/>
      <c r="B53" s="11" t="s">
        <v>1211</v>
      </c>
      <c r="C53" s="13">
        <v>671</v>
      </c>
      <c r="D53" s="13" t="s">
        <v>420</v>
      </c>
      <c r="E53" s="20">
        <v>171</v>
      </c>
      <c r="F53" s="20">
        <v>179</v>
      </c>
      <c r="G53" s="20">
        <v>52</v>
      </c>
      <c r="H53" s="13" t="s">
        <v>1763</v>
      </c>
      <c r="I53" s="13" t="str">
        <f t="shared" si="0"/>
        <v>Peters Rd (Tropical Way to Pine Island Rd)</v>
      </c>
      <c r="J53" s="13" t="s">
        <v>29</v>
      </c>
      <c r="K53" s="13" t="str">
        <f>VLOOKUP(J53,'Data-ProjectTypes'!A$3:B$13,2,FALSE)</f>
        <v>Program</v>
      </c>
      <c r="L53" s="21" t="s">
        <v>348</v>
      </c>
      <c r="M53" s="13" t="s">
        <v>66</v>
      </c>
      <c r="N53" s="13" t="s">
        <v>266</v>
      </c>
      <c r="O53" s="13" t="s">
        <v>273</v>
      </c>
      <c r="P53" s="13" t="s">
        <v>273</v>
      </c>
      <c r="Q53" s="22">
        <v>1.8</v>
      </c>
      <c r="R53" s="23">
        <v>409091</v>
      </c>
      <c r="S53" s="21"/>
      <c r="T53" s="21"/>
      <c r="U53" s="21"/>
      <c r="V53" s="24"/>
      <c r="W53" s="24"/>
      <c r="X53" s="24"/>
      <c r="Y53" s="17"/>
      <c r="Z53" s="18">
        <f>ROUND(R53*'Data-CostAssumptions'!$C$3,-3)</f>
        <v>566000</v>
      </c>
      <c r="AA53" s="11">
        <f t="shared" si="1"/>
        <v>0</v>
      </c>
      <c r="AB53" s="11">
        <v>2041</v>
      </c>
      <c r="AC53" s="11">
        <v>2041</v>
      </c>
      <c r="AD53" s="11">
        <v>2041</v>
      </c>
      <c r="AE53" s="11">
        <v>2041</v>
      </c>
      <c r="AF53" s="11">
        <v>0</v>
      </c>
      <c r="AG53" s="19">
        <f>ROUND((Z53*'Data-CostAssumptions'!$G$5)*(1+'Data-CostAssumptions'!$G$3)^(AC53-'Data-CostAssumptions'!$G$4),-3)</f>
        <v>319000</v>
      </c>
      <c r="AH53" s="19">
        <f>ROUND((Z53)*(1+'Data-CostAssumptions'!$G$3)^(AE53-'Data-CostAssumptions'!$G$4),-3)</f>
        <v>1451000</v>
      </c>
    </row>
    <row r="54" spans="1:34" ht="15" customHeight="1" x14ac:dyDescent="0.2">
      <c r="A54" s="11"/>
      <c r="B54" s="11" t="s">
        <v>1211</v>
      </c>
      <c r="C54" s="13">
        <v>672</v>
      </c>
      <c r="D54" s="13" t="s">
        <v>420</v>
      </c>
      <c r="E54" s="20">
        <v>172</v>
      </c>
      <c r="F54" s="20">
        <v>179</v>
      </c>
      <c r="G54" s="20">
        <v>53</v>
      </c>
      <c r="H54" s="13" t="s">
        <v>1763</v>
      </c>
      <c r="I54" s="13" t="str">
        <f t="shared" si="0"/>
        <v>Peters Rd (State Rd 7 to Tropical Way)</v>
      </c>
      <c r="J54" s="13" t="s">
        <v>29</v>
      </c>
      <c r="K54" s="13" t="str">
        <f>VLOOKUP(J54,'Data-ProjectTypes'!A$3:B$13,2,FALSE)</f>
        <v>Program</v>
      </c>
      <c r="L54" s="21" t="s">
        <v>348</v>
      </c>
      <c r="M54" s="13" t="s">
        <v>1772</v>
      </c>
      <c r="N54" s="13" t="s">
        <v>66</v>
      </c>
      <c r="O54" s="13" t="s">
        <v>273</v>
      </c>
      <c r="P54" s="13" t="s">
        <v>273</v>
      </c>
      <c r="Q54" s="22">
        <v>2.1</v>
      </c>
      <c r="R54" s="23">
        <v>493242</v>
      </c>
      <c r="S54" s="21"/>
      <c r="T54" s="21"/>
      <c r="U54" s="21"/>
      <c r="V54" s="24"/>
      <c r="W54" s="24"/>
      <c r="X54" s="24"/>
      <c r="Y54" s="17"/>
      <c r="Z54" s="18">
        <f>ROUND(R54*'Data-CostAssumptions'!$C$3,-3)</f>
        <v>683000</v>
      </c>
      <c r="AA54" s="11">
        <f t="shared" si="1"/>
        <v>0</v>
      </c>
      <c r="AB54" s="11">
        <v>2041</v>
      </c>
      <c r="AC54" s="11">
        <v>2041</v>
      </c>
      <c r="AD54" s="11">
        <v>2041</v>
      </c>
      <c r="AE54" s="11">
        <v>2041</v>
      </c>
      <c r="AF54" s="11">
        <v>0</v>
      </c>
      <c r="AG54" s="19">
        <f>ROUND((Z54*'Data-CostAssumptions'!$G$5)*(1+'Data-CostAssumptions'!$G$3)^(AC54-'Data-CostAssumptions'!$G$4),-3)</f>
        <v>385000</v>
      </c>
      <c r="AH54" s="19">
        <f>ROUND((Z54)*(1+'Data-CostAssumptions'!$G$3)^(AE54-'Data-CostAssumptions'!$G$4),-3)</f>
        <v>1751000</v>
      </c>
    </row>
    <row r="55" spans="1:34" ht="15" customHeight="1" x14ac:dyDescent="0.2">
      <c r="A55" s="11"/>
      <c r="B55" s="11" t="s">
        <v>1211</v>
      </c>
      <c r="C55" s="13">
        <v>673</v>
      </c>
      <c r="D55" s="13" t="s">
        <v>420</v>
      </c>
      <c r="E55" s="20">
        <v>174</v>
      </c>
      <c r="F55" s="20">
        <v>179</v>
      </c>
      <c r="G55" s="20">
        <v>54</v>
      </c>
      <c r="H55" s="13" t="s">
        <v>1767</v>
      </c>
      <c r="I55" s="13" t="str">
        <f t="shared" si="0"/>
        <v>Riverland Rd (SW 13th St to State Rd 7)</v>
      </c>
      <c r="J55" s="13" t="s">
        <v>29</v>
      </c>
      <c r="K55" s="13" t="str">
        <f>VLOOKUP(J55,'Data-ProjectTypes'!A$3:B$13,2,FALSE)</f>
        <v>Program</v>
      </c>
      <c r="L55" s="21" t="s">
        <v>348</v>
      </c>
      <c r="M55" s="13" t="s">
        <v>2549</v>
      </c>
      <c r="N55" s="13" t="s">
        <v>1772</v>
      </c>
      <c r="O55" s="13" t="s">
        <v>272</v>
      </c>
      <c r="P55" s="13" t="s">
        <v>272</v>
      </c>
      <c r="Q55" s="22">
        <v>2.5</v>
      </c>
      <c r="R55" s="23">
        <v>573910</v>
      </c>
      <c r="S55" s="21"/>
      <c r="T55" s="21"/>
      <c r="U55" s="21"/>
      <c r="V55" s="24"/>
      <c r="W55" s="24"/>
      <c r="X55" s="24"/>
      <c r="Y55" s="17"/>
      <c r="Z55" s="18">
        <f>ROUND(R55*'Data-CostAssumptions'!$C$3,-3)</f>
        <v>794000</v>
      </c>
      <c r="AA55" s="11">
        <f t="shared" si="1"/>
        <v>0</v>
      </c>
      <c r="AB55" s="11">
        <v>2041</v>
      </c>
      <c r="AC55" s="11">
        <v>2041</v>
      </c>
      <c r="AD55" s="11">
        <v>2041</v>
      </c>
      <c r="AE55" s="11">
        <v>2041</v>
      </c>
      <c r="AF55" s="11">
        <v>0</v>
      </c>
      <c r="AG55" s="19">
        <f>ROUND((Z55*'Data-CostAssumptions'!$G$5)*(1+'Data-CostAssumptions'!$G$3)^(AC55-'Data-CostAssumptions'!$G$4),-3)</f>
        <v>448000</v>
      </c>
      <c r="AH55" s="19">
        <f>ROUND((Z55)*(1+'Data-CostAssumptions'!$G$3)^(AE55-'Data-CostAssumptions'!$G$4),-3)</f>
        <v>2036000</v>
      </c>
    </row>
    <row r="56" spans="1:34" ht="15" customHeight="1" x14ac:dyDescent="0.2">
      <c r="A56" s="11"/>
      <c r="B56" s="11" t="s">
        <v>1211</v>
      </c>
      <c r="C56" s="13">
        <v>674</v>
      </c>
      <c r="D56" s="13" t="s">
        <v>420</v>
      </c>
      <c r="E56" s="20">
        <v>176</v>
      </c>
      <c r="F56" s="20">
        <v>179</v>
      </c>
      <c r="G56" s="20">
        <v>55</v>
      </c>
      <c r="H56" s="13" t="s">
        <v>487</v>
      </c>
      <c r="I56" s="13" t="str">
        <f t="shared" si="0"/>
        <v>Nova Dr (Davie Rd to Pine Island Rpad)</v>
      </c>
      <c r="J56" s="13" t="s">
        <v>29</v>
      </c>
      <c r="K56" s="13" t="str">
        <f>VLOOKUP(J56,'Data-ProjectTypes'!A$3:B$13,2,FALSE)</f>
        <v>Program</v>
      </c>
      <c r="L56" s="21" t="s">
        <v>348</v>
      </c>
      <c r="M56" s="13" t="s">
        <v>1845</v>
      </c>
      <c r="N56" s="13" t="s">
        <v>252</v>
      </c>
      <c r="O56" s="13" t="s">
        <v>273</v>
      </c>
      <c r="P56" s="13" t="s">
        <v>273</v>
      </c>
      <c r="Q56" s="22">
        <v>2.2999999999999998</v>
      </c>
      <c r="R56" s="23">
        <v>533543</v>
      </c>
      <c r="S56" s="21" t="s">
        <v>24</v>
      </c>
      <c r="T56" s="21" t="s">
        <v>24</v>
      </c>
      <c r="U56" s="21"/>
      <c r="V56" s="24"/>
      <c r="W56" s="24"/>
      <c r="X56" s="28"/>
      <c r="Y56" s="17" t="s">
        <v>469</v>
      </c>
      <c r="Z56" s="18">
        <f>ROUND(R56*'Data-CostAssumptions'!$C$3,-3)</f>
        <v>738000</v>
      </c>
      <c r="AA56" s="11">
        <f t="shared" si="1"/>
        <v>0</v>
      </c>
      <c r="AB56" s="11">
        <v>2041</v>
      </c>
      <c r="AC56" s="11">
        <v>2041</v>
      </c>
      <c r="AD56" s="11">
        <v>2041</v>
      </c>
      <c r="AE56" s="11">
        <v>2041</v>
      </c>
      <c r="AF56" s="11">
        <v>0</v>
      </c>
      <c r="AG56" s="19">
        <f>ROUND((Z56*'Data-CostAssumptions'!$G$5)*(1+'Data-CostAssumptions'!$G$3)^(AC56-'Data-CostAssumptions'!$G$4),-3)</f>
        <v>416000</v>
      </c>
      <c r="AH56" s="19">
        <f>ROUND((Z56)*(1+'Data-CostAssumptions'!$G$3)^(AE56-'Data-CostAssumptions'!$G$4),-3)</f>
        <v>1892000</v>
      </c>
    </row>
    <row r="57" spans="1:34" ht="15" customHeight="1" x14ac:dyDescent="0.2">
      <c r="A57" s="11"/>
      <c r="B57" s="11" t="s">
        <v>1211</v>
      </c>
      <c r="C57" s="13">
        <v>675</v>
      </c>
      <c r="D57" s="13" t="s">
        <v>420</v>
      </c>
      <c r="E57" s="20">
        <v>177</v>
      </c>
      <c r="F57" s="20">
        <v>179</v>
      </c>
      <c r="G57" s="20">
        <v>56</v>
      </c>
      <c r="H57" s="13" t="s">
        <v>1845</v>
      </c>
      <c r="I57" s="13" t="str">
        <f t="shared" si="0"/>
        <v>Davie Rd (Orange Dr to State Rd 84)</v>
      </c>
      <c r="J57" s="13" t="s">
        <v>29</v>
      </c>
      <c r="K57" s="13" t="str">
        <f>VLOOKUP(J57,'Data-ProjectTypes'!A$3:B$13,2,FALSE)</f>
        <v>Program</v>
      </c>
      <c r="L57" s="21" t="s">
        <v>348</v>
      </c>
      <c r="M57" s="13" t="s">
        <v>184</v>
      </c>
      <c r="N57" s="13" t="s">
        <v>1774</v>
      </c>
      <c r="O57" s="13" t="s">
        <v>273</v>
      </c>
      <c r="P57" s="13" t="s">
        <v>273</v>
      </c>
      <c r="Q57" s="22">
        <v>2</v>
      </c>
      <c r="R57" s="23">
        <v>453629</v>
      </c>
      <c r="S57" s="21" t="s">
        <v>24</v>
      </c>
      <c r="T57" s="21" t="s">
        <v>24</v>
      </c>
      <c r="U57" s="21"/>
      <c r="V57" s="24"/>
      <c r="W57" s="24"/>
      <c r="X57" s="24"/>
      <c r="Y57" s="17" t="s">
        <v>469</v>
      </c>
      <c r="Z57" s="18">
        <f>ROUND(R57*'Data-CostAssumptions'!$C$3,-3)</f>
        <v>628000</v>
      </c>
      <c r="AA57" s="11">
        <f t="shared" si="1"/>
        <v>0</v>
      </c>
      <c r="AB57" s="11">
        <v>2041</v>
      </c>
      <c r="AC57" s="11">
        <v>2041</v>
      </c>
      <c r="AD57" s="11">
        <v>2041</v>
      </c>
      <c r="AE57" s="11">
        <v>2041</v>
      </c>
      <c r="AF57" s="11">
        <v>0</v>
      </c>
      <c r="AG57" s="19">
        <f>ROUND((Z57*'Data-CostAssumptions'!$G$5)*(1+'Data-CostAssumptions'!$G$3)^(AC57-'Data-CostAssumptions'!$G$4),-3)</f>
        <v>354000</v>
      </c>
      <c r="AH57" s="19">
        <f>ROUND((Z57)*(1+'Data-CostAssumptions'!$G$3)^(AE57-'Data-CostAssumptions'!$G$4),-3)</f>
        <v>1610000</v>
      </c>
    </row>
    <row r="58" spans="1:34" ht="15" customHeight="1" x14ac:dyDescent="0.2">
      <c r="A58" s="11"/>
      <c r="B58" s="11" t="s">
        <v>1211</v>
      </c>
      <c r="C58" s="13">
        <v>676</v>
      </c>
      <c r="D58" s="13" t="s">
        <v>420</v>
      </c>
      <c r="E58" s="20">
        <v>193</v>
      </c>
      <c r="F58" s="20">
        <v>179</v>
      </c>
      <c r="G58" s="20">
        <v>57</v>
      </c>
      <c r="H58" s="13" t="s">
        <v>2095</v>
      </c>
      <c r="I58" s="13" t="str">
        <f t="shared" si="0"/>
        <v>South 26th Av (Pembroke Rd to Hollywood Bl)</v>
      </c>
      <c r="J58" s="13" t="s">
        <v>29</v>
      </c>
      <c r="K58" s="13" t="str">
        <f>VLOOKUP(J58,'Data-ProjectTypes'!A$3:B$13,2,FALSE)</f>
        <v>Program</v>
      </c>
      <c r="L58" s="21" t="s">
        <v>563</v>
      </c>
      <c r="M58" s="13" t="s">
        <v>1760</v>
      </c>
      <c r="N58" s="13" t="s">
        <v>1820</v>
      </c>
      <c r="O58" s="13" t="s">
        <v>282</v>
      </c>
      <c r="P58" s="13" t="s">
        <v>282</v>
      </c>
      <c r="Q58" s="22">
        <v>0.9</v>
      </c>
      <c r="R58" s="23">
        <v>218750</v>
      </c>
      <c r="S58" s="21" t="s">
        <v>24</v>
      </c>
      <c r="T58" s="21" t="s">
        <v>25</v>
      </c>
      <c r="U58" s="21" t="s">
        <v>24</v>
      </c>
      <c r="V58" s="24" t="s">
        <v>561</v>
      </c>
      <c r="W58" s="24"/>
      <c r="X58" s="24"/>
      <c r="Y58" s="17" t="s">
        <v>538</v>
      </c>
      <c r="Z58" s="18">
        <f>ROUND(R58*'Data-CostAssumptions'!$C$3,-3)</f>
        <v>303000</v>
      </c>
      <c r="AA58" s="11">
        <f t="shared" si="1"/>
        <v>1</v>
      </c>
      <c r="AB58" s="11">
        <v>2041</v>
      </c>
      <c r="AC58" s="11">
        <v>2041</v>
      </c>
      <c r="AD58" s="11">
        <v>2041</v>
      </c>
      <c r="AE58" s="11">
        <v>2041</v>
      </c>
      <c r="AF58" s="11">
        <v>0</v>
      </c>
      <c r="AG58" s="19">
        <f>ROUND((Z58*'Data-CostAssumptions'!$G$5)*(1+'Data-CostAssumptions'!$G$3)^(AC58-'Data-CostAssumptions'!$G$4),-3)</f>
        <v>171000</v>
      </c>
      <c r="AH58" s="19">
        <f>ROUND((Z58)*(1+'Data-CostAssumptions'!$G$3)^(AE58-'Data-CostAssumptions'!$G$4),-3)</f>
        <v>777000</v>
      </c>
    </row>
    <row r="59" spans="1:34" ht="15" customHeight="1" x14ac:dyDescent="0.2">
      <c r="A59" s="11"/>
      <c r="B59" s="11" t="s">
        <v>1211</v>
      </c>
      <c r="C59" s="13">
        <v>677</v>
      </c>
      <c r="D59" s="13" t="s">
        <v>420</v>
      </c>
      <c r="E59" s="20">
        <v>194</v>
      </c>
      <c r="F59" s="20">
        <v>179</v>
      </c>
      <c r="G59" s="20">
        <v>58</v>
      </c>
      <c r="H59" s="13" t="s">
        <v>728</v>
      </c>
      <c r="I59" s="13" t="str">
        <f t="shared" si="0"/>
        <v>Dixie Hwy (SW 11th St to Hollywood Bl)</v>
      </c>
      <c r="J59" s="13" t="s">
        <v>29</v>
      </c>
      <c r="K59" s="13" t="str">
        <f>VLOOKUP(J59,'Data-ProjectTypes'!A$3:B$13,2,FALSE)</f>
        <v>Program</v>
      </c>
      <c r="L59" s="21" t="s">
        <v>348</v>
      </c>
      <c r="M59" s="13" t="s">
        <v>2487</v>
      </c>
      <c r="N59" s="13" t="s">
        <v>1820</v>
      </c>
      <c r="O59" s="13" t="s">
        <v>273</v>
      </c>
      <c r="P59" s="13" t="s">
        <v>273</v>
      </c>
      <c r="Q59" s="22">
        <v>2.5</v>
      </c>
      <c r="R59" s="23">
        <v>589778</v>
      </c>
      <c r="S59" s="21" t="s">
        <v>24</v>
      </c>
      <c r="T59" s="21" t="s">
        <v>25</v>
      </c>
      <c r="U59" s="21"/>
      <c r="V59" s="24"/>
      <c r="W59" s="24" t="s">
        <v>566</v>
      </c>
      <c r="X59" s="24"/>
      <c r="Y59" s="17" t="s">
        <v>556</v>
      </c>
      <c r="Z59" s="18">
        <f>ROUND(R59*'Data-CostAssumptions'!$C$3,-3)</f>
        <v>816000</v>
      </c>
      <c r="AA59" s="11">
        <f t="shared" si="1"/>
        <v>1</v>
      </c>
      <c r="AB59" s="11">
        <v>2041</v>
      </c>
      <c r="AC59" s="11">
        <v>2041</v>
      </c>
      <c r="AD59" s="11">
        <v>2041</v>
      </c>
      <c r="AE59" s="11">
        <v>2041</v>
      </c>
      <c r="AF59" s="11">
        <v>0</v>
      </c>
      <c r="AG59" s="19">
        <f>ROUND((Z59*'Data-CostAssumptions'!$G$5)*(1+'Data-CostAssumptions'!$G$3)^(AC59-'Data-CostAssumptions'!$G$4),-3)</f>
        <v>460000</v>
      </c>
      <c r="AH59" s="19">
        <f>ROUND((Z59)*(1+'Data-CostAssumptions'!$G$3)^(AE59-'Data-CostAssumptions'!$G$4),-3)</f>
        <v>2092000</v>
      </c>
    </row>
    <row r="60" spans="1:34" ht="15" customHeight="1" x14ac:dyDescent="0.2">
      <c r="A60" s="11"/>
      <c r="B60" s="11" t="s">
        <v>1211</v>
      </c>
      <c r="C60" s="13">
        <v>679</v>
      </c>
      <c r="D60" s="13" t="s">
        <v>420</v>
      </c>
      <c r="E60" s="20">
        <v>215</v>
      </c>
      <c r="F60" s="20">
        <v>180</v>
      </c>
      <c r="G60" s="20">
        <v>59</v>
      </c>
      <c r="H60" s="13" t="s">
        <v>2813</v>
      </c>
      <c r="I60" s="13" t="str">
        <f t="shared" si="0"/>
        <v>SR 820/Hollywood Bl (North 46th Av to North 64th Av)</v>
      </c>
      <c r="J60" s="13" t="s">
        <v>29</v>
      </c>
      <c r="K60" s="13" t="str">
        <f>VLOOKUP(J60,'Data-ProjectTypes'!A$3:B$13,2,FALSE)</f>
        <v>Program</v>
      </c>
      <c r="L60" s="21" t="s">
        <v>348</v>
      </c>
      <c r="M60" s="13" t="s">
        <v>2040</v>
      </c>
      <c r="N60" s="13" t="s">
        <v>2043</v>
      </c>
      <c r="O60" s="13" t="s">
        <v>270</v>
      </c>
      <c r="P60" s="13" t="s">
        <v>270</v>
      </c>
      <c r="Q60" s="22">
        <v>1.6</v>
      </c>
      <c r="R60" s="23">
        <v>376058</v>
      </c>
      <c r="S60" s="21" t="s">
        <v>24</v>
      </c>
      <c r="T60" s="21"/>
      <c r="U60" s="21"/>
      <c r="V60" s="24"/>
      <c r="W60" s="24" t="s">
        <v>561</v>
      </c>
      <c r="X60" s="24"/>
      <c r="Y60" s="17" t="s">
        <v>538</v>
      </c>
      <c r="Z60" s="18">
        <f>ROUND(R60*'Data-CostAssumptions'!$C$3,-3)</f>
        <v>520000</v>
      </c>
      <c r="AA60" s="11">
        <f t="shared" si="1"/>
        <v>1</v>
      </c>
      <c r="AB60" s="11">
        <v>2041</v>
      </c>
      <c r="AC60" s="11">
        <v>2041</v>
      </c>
      <c r="AD60" s="11">
        <v>2041</v>
      </c>
      <c r="AE60" s="11">
        <v>2041</v>
      </c>
      <c r="AF60" s="11">
        <v>0</v>
      </c>
      <c r="AG60" s="19">
        <f>ROUND((Z60*'Data-CostAssumptions'!$G$5)*(1+'Data-CostAssumptions'!$G$3)^(AC60-'Data-CostAssumptions'!$G$4),-3)</f>
        <v>293000</v>
      </c>
      <c r="AH60" s="19">
        <f>ROUND((Z60)*(1+'Data-CostAssumptions'!$G$3)^(AE60-'Data-CostAssumptions'!$G$4),-3)</f>
        <v>1333000</v>
      </c>
    </row>
    <row r="61" spans="1:34" ht="15" customHeight="1" x14ac:dyDescent="0.2">
      <c r="A61" s="11"/>
      <c r="B61" s="11" t="s">
        <v>1211</v>
      </c>
      <c r="C61" s="13">
        <v>680</v>
      </c>
      <c r="D61" s="13" t="s">
        <v>420</v>
      </c>
      <c r="E61" s="20">
        <v>227</v>
      </c>
      <c r="F61" s="20">
        <v>180</v>
      </c>
      <c r="G61" s="20">
        <v>60</v>
      </c>
      <c r="H61" s="13" t="s">
        <v>1977</v>
      </c>
      <c r="I61" s="13" t="str">
        <f t="shared" si="0"/>
        <v>Miramar Pkwy (Utopia Dr to Palm Av)</v>
      </c>
      <c r="J61" s="13" t="s">
        <v>29</v>
      </c>
      <c r="K61" s="13" t="str">
        <f>VLOOKUP(J61,'Data-ProjectTypes'!A$3:B$13,2,FALSE)</f>
        <v>Program</v>
      </c>
      <c r="L61" s="21" t="s">
        <v>348</v>
      </c>
      <c r="M61" s="13" t="s">
        <v>2657</v>
      </c>
      <c r="N61" s="13" t="s">
        <v>2083</v>
      </c>
      <c r="O61" s="13" t="s">
        <v>274</v>
      </c>
      <c r="P61" s="13" t="s">
        <v>274</v>
      </c>
      <c r="Q61" s="22">
        <v>2</v>
      </c>
      <c r="R61" s="23">
        <v>462681</v>
      </c>
      <c r="S61" s="21" t="s">
        <v>24</v>
      </c>
      <c r="T61" s="21" t="s">
        <v>25</v>
      </c>
      <c r="U61" s="21" t="s">
        <v>25</v>
      </c>
      <c r="V61" s="24"/>
      <c r="W61" s="24"/>
      <c r="X61" s="24"/>
      <c r="Y61" s="17" t="s">
        <v>685</v>
      </c>
      <c r="Z61" s="18">
        <f>ROUND(R61*'Data-CostAssumptions'!$C$3,-3)</f>
        <v>640000</v>
      </c>
      <c r="AA61" s="11">
        <f t="shared" si="1"/>
        <v>0</v>
      </c>
      <c r="AB61" s="11">
        <v>2041</v>
      </c>
      <c r="AC61" s="11">
        <v>2041</v>
      </c>
      <c r="AD61" s="11">
        <v>2041</v>
      </c>
      <c r="AE61" s="11">
        <v>2041</v>
      </c>
      <c r="AF61" s="11">
        <v>0</v>
      </c>
      <c r="AG61" s="19">
        <f>ROUND((Z61*'Data-CostAssumptions'!$G$5)*(1+'Data-CostAssumptions'!$G$3)^(AC61-'Data-CostAssumptions'!$G$4),-3)</f>
        <v>361000</v>
      </c>
      <c r="AH61" s="19">
        <f>ROUND((Z61)*(1+'Data-CostAssumptions'!$G$3)^(AE61-'Data-CostAssumptions'!$G$4),-3)</f>
        <v>1641000</v>
      </c>
    </row>
    <row r="62" spans="1:34" ht="15" customHeight="1" x14ac:dyDescent="0.2">
      <c r="A62" s="11"/>
      <c r="B62" s="11" t="s">
        <v>1211</v>
      </c>
      <c r="C62" s="13">
        <v>681</v>
      </c>
      <c r="D62" s="13" t="s">
        <v>420</v>
      </c>
      <c r="E62" s="20">
        <v>301</v>
      </c>
      <c r="F62" s="20">
        <v>180</v>
      </c>
      <c r="G62" s="20">
        <v>61</v>
      </c>
      <c r="H62" s="13" t="s">
        <v>1909</v>
      </c>
      <c r="I62" s="13" t="str">
        <f t="shared" si="0"/>
        <v>NW 15th St (Dixie Hwy to Powerline Rd/Hammondville Rd)</v>
      </c>
      <c r="J62" s="13" t="s">
        <v>29</v>
      </c>
      <c r="K62" s="13" t="str">
        <f>VLOOKUP(J62,'Data-ProjectTypes'!A$3:B$13,2,FALSE)</f>
        <v>Program</v>
      </c>
      <c r="L62" s="21" t="s">
        <v>348</v>
      </c>
      <c r="M62" s="13" t="s">
        <v>728</v>
      </c>
      <c r="N62" s="13" t="s">
        <v>2434</v>
      </c>
      <c r="O62" s="13" t="s">
        <v>273</v>
      </c>
      <c r="P62" s="13" t="s">
        <v>273</v>
      </c>
      <c r="Q62" s="22">
        <v>2</v>
      </c>
      <c r="R62" s="23">
        <v>456046</v>
      </c>
      <c r="S62" s="21"/>
      <c r="T62" s="21"/>
      <c r="U62" s="21"/>
      <c r="V62" s="24"/>
      <c r="W62" s="24"/>
      <c r="X62" s="24"/>
      <c r="Y62" s="17"/>
      <c r="Z62" s="18">
        <f>ROUND(R62*'Data-CostAssumptions'!$C$3,-3)</f>
        <v>631000</v>
      </c>
      <c r="AA62" s="11">
        <f t="shared" si="1"/>
        <v>0</v>
      </c>
      <c r="AB62" s="11">
        <v>2041</v>
      </c>
      <c r="AC62" s="11">
        <v>2041</v>
      </c>
      <c r="AD62" s="11">
        <v>2041</v>
      </c>
      <c r="AE62" s="11">
        <v>2041</v>
      </c>
      <c r="AF62" s="11">
        <v>0</v>
      </c>
      <c r="AG62" s="19">
        <f>ROUND((Z62*'Data-CostAssumptions'!$G$5)*(1+'Data-CostAssumptions'!$G$3)^(AC62-'Data-CostAssumptions'!$G$4),-3)</f>
        <v>356000</v>
      </c>
      <c r="AH62" s="19">
        <f>ROUND((Z62)*(1+'Data-CostAssumptions'!$G$3)^(AE62-'Data-CostAssumptions'!$G$4),-3)</f>
        <v>1618000</v>
      </c>
    </row>
    <row r="63" spans="1:34" ht="15" customHeight="1" x14ac:dyDescent="0.2">
      <c r="A63" s="11"/>
      <c r="B63" s="11" t="s">
        <v>1211</v>
      </c>
      <c r="C63" s="13">
        <v>683</v>
      </c>
      <c r="D63" s="13" t="s">
        <v>420</v>
      </c>
      <c r="E63" s="20">
        <v>324</v>
      </c>
      <c r="F63" s="20">
        <v>180</v>
      </c>
      <c r="G63" s="20">
        <v>62</v>
      </c>
      <c r="H63" s="13" t="s">
        <v>2130</v>
      </c>
      <c r="I63" s="13" t="str">
        <f t="shared" si="0"/>
        <v>SW 62nd Av (County Line Rd/SW 41st St to Hollywood Bl)</v>
      </c>
      <c r="J63" s="13" t="s">
        <v>29</v>
      </c>
      <c r="K63" s="13" t="str">
        <f>VLOOKUP(J63,'Data-ProjectTypes'!A$3:B$13,2,FALSE)</f>
        <v>Program</v>
      </c>
      <c r="L63" s="21" t="s">
        <v>562</v>
      </c>
      <c r="M63" s="13" t="s">
        <v>1876</v>
      </c>
      <c r="N63" s="13" t="s">
        <v>1820</v>
      </c>
      <c r="O63" s="13" t="s">
        <v>272</v>
      </c>
      <c r="P63" s="13" t="s">
        <v>272</v>
      </c>
      <c r="Q63" s="22">
        <v>2.6</v>
      </c>
      <c r="R63" s="23">
        <v>597954</v>
      </c>
      <c r="S63" s="12" t="s">
        <v>24</v>
      </c>
      <c r="T63" s="21" t="s">
        <v>25</v>
      </c>
      <c r="U63" s="29" t="s">
        <v>688</v>
      </c>
      <c r="V63" s="24" t="s">
        <v>561</v>
      </c>
      <c r="W63" s="24"/>
      <c r="X63" s="24"/>
      <c r="Y63" s="17" t="s">
        <v>687</v>
      </c>
      <c r="Z63" s="18">
        <f>ROUND(R63*'Data-CostAssumptions'!$C$3,-3)</f>
        <v>828000</v>
      </c>
      <c r="AA63" s="11">
        <f t="shared" si="1"/>
        <v>1</v>
      </c>
      <c r="AB63" s="11">
        <v>2041</v>
      </c>
      <c r="AC63" s="11">
        <v>2041</v>
      </c>
      <c r="AD63" s="11">
        <v>2041</v>
      </c>
      <c r="AE63" s="11">
        <v>2041</v>
      </c>
      <c r="AF63" s="11">
        <v>0</v>
      </c>
      <c r="AG63" s="19">
        <f>ROUND((Z63*'Data-CostAssumptions'!$G$5)*(1+'Data-CostAssumptions'!$G$3)^(AC63-'Data-CostAssumptions'!$G$4),-3)</f>
        <v>467000</v>
      </c>
      <c r="AH63" s="19">
        <f>ROUND((Z63)*(1+'Data-CostAssumptions'!$G$3)^(AE63-'Data-CostAssumptions'!$G$4),-3)</f>
        <v>2123000</v>
      </c>
    </row>
    <row r="64" spans="1:34" ht="15" customHeight="1" x14ac:dyDescent="0.2">
      <c r="A64" s="11"/>
      <c r="B64" s="11" t="s">
        <v>1211</v>
      </c>
      <c r="C64" s="13">
        <v>684</v>
      </c>
      <c r="D64" s="13" t="s">
        <v>420</v>
      </c>
      <c r="E64" s="20">
        <v>328</v>
      </c>
      <c r="F64" s="20">
        <v>180</v>
      </c>
      <c r="G64" s="20">
        <v>63</v>
      </c>
      <c r="H64" s="13" t="s">
        <v>2199</v>
      </c>
      <c r="I64" s="13" t="str">
        <f t="shared" si="0"/>
        <v>College Av-SR 84 Connector (Davie Rd to Nova Dr)</v>
      </c>
      <c r="J64" s="13" t="s">
        <v>29</v>
      </c>
      <c r="K64" s="13" t="str">
        <f>VLOOKUP(J64,'Data-ProjectTypes'!A$3:B$13,2,FALSE)</f>
        <v>Program</v>
      </c>
      <c r="L64" s="21" t="s">
        <v>348</v>
      </c>
      <c r="M64" s="13" t="s">
        <v>1845</v>
      </c>
      <c r="N64" s="13" t="s">
        <v>487</v>
      </c>
      <c r="O64" s="13" t="s">
        <v>279</v>
      </c>
      <c r="P64" s="13" t="s">
        <v>279</v>
      </c>
      <c r="Q64" s="22">
        <v>1</v>
      </c>
      <c r="R64" s="23">
        <v>222405</v>
      </c>
      <c r="S64" s="21" t="s">
        <v>24</v>
      </c>
      <c r="T64" s="21"/>
      <c r="U64" s="21"/>
      <c r="V64" s="24"/>
      <c r="W64" s="24"/>
      <c r="X64" s="30" t="s">
        <v>474</v>
      </c>
      <c r="Y64" s="17" t="s">
        <v>469</v>
      </c>
      <c r="Z64" s="18">
        <f>ROUND(R64*'Data-CostAssumptions'!$C$3,-3)</f>
        <v>308000</v>
      </c>
      <c r="AA64" s="11">
        <f t="shared" si="1"/>
        <v>0</v>
      </c>
      <c r="AB64" s="11">
        <v>2041</v>
      </c>
      <c r="AC64" s="11">
        <v>2041</v>
      </c>
      <c r="AD64" s="11">
        <v>2041</v>
      </c>
      <c r="AE64" s="11">
        <v>2041</v>
      </c>
      <c r="AF64" s="11">
        <v>0</v>
      </c>
      <c r="AG64" s="19">
        <f>ROUND((Z64*'Data-CostAssumptions'!$G$5)*(1+'Data-CostAssumptions'!$G$3)^(AC64-'Data-CostAssumptions'!$G$4),-3)</f>
        <v>174000</v>
      </c>
      <c r="AH64" s="19">
        <f>ROUND((Z64)*(1+'Data-CostAssumptions'!$G$3)^(AE64-'Data-CostAssumptions'!$G$4),-3)</f>
        <v>790000</v>
      </c>
    </row>
    <row r="65" spans="1:34" ht="15" customHeight="1" x14ac:dyDescent="0.2">
      <c r="A65" s="11"/>
      <c r="B65" s="11" t="s">
        <v>1211</v>
      </c>
      <c r="C65" s="13">
        <v>685</v>
      </c>
      <c r="D65" s="13" t="s">
        <v>420</v>
      </c>
      <c r="E65" s="20">
        <v>6</v>
      </c>
      <c r="F65" s="20">
        <v>180</v>
      </c>
      <c r="G65" s="20">
        <v>64</v>
      </c>
      <c r="H65" s="13" t="s">
        <v>2709</v>
      </c>
      <c r="I65" s="13" t="str">
        <f t="shared" si="0"/>
        <v>SR 817/University Dr (Sample Rd to Holmberg Rd)</v>
      </c>
      <c r="J65" s="13" t="s">
        <v>29</v>
      </c>
      <c r="K65" s="13" t="str">
        <f>VLOOKUP(J65,'Data-ProjectTypes'!A$3:B$13,2,FALSE)</f>
        <v>Program</v>
      </c>
      <c r="L65" s="21" t="s">
        <v>348</v>
      </c>
      <c r="M65" s="13" t="s">
        <v>1864</v>
      </c>
      <c r="N65" s="13" t="s">
        <v>2404</v>
      </c>
      <c r="O65" s="13" t="s">
        <v>272</v>
      </c>
      <c r="P65" s="13" t="s">
        <v>272</v>
      </c>
      <c r="Q65" s="22">
        <v>2.7</v>
      </c>
      <c r="R65" s="23">
        <v>630565</v>
      </c>
      <c r="S65" s="21" t="s">
        <v>24</v>
      </c>
      <c r="T65" s="21"/>
      <c r="U65" s="21"/>
      <c r="V65" s="24"/>
      <c r="W65" s="31" t="s">
        <v>741</v>
      </c>
      <c r="X65" s="31" t="s">
        <v>740</v>
      </c>
      <c r="Y65" s="17" t="s">
        <v>742</v>
      </c>
      <c r="Z65" s="18">
        <f>ROUND(R65*'Data-CostAssumptions'!$C$3,-3)</f>
        <v>873000</v>
      </c>
      <c r="AA65" s="11">
        <f t="shared" si="1"/>
        <v>1</v>
      </c>
      <c r="AB65" s="11">
        <v>2041</v>
      </c>
      <c r="AC65" s="11">
        <v>2041</v>
      </c>
      <c r="AD65" s="11">
        <v>2041</v>
      </c>
      <c r="AE65" s="11">
        <v>2041</v>
      </c>
      <c r="AF65" s="11">
        <v>0</v>
      </c>
      <c r="AG65" s="19">
        <f>ROUND((Z65*'Data-CostAssumptions'!$G$5)*(1+'Data-CostAssumptions'!$G$3)^(AC65-'Data-CostAssumptions'!$G$4),-3)</f>
        <v>492000</v>
      </c>
      <c r="AH65" s="19">
        <f>ROUND((Z65)*(1+'Data-CostAssumptions'!$G$3)^(AE65-'Data-CostAssumptions'!$G$4),-3)</f>
        <v>2238000</v>
      </c>
    </row>
    <row r="66" spans="1:34" ht="15" customHeight="1" x14ac:dyDescent="0.2">
      <c r="A66" s="11"/>
      <c r="B66" s="11" t="s">
        <v>1211</v>
      </c>
      <c r="C66" s="13">
        <v>686</v>
      </c>
      <c r="D66" s="13" t="s">
        <v>420</v>
      </c>
      <c r="E66" s="20">
        <v>9</v>
      </c>
      <c r="F66" s="20">
        <v>180</v>
      </c>
      <c r="G66" s="20">
        <v>65</v>
      </c>
      <c r="H66" s="13" t="s">
        <v>1768</v>
      </c>
      <c r="I66" s="13" t="str">
        <f t="shared" ref="I66:I129" si="2">IF(M66="@",H66&amp;" ("&amp;M66&amp;"  "&amp;N66&amp;")",H66&amp;" ("&amp;M66&amp;" to "&amp;N66&amp;")")</f>
        <v>Rock Island Rd (Royal Palm Bl to Wiles Rd)</v>
      </c>
      <c r="J66" s="13" t="s">
        <v>29</v>
      </c>
      <c r="K66" s="13" t="str">
        <f>VLOOKUP(J66,'Data-ProjectTypes'!A$3:B$13,2,FALSE)</f>
        <v>Program</v>
      </c>
      <c r="L66" s="21" t="s">
        <v>348</v>
      </c>
      <c r="M66" s="13" t="s">
        <v>1827</v>
      </c>
      <c r="N66" s="13" t="s">
        <v>1780</v>
      </c>
      <c r="O66" s="13" t="s">
        <v>272</v>
      </c>
      <c r="P66" s="13" t="s">
        <v>272</v>
      </c>
      <c r="Q66" s="22">
        <v>2.4</v>
      </c>
      <c r="R66" s="23">
        <v>556475</v>
      </c>
      <c r="S66" s="21" t="s">
        <v>24</v>
      </c>
      <c r="T66" s="21"/>
      <c r="U66" s="21"/>
      <c r="V66" s="24"/>
      <c r="W66" s="24"/>
      <c r="X66" s="24"/>
      <c r="Y66" s="17" t="s">
        <v>460</v>
      </c>
      <c r="Z66" s="18">
        <f>ROUND(R66*'Data-CostAssumptions'!$C$3,-3)</f>
        <v>770000</v>
      </c>
      <c r="AA66" s="11">
        <f t="shared" si="1"/>
        <v>0</v>
      </c>
      <c r="AB66" s="11">
        <v>2041</v>
      </c>
      <c r="AC66" s="11">
        <v>2041</v>
      </c>
      <c r="AD66" s="11">
        <v>2041</v>
      </c>
      <c r="AE66" s="11">
        <v>2041</v>
      </c>
      <c r="AF66" s="11">
        <v>0</v>
      </c>
      <c r="AG66" s="19">
        <f>ROUND((Z66*'Data-CostAssumptions'!$G$5)*(1+'Data-CostAssumptions'!$G$3)^(AC66-'Data-CostAssumptions'!$G$4),-3)</f>
        <v>434000</v>
      </c>
      <c r="AH66" s="19">
        <f>ROUND((Z66)*(1+'Data-CostAssumptions'!$G$3)^(AE66-'Data-CostAssumptions'!$G$4),-3)</f>
        <v>1974000</v>
      </c>
    </row>
    <row r="67" spans="1:34" ht="15" customHeight="1" x14ac:dyDescent="0.2">
      <c r="A67" s="11"/>
      <c r="B67" s="11" t="s">
        <v>1211</v>
      </c>
      <c r="C67" s="13">
        <v>687</v>
      </c>
      <c r="D67" s="13" t="s">
        <v>420</v>
      </c>
      <c r="E67" s="20">
        <v>11</v>
      </c>
      <c r="F67" s="20">
        <v>180</v>
      </c>
      <c r="G67" s="20">
        <v>66</v>
      </c>
      <c r="H67" s="13" t="s">
        <v>1798</v>
      </c>
      <c r="I67" s="13" t="str">
        <f t="shared" si="2"/>
        <v>Ramblewood Dr (Atlantic Bl to NW 105th Lane)</v>
      </c>
      <c r="J67" s="13" t="s">
        <v>29</v>
      </c>
      <c r="K67" s="13" t="str">
        <f>VLOOKUP(J67,'Data-ProjectTypes'!A$3:B$13,2,FALSE)</f>
        <v>Program</v>
      </c>
      <c r="L67" s="21" t="s">
        <v>348</v>
      </c>
      <c r="M67" s="13" t="s">
        <v>1809</v>
      </c>
      <c r="N67" s="13" t="s">
        <v>265</v>
      </c>
      <c r="O67" s="13" t="s">
        <v>292</v>
      </c>
      <c r="P67" s="13" t="s">
        <v>292</v>
      </c>
      <c r="Q67" s="22">
        <v>2.4</v>
      </c>
      <c r="R67" s="23">
        <v>557944</v>
      </c>
      <c r="S67" s="21" t="s">
        <v>24</v>
      </c>
      <c r="T67" s="21"/>
      <c r="U67" s="21"/>
      <c r="V67" s="24"/>
      <c r="W67" s="24"/>
      <c r="X67" s="24"/>
      <c r="Y67" s="17" t="s">
        <v>460</v>
      </c>
      <c r="Z67" s="18">
        <f>ROUND(R67*'Data-CostAssumptions'!$C$3,-3)</f>
        <v>772000</v>
      </c>
      <c r="AA67" s="11">
        <f t="shared" ref="AA67:AA130" si="3">IF(V67="",IF(W67="",0,1),1)</f>
        <v>0</v>
      </c>
      <c r="AB67" s="11">
        <v>2041</v>
      </c>
      <c r="AC67" s="11">
        <v>2041</v>
      </c>
      <c r="AD67" s="11">
        <v>2041</v>
      </c>
      <c r="AE67" s="11">
        <v>2041</v>
      </c>
      <c r="AF67" s="11">
        <v>0</v>
      </c>
      <c r="AG67" s="19">
        <f>ROUND((Z67*'Data-CostAssumptions'!$G$5)*(1+'Data-CostAssumptions'!$G$3)^(AC67-'Data-CostAssumptions'!$G$4),-3)</f>
        <v>435000</v>
      </c>
      <c r="AH67" s="19">
        <f>ROUND((Z67)*(1+'Data-CostAssumptions'!$G$3)^(AE67-'Data-CostAssumptions'!$G$4),-3)</f>
        <v>1979000</v>
      </c>
    </row>
    <row r="68" spans="1:34" ht="15" customHeight="1" x14ac:dyDescent="0.2">
      <c r="A68" s="11"/>
      <c r="B68" s="11" t="s">
        <v>1211</v>
      </c>
      <c r="C68" s="13">
        <v>688</v>
      </c>
      <c r="D68" s="13" t="s">
        <v>420</v>
      </c>
      <c r="E68" s="20">
        <v>12</v>
      </c>
      <c r="F68" s="20">
        <v>180</v>
      </c>
      <c r="G68" s="20">
        <v>67</v>
      </c>
      <c r="H68" s="13" t="s">
        <v>1787</v>
      </c>
      <c r="I68" s="13" t="str">
        <f t="shared" si="2"/>
        <v>Coral Springs Dr (Sample Rd to NW 106th Dr)</v>
      </c>
      <c r="J68" s="13" t="s">
        <v>29</v>
      </c>
      <c r="K68" s="13" t="str">
        <f>VLOOKUP(J68,'Data-ProjectTypes'!A$3:B$13,2,FALSE)</f>
        <v>Program</v>
      </c>
      <c r="L68" s="21" t="s">
        <v>348</v>
      </c>
      <c r="M68" s="13" t="s">
        <v>1864</v>
      </c>
      <c r="N68" s="13" t="s">
        <v>2649</v>
      </c>
      <c r="O68" s="13" t="s">
        <v>273</v>
      </c>
      <c r="P68" s="13" t="s">
        <v>273</v>
      </c>
      <c r="Q68" s="22">
        <v>2.4</v>
      </c>
      <c r="R68" s="23">
        <v>555002</v>
      </c>
      <c r="S68" s="21" t="s">
        <v>24</v>
      </c>
      <c r="T68" s="21" t="s">
        <v>745</v>
      </c>
      <c r="U68" s="21"/>
      <c r="V68" s="24"/>
      <c r="W68" s="31" t="s">
        <v>744</v>
      </c>
      <c r="X68" s="31" t="s">
        <v>743</v>
      </c>
      <c r="Y68" s="17" t="s">
        <v>742</v>
      </c>
      <c r="Z68" s="18">
        <f>ROUND(R68*'Data-CostAssumptions'!$C$3,-3)</f>
        <v>768000</v>
      </c>
      <c r="AA68" s="11">
        <f t="shared" si="3"/>
        <v>1</v>
      </c>
      <c r="AB68" s="11">
        <v>2041</v>
      </c>
      <c r="AC68" s="11">
        <v>2041</v>
      </c>
      <c r="AD68" s="11">
        <v>2041</v>
      </c>
      <c r="AE68" s="11">
        <v>2041</v>
      </c>
      <c r="AF68" s="11">
        <v>0</v>
      </c>
      <c r="AG68" s="19">
        <f>ROUND((Z68*'Data-CostAssumptions'!$G$5)*(1+'Data-CostAssumptions'!$G$3)^(AC68-'Data-CostAssumptions'!$G$4),-3)</f>
        <v>433000</v>
      </c>
      <c r="AH68" s="19">
        <f>ROUND((Z68)*(1+'Data-CostAssumptions'!$G$3)^(AE68-'Data-CostAssumptions'!$G$4),-3)</f>
        <v>1969000</v>
      </c>
    </row>
    <row r="69" spans="1:34" ht="15" customHeight="1" x14ac:dyDescent="0.2">
      <c r="A69" s="11"/>
      <c r="B69" s="11" t="s">
        <v>1211</v>
      </c>
      <c r="C69" s="13">
        <v>689</v>
      </c>
      <c r="D69" s="13" t="s">
        <v>420</v>
      </c>
      <c r="E69" s="20">
        <v>17</v>
      </c>
      <c r="F69" s="20">
        <v>180</v>
      </c>
      <c r="G69" s="20">
        <v>68</v>
      </c>
      <c r="H69" s="13" t="s">
        <v>1799</v>
      </c>
      <c r="I69" s="13" t="str">
        <f t="shared" si="2"/>
        <v>Riverside Dr (Atlantic Bl to Sample Rd)</v>
      </c>
      <c r="J69" s="13" t="s">
        <v>29</v>
      </c>
      <c r="K69" s="13" t="str">
        <f>VLOOKUP(J69,'Data-ProjectTypes'!A$3:B$13,2,FALSE)</f>
        <v>Program</v>
      </c>
      <c r="L69" s="21" t="s">
        <v>348</v>
      </c>
      <c r="M69" s="13" t="s">
        <v>1809</v>
      </c>
      <c r="N69" s="13" t="s">
        <v>1864</v>
      </c>
      <c r="O69" s="13" t="s">
        <v>273</v>
      </c>
      <c r="P69" s="13" t="s">
        <v>273</v>
      </c>
      <c r="Q69" s="22">
        <v>2.6</v>
      </c>
      <c r="R69" s="23">
        <v>592041</v>
      </c>
      <c r="S69" s="21" t="s">
        <v>24</v>
      </c>
      <c r="T69" s="21"/>
      <c r="U69" s="21"/>
      <c r="V69" s="24"/>
      <c r="W69" s="24"/>
      <c r="X69" s="24"/>
      <c r="Y69" s="17" t="s">
        <v>460</v>
      </c>
      <c r="Z69" s="18">
        <f>ROUND(R69*'Data-CostAssumptions'!$C$3,-3)</f>
        <v>819000</v>
      </c>
      <c r="AA69" s="11">
        <f t="shared" si="3"/>
        <v>0</v>
      </c>
      <c r="AB69" s="11">
        <v>2041</v>
      </c>
      <c r="AC69" s="11">
        <v>2041</v>
      </c>
      <c r="AD69" s="11">
        <v>2041</v>
      </c>
      <c r="AE69" s="11">
        <v>2041</v>
      </c>
      <c r="AF69" s="11">
        <v>0</v>
      </c>
      <c r="AG69" s="19">
        <f>ROUND((Z69*'Data-CostAssumptions'!$G$5)*(1+'Data-CostAssumptions'!$G$3)^(AC69-'Data-CostAssumptions'!$G$4),-3)</f>
        <v>462000</v>
      </c>
      <c r="AH69" s="19">
        <f>ROUND((Z69)*(1+'Data-CostAssumptions'!$G$3)^(AE69-'Data-CostAssumptions'!$G$4),-3)</f>
        <v>2100000</v>
      </c>
    </row>
    <row r="70" spans="1:34" ht="15" customHeight="1" x14ac:dyDescent="0.2">
      <c r="A70" s="11"/>
      <c r="B70" s="11" t="s">
        <v>1211</v>
      </c>
      <c r="C70" s="13">
        <v>690</v>
      </c>
      <c r="D70" s="13" t="s">
        <v>420</v>
      </c>
      <c r="E70" s="20">
        <v>29</v>
      </c>
      <c r="F70" s="20">
        <v>180</v>
      </c>
      <c r="G70" s="20">
        <v>69</v>
      </c>
      <c r="H70" s="13" t="s">
        <v>2033</v>
      </c>
      <c r="I70" s="13" t="str">
        <f t="shared" si="2"/>
        <v>NE 3rd Av (Sample Rd to 48th St)</v>
      </c>
      <c r="J70" s="13" t="s">
        <v>29</v>
      </c>
      <c r="K70" s="13" t="str">
        <f>VLOOKUP(J70,'Data-ProjectTypes'!A$3:B$13,2,FALSE)</f>
        <v>Program</v>
      </c>
      <c r="L70" s="21" t="s">
        <v>511</v>
      </c>
      <c r="M70" s="13" t="s">
        <v>1864</v>
      </c>
      <c r="N70" s="13" t="s">
        <v>2512</v>
      </c>
      <c r="O70" s="13" t="s">
        <v>289</v>
      </c>
      <c r="P70" s="13" t="s">
        <v>289</v>
      </c>
      <c r="Q70" s="22">
        <v>1</v>
      </c>
      <c r="R70" s="23">
        <v>234455</v>
      </c>
      <c r="S70" s="21" t="s">
        <v>24</v>
      </c>
      <c r="T70" s="21" t="s">
        <v>24</v>
      </c>
      <c r="U70" s="21" t="s">
        <v>24</v>
      </c>
      <c r="V70" s="24"/>
      <c r="W70" s="24"/>
      <c r="X70" s="24" t="s">
        <v>497</v>
      </c>
      <c r="Y70" s="17" t="s">
        <v>492</v>
      </c>
      <c r="Z70" s="18">
        <f>ROUND(R70*'Data-CostAssumptions'!$C$3,-3)</f>
        <v>324000</v>
      </c>
      <c r="AA70" s="11">
        <f t="shared" si="3"/>
        <v>0</v>
      </c>
      <c r="AB70" s="11">
        <v>2041</v>
      </c>
      <c r="AC70" s="11">
        <v>2041</v>
      </c>
      <c r="AD70" s="11">
        <v>2041</v>
      </c>
      <c r="AE70" s="11">
        <v>2041</v>
      </c>
      <c r="AF70" s="11">
        <v>0</v>
      </c>
      <c r="AG70" s="19">
        <f>ROUND((Z70*'Data-CostAssumptions'!$G$5)*(1+'Data-CostAssumptions'!$G$3)^(AC70-'Data-CostAssumptions'!$G$4),-3)</f>
        <v>183000</v>
      </c>
      <c r="AH70" s="19">
        <f>ROUND((Z70)*(1+'Data-CostAssumptions'!$G$3)^(AE70-'Data-CostAssumptions'!$G$4),-3)</f>
        <v>831000</v>
      </c>
    </row>
    <row r="71" spans="1:34" ht="15" customHeight="1" x14ac:dyDescent="0.2">
      <c r="A71" s="11"/>
      <c r="B71" s="11" t="s">
        <v>1211</v>
      </c>
      <c r="C71" s="13">
        <v>692</v>
      </c>
      <c r="D71" s="13" t="s">
        <v>420</v>
      </c>
      <c r="E71" s="20">
        <v>41</v>
      </c>
      <c r="F71" s="20">
        <v>180</v>
      </c>
      <c r="G71" s="20">
        <v>70</v>
      </c>
      <c r="H71" s="13" t="s">
        <v>2793</v>
      </c>
      <c r="I71" s="13" t="str">
        <f t="shared" si="2"/>
        <v>SR 834/Sample Rd (NE 3rd Av to Andrews Av Extension/Military Trail)</v>
      </c>
      <c r="J71" s="13" t="s">
        <v>29</v>
      </c>
      <c r="K71" s="13" t="str">
        <f>VLOOKUP(J71,'Data-ProjectTypes'!A$3:B$13,2,FALSE)</f>
        <v>Program</v>
      </c>
      <c r="L71" s="21" t="s">
        <v>348</v>
      </c>
      <c r="M71" s="13" t="s">
        <v>2033</v>
      </c>
      <c r="N71" s="13" t="s">
        <v>2260</v>
      </c>
      <c r="O71" s="13" t="s">
        <v>270</v>
      </c>
      <c r="P71" s="13" t="s">
        <v>270</v>
      </c>
      <c r="Q71" s="22">
        <v>1</v>
      </c>
      <c r="R71" s="23">
        <v>235007</v>
      </c>
      <c r="S71" s="21"/>
      <c r="T71" s="21"/>
      <c r="U71" s="21"/>
      <c r="V71" s="24"/>
      <c r="W71" s="24" t="s">
        <v>491</v>
      </c>
      <c r="X71" s="24"/>
      <c r="Y71" s="17" t="s">
        <v>492</v>
      </c>
      <c r="Z71" s="18">
        <f>ROUND(R71*'Data-CostAssumptions'!$C$3,-3)</f>
        <v>325000</v>
      </c>
      <c r="AA71" s="11">
        <f t="shared" si="3"/>
        <v>1</v>
      </c>
      <c r="AB71" s="11">
        <v>2041</v>
      </c>
      <c r="AC71" s="11">
        <v>2041</v>
      </c>
      <c r="AD71" s="11">
        <v>2041</v>
      </c>
      <c r="AE71" s="11">
        <v>2041</v>
      </c>
      <c r="AF71" s="11">
        <v>0</v>
      </c>
      <c r="AG71" s="19">
        <f>ROUND((Z71*'Data-CostAssumptions'!$G$5)*(1+'Data-CostAssumptions'!$G$3)^(AC71-'Data-CostAssumptions'!$G$4),-3)</f>
        <v>183000</v>
      </c>
      <c r="AH71" s="19">
        <f>ROUND((Z71)*(1+'Data-CostAssumptions'!$G$3)^(AE71-'Data-CostAssumptions'!$G$4),-3)</f>
        <v>833000</v>
      </c>
    </row>
    <row r="72" spans="1:34" ht="15" customHeight="1" x14ac:dyDescent="0.2">
      <c r="A72" s="11"/>
      <c r="B72" s="11" t="s">
        <v>1211</v>
      </c>
      <c r="C72" s="13">
        <v>693</v>
      </c>
      <c r="D72" s="13" t="s">
        <v>420</v>
      </c>
      <c r="E72" s="20">
        <v>42</v>
      </c>
      <c r="F72" s="20">
        <v>180</v>
      </c>
      <c r="G72" s="20">
        <v>71</v>
      </c>
      <c r="H72" s="13" t="s">
        <v>2793</v>
      </c>
      <c r="I72" s="13" t="str">
        <f t="shared" si="2"/>
        <v>SR 834/Sample Rd (US 1/Federal Hwy to NE 3rd Av)</v>
      </c>
      <c r="J72" s="13" t="s">
        <v>29</v>
      </c>
      <c r="K72" s="13" t="str">
        <f>VLOOKUP(J72,'Data-ProjectTypes'!A$3:B$13,2,FALSE)</f>
        <v>Program</v>
      </c>
      <c r="L72" s="21" t="s">
        <v>348</v>
      </c>
      <c r="M72" s="13" t="s">
        <v>2594</v>
      </c>
      <c r="N72" s="13" t="s">
        <v>2033</v>
      </c>
      <c r="O72" s="13" t="s">
        <v>270</v>
      </c>
      <c r="P72" s="13" t="s">
        <v>270</v>
      </c>
      <c r="Q72" s="22">
        <v>1.4</v>
      </c>
      <c r="R72" s="23">
        <v>316334</v>
      </c>
      <c r="S72" s="21"/>
      <c r="T72" s="21"/>
      <c r="U72" s="21"/>
      <c r="V72" s="24"/>
      <c r="W72" s="24" t="s">
        <v>675</v>
      </c>
      <c r="X72" s="24"/>
      <c r="Y72" s="17" t="s">
        <v>673</v>
      </c>
      <c r="Z72" s="18">
        <f>ROUND(R72*'Data-CostAssumptions'!$C$3,-3)</f>
        <v>438000</v>
      </c>
      <c r="AA72" s="11">
        <f t="shared" si="3"/>
        <v>1</v>
      </c>
      <c r="AB72" s="11">
        <v>2041</v>
      </c>
      <c r="AC72" s="11">
        <v>2041</v>
      </c>
      <c r="AD72" s="11">
        <v>2041</v>
      </c>
      <c r="AE72" s="11">
        <v>2041</v>
      </c>
      <c r="AF72" s="11">
        <v>0</v>
      </c>
      <c r="AG72" s="19">
        <f>ROUND((Z72*'Data-CostAssumptions'!$G$5)*(1+'Data-CostAssumptions'!$G$3)^(AC72-'Data-CostAssumptions'!$G$4),-3)</f>
        <v>247000</v>
      </c>
      <c r="AH72" s="19">
        <f>ROUND((Z72)*(1+'Data-CostAssumptions'!$G$3)^(AE72-'Data-CostAssumptions'!$G$4),-3)</f>
        <v>1123000</v>
      </c>
    </row>
    <row r="73" spans="1:34" ht="15" customHeight="1" x14ac:dyDescent="0.2">
      <c r="A73" s="11"/>
      <c r="B73" s="11" t="s">
        <v>1211</v>
      </c>
      <c r="C73" s="13">
        <v>694</v>
      </c>
      <c r="D73" s="13" t="s">
        <v>420</v>
      </c>
      <c r="E73" s="20">
        <v>72</v>
      </c>
      <c r="F73" s="20">
        <v>181</v>
      </c>
      <c r="G73" s="20">
        <v>72</v>
      </c>
      <c r="H73" s="13" t="s">
        <v>2799</v>
      </c>
      <c r="I73" s="13" t="str">
        <f t="shared" si="2"/>
        <v>SR 845/Powerline Rd (NW 62nd St/Cypress Creek Rd to Atlantic Bl)</v>
      </c>
      <c r="J73" s="13" t="s">
        <v>29</v>
      </c>
      <c r="K73" s="13" t="str">
        <f>VLOOKUP(J73,'Data-ProjectTypes'!A$3:B$13,2,FALSE)</f>
        <v>Program</v>
      </c>
      <c r="L73" s="21" t="s">
        <v>348</v>
      </c>
      <c r="M73" s="13" t="s">
        <v>1928</v>
      </c>
      <c r="N73" s="13" t="s">
        <v>1809</v>
      </c>
      <c r="O73" s="13" t="s">
        <v>270</v>
      </c>
      <c r="P73" s="13" t="s">
        <v>270</v>
      </c>
      <c r="Q73" s="22">
        <v>1.9</v>
      </c>
      <c r="R73" s="23">
        <v>448849</v>
      </c>
      <c r="S73" s="21"/>
      <c r="T73" s="21"/>
      <c r="U73" s="21"/>
      <c r="V73" s="24"/>
      <c r="W73" s="24"/>
      <c r="X73" s="24"/>
      <c r="Y73" s="17"/>
      <c r="Z73" s="18">
        <f>ROUND(R73*'Data-CostAssumptions'!$C$3,-3)</f>
        <v>621000</v>
      </c>
      <c r="AA73" s="11">
        <f t="shared" si="3"/>
        <v>0</v>
      </c>
      <c r="AB73" s="11">
        <v>2041</v>
      </c>
      <c r="AC73" s="11">
        <v>2041</v>
      </c>
      <c r="AD73" s="11">
        <v>2041</v>
      </c>
      <c r="AE73" s="11">
        <v>2041</v>
      </c>
      <c r="AF73" s="11">
        <v>0</v>
      </c>
      <c r="AG73" s="19">
        <f>ROUND((Z73*'Data-CostAssumptions'!$G$5)*(1+'Data-CostAssumptions'!$G$3)^(AC73-'Data-CostAssumptions'!$G$4),-3)</f>
        <v>350000</v>
      </c>
      <c r="AH73" s="19">
        <f>ROUND((Z73)*(1+'Data-CostAssumptions'!$G$3)^(AE73-'Data-CostAssumptions'!$G$4),-3)</f>
        <v>1592000</v>
      </c>
    </row>
    <row r="74" spans="1:34" ht="15" customHeight="1" x14ac:dyDescent="0.2">
      <c r="A74" s="11"/>
      <c r="B74" s="11" t="s">
        <v>1211</v>
      </c>
      <c r="C74" s="13">
        <v>695</v>
      </c>
      <c r="D74" s="13" t="s">
        <v>420</v>
      </c>
      <c r="E74" s="20">
        <v>81</v>
      </c>
      <c r="F74" s="20">
        <v>181</v>
      </c>
      <c r="G74" s="20">
        <v>73</v>
      </c>
      <c r="H74" s="13" t="s">
        <v>2803</v>
      </c>
      <c r="I74" s="13" t="str">
        <f t="shared" si="2"/>
        <v>SR 870/Commercial Bl (NE 19th Av to Dixie Hwy)</v>
      </c>
      <c r="J74" s="13" t="s">
        <v>29</v>
      </c>
      <c r="K74" s="13" t="str">
        <f>VLOOKUP(J74,'Data-ProjectTypes'!A$3:B$13,2,FALSE)</f>
        <v>Program</v>
      </c>
      <c r="L74" s="21" t="s">
        <v>348</v>
      </c>
      <c r="M74" s="13" t="s">
        <v>2339</v>
      </c>
      <c r="N74" s="13" t="s">
        <v>728</v>
      </c>
      <c r="O74" s="13" t="s">
        <v>270</v>
      </c>
      <c r="P74" s="13" t="s">
        <v>270</v>
      </c>
      <c r="Q74" s="22">
        <v>1.2</v>
      </c>
      <c r="R74" s="23">
        <v>269584</v>
      </c>
      <c r="S74" s="21"/>
      <c r="T74" s="21"/>
      <c r="U74" s="21"/>
      <c r="V74" s="24"/>
      <c r="W74" s="24" t="s">
        <v>696</v>
      </c>
      <c r="X74" s="24"/>
      <c r="Y74" s="17" t="s">
        <v>287</v>
      </c>
      <c r="Z74" s="18">
        <f>ROUND(R74*'Data-CostAssumptions'!$C$3,-3)</f>
        <v>373000</v>
      </c>
      <c r="AA74" s="11">
        <f t="shared" si="3"/>
        <v>1</v>
      </c>
      <c r="AB74" s="11">
        <v>2041</v>
      </c>
      <c r="AC74" s="11">
        <v>2041</v>
      </c>
      <c r="AD74" s="11">
        <v>2041</v>
      </c>
      <c r="AE74" s="11">
        <v>2041</v>
      </c>
      <c r="AF74" s="11">
        <v>0</v>
      </c>
      <c r="AG74" s="19">
        <f>ROUND((Z74*'Data-CostAssumptions'!$G$5)*(1+'Data-CostAssumptions'!$G$3)^(AC74-'Data-CostAssumptions'!$G$4),-3)</f>
        <v>210000</v>
      </c>
      <c r="AH74" s="19">
        <f>ROUND((Z74)*(1+'Data-CostAssumptions'!$G$3)^(AE74-'Data-CostAssumptions'!$G$4),-3)</f>
        <v>956000</v>
      </c>
    </row>
    <row r="75" spans="1:34" ht="15" customHeight="1" x14ac:dyDescent="0.2">
      <c r="A75" s="11"/>
      <c r="B75" s="11" t="s">
        <v>1211</v>
      </c>
      <c r="C75" s="13">
        <v>696</v>
      </c>
      <c r="D75" s="13" t="s">
        <v>420</v>
      </c>
      <c r="E75" s="20">
        <v>82</v>
      </c>
      <c r="F75" s="20">
        <v>181</v>
      </c>
      <c r="G75" s="20">
        <v>74</v>
      </c>
      <c r="H75" s="13" t="s">
        <v>2803</v>
      </c>
      <c r="I75" s="13" t="str">
        <f t="shared" si="2"/>
        <v>SR 870/Commercial Bl (Dixie Hwy to SR 845 / Powerline Rd)</v>
      </c>
      <c r="J75" s="13" t="s">
        <v>29</v>
      </c>
      <c r="K75" s="13" t="str">
        <f>VLOOKUP(J75,'Data-ProjectTypes'!A$3:B$13,2,FALSE)</f>
        <v>Program</v>
      </c>
      <c r="L75" s="21" t="s">
        <v>348</v>
      </c>
      <c r="M75" s="13" t="s">
        <v>728</v>
      </c>
      <c r="N75" s="13" t="s">
        <v>2210</v>
      </c>
      <c r="O75" s="13" t="s">
        <v>270</v>
      </c>
      <c r="P75" s="13" t="s">
        <v>270</v>
      </c>
      <c r="Q75" s="22">
        <v>1.3</v>
      </c>
      <c r="R75" s="23">
        <v>311899</v>
      </c>
      <c r="S75" s="21"/>
      <c r="T75" s="21"/>
      <c r="U75" s="21"/>
      <c r="V75" s="24"/>
      <c r="W75" s="24" t="s">
        <v>696</v>
      </c>
      <c r="X75" s="24"/>
      <c r="Y75" s="17" t="s">
        <v>287</v>
      </c>
      <c r="Z75" s="18">
        <f>ROUND(R75*'Data-CostAssumptions'!$C$3,-3)</f>
        <v>432000</v>
      </c>
      <c r="AA75" s="11">
        <f t="shared" si="3"/>
        <v>1</v>
      </c>
      <c r="AB75" s="11">
        <v>2041</v>
      </c>
      <c r="AC75" s="11">
        <v>2041</v>
      </c>
      <c r="AD75" s="11">
        <v>2041</v>
      </c>
      <c r="AE75" s="11">
        <v>2041</v>
      </c>
      <c r="AF75" s="11">
        <v>0</v>
      </c>
      <c r="AG75" s="19">
        <f>ROUND((Z75*'Data-CostAssumptions'!$G$5)*(1+'Data-CostAssumptions'!$G$3)^(AC75-'Data-CostAssumptions'!$G$4),-3)</f>
        <v>244000</v>
      </c>
      <c r="AH75" s="19">
        <f>ROUND((Z75)*(1+'Data-CostAssumptions'!$G$3)^(AE75-'Data-CostAssumptions'!$G$4),-3)</f>
        <v>1108000</v>
      </c>
    </row>
    <row r="76" spans="1:34" ht="15" customHeight="1" x14ac:dyDescent="0.2">
      <c r="A76" s="11"/>
      <c r="B76" s="11" t="s">
        <v>1211</v>
      </c>
      <c r="C76" s="13">
        <v>697</v>
      </c>
      <c r="D76" s="13" t="s">
        <v>420</v>
      </c>
      <c r="E76" s="20">
        <v>90</v>
      </c>
      <c r="F76" s="20">
        <v>181</v>
      </c>
      <c r="G76" s="20">
        <v>75</v>
      </c>
      <c r="H76" s="13" t="s">
        <v>2057</v>
      </c>
      <c r="I76" s="13" t="str">
        <f t="shared" si="2"/>
        <v>NW 21st Av (Oakland Park Bl to Commercial Bl)</v>
      </c>
      <c r="J76" s="13" t="s">
        <v>29</v>
      </c>
      <c r="K76" s="13" t="str">
        <f>VLOOKUP(J76,'Data-ProjectTypes'!A$3:B$13,2,FALSE)</f>
        <v>Program</v>
      </c>
      <c r="L76" s="21" t="s">
        <v>348</v>
      </c>
      <c r="M76" s="13" t="s">
        <v>1825</v>
      </c>
      <c r="N76" s="13" t="s">
        <v>1813</v>
      </c>
      <c r="O76" s="13" t="s">
        <v>273</v>
      </c>
      <c r="P76" s="13" t="s">
        <v>273</v>
      </c>
      <c r="Q76" s="22">
        <v>1.6</v>
      </c>
      <c r="R76" s="23">
        <v>360418</v>
      </c>
      <c r="S76" s="21"/>
      <c r="T76" s="21"/>
      <c r="U76" s="21"/>
      <c r="V76" s="24"/>
      <c r="W76" s="24" t="s">
        <v>696</v>
      </c>
      <c r="X76" s="24"/>
      <c r="Y76" s="17" t="s">
        <v>287</v>
      </c>
      <c r="Z76" s="18">
        <f>ROUND(R76*'Data-CostAssumptions'!$C$3,-3)</f>
        <v>499000</v>
      </c>
      <c r="AA76" s="11">
        <f t="shared" si="3"/>
        <v>1</v>
      </c>
      <c r="AB76" s="11">
        <v>2041</v>
      </c>
      <c r="AC76" s="11">
        <v>2041</v>
      </c>
      <c r="AD76" s="11">
        <v>2041</v>
      </c>
      <c r="AE76" s="11">
        <v>2041</v>
      </c>
      <c r="AF76" s="11">
        <v>0</v>
      </c>
      <c r="AG76" s="19">
        <f>ROUND((Z76*'Data-CostAssumptions'!$G$5)*(1+'Data-CostAssumptions'!$G$3)^(AC76-'Data-CostAssumptions'!$G$4),-3)</f>
        <v>281000</v>
      </c>
      <c r="AH76" s="19">
        <f>ROUND((Z76)*(1+'Data-CostAssumptions'!$G$3)^(AE76-'Data-CostAssumptions'!$G$4),-3)</f>
        <v>1279000</v>
      </c>
    </row>
    <row r="77" spans="1:34" ht="15" customHeight="1" x14ac:dyDescent="0.2">
      <c r="A77" s="11"/>
      <c r="B77" s="11" t="s">
        <v>1211</v>
      </c>
      <c r="C77" s="13">
        <v>698</v>
      </c>
      <c r="D77" s="13" t="s">
        <v>420</v>
      </c>
      <c r="E77" s="20">
        <v>95</v>
      </c>
      <c r="F77" s="20">
        <v>181</v>
      </c>
      <c r="G77" s="20">
        <v>76</v>
      </c>
      <c r="H77" s="13" t="s">
        <v>1887</v>
      </c>
      <c r="I77" s="13" t="str">
        <f t="shared" si="2"/>
        <v>NE 26th St (US 1/Federal Hwy to Andrews Av)</v>
      </c>
      <c r="J77" s="13" t="s">
        <v>29</v>
      </c>
      <c r="K77" s="13" t="str">
        <f>VLOOKUP(J77,'Data-ProjectTypes'!A$3:B$13,2,FALSE)</f>
        <v>Program</v>
      </c>
      <c r="L77" s="26" t="s">
        <v>847</v>
      </c>
      <c r="M77" s="13" t="s">
        <v>2594</v>
      </c>
      <c r="N77" s="13" t="s">
        <v>2014</v>
      </c>
      <c r="O77" s="13" t="s">
        <v>273</v>
      </c>
      <c r="P77" s="13" t="s">
        <v>273</v>
      </c>
      <c r="Q77" s="22">
        <v>1.8</v>
      </c>
      <c r="R77" s="23">
        <v>426157</v>
      </c>
      <c r="S77" s="21"/>
      <c r="T77" s="21"/>
      <c r="U77" s="21" t="s">
        <v>24</v>
      </c>
      <c r="V77" s="24"/>
      <c r="W77" s="24"/>
      <c r="X77" s="24"/>
      <c r="Y77" s="17" t="s">
        <v>846</v>
      </c>
      <c r="Z77" s="18">
        <f>ROUND(R77*'Data-CostAssumptions'!$C$3,-3)</f>
        <v>590000</v>
      </c>
      <c r="AA77" s="11">
        <f t="shared" si="3"/>
        <v>0</v>
      </c>
      <c r="AB77" s="11">
        <v>2041</v>
      </c>
      <c r="AC77" s="11">
        <v>2041</v>
      </c>
      <c r="AD77" s="11">
        <v>2041</v>
      </c>
      <c r="AE77" s="11">
        <v>2041</v>
      </c>
      <c r="AF77" s="11">
        <v>0</v>
      </c>
      <c r="AG77" s="19">
        <f>ROUND((Z77*'Data-CostAssumptions'!$G$5)*(1+'Data-CostAssumptions'!$G$3)^(AC77-'Data-CostAssumptions'!$G$4),-3)</f>
        <v>333000</v>
      </c>
      <c r="AH77" s="19">
        <f>ROUND((Z77)*(1+'Data-CostAssumptions'!$G$3)^(AE77-'Data-CostAssumptions'!$G$4),-3)</f>
        <v>1513000</v>
      </c>
    </row>
    <row r="78" spans="1:34" ht="15" customHeight="1" x14ac:dyDescent="0.2">
      <c r="A78" s="11"/>
      <c r="B78" s="11" t="s">
        <v>1211</v>
      </c>
      <c r="C78" s="13">
        <v>699</v>
      </c>
      <c r="D78" s="13" t="s">
        <v>420</v>
      </c>
      <c r="E78" s="20">
        <v>106</v>
      </c>
      <c r="F78" s="20">
        <v>181</v>
      </c>
      <c r="G78" s="20">
        <v>77</v>
      </c>
      <c r="H78" s="13" t="s">
        <v>1816</v>
      </c>
      <c r="I78" s="13" t="str">
        <f t="shared" si="2"/>
        <v>Davie Bl (US 1/Federal Hwy to Davie Bl)</v>
      </c>
      <c r="J78" s="13" t="s">
        <v>29</v>
      </c>
      <c r="K78" s="13" t="str">
        <f>VLOOKUP(J78,'Data-ProjectTypes'!A$3:B$13,2,FALSE)</f>
        <v>Program</v>
      </c>
      <c r="L78" s="21" t="s">
        <v>348</v>
      </c>
      <c r="M78" s="13" t="s">
        <v>2594</v>
      </c>
      <c r="N78" s="13" t="s">
        <v>1816</v>
      </c>
      <c r="O78" s="13" t="s">
        <v>270</v>
      </c>
      <c r="P78" s="13" t="s">
        <v>270</v>
      </c>
      <c r="Q78" s="22">
        <v>1.9</v>
      </c>
      <c r="R78" s="23">
        <v>446157</v>
      </c>
      <c r="S78" s="21"/>
      <c r="T78" s="21"/>
      <c r="U78" s="21"/>
      <c r="V78" s="24"/>
      <c r="W78" s="24"/>
      <c r="X78" s="24"/>
      <c r="Y78" s="17"/>
      <c r="Z78" s="18">
        <f>ROUND(R78*'Data-CostAssumptions'!$C$3,-3)</f>
        <v>617000</v>
      </c>
      <c r="AA78" s="11">
        <f t="shared" si="3"/>
        <v>0</v>
      </c>
      <c r="AB78" s="11">
        <v>2041</v>
      </c>
      <c r="AC78" s="11">
        <v>2041</v>
      </c>
      <c r="AD78" s="11">
        <v>2041</v>
      </c>
      <c r="AE78" s="11">
        <v>2041</v>
      </c>
      <c r="AF78" s="11">
        <v>0</v>
      </c>
      <c r="AG78" s="19">
        <f>ROUND((Z78*'Data-CostAssumptions'!$G$5)*(1+'Data-CostAssumptions'!$G$3)^(AC78-'Data-CostAssumptions'!$G$4),-3)</f>
        <v>348000</v>
      </c>
      <c r="AH78" s="19">
        <f>ROUND((Z78)*(1+'Data-CostAssumptions'!$G$3)^(AE78-'Data-CostAssumptions'!$G$4),-3)</f>
        <v>1582000</v>
      </c>
    </row>
    <row r="79" spans="1:34" ht="15" customHeight="1" x14ac:dyDescent="0.2">
      <c r="A79" s="11"/>
      <c r="B79" s="11" t="s">
        <v>1211</v>
      </c>
      <c r="C79" s="13">
        <v>700</v>
      </c>
      <c r="D79" s="13" t="s">
        <v>420</v>
      </c>
      <c r="E79" s="20">
        <v>118</v>
      </c>
      <c r="F79" s="20">
        <v>181</v>
      </c>
      <c r="G79" s="20">
        <v>78</v>
      </c>
      <c r="H79" s="13" t="s">
        <v>45</v>
      </c>
      <c r="I79" s="13" t="str">
        <f t="shared" si="2"/>
        <v>SR 84 (I-95 to State Rd 7)</v>
      </c>
      <c r="J79" s="13" t="s">
        <v>29</v>
      </c>
      <c r="K79" s="13" t="str">
        <f>VLOOKUP(J79,'Data-ProjectTypes'!A$3:B$13,2,FALSE)</f>
        <v>Program</v>
      </c>
      <c r="L79" s="21" t="s">
        <v>348</v>
      </c>
      <c r="M79" s="13" t="s">
        <v>41</v>
      </c>
      <c r="N79" s="13" t="s">
        <v>1772</v>
      </c>
      <c r="O79" s="13" t="s">
        <v>270</v>
      </c>
      <c r="P79" s="13" t="s">
        <v>270</v>
      </c>
      <c r="Q79" s="22">
        <v>2</v>
      </c>
      <c r="R79" s="23">
        <v>467525</v>
      </c>
      <c r="S79" s="21" t="s">
        <v>24</v>
      </c>
      <c r="T79" s="21"/>
      <c r="U79" s="21"/>
      <c r="V79" s="24"/>
      <c r="W79" s="24"/>
      <c r="X79" s="24"/>
      <c r="Y79" s="17" t="s">
        <v>469</v>
      </c>
      <c r="Z79" s="18">
        <f>ROUND(R79*'Data-CostAssumptions'!$C$3,-3)</f>
        <v>647000</v>
      </c>
      <c r="AA79" s="11">
        <f t="shared" si="3"/>
        <v>0</v>
      </c>
      <c r="AB79" s="11">
        <v>2041</v>
      </c>
      <c r="AC79" s="11">
        <v>2041</v>
      </c>
      <c r="AD79" s="11">
        <v>2041</v>
      </c>
      <c r="AE79" s="11">
        <v>2041</v>
      </c>
      <c r="AF79" s="11">
        <v>0</v>
      </c>
      <c r="AG79" s="19">
        <f>ROUND((Z79*'Data-CostAssumptions'!$G$5)*(1+'Data-CostAssumptions'!$G$3)^(AC79-'Data-CostAssumptions'!$G$4),-3)</f>
        <v>365000</v>
      </c>
      <c r="AH79" s="19">
        <f>ROUND((Z79)*(1+'Data-CostAssumptions'!$G$3)^(AE79-'Data-CostAssumptions'!$G$4),-3)</f>
        <v>1659000</v>
      </c>
    </row>
    <row r="80" spans="1:34" ht="15" customHeight="1" x14ac:dyDescent="0.2">
      <c r="A80" s="11"/>
      <c r="B80" s="11" t="s">
        <v>1211</v>
      </c>
      <c r="C80" s="13">
        <v>701</v>
      </c>
      <c r="D80" s="13" t="s">
        <v>420</v>
      </c>
      <c r="E80" s="20">
        <v>125</v>
      </c>
      <c r="F80" s="20">
        <v>181</v>
      </c>
      <c r="G80" s="20">
        <v>79</v>
      </c>
      <c r="H80" s="13" t="s">
        <v>2036</v>
      </c>
      <c r="I80" s="13" t="str">
        <f t="shared" si="2"/>
        <v>NE 6th Av (Oakland Park Bl to Prospect Rd)</v>
      </c>
      <c r="J80" s="13" t="s">
        <v>29</v>
      </c>
      <c r="K80" s="13" t="str">
        <f>VLOOKUP(J80,'Data-ProjectTypes'!A$3:B$13,2,FALSE)</f>
        <v>Program</v>
      </c>
      <c r="L80" s="26" t="s">
        <v>847</v>
      </c>
      <c r="M80" s="13" t="s">
        <v>1825</v>
      </c>
      <c r="N80" s="13" t="s">
        <v>1859</v>
      </c>
      <c r="O80" s="13" t="s">
        <v>273</v>
      </c>
      <c r="P80" s="13" t="s">
        <v>273</v>
      </c>
      <c r="Q80" s="22">
        <v>1</v>
      </c>
      <c r="R80" s="23">
        <v>236073</v>
      </c>
      <c r="S80" s="21"/>
      <c r="T80" s="21"/>
      <c r="U80" s="21" t="s">
        <v>24</v>
      </c>
      <c r="V80" s="24"/>
      <c r="W80" s="24" t="s">
        <v>848</v>
      </c>
      <c r="X80" s="24"/>
      <c r="Y80" s="17" t="s">
        <v>843</v>
      </c>
      <c r="Z80" s="18">
        <f>ROUND(R80*'Data-CostAssumptions'!$C$3,-3)</f>
        <v>327000</v>
      </c>
      <c r="AA80" s="11">
        <f t="shared" si="3"/>
        <v>1</v>
      </c>
      <c r="AB80" s="11">
        <v>2041</v>
      </c>
      <c r="AC80" s="11">
        <v>2041</v>
      </c>
      <c r="AD80" s="11">
        <v>2041</v>
      </c>
      <c r="AE80" s="11">
        <v>2041</v>
      </c>
      <c r="AF80" s="11">
        <v>0</v>
      </c>
      <c r="AG80" s="19">
        <f>ROUND((Z80*'Data-CostAssumptions'!$G$5)*(1+'Data-CostAssumptions'!$G$3)^(AC80-'Data-CostAssumptions'!$G$4),-3)</f>
        <v>184000</v>
      </c>
      <c r="AH80" s="19">
        <f>ROUND((Z80)*(1+'Data-CostAssumptions'!$G$3)^(AE80-'Data-CostAssumptions'!$G$4),-3)</f>
        <v>838000</v>
      </c>
    </row>
    <row r="81" spans="1:34" ht="15" customHeight="1" x14ac:dyDescent="0.2">
      <c r="A81" s="11"/>
      <c r="B81" s="11" t="s">
        <v>1211</v>
      </c>
      <c r="C81" s="13">
        <v>702</v>
      </c>
      <c r="D81" s="13" t="s">
        <v>420</v>
      </c>
      <c r="E81" s="20">
        <v>129</v>
      </c>
      <c r="F81" s="20">
        <v>181</v>
      </c>
      <c r="G81" s="20">
        <v>80</v>
      </c>
      <c r="H81" s="13" t="s">
        <v>2127</v>
      </c>
      <c r="I81" s="13" t="str">
        <f t="shared" si="2"/>
        <v>SW 4th Av (Davie Bl to Broward Bl)</v>
      </c>
      <c r="J81" s="13" t="s">
        <v>29</v>
      </c>
      <c r="K81" s="13" t="str">
        <f>VLOOKUP(J81,'Data-ProjectTypes'!A$3:B$13,2,FALSE)</f>
        <v>Program</v>
      </c>
      <c r="L81" s="21" t="s">
        <v>348</v>
      </c>
      <c r="M81" s="13" t="s">
        <v>1816</v>
      </c>
      <c r="N81" s="13" t="s">
        <v>1811</v>
      </c>
      <c r="O81" s="13" t="s">
        <v>273</v>
      </c>
      <c r="P81" s="13" t="s">
        <v>273</v>
      </c>
      <c r="Q81" s="22">
        <v>1.1000000000000001</v>
      </c>
      <c r="R81" s="23">
        <v>254758</v>
      </c>
      <c r="S81" s="21"/>
      <c r="T81" s="21"/>
      <c r="U81" s="21"/>
      <c r="V81" s="24"/>
      <c r="W81" s="24"/>
      <c r="X81" s="24"/>
      <c r="Y81" s="17"/>
      <c r="Z81" s="18">
        <f>ROUND(R81*'Data-CostAssumptions'!$C$3,-3)</f>
        <v>353000</v>
      </c>
      <c r="AA81" s="11">
        <f t="shared" si="3"/>
        <v>0</v>
      </c>
      <c r="AB81" s="11">
        <v>2041</v>
      </c>
      <c r="AC81" s="11">
        <v>2041</v>
      </c>
      <c r="AD81" s="11">
        <v>2041</v>
      </c>
      <c r="AE81" s="11">
        <v>2041</v>
      </c>
      <c r="AF81" s="11">
        <v>0</v>
      </c>
      <c r="AG81" s="19">
        <f>ROUND((Z81*'Data-CostAssumptions'!$G$5)*(1+'Data-CostAssumptions'!$G$3)^(AC81-'Data-CostAssumptions'!$G$4),-3)</f>
        <v>199000</v>
      </c>
      <c r="AH81" s="19">
        <f>ROUND((Z81)*(1+'Data-CostAssumptions'!$G$3)^(AE81-'Data-CostAssumptions'!$G$4),-3)</f>
        <v>905000</v>
      </c>
    </row>
    <row r="82" spans="1:34" ht="15" customHeight="1" x14ac:dyDescent="0.2">
      <c r="A82" s="11"/>
      <c r="B82" s="11" t="s">
        <v>1211</v>
      </c>
      <c r="C82" s="13">
        <v>703</v>
      </c>
      <c r="D82" s="13" t="s">
        <v>420</v>
      </c>
      <c r="E82" s="20">
        <v>145</v>
      </c>
      <c r="F82" s="20">
        <v>181</v>
      </c>
      <c r="G82" s="20">
        <v>81</v>
      </c>
      <c r="H82" s="13" t="s">
        <v>57</v>
      </c>
      <c r="I82" s="13" t="str">
        <f t="shared" si="2"/>
        <v>SR 7/US 441 (Sunrise Bl to NW 29th St)</v>
      </c>
      <c r="J82" s="13" t="s">
        <v>29</v>
      </c>
      <c r="K82" s="13" t="str">
        <f>VLOOKUP(J82,'Data-ProjectTypes'!A$3:B$13,2,FALSE)</f>
        <v>Program</v>
      </c>
      <c r="L82" s="21" t="s">
        <v>348</v>
      </c>
      <c r="M82" s="13" t="s">
        <v>1830</v>
      </c>
      <c r="N82" s="13" t="s">
        <v>2564</v>
      </c>
      <c r="O82" s="13" t="s">
        <v>270</v>
      </c>
      <c r="P82" s="13" t="s">
        <v>270</v>
      </c>
      <c r="Q82" s="22">
        <v>1.8</v>
      </c>
      <c r="R82" s="23">
        <v>411420</v>
      </c>
      <c r="S82" s="21"/>
      <c r="T82" s="21"/>
      <c r="U82" s="21"/>
      <c r="V82" s="24"/>
      <c r="W82" s="24"/>
      <c r="X82" s="24"/>
      <c r="Y82" s="17"/>
      <c r="Z82" s="18">
        <f>ROUND(R82*'Data-CostAssumptions'!$C$3,-3)</f>
        <v>569000</v>
      </c>
      <c r="AA82" s="11">
        <f t="shared" si="3"/>
        <v>0</v>
      </c>
      <c r="AB82" s="11">
        <v>2041</v>
      </c>
      <c r="AC82" s="11">
        <v>2041</v>
      </c>
      <c r="AD82" s="11">
        <v>2041</v>
      </c>
      <c r="AE82" s="11">
        <v>2041</v>
      </c>
      <c r="AF82" s="11">
        <v>0</v>
      </c>
      <c r="AG82" s="19">
        <f>ROUND((Z82*'Data-CostAssumptions'!$G$5)*(1+'Data-CostAssumptions'!$G$3)^(AC82-'Data-CostAssumptions'!$G$4),-3)</f>
        <v>321000</v>
      </c>
      <c r="AH82" s="19">
        <f>ROUND((Z82)*(1+'Data-CostAssumptions'!$G$3)^(AE82-'Data-CostAssumptions'!$G$4),-3)</f>
        <v>1459000</v>
      </c>
    </row>
    <row r="83" spans="1:34" ht="15" customHeight="1" x14ac:dyDescent="0.2">
      <c r="A83" s="11"/>
      <c r="B83" s="11" t="s">
        <v>1211</v>
      </c>
      <c r="C83" s="13">
        <v>704</v>
      </c>
      <c r="D83" s="13" t="s">
        <v>420</v>
      </c>
      <c r="E83" s="20">
        <v>151</v>
      </c>
      <c r="F83" s="20">
        <v>181</v>
      </c>
      <c r="G83" s="20">
        <v>82</v>
      </c>
      <c r="H83" s="13" t="s">
        <v>1911</v>
      </c>
      <c r="I83" s="13" t="str">
        <f t="shared" si="2"/>
        <v>NW 19th St (NW 21st Av/NW 23rd Av to State Rd 7)</v>
      </c>
      <c r="J83" s="13" t="s">
        <v>29</v>
      </c>
      <c r="K83" s="13" t="str">
        <f>VLOOKUP(J83,'Data-ProjectTypes'!A$3:B$13,2,FALSE)</f>
        <v>Program</v>
      </c>
      <c r="L83" s="21" t="s">
        <v>348</v>
      </c>
      <c r="M83" s="13" t="s">
        <v>2058</v>
      </c>
      <c r="N83" s="13" t="s">
        <v>1772</v>
      </c>
      <c r="O83" s="13" t="s">
        <v>273</v>
      </c>
      <c r="P83" s="13" t="s">
        <v>273</v>
      </c>
      <c r="Q83" s="22">
        <v>2</v>
      </c>
      <c r="R83" s="23">
        <v>464863</v>
      </c>
      <c r="S83" s="21"/>
      <c r="T83" s="21"/>
      <c r="U83" s="21"/>
      <c r="V83" s="24"/>
      <c r="W83" s="24"/>
      <c r="X83" s="24"/>
      <c r="Y83" s="17"/>
      <c r="Z83" s="18">
        <f>ROUND(R83*'Data-CostAssumptions'!$C$3,-3)</f>
        <v>643000</v>
      </c>
      <c r="AA83" s="11">
        <f t="shared" si="3"/>
        <v>0</v>
      </c>
      <c r="AB83" s="11">
        <v>2041</v>
      </c>
      <c r="AC83" s="11">
        <v>2041</v>
      </c>
      <c r="AD83" s="11">
        <v>2041</v>
      </c>
      <c r="AE83" s="11">
        <v>2041</v>
      </c>
      <c r="AF83" s="11">
        <v>0</v>
      </c>
      <c r="AG83" s="19">
        <f>ROUND((Z83*'Data-CostAssumptions'!$G$5)*(1+'Data-CostAssumptions'!$G$3)^(AC83-'Data-CostAssumptions'!$G$4),-3)</f>
        <v>363000</v>
      </c>
      <c r="AH83" s="19">
        <f>ROUND((Z83)*(1+'Data-CostAssumptions'!$G$3)^(AE83-'Data-CostAssumptions'!$G$4),-3)</f>
        <v>1649000</v>
      </c>
    </row>
    <row r="84" spans="1:34" ht="15" customHeight="1" x14ac:dyDescent="0.2">
      <c r="A84" s="11"/>
      <c r="B84" s="11" t="s">
        <v>1211</v>
      </c>
      <c r="C84" s="13">
        <v>705</v>
      </c>
      <c r="D84" s="13" t="s">
        <v>420</v>
      </c>
      <c r="E84" s="20">
        <v>156</v>
      </c>
      <c r="F84" s="20">
        <v>181</v>
      </c>
      <c r="G84" s="20">
        <v>83</v>
      </c>
      <c r="H84" s="13" t="s">
        <v>2728</v>
      </c>
      <c r="I84" s="13" t="str">
        <f t="shared" si="2"/>
        <v>SR 838/Sunrise Bl (Eastern Florida's Turnpike ramp to NW 65th Av)</v>
      </c>
      <c r="J84" s="13" t="s">
        <v>29</v>
      </c>
      <c r="K84" s="13" t="str">
        <f>VLOOKUP(J84,'Data-ProjectTypes'!A$3:B$13,2,FALSE)</f>
        <v>Program</v>
      </c>
      <c r="L84" s="21" t="s">
        <v>348</v>
      </c>
      <c r="M84" s="13" t="s">
        <v>89</v>
      </c>
      <c r="N84" s="13" t="s">
        <v>2245</v>
      </c>
      <c r="O84" s="13" t="s">
        <v>270</v>
      </c>
      <c r="P84" s="13" t="s">
        <v>270</v>
      </c>
      <c r="Q84" s="22">
        <v>1.2</v>
      </c>
      <c r="R84" s="23">
        <v>273052</v>
      </c>
      <c r="S84" s="21"/>
      <c r="T84" s="21"/>
      <c r="U84" s="21"/>
      <c r="V84" s="24"/>
      <c r="W84" s="24"/>
      <c r="X84" s="24"/>
      <c r="Y84" s="17"/>
      <c r="Z84" s="18">
        <f>ROUND(R84*'Data-CostAssumptions'!$C$3,-3)</f>
        <v>378000</v>
      </c>
      <c r="AA84" s="11">
        <f t="shared" si="3"/>
        <v>0</v>
      </c>
      <c r="AB84" s="11">
        <v>2041</v>
      </c>
      <c r="AC84" s="11">
        <v>2041</v>
      </c>
      <c r="AD84" s="11">
        <v>2041</v>
      </c>
      <c r="AE84" s="11">
        <v>2041</v>
      </c>
      <c r="AF84" s="11">
        <v>0</v>
      </c>
      <c r="AG84" s="19">
        <f>ROUND((Z84*'Data-CostAssumptions'!$G$5)*(1+'Data-CostAssumptions'!$G$3)^(AC84-'Data-CostAssumptions'!$G$4),-3)</f>
        <v>213000</v>
      </c>
      <c r="AH84" s="19">
        <f>ROUND((Z84)*(1+'Data-CostAssumptions'!$G$3)^(AE84-'Data-CostAssumptions'!$G$4),-3)</f>
        <v>969000</v>
      </c>
    </row>
    <row r="85" spans="1:34" ht="15" customHeight="1" x14ac:dyDescent="0.2">
      <c r="A85" s="11"/>
      <c r="B85" s="11" t="s">
        <v>1211</v>
      </c>
      <c r="C85" s="13">
        <v>706</v>
      </c>
      <c r="D85" s="13" t="s">
        <v>420</v>
      </c>
      <c r="E85" s="20">
        <v>159</v>
      </c>
      <c r="F85" s="20">
        <v>181</v>
      </c>
      <c r="G85" s="20">
        <v>84</v>
      </c>
      <c r="H85" s="13" t="s">
        <v>2798</v>
      </c>
      <c r="I85" s="13" t="str">
        <f t="shared" si="2"/>
        <v>SR 842/Broward Bl (State Rd 7 to NW 70th Av)</v>
      </c>
      <c r="J85" s="13" t="s">
        <v>29</v>
      </c>
      <c r="K85" s="13" t="str">
        <f>VLOOKUP(J85,'Data-ProjectTypes'!A$3:B$13,2,FALSE)</f>
        <v>Program</v>
      </c>
      <c r="L85" s="21" t="s">
        <v>348</v>
      </c>
      <c r="M85" s="13" t="s">
        <v>1772</v>
      </c>
      <c r="N85" s="13" t="s">
        <v>2078</v>
      </c>
      <c r="O85" s="13" t="s">
        <v>270</v>
      </c>
      <c r="P85" s="13" t="s">
        <v>270</v>
      </c>
      <c r="Q85" s="22">
        <v>2.4</v>
      </c>
      <c r="R85" s="23">
        <v>567016</v>
      </c>
      <c r="S85" s="21"/>
      <c r="T85" s="21"/>
      <c r="U85" s="21"/>
      <c r="V85" s="24"/>
      <c r="W85" s="24"/>
      <c r="X85" s="24"/>
      <c r="Y85" s="17"/>
      <c r="Z85" s="18">
        <f>ROUND(R85*'Data-CostAssumptions'!$C$3,-3)</f>
        <v>785000</v>
      </c>
      <c r="AA85" s="11">
        <f t="shared" si="3"/>
        <v>0</v>
      </c>
      <c r="AB85" s="11">
        <v>2041</v>
      </c>
      <c r="AC85" s="11">
        <v>2041</v>
      </c>
      <c r="AD85" s="11">
        <v>2041</v>
      </c>
      <c r="AE85" s="11">
        <v>2041</v>
      </c>
      <c r="AF85" s="11">
        <v>0</v>
      </c>
      <c r="AG85" s="19">
        <f>ROUND((Z85*'Data-CostAssumptions'!$G$5)*(1+'Data-CostAssumptions'!$G$3)^(AC85-'Data-CostAssumptions'!$G$4),-3)</f>
        <v>443000</v>
      </c>
      <c r="AH85" s="19">
        <f>ROUND((Z85)*(1+'Data-CostAssumptions'!$G$3)^(AE85-'Data-CostAssumptions'!$G$4),-3)</f>
        <v>2013000</v>
      </c>
    </row>
    <row r="86" spans="1:34" ht="15" customHeight="1" x14ac:dyDescent="0.2">
      <c r="A86" s="11"/>
      <c r="B86" s="11" t="s">
        <v>1211</v>
      </c>
      <c r="C86" s="13">
        <v>707</v>
      </c>
      <c r="D86" s="13" t="s">
        <v>420</v>
      </c>
      <c r="E86" s="20">
        <v>169</v>
      </c>
      <c r="F86" s="20">
        <v>181</v>
      </c>
      <c r="G86" s="20">
        <v>85</v>
      </c>
      <c r="H86" s="13" t="s">
        <v>81</v>
      </c>
      <c r="I86" s="13" t="str">
        <f t="shared" si="2"/>
        <v>Sunset Strip (NW 64th Av to Nob Hill Rd)</v>
      </c>
      <c r="J86" s="13" t="s">
        <v>29</v>
      </c>
      <c r="K86" s="13" t="str">
        <f>VLOOKUP(J86,'Data-ProjectTypes'!A$3:B$13,2,FALSE)</f>
        <v>Program</v>
      </c>
      <c r="L86" s="21" t="s">
        <v>348</v>
      </c>
      <c r="M86" s="13" t="s">
        <v>2225</v>
      </c>
      <c r="N86" s="13" t="s">
        <v>1755</v>
      </c>
      <c r="O86" s="13" t="s">
        <v>278</v>
      </c>
      <c r="P86" s="13" t="s">
        <v>278</v>
      </c>
      <c r="Q86" s="22">
        <v>3</v>
      </c>
      <c r="R86" s="23">
        <v>693378</v>
      </c>
      <c r="S86" s="21" t="s">
        <v>24</v>
      </c>
      <c r="T86" s="21" t="s">
        <v>684</v>
      </c>
      <c r="U86" s="21" t="s">
        <v>684</v>
      </c>
      <c r="V86" s="24"/>
      <c r="W86" s="24" t="s">
        <v>814</v>
      </c>
      <c r="X86" s="24" t="s">
        <v>813</v>
      </c>
      <c r="Y86" s="17" t="s">
        <v>806</v>
      </c>
      <c r="Z86" s="18">
        <f>ROUND(R86*'Data-CostAssumptions'!$C$3,-3)</f>
        <v>960000</v>
      </c>
      <c r="AA86" s="11">
        <f t="shared" si="3"/>
        <v>1</v>
      </c>
      <c r="AB86" s="11">
        <v>2041</v>
      </c>
      <c r="AC86" s="11">
        <v>2041</v>
      </c>
      <c r="AD86" s="11">
        <v>2041</v>
      </c>
      <c r="AE86" s="11">
        <v>2041</v>
      </c>
      <c r="AF86" s="11">
        <v>0</v>
      </c>
      <c r="AG86" s="19">
        <f>ROUND((Z86*'Data-CostAssumptions'!$G$5)*(1+'Data-CostAssumptions'!$G$3)^(AC86-'Data-CostAssumptions'!$G$4),-3)</f>
        <v>542000</v>
      </c>
      <c r="AH86" s="19">
        <f>ROUND((Z86)*(1+'Data-CostAssumptions'!$G$3)^(AE86-'Data-CostAssumptions'!$G$4),-3)</f>
        <v>2461000</v>
      </c>
    </row>
    <row r="87" spans="1:34" ht="15" customHeight="1" x14ac:dyDescent="0.2">
      <c r="A87" s="11"/>
      <c r="B87" s="11" t="s">
        <v>1211</v>
      </c>
      <c r="C87" s="13">
        <v>708</v>
      </c>
      <c r="D87" s="13" t="s">
        <v>420</v>
      </c>
      <c r="E87" s="20">
        <v>173</v>
      </c>
      <c r="F87" s="20">
        <v>181</v>
      </c>
      <c r="G87" s="20">
        <v>86</v>
      </c>
      <c r="H87" s="13" t="s">
        <v>2120</v>
      </c>
      <c r="I87" s="13" t="str">
        <f t="shared" si="2"/>
        <v>SW 31st Av (Riverland Rd to Jackson Bl)</v>
      </c>
      <c r="J87" s="13" t="s">
        <v>29</v>
      </c>
      <c r="K87" s="13" t="str">
        <f>VLOOKUP(J87,'Data-ProjectTypes'!A$3:B$13,2,FALSE)</f>
        <v>Program</v>
      </c>
      <c r="L87" s="21" t="s">
        <v>348</v>
      </c>
      <c r="M87" s="13" t="s">
        <v>1767</v>
      </c>
      <c r="N87" s="13" t="s">
        <v>2289</v>
      </c>
      <c r="O87" s="13" t="s">
        <v>276</v>
      </c>
      <c r="P87" s="13" t="s">
        <v>276</v>
      </c>
      <c r="Q87" s="22">
        <v>1</v>
      </c>
      <c r="R87" s="23">
        <v>225839</v>
      </c>
      <c r="S87" s="21"/>
      <c r="T87" s="21"/>
      <c r="U87" s="21"/>
      <c r="V87" s="24"/>
      <c r="W87" s="24"/>
      <c r="X87" s="24"/>
      <c r="Y87" s="17"/>
      <c r="Z87" s="18">
        <f>ROUND(R87*'Data-CostAssumptions'!$C$3,-3)</f>
        <v>313000</v>
      </c>
      <c r="AA87" s="11">
        <f t="shared" si="3"/>
        <v>0</v>
      </c>
      <c r="AB87" s="11">
        <v>2041</v>
      </c>
      <c r="AC87" s="11">
        <v>2041</v>
      </c>
      <c r="AD87" s="11">
        <v>2041</v>
      </c>
      <c r="AE87" s="11">
        <v>2041</v>
      </c>
      <c r="AF87" s="11">
        <v>0</v>
      </c>
      <c r="AG87" s="19">
        <f>ROUND((Z87*'Data-CostAssumptions'!$G$5)*(1+'Data-CostAssumptions'!$G$3)^(AC87-'Data-CostAssumptions'!$G$4),-3)</f>
        <v>177000</v>
      </c>
      <c r="AH87" s="19">
        <f>ROUND((Z87)*(1+'Data-CostAssumptions'!$G$3)^(AE87-'Data-CostAssumptions'!$G$4),-3)</f>
        <v>803000</v>
      </c>
    </row>
    <row r="88" spans="1:34" ht="15" customHeight="1" x14ac:dyDescent="0.2">
      <c r="A88" s="11"/>
      <c r="B88" s="11" t="s">
        <v>1211</v>
      </c>
      <c r="C88" s="13">
        <v>709</v>
      </c>
      <c r="D88" s="13" t="s">
        <v>420</v>
      </c>
      <c r="E88" s="20">
        <v>175</v>
      </c>
      <c r="F88" s="20">
        <v>181</v>
      </c>
      <c r="G88" s="20">
        <v>87</v>
      </c>
      <c r="H88" s="13" t="s">
        <v>266</v>
      </c>
      <c r="I88" s="13" t="str">
        <f t="shared" si="2"/>
        <v>Pine Island Rd (Griffin Rd to State Rd 84)</v>
      </c>
      <c r="J88" s="13" t="s">
        <v>29</v>
      </c>
      <c r="K88" s="13" t="str">
        <f>VLOOKUP(J88,'Data-ProjectTypes'!A$3:B$13,2,FALSE)</f>
        <v>Program</v>
      </c>
      <c r="L88" s="21" t="s">
        <v>348</v>
      </c>
      <c r="M88" s="13" t="s">
        <v>1750</v>
      </c>
      <c r="N88" s="13" t="s">
        <v>1774</v>
      </c>
      <c r="O88" s="13" t="s">
        <v>273</v>
      </c>
      <c r="P88" s="13" t="s">
        <v>273</v>
      </c>
      <c r="Q88" s="22">
        <v>2.7</v>
      </c>
      <c r="R88" s="23">
        <v>629958</v>
      </c>
      <c r="S88" s="21" t="s">
        <v>24</v>
      </c>
      <c r="T88" s="21" t="s">
        <v>25</v>
      </c>
      <c r="U88" s="21"/>
      <c r="V88" s="24"/>
      <c r="W88" s="24"/>
      <c r="X88" s="24"/>
      <c r="Y88" s="17" t="s">
        <v>469</v>
      </c>
      <c r="Z88" s="18">
        <f>ROUND(R88*'Data-CostAssumptions'!$C$3,-3)</f>
        <v>872000</v>
      </c>
      <c r="AA88" s="11">
        <f t="shared" si="3"/>
        <v>0</v>
      </c>
      <c r="AB88" s="11">
        <v>2041</v>
      </c>
      <c r="AC88" s="11">
        <v>2041</v>
      </c>
      <c r="AD88" s="11">
        <v>2041</v>
      </c>
      <c r="AE88" s="11">
        <v>2041</v>
      </c>
      <c r="AF88" s="11">
        <v>0</v>
      </c>
      <c r="AG88" s="19">
        <f>ROUND((Z88*'Data-CostAssumptions'!$G$5)*(1+'Data-CostAssumptions'!$G$3)^(AC88-'Data-CostAssumptions'!$G$4),-3)</f>
        <v>492000</v>
      </c>
      <c r="AH88" s="19">
        <f>ROUND((Z88)*(1+'Data-CostAssumptions'!$G$3)^(AE88-'Data-CostAssumptions'!$G$4),-3)</f>
        <v>2236000</v>
      </c>
    </row>
    <row r="89" spans="1:34" ht="15" customHeight="1" x14ac:dyDescent="0.2">
      <c r="A89" s="11"/>
      <c r="B89" s="11" t="s">
        <v>1211</v>
      </c>
      <c r="C89" s="13">
        <v>710</v>
      </c>
      <c r="D89" s="13" t="s">
        <v>420</v>
      </c>
      <c r="E89" s="20">
        <v>180</v>
      </c>
      <c r="F89" s="20">
        <v>182</v>
      </c>
      <c r="G89" s="20">
        <v>88</v>
      </c>
      <c r="H89" s="13" t="s">
        <v>184</v>
      </c>
      <c r="I89" s="13" t="str">
        <f t="shared" si="2"/>
        <v>Orange Dr (Davie Rd to University Dr)</v>
      </c>
      <c r="J89" s="13" t="s">
        <v>29</v>
      </c>
      <c r="K89" s="13" t="str">
        <f>VLOOKUP(J89,'Data-ProjectTypes'!A$3:B$13,2,FALSE)</f>
        <v>Program</v>
      </c>
      <c r="L89" s="21" t="s">
        <v>348</v>
      </c>
      <c r="M89" s="13" t="s">
        <v>1845</v>
      </c>
      <c r="N89" s="13" t="s">
        <v>1804</v>
      </c>
      <c r="O89" s="13" t="s">
        <v>279</v>
      </c>
      <c r="P89" s="13" t="s">
        <v>279</v>
      </c>
      <c r="Q89" s="22">
        <v>1.2</v>
      </c>
      <c r="R89" s="23">
        <v>289909</v>
      </c>
      <c r="S89" s="21" t="s">
        <v>24</v>
      </c>
      <c r="T89" s="21" t="s">
        <v>25</v>
      </c>
      <c r="U89" s="21"/>
      <c r="V89" s="24"/>
      <c r="W89" s="24"/>
      <c r="X89" s="28"/>
      <c r="Y89" s="17" t="s">
        <v>469</v>
      </c>
      <c r="Z89" s="18">
        <f>ROUND(R89*'Data-CostAssumptions'!$C$3,-3)</f>
        <v>401000</v>
      </c>
      <c r="AA89" s="11">
        <f t="shared" si="3"/>
        <v>0</v>
      </c>
      <c r="AB89" s="11">
        <v>2041</v>
      </c>
      <c r="AC89" s="11">
        <v>2041</v>
      </c>
      <c r="AD89" s="11">
        <v>2041</v>
      </c>
      <c r="AE89" s="11">
        <v>2041</v>
      </c>
      <c r="AF89" s="11">
        <v>0</v>
      </c>
      <c r="AG89" s="19">
        <f>ROUND((Z89*'Data-CostAssumptions'!$G$5)*(1+'Data-CostAssumptions'!$G$3)^(AC89-'Data-CostAssumptions'!$G$4),-3)</f>
        <v>226000</v>
      </c>
      <c r="AH89" s="19">
        <f>ROUND((Z89)*(1+'Data-CostAssumptions'!$G$3)^(AE89-'Data-CostAssumptions'!$G$4),-3)</f>
        <v>1028000</v>
      </c>
    </row>
    <row r="90" spans="1:34" ht="15" customHeight="1" x14ac:dyDescent="0.2">
      <c r="A90" s="11"/>
      <c r="B90" s="11" t="s">
        <v>1211</v>
      </c>
      <c r="C90" s="13">
        <v>711</v>
      </c>
      <c r="D90" s="13" t="s">
        <v>420</v>
      </c>
      <c r="E90" s="20">
        <v>182</v>
      </c>
      <c r="F90" s="20">
        <v>182</v>
      </c>
      <c r="G90" s="20">
        <v>89</v>
      </c>
      <c r="H90" s="13" t="s">
        <v>2709</v>
      </c>
      <c r="I90" s="13" t="str">
        <f t="shared" si="2"/>
        <v>SR 817/University Dr (Griffin Rd to Orange Dr)</v>
      </c>
      <c r="J90" s="13" t="s">
        <v>29</v>
      </c>
      <c r="K90" s="13" t="str">
        <f>VLOOKUP(J90,'Data-ProjectTypes'!A$3:B$13,2,FALSE)</f>
        <v>Program</v>
      </c>
      <c r="L90" s="21" t="s">
        <v>348</v>
      </c>
      <c r="M90" s="13" t="s">
        <v>1750</v>
      </c>
      <c r="N90" s="13" t="s">
        <v>184</v>
      </c>
      <c r="O90" s="13" t="s">
        <v>279</v>
      </c>
      <c r="P90" s="13" t="s">
        <v>279</v>
      </c>
      <c r="Q90" s="22">
        <v>0</v>
      </c>
      <c r="R90" s="23">
        <v>10075</v>
      </c>
      <c r="S90" s="21" t="s">
        <v>24</v>
      </c>
      <c r="T90" s="21" t="s">
        <v>25</v>
      </c>
      <c r="U90" s="21"/>
      <c r="V90" s="24"/>
      <c r="W90" s="24"/>
      <c r="X90" s="24"/>
      <c r="Y90" s="17" t="s">
        <v>469</v>
      </c>
      <c r="Z90" s="18">
        <f>ROUND(R90*'Data-CostAssumptions'!$C$3,-3)</f>
        <v>14000</v>
      </c>
      <c r="AA90" s="11">
        <f t="shared" si="3"/>
        <v>0</v>
      </c>
      <c r="AB90" s="11">
        <v>2041</v>
      </c>
      <c r="AC90" s="11">
        <v>2041</v>
      </c>
      <c r="AD90" s="11">
        <v>2041</v>
      </c>
      <c r="AE90" s="11">
        <v>2041</v>
      </c>
      <c r="AF90" s="11">
        <v>0</v>
      </c>
      <c r="AG90" s="19">
        <f>ROUND((Z90*'Data-CostAssumptions'!$G$5)*(1+'Data-CostAssumptions'!$G$3)^(AC90-'Data-CostAssumptions'!$G$4),-3)</f>
        <v>8000</v>
      </c>
      <c r="AH90" s="19">
        <f>ROUND((Z90)*(1+'Data-CostAssumptions'!$G$3)^(AE90-'Data-CostAssumptions'!$G$4),-3)</f>
        <v>36000</v>
      </c>
    </row>
    <row r="91" spans="1:34" ht="15" customHeight="1" x14ac:dyDescent="0.2">
      <c r="A91" s="11"/>
      <c r="B91" s="11" t="s">
        <v>1211</v>
      </c>
      <c r="C91" s="13">
        <v>712</v>
      </c>
      <c r="D91" s="13" t="s">
        <v>420</v>
      </c>
      <c r="E91" s="20">
        <v>183</v>
      </c>
      <c r="F91" s="20">
        <v>182</v>
      </c>
      <c r="G91" s="20">
        <v>90</v>
      </c>
      <c r="H91" s="13" t="s">
        <v>2038</v>
      </c>
      <c r="I91" s="13" t="str">
        <f t="shared" si="2"/>
        <v>North 14th Av (Johnson St to Sheridan St)</v>
      </c>
      <c r="J91" s="13" t="s">
        <v>29</v>
      </c>
      <c r="K91" s="13" t="str">
        <f>VLOOKUP(J91,'Data-ProjectTypes'!A$3:B$13,2,FALSE)</f>
        <v>Program</v>
      </c>
      <c r="L91" s="21" t="s">
        <v>562</v>
      </c>
      <c r="M91" s="13" t="s">
        <v>1880</v>
      </c>
      <c r="N91" s="13" t="s">
        <v>1951</v>
      </c>
      <c r="O91" s="13" t="s">
        <v>272</v>
      </c>
      <c r="P91" s="13" t="s">
        <v>272</v>
      </c>
      <c r="Q91" s="22">
        <v>1.1000000000000001</v>
      </c>
      <c r="R91" s="23">
        <v>261493</v>
      </c>
      <c r="S91" s="12" t="s">
        <v>24</v>
      </c>
      <c r="T91" s="21" t="s">
        <v>25</v>
      </c>
      <c r="U91" s="21" t="s">
        <v>24</v>
      </c>
      <c r="V91" s="24" t="s">
        <v>561</v>
      </c>
      <c r="W91" s="24"/>
      <c r="X91" s="28"/>
      <c r="Y91" s="17" t="s">
        <v>538</v>
      </c>
      <c r="Z91" s="18">
        <f>ROUND(R91*'Data-CostAssumptions'!$C$3,-3)</f>
        <v>362000</v>
      </c>
      <c r="AA91" s="11">
        <f t="shared" si="3"/>
        <v>1</v>
      </c>
      <c r="AB91" s="11">
        <v>2041</v>
      </c>
      <c r="AC91" s="11">
        <v>2041</v>
      </c>
      <c r="AD91" s="11">
        <v>2041</v>
      </c>
      <c r="AE91" s="11">
        <v>2041</v>
      </c>
      <c r="AF91" s="11">
        <v>0</v>
      </c>
      <c r="AG91" s="19">
        <f>ROUND((Z91*'Data-CostAssumptions'!$G$5)*(1+'Data-CostAssumptions'!$G$3)^(AC91-'Data-CostAssumptions'!$G$4),-3)</f>
        <v>204000</v>
      </c>
      <c r="AH91" s="19">
        <f>ROUND((Z91)*(1+'Data-CostAssumptions'!$G$3)^(AE91-'Data-CostAssumptions'!$G$4),-3)</f>
        <v>928000</v>
      </c>
    </row>
    <row r="92" spans="1:34" ht="15" customHeight="1" x14ac:dyDescent="0.2">
      <c r="A92" s="11"/>
      <c r="B92" s="11" t="s">
        <v>1211</v>
      </c>
      <c r="C92" s="13">
        <v>713</v>
      </c>
      <c r="D92" s="13" t="s">
        <v>420</v>
      </c>
      <c r="E92" s="20">
        <v>184</v>
      </c>
      <c r="F92" s="20">
        <v>182</v>
      </c>
      <c r="G92" s="20">
        <v>91</v>
      </c>
      <c r="H92" s="13" t="s">
        <v>2038</v>
      </c>
      <c r="I92" s="13" t="str">
        <f t="shared" si="2"/>
        <v>North 14th Av (Washington St to Johnson St)</v>
      </c>
      <c r="J92" s="13" t="s">
        <v>29</v>
      </c>
      <c r="K92" s="13" t="str">
        <f>VLOOKUP(J92,'Data-ProjectTypes'!A$3:B$13,2,FALSE)</f>
        <v>Program</v>
      </c>
      <c r="L92" s="21" t="s">
        <v>562</v>
      </c>
      <c r="M92" s="13" t="s">
        <v>1971</v>
      </c>
      <c r="N92" s="13" t="s">
        <v>1880</v>
      </c>
      <c r="O92" s="13" t="s">
        <v>282</v>
      </c>
      <c r="P92" s="13" t="s">
        <v>282</v>
      </c>
      <c r="Q92" s="22">
        <v>1.1000000000000001</v>
      </c>
      <c r="R92" s="23">
        <v>249939</v>
      </c>
      <c r="S92" s="12" t="s">
        <v>24</v>
      </c>
      <c r="T92" s="21" t="s">
        <v>25</v>
      </c>
      <c r="U92" s="21" t="s">
        <v>24</v>
      </c>
      <c r="V92" s="24" t="s">
        <v>561</v>
      </c>
      <c r="W92" s="24"/>
      <c r="X92" s="24"/>
      <c r="Y92" s="17" t="s">
        <v>538</v>
      </c>
      <c r="Z92" s="18">
        <f>ROUND(R92*'Data-CostAssumptions'!$C$3,-3)</f>
        <v>346000</v>
      </c>
      <c r="AA92" s="11">
        <f t="shared" si="3"/>
        <v>1</v>
      </c>
      <c r="AB92" s="11">
        <v>2041</v>
      </c>
      <c r="AC92" s="11">
        <v>2041</v>
      </c>
      <c r="AD92" s="11">
        <v>2041</v>
      </c>
      <c r="AE92" s="11">
        <v>2041</v>
      </c>
      <c r="AF92" s="11">
        <v>0</v>
      </c>
      <c r="AG92" s="19">
        <f>ROUND((Z92*'Data-CostAssumptions'!$G$5)*(1+'Data-CostAssumptions'!$G$3)^(AC92-'Data-CostAssumptions'!$G$4),-3)</f>
        <v>195000</v>
      </c>
      <c r="AH92" s="19">
        <f>ROUND((Z92)*(1+'Data-CostAssumptions'!$G$3)^(AE92-'Data-CostAssumptions'!$G$4),-3)</f>
        <v>887000</v>
      </c>
    </row>
    <row r="93" spans="1:34" ht="15" customHeight="1" x14ac:dyDescent="0.2">
      <c r="A93" s="11"/>
      <c r="B93" s="11" t="s">
        <v>1211</v>
      </c>
      <c r="C93" s="13">
        <v>714</v>
      </c>
      <c r="D93" s="13" t="s">
        <v>420</v>
      </c>
      <c r="E93" s="20">
        <v>186</v>
      </c>
      <c r="F93" s="20">
        <v>182</v>
      </c>
      <c r="G93" s="20">
        <v>92</v>
      </c>
      <c r="H93" s="13" t="s">
        <v>1971</v>
      </c>
      <c r="I93" s="13" t="str">
        <f t="shared" si="2"/>
        <v>Washington St (South 14th Av to Dixie Hwy)</v>
      </c>
      <c r="J93" s="13" t="s">
        <v>29</v>
      </c>
      <c r="K93" s="13" t="str">
        <f>VLOOKUP(J93,'Data-ProjectTypes'!A$3:B$13,2,FALSE)</f>
        <v>Program</v>
      </c>
      <c r="L93" s="21" t="s">
        <v>562</v>
      </c>
      <c r="M93" s="13" t="s">
        <v>2398</v>
      </c>
      <c r="N93" s="13" t="s">
        <v>728</v>
      </c>
      <c r="O93" s="13" t="s">
        <v>282</v>
      </c>
      <c r="P93" s="13" t="s">
        <v>282</v>
      </c>
      <c r="Q93" s="22">
        <v>0.9</v>
      </c>
      <c r="R93" s="23">
        <v>205532</v>
      </c>
      <c r="S93" s="12" t="s">
        <v>24</v>
      </c>
      <c r="T93" s="21" t="s">
        <v>25</v>
      </c>
      <c r="U93" s="21" t="s">
        <v>24</v>
      </c>
      <c r="V93" s="24" t="s">
        <v>561</v>
      </c>
      <c r="W93" s="24"/>
      <c r="X93" s="24"/>
      <c r="Y93" s="17" t="s">
        <v>538</v>
      </c>
      <c r="Z93" s="18">
        <f>ROUND(R93*'Data-CostAssumptions'!$C$3,-3)</f>
        <v>284000</v>
      </c>
      <c r="AA93" s="11">
        <f t="shared" si="3"/>
        <v>1</v>
      </c>
      <c r="AB93" s="11">
        <v>2041</v>
      </c>
      <c r="AC93" s="11">
        <v>2041</v>
      </c>
      <c r="AD93" s="11">
        <v>2041</v>
      </c>
      <c r="AE93" s="11">
        <v>2041</v>
      </c>
      <c r="AF93" s="11">
        <v>0</v>
      </c>
      <c r="AG93" s="19">
        <f>ROUND((Z93*'Data-CostAssumptions'!$G$5)*(1+'Data-CostAssumptions'!$G$3)^(AC93-'Data-CostAssumptions'!$G$4),-3)</f>
        <v>160000</v>
      </c>
      <c r="AH93" s="19">
        <f>ROUND((Z93)*(1+'Data-CostAssumptions'!$G$3)^(AE93-'Data-CostAssumptions'!$G$4),-3)</f>
        <v>728000</v>
      </c>
    </row>
    <row r="94" spans="1:34" ht="15" customHeight="1" x14ac:dyDescent="0.2">
      <c r="A94" s="11"/>
      <c r="B94" s="11" t="s">
        <v>1211</v>
      </c>
      <c r="C94" s="13">
        <v>715</v>
      </c>
      <c r="D94" s="13" t="s">
        <v>420</v>
      </c>
      <c r="E94" s="20">
        <v>190</v>
      </c>
      <c r="F94" s="20">
        <v>182</v>
      </c>
      <c r="G94" s="20">
        <v>93</v>
      </c>
      <c r="H94" s="13" t="s">
        <v>728</v>
      </c>
      <c r="I94" s="13" t="str">
        <f t="shared" si="2"/>
        <v>Dixie Hwy (Sheridan St to US 1/Federal Hwy)</v>
      </c>
      <c r="J94" s="13" t="s">
        <v>29</v>
      </c>
      <c r="K94" s="13" t="str">
        <f>VLOOKUP(J94,'Data-ProjectTypes'!A$3:B$13,2,FALSE)</f>
        <v>Program</v>
      </c>
      <c r="L94" s="21" t="s">
        <v>348</v>
      </c>
      <c r="M94" s="13" t="s">
        <v>1951</v>
      </c>
      <c r="N94" s="13" t="s">
        <v>2594</v>
      </c>
      <c r="O94" s="13" t="s">
        <v>273</v>
      </c>
      <c r="P94" s="13" t="s">
        <v>273</v>
      </c>
      <c r="Q94" s="22">
        <v>0.7</v>
      </c>
      <c r="R94" s="23">
        <v>165826</v>
      </c>
      <c r="S94" s="12" t="s">
        <v>24</v>
      </c>
      <c r="T94" s="21"/>
      <c r="U94" s="21"/>
      <c r="V94" s="24"/>
      <c r="W94" s="24"/>
      <c r="X94" s="24" t="s">
        <v>568</v>
      </c>
      <c r="Y94" s="17" t="s">
        <v>538</v>
      </c>
      <c r="Z94" s="18">
        <f>ROUND(R94*'Data-CostAssumptions'!$C$3,-3)</f>
        <v>230000</v>
      </c>
      <c r="AA94" s="11">
        <f t="shared" si="3"/>
        <v>0</v>
      </c>
      <c r="AB94" s="11">
        <v>2041</v>
      </c>
      <c r="AC94" s="11">
        <v>2041</v>
      </c>
      <c r="AD94" s="11">
        <v>2041</v>
      </c>
      <c r="AE94" s="11">
        <v>2041</v>
      </c>
      <c r="AF94" s="11">
        <v>0</v>
      </c>
      <c r="AG94" s="19">
        <f>ROUND((Z94*'Data-CostAssumptions'!$G$5)*(1+'Data-CostAssumptions'!$G$3)^(AC94-'Data-CostAssumptions'!$G$4),-3)</f>
        <v>130000</v>
      </c>
      <c r="AH94" s="19">
        <f>ROUND((Z94)*(1+'Data-CostAssumptions'!$G$3)^(AE94-'Data-CostAssumptions'!$G$4),-3)</f>
        <v>590000</v>
      </c>
    </row>
    <row r="95" spans="1:34" ht="15" customHeight="1" x14ac:dyDescent="0.2">
      <c r="A95" s="11"/>
      <c r="B95" s="11" t="s">
        <v>1211</v>
      </c>
      <c r="C95" s="13">
        <v>716</v>
      </c>
      <c r="D95" s="13" t="s">
        <v>420</v>
      </c>
      <c r="E95" s="20">
        <v>191</v>
      </c>
      <c r="F95" s="20">
        <v>182</v>
      </c>
      <c r="G95" s="20">
        <v>94</v>
      </c>
      <c r="H95" s="13" t="s">
        <v>1880</v>
      </c>
      <c r="I95" s="13" t="str">
        <f t="shared" si="2"/>
        <v>Johnson St (North 8th Av to US 1/Federal Hwy)</v>
      </c>
      <c r="J95" s="13" t="s">
        <v>29</v>
      </c>
      <c r="K95" s="13" t="str">
        <f>VLOOKUP(J95,'Data-ProjectTypes'!A$3:B$13,2,FALSE)</f>
        <v>Program</v>
      </c>
      <c r="L95" s="21" t="s">
        <v>563</v>
      </c>
      <c r="M95" s="13" t="s">
        <v>2356</v>
      </c>
      <c r="N95" s="13" t="s">
        <v>2594</v>
      </c>
      <c r="O95" s="13" t="s">
        <v>282</v>
      </c>
      <c r="P95" s="13" t="s">
        <v>282</v>
      </c>
      <c r="Q95" s="22">
        <v>1.4</v>
      </c>
      <c r="R95" s="23">
        <v>320140</v>
      </c>
      <c r="S95" s="12" t="s">
        <v>24</v>
      </c>
      <c r="T95" s="21" t="s">
        <v>25</v>
      </c>
      <c r="U95" s="21" t="s">
        <v>24</v>
      </c>
      <c r="V95" s="24" t="s">
        <v>561</v>
      </c>
      <c r="W95" s="24"/>
      <c r="X95" s="32"/>
      <c r="Y95" s="17" t="s">
        <v>538</v>
      </c>
      <c r="Z95" s="18">
        <f>ROUND(R95*'Data-CostAssumptions'!$C$3,-3)</f>
        <v>443000</v>
      </c>
      <c r="AA95" s="11">
        <f t="shared" si="3"/>
        <v>1</v>
      </c>
      <c r="AB95" s="11">
        <v>2041</v>
      </c>
      <c r="AC95" s="11">
        <v>2041</v>
      </c>
      <c r="AD95" s="11">
        <v>2041</v>
      </c>
      <c r="AE95" s="11">
        <v>2041</v>
      </c>
      <c r="AF95" s="11">
        <v>0</v>
      </c>
      <c r="AG95" s="19">
        <f>ROUND((Z95*'Data-CostAssumptions'!$G$5)*(1+'Data-CostAssumptions'!$G$3)^(AC95-'Data-CostAssumptions'!$G$4),-3)</f>
        <v>250000</v>
      </c>
      <c r="AH95" s="19">
        <f>ROUND((Z95)*(1+'Data-CostAssumptions'!$G$3)^(AE95-'Data-CostAssumptions'!$G$4),-3)</f>
        <v>1136000</v>
      </c>
    </row>
    <row r="96" spans="1:34" ht="15" customHeight="1" x14ac:dyDescent="0.2">
      <c r="A96" s="11"/>
      <c r="B96" s="11" t="s">
        <v>1211</v>
      </c>
      <c r="C96" s="13">
        <v>717</v>
      </c>
      <c r="D96" s="13" t="s">
        <v>420</v>
      </c>
      <c r="E96" s="20">
        <v>195</v>
      </c>
      <c r="F96" s="20">
        <v>182</v>
      </c>
      <c r="G96" s="20">
        <v>95</v>
      </c>
      <c r="H96" s="13" t="s">
        <v>728</v>
      </c>
      <c r="I96" s="13" t="str">
        <f t="shared" si="2"/>
        <v>Dixie Hwy (Hollywood Bl to Sheridan St)</v>
      </c>
      <c r="J96" s="13" t="s">
        <v>29</v>
      </c>
      <c r="K96" s="13" t="str">
        <f>VLOOKUP(J96,'Data-ProjectTypes'!A$3:B$13,2,FALSE)</f>
        <v>Program</v>
      </c>
      <c r="L96" s="21" t="s">
        <v>348</v>
      </c>
      <c r="M96" s="13" t="s">
        <v>1820</v>
      </c>
      <c r="N96" s="13" t="s">
        <v>1951</v>
      </c>
      <c r="O96" s="13" t="s">
        <v>273</v>
      </c>
      <c r="P96" s="13" t="s">
        <v>273</v>
      </c>
      <c r="Q96" s="22">
        <v>1.5</v>
      </c>
      <c r="R96" s="23">
        <v>353311</v>
      </c>
      <c r="S96" s="12" t="s">
        <v>24</v>
      </c>
      <c r="T96" s="21"/>
      <c r="U96" s="21"/>
      <c r="V96" s="24"/>
      <c r="W96" s="24"/>
      <c r="X96" s="24"/>
      <c r="Y96" s="17" t="s">
        <v>538</v>
      </c>
      <c r="Z96" s="18">
        <f>ROUND(R96*'Data-CostAssumptions'!$C$3,-3)</f>
        <v>489000</v>
      </c>
      <c r="AA96" s="11">
        <f t="shared" si="3"/>
        <v>0</v>
      </c>
      <c r="AB96" s="11">
        <v>2041</v>
      </c>
      <c r="AC96" s="11">
        <v>2041</v>
      </c>
      <c r="AD96" s="11">
        <v>2041</v>
      </c>
      <c r="AE96" s="11">
        <v>2041</v>
      </c>
      <c r="AF96" s="11">
        <v>0</v>
      </c>
      <c r="AG96" s="19">
        <f>ROUND((Z96*'Data-CostAssumptions'!$G$5)*(1+'Data-CostAssumptions'!$G$3)^(AC96-'Data-CostAssumptions'!$G$4),-3)</f>
        <v>276000</v>
      </c>
      <c r="AH96" s="19">
        <f>ROUND((Z96)*(1+'Data-CostAssumptions'!$G$3)^(AE96-'Data-CostAssumptions'!$G$4),-3)</f>
        <v>1254000</v>
      </c>
    </row>
    <row r="97" spans="1:34" ht="15" customHeight="1" x14ac:dyDescent="0.2">
      <c r="A97" s="11"/>
      <c r="B97" s="11" t="s">
        <v>1211</v>
      </c>
      <c r="C97" s="13">
        <v>718</v>
      </c>
      <c r="D97" s="13" t="s">
        <v>420</v>
      </c>
      <c r="E97" s="20">
        <v>196</v>
      </c>
      <c r="F97" s="20">
        <v>182</v>
      </c>
      <c r="G97" s="20">
        <v>96</v>
      </c>
      <c r="H97" s="13" t="s">
        <v>2039</v>
      </c>
      <c r="I97" s="13" t="str">
        <f t="shared" si="2"/>
        <v>North 26th Av (Polk St to Sheridan St)</v>
      </c>
      <c r="J97" s="13" t="s">
        <v>29</v>
      </c>
      <c r="K97" s="13" t="str">
        <f>VLOOKUP(J97,'Data-ProjectTypes'!A$3:B$13,2,FALSE)</f>
        <v>Program</v>
      </c>
      <c r="L97" s="21" t="s">
        <v>563</v>
      </c>
      <c r="M97" s="13" t="s">
        <v>1936</v>
      </c>
      <c r="N97" s="13" t="s">
        <v>1951</v>
      </c>
      <c r="O97" s="13" t="s">
        <v>282</v>
      </c>
      <c r="P97" s="13" t="s">
        <v>282</v>
      </c>
      <c r="Q97" s="22">
        <v>1.5</v>
      </c>
      <c r="R97" s="23">
        <v>336878</v>
      </c>
      <c r="S97" s="12" t="s">
        <v>24</v>
      </c>
      <c r="T97" s="21" t="s">
        <v>25</v>
      </c>
      <c r="U97" s="21" t="s">
        <v>24</v>
      </c>
      <c r="V97" s="24" t="s">
        <v>561</v>
      </c>
      <c r="W97" s="24"/>
      <c r="X97" s="24"/>
      <c r="Y97" s="17" t="s">
        <v>538</v>
      </c>
      <c r="Z97" s="18">
        <f>ROUND(R97*'Data-CostAssumptions'!$C$3,-3)</f>
        <v>466000</v>
      </c>
      <c r="AA97" s="11">
        <f t="shared" si="3"/>
        <v>1</v>
      </c>
      <c r="AB97" s="11">
        <v>2041</v>
      </c>
      <c r="AC97" s="11">
        <v>2041</v>
      </c>
      <c r="AD97" s="11">
        <v>2041</v>
      </c>
      <c r="AE97" s="11">
        <v>2041</v>
      </c>
      <c r="AF97" s="11">
        <v>0</v>
      </c>
      <c r="AG97" s="19">
        <f>ROUND((Z97*'Data-CostAssumptions'!$G$5)*(1+'Data-CostAssumptions'!$G$3)^(AC97-'Data-CostAssumptions'!$G$4),-3)</f>
        <v>263000</v>
      </c>
      <c r="AH97" s="19">
        <f>ROUND((Z97)*(1+'Data-CostAssumptions'!$G$3)^(AE97-'Data-CostAssumptions'!$G$4),-3)</f>
        <v>1195000</v>
      </c>
    </row>
    <row r="98" spans="1:34" ht="15" customHeight="1" x14ac:dyDescent="0.2">
      <c r="A98" s="11"/>
      <c r="B98" s="11" t="s">
        <v>1211</v>
      </c>
      <c r="C98" s="13">
        <v>719</v>
      </c>
      <c r="D98" s="13" t="s">
        <v>420</v>
      </c>
      <c r="E98" s="20">
        <v>198</v>
      </c>
      <c r="F98" s="20">
        <v>182</v>
      </c>
      <c r="G98" s="20">
        <v>97</v>
      </c>
      <c r="H98" s="13" t="s">
        <v>2787</v>
      </c>
      <c r="I98" s="13" t="str">
        <f t="shared" si="2"/>
        <v>SR 822/Sheridan St (US 1/Federal Hwy to North 26th Av/Oakland Bl)</v>
      </c>
      <c r="J98" s="13" t="s">
        <v>29</v>
      </c>
      <c r="K98" s="13" t="str">
        <f>VLOOKUP(J98,'Data-ProjectTypes'!A$3:B$13,2,FALSE)</f>
        <v>Program</v>
      </c>
      <c r="L98" s="21"/>
      <c r="M98" s="13" t="s">
        <v>2594</v>
      </c>
      <c r="N98" s="13" t="s">
        <v>2284</v>
      </c>
      <c r="O98" s="13" t="s">
        <v>270</v>
      </c>
      <c r="P98" s="13" t="s">
        <v>270</v>
      </c>
      <c r="Q98" s="22">
        <v>1</v>
      </c>
      <c r="R98" s="23">
        <v>234507</v>
      </c>
      <c r="S98" s="12" t="s">
        <v>24</v>
      </c>
      <c r="T98" s="21"/>
      <c r="U98" s="21"/>
      <c r="V98" s="24"/>
      <c r="W98" s="24" t="s">
        <v>569</v>
      </c>
      <c r="X98" s="24"/>
      <c r="Y98" s="17" t="s">
        <v>538</v>
      </c>
      <c r="Z98" s="18">
        <f>ROUND(R98*'Data-CostAssumptions'!$C$3,-3)</f>
        <v>325000</v>
      </c>
      <c r="AA98" s="11">
        <f t="shared" si="3"/>
        <v>1</v>
      </c>
      <c r="AB98" s="11">
        <v>2041</v>
      </c>
      <c r="AC98" s="11">
        <v>2041</v>
      </c>
      <c r="AD98" s="11">
        <v>2041</v>
      </c>
      <c r="AE98" s="11">
        <v>2041</v>
      </c>
      <c r="AF98" s="11">
        <v>0</v>
      </c>
      <c r="AG98" s="19">
        <f>ROUND((Z98*'Data-CostAssumptions'!$G$5)*(1+'Data-CostAssumptions'!$G$3)^(AC98-'Data-CostAssumptions'!$G$4),-3)</f>
        <v>183000</v>
      </c>
      <c r="AH98" s="19">
        <f>ROUND((Z98)*(1+'Data-CostAssumptions'!$G$3)^(AE98-'Data-CostAssumptions'!$G$4),-3)</f>
        <v>833000</v>
      </c>
    </row>
    <row r="99" spans="1:34" ht="15" customHeight="1" x14ac:dyDescent="0.2">
      <c r="A99" s="11"/>
      <c r="B99" s="11" t="s">
        <v>1211</v>
      </c>
      <c r="C99" s="13">
        <v>720</v>
      </c>
      <c r="D99" s="13" t="s">
        <v>420</v>
      </c>
      <c r="E99" s="20">
        <v>199</v>
      </c>
      <c r="F99" s="20">
        <v>182</v>
      </c>
      <c r="G99" s="20">
        <v>98</v>
      </c>
      <c r="H99" s="13" t="s">
        <v>1968</v>
      </c>
      <c r="I99" s="13" t="str">
        <f t="shared" si="2"/>
        <v>Taft St (US 1/Federal Hwy to North 26th Av)</v>
      </c>
      <c r="J99" s="13" t="s">
        <v>29</v>
      </c>
      <c r="K99" s="13" t="str">
        <f>VLOOKUP(J99,'Data-ProjectTypes'!A$3:B$13,2,FALSE)</f>
        <v>Program</v>
      </c>
      <c r="L99" s="21" t="s">
        <v>562</v>
      </c>
      <c r="M99" s="13" t="s">
        <v>2594</v>
      </c>
      <c r="N99" s="13" t="s">
        <v>2039</v>
      </c>
      <c r="O99" s="13" t="s">
        <v>282</v>
      </c>
      <c r="P99" s="13" t="s">
        <v>282</v>
      </c>
      <c r="Q99" s="22">
        <v>1</v>
      </c>
      <c r="R99" s="23">
        <v>232402</v>
      </c>
      <c r="S99" s="12" t="s">
        <v>24</v>
      </c>
      <c r="T99" s="21" t="s">
        <v>25</v>
      </c>
      <c r="U99" s="21" t="s">
        <v>24</v>
      </c>
      <c r="V99" s="24" t="s">
        <v>561</v>
      </c>
      <c r="W99" s="24"/>
      <c r="X99" s="24"/>
      <c r="Y99" s="17" t="s">
        <v>538</v>
      </c>
      <c r="Z99" s="18">
        <f>ROUND(R99*'Data-CostAssumptions'!$C$3,-3)</f>
        <v>322000</v>
      </c>
      <c r="AA99" s="11">
        <f t="shared" si="3"/>
        <v>1</v>
      </c>
      <c r="AB99" s="11">
        <v>2041</v>
      </c>
      <c r="AC99" s="11">
        <v>2041</v>
      </c>
      <c r="AD99" s="11">
        <v>2041</v>
      </c>
      <c r="AE99" s="11">
        <v>2041</v>
      </c>
      <c r="AF99" s="11">
        <v>0</v>
      </c>
      <c r="AG99" s="19">
        <f>ROUND((Z99*'Data-CostAssumptions'!$G$5)*(1+'Data-CostAssumptions'!$G$3)^(AC99-'Data-CostAssumptions'!$G$4),-3)</f>
        <v>182000</v>
      </c>
      <c r="AH99" s="19">
        <f>ROUND((Z99)*(1+'Data-CostAssumptions'!$G$3)^(AE99-'Data-CostAssumptions'!$G$4),-3)</f>
        <v>826000</v>
      </c>
    </row>
    <row r="100" spans="1:34" ht="15" customHeight="1" x14ac:dyDescent="0.2">
      <c r="A100" s="11"/>
      <c r="B100" s="11" t="s">
        <v>1211</v>
      </c>
      <c r="C100" s="13">
        <v>721</v>
      </c>
      <c r="D100" s="13" t="s">
        <v>420</v>
      </c>
      <c r="E100" s="20">
        <v>201</v>
      </c>
      <c r="F100" s="20">
        <v>182</v>
      </c>
      <c r="G100" s="20">
        <v>99</v>
      </c>
      <c r="H100" s="13" t="s">
        <v>2813</v>
      </c>
      <c r="I100" s="13" t="str">
        <f t="shared" si="2"/>
        <v>SR 820/Hollywood Bl (17th Av to City Hall Circle)</v>
      </c>
      <c r="J100" s="13" t="s">
        <v>29</v>
      </c>
      <c r="K100" s="13" t="str">
        <f>VLOOKUP(J100,'Data-ProjectTypes'!A$3:B$13,2,FALSE)</f>
        <v>Program</v>
      </c>
      <c r="L100" s="21" t="s">
        <v>570</v>
      </c>
      <c r="M100" s="13" t="s">
        <v>2349</v>
      </c>
      <c r="N100" s="13" t="s">
        <v>188</v>
      </c>
      <c r="O100" s="13" t="s">
        <v>282</v>
      </c>
      <c r="P100" s="13" t="s">
        <v>282</v>
      </c>
      <c r="Q100" s="22">
        <v>1.6</v>
      </c>
      <c r="R100" s="23">
        <v>372910</v>
      </c>
      <c r="S100" s="12" t="s">
        <v>24</v>
      </c>
      <c r="T100" s="21" t="s">
        <v>25</v>
      </c>
      <c r="U100" s="21" t="s">
        <v>24</v>
      </c>
      <c r="V100" s="24" t="s">
        <v>561</v>
      </c>
      <c r="W100" s="24"/>
      <c r="X100" s="24"/>
      <c r="Y100" s="17" t="s">
        <v>538</v>
      </c>
      <c r="Z100" s="18">
        <f>ROUND(R100*'Data-CostAssumptions'!$C$3,-3)</f>
        <v>516000</v>
      </c>
      <c r="AA100" s="11">
        <f t="shared" si="3"/>
        <v>1</v>
      </c>
      <c r="AB100" s="11">
        <v>2041</v>
      </c>
      <c r="AC100" s="11">
        <v>2041</v>
      </c>
      <c r="AD100" s="11">
        <v>2041</v>
      </c>
      <c r="AE100" s="11">
        <v>2041</v>
      </c>
      <c r="AF100" s="11">
        <v>0</v>
      </c>
      <c r="AG100" s="19">
        <f>ROUND((Z100*'Data-CostAssumptions'!$G$5)*(1+'Data-CostAssumptions'!$G$3)^(AC100-'Data-CostAssumptions'!$G$4),-3)</f>
        <v>291000</v>
      </c>
      <c r="AH100" s="19">
        <f>ROUND((Z100)*(1+'Data-CostAssumptions'!$G$3)^(AE100-'Data-CostAssumptions'!$G$4),-3)</f>
        <v>1323000</v>
      </c>
    </row>
    <row r="101" spans="1:34" ht="15" customHeight="1" x14ac:dyDescent="0.2">
      <c r="A101" s="11"/>
      <c r="B101" s="11" t="s">
        <v>1211</v>
      </c>
      <c r="C101" s="13">
        <v>722</v>
      </c>
      <c r="D101" s="13" t="s">
        <v>420</v>
      </c>
      <c r="E101" s="20">
        <v>206</v>
      </c>
      <c r="F101" s="20">
        <v>182</v>
      </c>
      <c r="G101" s="20">
        <v>100</v>
      </c>
      <c r="H101" s="13" t="s">
        <v>57</v>
      </c>
      <c r="I101" s="13" t="str">
        <f t="shared" si="2"/>
        <v>SR 7/US 441 (Washington St to Osceola Dr)</v>
      </c>
      <c r="J101" s="13" t="s">
        <v>29</v>
      </c>
      <c r="K101" s="13" t="str">
        <f>VLOOKUP(J101,'Data-ProjectTypes'!A$3:B$13,2,FALSE)</f>
        <v>Program</v>
      </c>
      <c r="L101" s="21" t="s">
        <v>348</v>
      </c>
      <c r="M101" s="13" t="s">
        <v>1971</v>
      </c>
      <c r="N101" s="13" t="s">
        <v>2677</v>
      </c>
      <c r="O101" s="13" t="s">
        <v>270</v>
      </c>
      <c r="P101" s="13" t="s">
        <v>270</v>
      </c>
      <c r="Q101" s="22">
        <v>2.6</v>
      </c>
      <c r="R101" s="23">
        <v>591841</v>
      </c>
      <c r="S101" s="12" t="s">
        <v>24</v>
      </c>
      <c r="W101" s="24" t="s">
        <v>559</v>
      </c>
      <c r="X101" s="24"/>
      <c r="Y101" s="17" t="s">
        <v>538</v>
      </c>
      <c r="Z101" s="18">
        <f>ROUND(R101*'Data-CostAssumptions'!$C$3,-3)</f>
        <v>819000</v>
      </c>
      <c r="AA101" s="11">
        <f t="shared" si="3"/>
        <v>1</v>
      </c>
      <c r="AB101" s="11">
        <v>2041</v>
      </c>
      <c r="AC101" s="11">
        <v>2041</v>
      </c>
      <c r="AD101" s="11">
        <v>2041</v>
      </c>
      <c r="AE101" s="11">
        <v>2041</v>
      </c>
      <c r="AF101" s="11">
        <v>0</v>
      </c>
      <c r="AG101" s="19">
        <f>ROUND((Z101*'Data-CostAssumptions'!$G$5)*(1+'Data-CostAssumptions'!$G$3)^(AC101-'Data-CostAssumptions'!$G$4),-3)</f>
        <v>462000</v>
      </c>
      <c r="AH101" s="19">
        <f>ROUND((Z101)*(1+'Data-CostAssumptions'!$G$3)^(AE101-'Data-CostAssumptions'!$G$4),-3)</f>
        <v>2100000</v>
      </c>
    </row>
    <row r="102" spans="1:34" ht="15" customHeight="1" x14ac:dyDescent="0.2">
      <c r="A102" s="11"/>
      <c r="B102" s="11" t="s">
        <v>1211</v>
      </c>
      <c r="C102" s="13">
        <v>723</v>
      </c>
      <c r="D102" s="13" t="s">
        <v>420</v>
      </c>
      <c r="E102" s="20">
        <v>208</v>
      </c>
      <c r="F102" s="20">
        <v>182</v>
      </c>
      <c r="G102" s="20">
        <v>101</v>
      </c>
      <c r="H102" s="13" t="s">
        <v>1857</v>
      </c>
      <c r="I102" s="13" t="str">
        <f t="shared" si="2"/>
        <v>Park Rd (Pembroke Rd to Hollywood Dr)</v>
      </c>
      <c r="J102" s="13" t="s">
        <v>29</v>
      </c>
      <c r="K102" s="13" t="str">
        <f>VLOOKUP(J102,'Data-ProjectTypes'!A$3:B$13,2,FALSE)</f>
        <v>Program</v>
      </c>
      <c r="L102" s="21" t="s">
        <v>562</v>
      </c>
      <c r="M102" s="13" t="s">
        <v>1760</v>
      </c>
      <c r="N102" s="13" t="s">
        <v>2669</v>
      </c>
      <c r="O102" s="13" t="s">
        <v>272</v>
      </c>
      <c r="P102" s="13" t="s">
        <v>272</v>
      </c>
      <c r="Q102" s="22">
        <v>1.1000000000000001</v>
      </c>
      <c r="R102" s="23">
        <v>248172</v>
      </c>
      <c r="S102" s="12" t="s">
        <v>24</v>
      </c>
      <c r="T102" s="21" t="s">
        <v>25</v>
      </c>
      <c r="U102" s="21" t="s">
        <v>24</v>
      </c>
      <c r="V102" s="24" t="s">
        <v>561</v>
      </c>
      <c r="W102" s="24"/>
      <c r="X102" s="24"/>
      <c r="Y102" s="17" t="s">
        <v>538</v>
      </c>
      <c r="Z102" s="18">
        <f>ROUND(R102*'Data-CostAssumptions'!$C$3,-3)</f>
        <v>343000</v>
      </c>
      <c r="AA102" s="11">
        <f t="shared" si="3"/>
        <v>1</v>
      </c>
      <c r="AB102" s="11">
        <v>2041</v>
      </c>
      <c r="AC102" s="11">
        <v>2041</v>
      </c>
      <c r="AD102" s="11">
        <v>2041</v>
      </c>
      <c r="AE102" s="11">
        <v>2041</v>
      </c>
      <c r="AF102" s="11">
        <v>0</v>
      </c>
      <c r="AG102" s="19">
        <f>ROUND((Z102*'Data-CostAssumptions'!$G$5)*(1+'Data-CostAssumptions'!$G$3)^(AC102-'Data-CostAssumptions'!$G$4),-3)</f>
        <v>193000</v>
      </c>
      <c r="AH102" s="19">
        <f>ROUND((Z102)*(1+'Data-CostAssumptions'!$G$3)^(AE102-'Data-CostAssumptions'!$G$4),-3)</f>
        <v>879000</v>
      </c>
    </row>
    <row r="103" spans="1:34" ht="15" customHeight="1" x14ac:dyDescent="0.2">
      <c r="A103" s="11"/>
      <c r="B103" s="11" t="s">
        <v>1211</v>
      </c>
      <c r="C103" s="13">
        <v>724</v>
      </c>
      <c r="D103" s="13" t="s">
        <v>420</v>
      </c>
      <c r="E103" s="20">
        <v>214</v>
      </c>
      <c r="F103" s="20">
        <v>182</v>
      </c>
      <c r="G103" s="20">
        <v>102</v>
      </c>
      <c r="H103" s="13" t="s">
        <v>2813</v>
      </c>
      <c r="I103" s="13" t="str">
        <f t="shared" si="2"/>
        <v>SR 820/Hollywood Bl (Eastern I-95 ramp to North 46th Av)</v>
      </c>
      <c r="J103" s="13" t="s">
        <v>29</v>
      </c>
      <c r="K103" s="13" t="str">
        <f>VLOOKUP(J103,'Data-ProjectTypes'!A$3:B$13,2,FALSE)</f>
        <v>Program</v>
      </c>
      <c r="L103" s="21" t="s">
        <v>348</v>
      </c>
      <c r="M103" s="13" t="s">
        <v>135</v>
      </c>
      <c r="N103" s="13" t="s">
        <v>2040</v>
      </c>
      <c r="O103" s="13" t="s">
        <v>270</v>
      </c>
      <c r="P103" s="13" t="s">
        <v>270</v>
      </c>
      <c r="Q103" s="22">
        <v>1.7</v>
      </c>
      <c r="R103" s="23">
        <v>404961</v>
      </c>
      <c r="S103" s="12" t="s">
        <v>24</v>
      </c>
      <c r="T103" s="21"/>
      <c r="U103" s="21"/>
      <c r="V103" s="24"/>
      <c r="W103" s="24" t="s">
        <v>561</v>
      </c>
      <c r="X103" s="24"/>
      <c r="Y103" s="17" t="s">
        <v>538</v>
      </c>
      <c r="Z103" s="18">
        <f>ROUND(R103*'Data-CostAssumptions'!$C$3,-3)</f>
        <v>560000</v>
      </c>
      <c r="AA103" s="11">
        <f t="shared" si="3"/>
        <v>1</v>
      </c>
      <c r="AB103" s="11">
        <v>2041</v>
      </c>
      <c r="AC103" s="11">
        <v>2041</v>
      </c>
      <c r="AD103" s="11">
        <v>2041</v>
      </c>
      <c r="AE103" s="11">
        <v>2041</v>
      </c>
      <c r="AF103" s="11">
        <v>0</v>
      </c>
      <c r="AG103" s="19">
        <f>ROUND((Z103*'Data-CostAssumptions'!$G$5)*(1+'Data-CostAssumptions'!$G$3)^(AC103-'Data-CostAssumptions'!$G$4),-3)</f>
        <v>316000</v>
      </c>
      <c r="AH103" s="19">
        <f>ROUND((Z103)*(1+'Data-CostAssumptions'!$G$3)^(AE103-'Data-CostAssumptions'!$G$4),-3)</f>
        <v>1436000</v>
      </c>
    </row>
    <row r="104" spans="1:34" ht="15" customHeight="1" x14ac:dyDescent="0.2">
      <c r="A104" s="11"/>
      <c r="B104" s="11" t="s">
        <v>1211</v>
      </c>
      <c r="C104" s="13">
        <v>725</v>
      </c>
      <c r="D104" s="13" t="s">
        <v>420</v>
      </c>
      <c r="E104" s="20">
        <v>218</v>
      </c>
      <c r="F104" s="20">
        <v>182</v>
      </c>
      <c r="G104" s="20">
        <v>103</v>
      </c>
      <c r="H104" s="13" t="s">
        <v>2787</v>
      </c>
      <c r="I104" s="13" t="str">
        <f t="shared" si="2"/>
        <v>SR 822/Sheridan St (North 46th Av to North 72nd Av)</v>
      </c>
      <c r="J104" s="13" t="s">
        <v>29</v>
      </c>
      <c r="K104" s="13" t="str">
        <f>VLOOKUP(J104,'Data-ProjectTypes'!A$3:B$13,2,FALSE)</f>
        <v>Program</v>
      </c>
      <c r="L104" s="21"/>
      <c r="M104" s="13" t="s">
        <v>2040</v>
      </c>
      <c r="N104" s="13" t="s">
        <v>2045</v>
      </c>
      <c r="O104" s="13" t="s">
        <v>273</v>
      </c>
      <c r="P104" s="13" t="s">
        <v>273</v>
      </c>
      <c r="Q104" s="22">
        <v>2.6</v>
      </c>
      <c r="R104" s="23">
        <v>613495</v>
      </c>
      <c r="S104" s="12" t="s">
        <v>24</v>
      </c>
      <c r="T104" s="21"/>
      <c r="U104" s="21"/>
      <c r="V104" s="24"/>
      <c r="W104" s="24" t="s">
        <v>561</v>
      </c>
      <c r="X104" s="24"/>
      <c r="Y104" s="17" t="s">
        <v>538</v>
      </c>
      <c r="Z104" s="18">
        <f>ROUND(R104*'Data-CostAssumptions'!$C$3,-3)</f>
        <v>849000</v>
      </c>
      <c r="AA104" s="11">
        <f t="shared" si="3"/>
        <v>1</v>
      </c>
      <c r="AB104" s="11">
        <v>2041</v>
      </c>
      <c r="AC104" s="11">
        <v>2041</v>
      </c>
      <c r="AD104" s="11">
        <v>2041</v>
      </c>
      <c r="AE104" s="11">
        <v>2041</v>
      </c>
      <c r="AF104" s="11">
        <v>0</v>
      </c>
      <c r="AG104" s="19">
        <f>ROUND((Z104*'Data-CostAssumptions'!$G$5)*(1+'Data-CostAssumptions'!$G$3)^(AC104-'Data-CostAssumptions'!$G$4),-3)</f>
        <v>479000</v>
      </c>
      <c r="AH104" s="19">
        <f>ROUND((Z104)*(1+'Data-CostAssumptions'!$G$3)^(AE104-'Data-CostAssumptions'!$G$4),-3)</f>
        <v>2177000</v>
      </c>
    </row>
    <row r="105" spans="1:34" ht="15" customHeight="1" x14ac:dyDescent="0.2">
      <c r="A105" s="11"/>
      <c r="B105" s="11" t="s">
        <v>1211</v>
      </c>
      <c r="C105" s="13">
        <v>726</v>
      </c>
      <c r="D105" s="13" t="s">
        <v>420</v>
      </c>
      <c r="E105" s="20">
        <v>228</v>
      </c>
      <c r="F105" s="20">
        <v>183</v>
      </c>
      <c r="G105" s="20">
        <v>104</v>
      </c>
      <c r="H105" s="13" t="s">
        <v>1977</v>
      </c>
      <c r="I105" s="13" t="str">
        <f t="shared" si="2"/>
        <v>Miramar Pkwy (Miramar Parkway/SW 67th Av to Utopia Dr)</v>
      </c>
      <c r="J105" s="13" t="s">
        <v>29</v>
      </c>
      <c r="K105" s="13" t="str">
        <f>VLOOKUP(J105,'Data-ProjectTypes'!A$3:B$13,2,FALSE)</f>
        <v>Program</v>
      </c>
      <c r="L105" s="21" t="s">
        <v>348</v>
      </c>
      <c r="M105" s="13" t="s">
        <v>2361</v>
      </c>
      <c r="N105" s="13" t="s">
        <v>2657</v>
      </c>
      <c r="O105" s="13" t="s">
        <v>273</v>
      </c>
      <c r="P105" s="13" t="s">
        <v>273</v>
      </c>
      <c r="Q105" s="22">
        <v>1.7</v>
      </c>
      <c r="R105" s="23">
        <v>384505</v>
      </c>
      <c r="S105" s="21" t="s">
        <v>24</v>
      </c>
      <c r="T105" s="21" t="s">
        <v>25</v>
      </c>
      <c r="U105" s="21" t="s">
        <v>25</v>
      </c>
      <c r="V105" s="24"/>
      <c r="W105" s="24"/>
      <c r="X105" s="24"/>
      <c r="Y105" s="17" t="s">
        <v>685</v>
      </c>
      <c r="Z105" s="18">
        <f>ROUND(R105*'Data-CostAssumptions'!$C$3,-3)</f>
        <v>532000</v>
      </c>
      <c r="AA105" s="11">
        <f t="shared" si="3"/>
        <v>0</v>
      </c>
      <c r="AB105" s="11">
        <v>2041</v>
      </c>
      <c r="AC105" s="11">
        <v>2041</v>
      </c>
      <c r="AD105" s="11">
        <v>2041</v>
      </c>
      <c r="AE105" s="11">
        <v>2041</v>
      </c>
      <c r="AF105" s="11">
        <v>0</v>
      </c>
      <c r="AG105" s="19">
        <f>ROUND((Z105*'Data-CostAssumptions'!$G$5)*(1+'Data-CostAssumptions'!$G$3)^(AC105-'Data-CostAssumptions'!$G$4),-3)</f>
        <v>300000</v>
      </c>
      <c r="AH105" s="19">
        <f>ROUND((Z105)*(1+'Data-CostAssumptions'!$G$3)^(AE105-'Data-CostAssumptions'!$G$4),-3)</f>
        <v>1364000</v>
      </c>
    </row>
    <row r="106" spans="1:34" ht="15" customHeight="1" x14ac:dyDescent="0.2">
      <c r="A106" s="11"/>
      <c r="B106" s="11" t="s">
        <v>1211</v>
      </c>
      <c r="C106" s="13">
        <v>727</v>
      </c>
      <c r="D106" s="13" t="s">
        <v>420</v>
      </c>
      <c r="E106" s="20">
        <v>233</v>
      </c>
      <c r="F106" s="20">
        <v>183</v>
      </c>
      <c r="G106" s="20">
        <v>105</v>
      </c>
      <c r="H106" s="13" t="s">
        <v>2021</v>
      </c>
      <c r="I106" s="13" t="str">
        <f t="shared" si="2"/>
        <v>NE 11th Av (Atlantic Bl to NE 10th St)</v>
      </c>
      <c r="J106" s="13" t="s">
        <v>29</v>
      </c>
      <c r="K106" s="13" t="str">
        <f>VLOOKUP(J106,'Data-ProjectTypes'!A$3:B$13,2,FALSE)</f>
        <v>Program</v>
      </c>
      <c r="L106" s="21" t="s">
        <v>348</v>
      </c>
      <c r="M106" s="13" t="s">
        <v>1809</v>
      </c>
      <c r="N106" s="13" t="s">
        <v>1882</v>
      </c>
      <c r="O106" s="13" t="s">
        <v>275</v>
      </c>
      <c r="P106" s="13" t="s">
        <v>275</v>
      </c>
      <c r="Q106" s="22">
        <v>0.7</v>
      </c>
      <c r="R106" s="23">
        <v>155600</v>
      </c>
      <c r="S106" s="21"/>
      <c r="T106" s="21"/>
      <c r="U106" s="21"/>
      <c r="V106" s="24"/>
      <c r="W106" s="24"/>
      <c r="X106" s="24"/>
      <c r="Y106" s="17"/>
      <c r="Z106" s="18">
        <f>ROUND(R106*'Data-CostAssumptions'!$C$3,-3)</f>
        <v>215000</v>
      </c>
      <c r="AA106" s="11">
        <f t="shared" si="3"/>
        <v>0</v>
      </c>
      <c r="AB106" s="11">
        <v>2041</v>
      </c>
      <c r="AC106" s="11">
        <v>2041</v>
      </c>
      <c r="AD106" s="11">
        <v>2041</v>
      </c>
      <c r="AE106" s="11">
        <v>2041</v>
      </c>
      <c r="AF106" s="11">
        <v>0</v>
      </c>
      <c r="AG106" s="19">
        <f>ROUND((Z106*'Data-CostAssumptions'!$G$5)*(1+'Data-CostAssumptions'!$G$3)^(AC106-'Data-CostAssumptions'!$G$4),-3)</f>
        <v>121000</v>
      </c>
      <c r="AH106" s="19">
        <f>ROUND((Z106)*(1+'Data-CostAssumptions'!$G$3)^(AE106-'Data-CostAssumptions'!$G$4),-3)</f>
        <v>551000</v>
      </c>
    </row>
    <row r="107" spans="1:34" ht="15" customHeight="1" x14ac:dyDescent="0.2">
      <c r="A107" s="11"/>
      <c r="B107" s="11" t="s">
        <v>1211</v>
      </c>
      <c r="C107" s="13">
        <v>728</v>
      </c>
      <c r="D107" s="13" t="s">
        <v>420</v>
      </c>
      <c r="E107" s="20">
        <v>245</v>
      </c>
      <c r="F107" s="20">
        <v>183</v>
      </c>
      <c r="G107" s="20">
        <v>106</v>
      </c>
      <c r="H107" s="13" t="s">
        <v>2734</v>
      </c>
      <c r="I107" s="13" t="str">
        <f t="shared" si="2"/>
        <v>SR 814/Atlantic Bl (State Rd 7/US 441 to Ramblewood Dr)</v>
      </c>
      <c r="J107" s="13" t="s">
        <v>29</v>
      </c>
      <c r="K107" s="13" t="str">
        <f>VLOOKUP(J107,'Data-ProjectTypes'!A$3:B$13,2,FALSE)</f>
        <v>Program</v>
      </c>
      <c r="L107" s="21" t="s">
        <v>348</v>
      </c>
      <c r="M107" s="13" t="s">
        <v>1773</v>
      </c>
      <c r="N107" s="13" t="s">
        <v>1798</v>
      </c>
      <c r="O107" s="13" t="s">
        <v>273</v>
      </c>
      <c r="P107" s="13" t="s">
        <v>273</v>
      </c>
      <c r="Q107" s="22">
        <v>2</v>
      </c>
      <c r="R107" s="23">
        <v>472996</v>
      </c>
      <c r="S107" s="21" t="s">
        <v>24</v>
      </c>
      <c r="T107" s="21"/>
      <c r="U107" s="21"/>
      <c r="V107" s="24"/>
      <c r="W107" s="24"/>
      <c r="X107" s="24"/>
      <c r="Y107" s="17" t="s">
        <v>460</v>
      </c>
      <c r="Z107" s="18">
        <f>ROUND(R107*'Data-CostAssumptions'!$C$3,-3)</f>
        <v>655000</v>
      </c>
      <c r="AA107" s="11">
        <f t="shared" si="3"/>
        <v>0</v>
      </c>
      <c r="AB107" s="11">
        <v>2041</v>
      </c>
      <c r="AC107" s="11">
        <v>2041</v>
      </c>
      <c r="AD107" s="11">
        <v>2041</v>
      </c>
      <c r="AE107" s="11">
        <v>2041</v>
      </c>
      <c r="AF107" s="11">
        <v>0</v>
      </c>
      <c r="AG107" s="19">
        <f>ROUND((Z107*'Data-CostAssumptions'!$G$5)*(1+'Data-CostAssumptions'!$G$3)^(AC107-'Data-CostAssumptions'!$G$4),-3)</f>
        <v>369000</v>
      </c>
      <c r="AH107" s="19">
        <f>ROUND((Z107)*(1+'Data-CostAssumptions'!$G$3)^(AE107-'Data-CostAssumptions'!$G$4),-3)</f>
        <v>1679000</v>
      </c>
    </row>
    <row r="108" spans="1:34" ht="15" customHeight="1" x14ac:dyDescent="0.2">
      <c r="A108" s="11"/>
      <c r="B108" s="11" t="s">
        <v>1211</v>
      </c>
      <c r="C108" s="13">
        <v>729</v>
      </c>
      <c r="D108" s="13" t="s">
        <v>420</v>
      </c>
      <c r="E108" s="20">
        <v>247</v>
      </c>
      <c r="F108" s="20">
        <v>183</v>
      </c>
      <c r="G108" s="20">
        <v>107</v>
      </c>
      <c r="H108" s="13" t="s">
        <v>1822</v>
      </c>
      <c r="I108" s="13" t="str">
        <f t="shared" si="2"/>
        <v>Kimberly Bl (State Rd 7/US 441 to SW 81st Av)</v>
      </c>
      <c r="J108" s="13" t="s">
        <v>29</v>
      </c>
      <c r="K108" s="13" t="str">
        <f>VLOOKUP(J108,'Data-ProjectTypes'!A$3:B$13,2,FALSE)</f>
        <v>Program</v>
      </c>
      <c r="L108" s="21" t="s">
        <v>348</v>
      </c>
      <c r="M108" s="13" t="s">
        <v>1773</v>
      </c>
      <c r="N108" s="13" t="s">
        <v>2134</v>
      </c>
      <c r="O108" s="13" t="s">
        <v>285</v>
      </c>
      <c r="P108" s="13" t="s">
        <v>285</v>
      </c>
      <c r="Q108" s="22">
        <v>2.1</v>
      </c>
      <c r="R108" s="23">
        <v>496219</v>
      </c>
      <c r="S108" s="21"/>
      <c r="T108" s="21"/>
      <c r="U108" s="21"/>
      <c r="V108" s="24"/>
      <c r="W108" s="24"/>
      <c r="X108" s="24"/>
      <c r="Y108" s="17"/>
      <c r="Z108" s="18">
        <f>ROUND(R108*'Data-CostAssumptions'!$C$3,-3)</f>
        <v>687000</v>
      </c>
      <c r="AA108" s="11">
        <f t="shared" si="3"/>
        <v>0</v>
      </c>
      <c r="AB108" s="11">
        <v>2041</v>
      </c>
      <c r="AC108" s="11">
        <v>2041</v>
      </c>
      <c r="AD108" s="11">
        <v>2041</v>
      </c>
      <c r="AE108" s="11">
        <v>2041</v>
      </c>
      <c r="AF108" s="11">
        <v>0</v>
      </c>
      <c r="AG108" s="19">
        <f>ROUND((Z108*'Data-CostAssumptions'!$G$5)*(1+'Data-CostAssumptions'!$G$3)^(AC108-'Data-CostAssumptions'!$G$4),-3)</f>
        <v>388000</v>
      </c>
      <c r="AH108" s="19">
        <f>ROUND((Z108)*(1+'Data-CostAssumptions'!$G$3)^(AE108-'Data-CostAssumptions'!$G$4),-3)</f>
        <v>1761000</v>
      </c>
    </row>
    <row r="109" spans="1:34" ht="15" customHeight="1" x14ac:dyDescent="0.2">
      <c r="A109" s="11"/>
      <c r="B109" s="11" t="s">
        <v>1211</v>
      </c>
      <c r="C109" s="13">
        <v>730</v>
      </c>
      <c r="D109" s="13" t="s">
        <v>420</v>
      </c>
      <c r="E109" s="20">
        <v>302</v>
      </c>
      <c r="F109" s="20">
        <v>183</v>
      </c>
      <c r="G109" s="20">
        <v>108</v>
      </c>
      <c r="H109" s="13" t="s">
        <v>1882</v>
      </c>
      <c r="I109" s="13" t="str">
        <f t="shared" si="2"/>
        <v>NE 10th St (US 1/Federal Hwy to Dixie Hwy)</v>
      </c>
      <c r="J109" s="13" t="s">
        <v>29</v>
      </c>
      <c r="K109" s="13" t="str">
        <f>VLOOKUP(J109,'Data-ProjectTypes'!A$3:B$13,2,FALSE)</f>
        <v>Program</v>
      </c>
      <c r="L109" s="21" t="s">
        <v>348</v>
      </c>
      <c r="M109" s="13" t="s">
        <v>2594</v>
      </c>
      <c r="N109" s="13" t="s">
        <v>728</v>
      </c>
      <c r="O109" s="13" t="s">
        <v>275</v>
      </c>
      <c r="P109" s="13" t="s">
        <v>275</v>
      </c>
      <c r="Q109" s="22">
        <v>1.4</v>
      </c>
      <c r="R109" s="23">
        <v>320379</v>
      </c>
      <c r="S109" s="21"/>
      <c r="T109" s="21"/>
      <c r="U109" s="21"/>
      <c r="V109" s="24"/>
      <c r="W109" s="24"/>
      <c r="X109" s="24" t="s">
        <v>766</v>
      </c>
      <c r="Y109" s="17" t="s">
        <v>765</v>
      </c>
      <c r="Z109" s="18">
        <f>ROUND(R109*'Data-CostAssumptions'!$C$3,-3)</f>
        <v>443000</v>
      </c>
      <c r="AA109" s="11">
        <f t="shared" si="3"/>
        <v>0</v>
      </c>
      <c r="AB109" s="11">
        <v>2041</v>
      </c>
      <c r="AC109" s="11">
        <v>2041</v>
      </c>
      <c r="AD109" s="11">
        <v>2041</v>
      </c>
      <c r="AE109" s="11">
        <v>2041</v>
      </c>
      <c r="AF109" s="11">
        <v>0</v>
      </c>
      <c r="AG109" s="19">
        <f>ROUND((Z109*'Data-CostAssumptions'!$G$5)*(1+'Data-CostAssumptions'!$G$3)^(AC109-'Data-CostAssumptions'!$G$4),-3)</f>
        <v>250000</v>
      </c>
      <c r="AH109" s="19">
        <f>ROUND((Z109)*(1+'Data-CostAssumptions'!$G$3)^(AE109-'Data-CostAssumptions'!$G$4),-3)</f>
        <v>1136000</v>
      </c>
    </row>
    <row r="110" spans="1:34" ht="15" customHeight="1" x14ac:dyDescent="0.2">
      <c r="A110" s="11"/>
      <c r="B110" s="11" t="s">
        <v>1211</v>
      </c>
      <c r="C110" s="13">
        <v>731</v>
      </c>
      <c r="D110" s="13" t="s">
        <v>420</v>
      </c>
      <c r="E110" s="20">
        <v>321</v>
      </c>
      <c r="F110" s="20">
        <v>183</v>
      </c>
      <c r="G110" s="20">
        <v>109</v>
      </c>
      <c r="H110" s="13" t="s">
        <v>1945</v>
      </c>
      <c r="I110" s="13" t="str">
        <f t="shared" si="2"/>
        <v>SE 30th St (US 1/Federal Hwy to Andrews Av)</v>
      </c>
      <c r="J110" s="13" t="s">
        <v>29</v>
      </c>
      <c r="K110" s="13" t="str">
        <f>VLOOKUP(J110,'Data-ProjectTypes'!A$3:B$13,2,FALSE)</f>
        <v>Program</v>
      </c>
      <c r="L110" s="21" t="s">
        <v>348</v>
      </c>
      <c r="M110" s="13" t="s">
        <v>2594</v>
      </c>
      <c r="N110" s="13" t="s">
        <v>2014</v>
      </c>
      <c r="O110" s="13" t="s">
        <v>276</v>
      </c>
      <c r="P110" s="13" t="s">
        <v>276</v>
      </c>
      <c r="Q110" s="22">
        <v>0.2</v>
      </c>
      <c r="R110" s="23">
        <v>44674</v>
      </c>
      <c r="S110" s="21"/>
      <c r="T110" s="21"/>
      <c r="U110" s="21"/>
      <c r="V110" s="24"/>
      <c r="W110" s="24"/>
      <c r="X110" s="24"/>
      <c r="Y110" s="17"/>
      <c r="Z110" s="18">
        <f>ROUND(R110*'Data-CostAssumptions'!$C$3,-3)</f>
        <v>62000</v>
      </c>
      <c r="AA110" s="11">
        <f t="shared" si="3"/>
        <v>0</v>
      </c>
      <c r="AB110" s="11">
        <v>2041</v>
      </c>
      <c r="AC110" s="11">
        <v>2041</v>
      </c>
      <c r="AD110" s="11">
        <v>2041</v>
      </c>
      <c r="AE110" s="11">
        <v>2041</v>
      </c>
      <c r="AF110" s="11">
        <v>0</v>
      </c>
      <c r="AG110" s="19">
        <f>ROUND((Z110*'Data-CostAssumptions'!$G$5)*(1+'Data-CostAssumptions'!$G$3)^(AC110-'Data-CostAssumptions'!$G$4),-3)</f>
        <v>35000</v>
      </c>
      <c r="AH110" s="19">
        <f>ROUND((Z110)*(1+'Data-CostAssumptions'!$G$3)^(AE110-'Data-CostAssumptions'!$G$4),-3)</f>
        <v>159000</v>
      </c>
    </row>
    <row r="111" spans="1:34" ht="15" customHeight="1" x14ac:dyDescent="0.2">
      <c r="A111" s="11"/>
      <c r="B111" s="11" t="s">
        <v>1211</v>
      </c>
      <c r="C111" s="13">
        <v>732</v>
      </c>
      <c r="D111" s="13" t="s">
        <v>420</v>
      </c>
      <c r="E111" s="20">
        <v>326</v>
      </c>
      <c r="F111" s="20">
        <v>183</v>
      </c>
      <c r="G111" s="20">
        <v>110</v>
      </c>
      <c r="H111" s="13" t="s">
        <v>1752</v>
      </c>
      <c r="I111" s="13" t="str">
        <f t="shared" si="2"/>
        <v>Hiatus Rd (Red Rd to Pembroke Rd)</v>
      </c>
      <c r="J111" s="13" t="s">
        <v>29</v>
      </c>
      <c r="K111" s="13" t="str">
        <f>VLOOKUP(J111,'Data-ProjectTypes'!A$3:B$13,2,FALSE)</f>
        <v>Program</v>
      </c>
      <c r="L111" s="21" t="s">
        <v>689</v>
      </c>
      <c r="M111" s="13" t="s">
        <v>156</v>
      </c>
      <c r="N111" s="13" t="s">
        <v>1760</v>
      </c>
      <c r="O111" s="13" t="s">
        <v>274</v>
      </c>
      <c r="P111" s="13" t="s">
        <v>274</v>
      </c>
      <c r="Q111" s="22">
        <v>0.7</v>
      </c>
      <c r="R111" s="23">
        <v>161595</v>
      </c>
      <c r="S111" s="21" t="s">
        <v>24</v>
      </c>
      <c r="T111" s="21" t="s">
        <v>684</v>
      </c>
      <c r="U111" s="21" t="s">
        <v>24</v>
      </c>
      <c r="V111" s="24"/>
      <c r="W111" s="24"/>
      <c r="X111" s="24"/>
      <c r="Y111" s="17" t="s">
        <v>685</v>
      </c>
      <c r="Z111" s="18">
        <f>ROUND(R111*'Data-CostAssumptions'!$C$3,-3)</f>
        <v>224000</v>
      </c>
      <c r="AA111" s="11">
        <f t="shared" si="3"/>
        <v>0</v>
      </c>
      <c r="AB111" s="11">
        <v>2041</v>
      </c>
      <c r="AC111" s="11">
        <v>2041</v>
      </c>
      <c r="AD111" s="11">
        <v>2041</v>
      </c>
      <c r="AE111" s="11">
        <v>2041</v>
      </c>
      <c r="AF111" s="11">
        <v>0</v>
      </c>
      <c r="AG111" s="19">
        <f>ROUND((Z111*'Data-CostAssumptions'!$G$5)*(1+'Data-CostAssumptions'!$G$3)^(AC111-'Data-CostAssumptions'!$G$4),-3)</f>
        <v>126000</v>
      </c>
      <c r="AH111" s="19">
        <f>ROUND((Z111)*(1+'Data-CostAssumptions'!$G$3)^(AE111-'Data-CostAssumptions'!$G$4),-3)</f>
        <v>574000</v>
      </c>
    </row>
    <row r="112" spans="1:34" ht="15" customHeight="1" x14ac:dyDescent="0.2">
      <c r="A112" s="11"/>
      <c r="B112" s="11" t="s">
        <v>1211</v>
      </c>
      <c r="C112" s="13">
        <v>733</v>
      </c>
      <c r="D112" s="13" t="s">
        <v>420</v>
      </c>
      <c r="E112" s="20">
        <v>332</v>
      </c>
      <c r="F112" s="20">
        <v>183</v>
      </c>
      <c r="G112" s="20">
        <v>111</v>
      </c>
      <c r="H112" s="13" t="s">
        <v>2102</v>
      </c>
      <c r="I112" s="13" t="str">
        <f t="shared" si="2"/>
        <v>SW 136th Av (SW 14th St to State Rd 84 (west bound))</v>
      </c>
      <c r="J112" s="13" t="s">
        <v>29</v>
      </c>
      <c r="K112" s="13" t="str">
        <f>VLOOKUP(J112,'Data-ProjectTypes'!A$3:B$13,2,FALSE)</f>
        <v>Program</v>
      </c>
      <c r="L112" s="21" t="s">
        <v>348</v>
      </c>
      <c r="M112" s="13" t="s">
        <v>2560</v>
      </c>
      <c r="N112" s="13" t="s">
        <v>2458</v>
      </c>
      <c r="O112" s="13" t="s">
        <v>272</v>
      </c>
      <c r="P112" s="13" t="s">
        <v>272</v>
      </c>
      <c r="Q112" s="22">
        <v>1.1000000000000001</v>
      </c>
      <c r="R112" s="23">
        <v>266576</v>
      </c>
      <c r="S112" s="21" t="s">
        <v>24</v>
      </c>
      <c r="T112" s="21"/>
      <c r="U112" s="21"/>
      <c r="V112" s="24"/>
      <c r="W112" s="24"/>
      <c r="X112" s="28"/>
      <c r="Y112" s="17" t="s">
        <v>469</v>
      </c>
      <c r="Z112" s="18">
        <f>ROUND(R112*'Data-CostAssumptions'!$C$3,-3)</f>
        <v>369000</v>
      </c>
      <c r="AA112" s="11">
        <f t="shared" si="3"/>
        <v>0</v>
      </c>
      <c r="AB112" s="11">
        <v>2041</v>
      </c>
      <c r="AC112" s="11">
        <v>2041</v>
      </c>
      <c r="AD112" s="11">
        <v>2041</v>
      </c>
      <c r="AE112" s="11">
        <v>2041</v>
      </c>
      <c r="AF112" s="11">
        <v>0</v>
      </c>
      <c r="AG112" s="19">
        <f>ROUND((Z112*'Data-CostAssumptions'!$G$5)*(1+'Data-CostAssumptions'!$G$3)^(AC112-'Data-CostAssumptions'!$G$4),-3)</f>
        <v>208000</v>
      </c>
      <c r="AH112" s="19">
        <f>ROUND((Z112)*(1+'Data-CostAssumptions'!$G$3)^(AE112-'Data-CostAssumptions'!$G$4),-3)</f>
        <v>946000</v>
      </c>
    </row>
    <row r="113" spans="1:34" ht="15" customHeight="1" x14ac:dyDescent="0.2">
      <c r="A113" s="11"/>
      <c r="B113" s="11" t="s">
        <v>1211</v>
      </c>
      <c r="C113" s="13">
        <v>734</v>
      </c>
      <c r="D113" s="13" t="s">
        <v>420</v>
      </c>
      <c r="E113" s="20">
        <v>3</v>
      </c>
      <c r="F113" s="20">
        <v>183</v>
      </c>
      <c r="G113" s="20">
        <v>112</v>
      </c>
      <c r="H113" s="13" t="s">
        <v>2783</v>
      </c>
      <c r="I113" s="13" t="str">
        <f t="shared" si="2"/>
        <v>SR 814/Atlantic Bl/NW 8th Court (Ramblewood Dr to Lakeview Dr)</v>
      </c>
      <c r="J113" s="13" t="s">
        <v>29</v>
      </c>
      <c r="K113" s="13" t="str">
        <f>VLOOKUP(J113,'Data-ProjectTypes'!A$3:B$13,2,FALSE)</f>
        <v>Program</v>
      </c>
      <c r="L113" s="21" t="s">
        <v>348</v>
      </c>
      <c r="M113" s="13" t="s">
        <v>1798</v>
      </c>
      <c r="N113" s="13" t="s">
        <v>1793</v>
      </c>
      <c r="O113" s="13" t="s">
        <v>273</v>
      </c>
      <c r="P113" s="13" t="s">
        <v>273</v>
      </c>
      <c r="Q113" s="22">
        <v>3.6</v>
      </c>
      <c r="R113" s="23">
        <v>843268</v>
      </c>
      <c r="S113" s="21" t="s">
        <v>24</v>
      </c>
      <c r="T113" s="21"/>
      <c r="U113" s="21"/>
      <c r="V113" s="24"/>
      <c r="W113" s="24"/>
      <c r="X113" s="24"/>
      <c r="Y113" s="17" t="s">
        <v>460</v>
      </c>
      <c r="Z113" s="18">
        <f>ROUND(R113*'Data-CostAssumptions'!$C$3,-3)</f>
        <v>1167000</v>
      </c>
      <c r="AA113" s="11">
        <f t="shared" si="3"/>
        <v>0</v>
      </c>
      <c r="AB113" s="11">
        <v>2041</v>
      </c>
      <c r="AC113" s="11">
        <v>2041</v>
      </c>
      <c r="AD113" s="11">
        <v>2041</v>
      </c>
      <c r="AE113" s="11">
        <v>2041</v>
      </c>
      <c r="AF113" s="11">
        <v>0</v>
      </c>
      <c r="AG113" s="19">
        <f>ROUND((Z113*'Data-CostAssumptions'!$G$5)*(1+'Data-CostAssumptions'!$G$3)^(AC113-'Data-CostAssumptions'!$G$4),-3)</f>
        <v>658000</v>
      </c>
      <c r="AH113" s="19">
        <f>ROUND((Z113)*(1+'Data-CostAssumptions'!$G$3)^(AE113-'Data-CostAssumptions'!$G$4),-3)</f>
        <v>2992000</v>
      </c>
    </row>
    <row r="114" spans="1:34" ht="15" customHeight="1" x14ac:dyDescent="0.2">
      <c r="A114" s="11"/>
      <c r="B114" s="11" t="s">
        <v>1211</v>
      </c>
      <c r="C114" s="13">
        <v>735</v>
      </c>
      <c r="D114" s="13" t="s">
        <v>420</v>
      </c>
      <c r="E114" s="20">
        <v>7</v>
      </c>
      <c r="F114" s="20">
        <v>183</v>
      </c>
      <c r="G114" s="20">
        <v>113</v>
      </c>
      <c r="H114" s="13" t="s">
        <v>1780</v>
      </c>
      <c r="I114" s="13" t="str">
        <f t="shared" si="2"/>
        <v>Wiles Rd (University Dr to Coral Ridge Dr)</v>
      </c>
      <c r="J114" s="13" t="s">
        <v>29</v>
      </c>
      <c r="K114" s="13" t="str">
        <f>VLOOKUP(J114,'Data-ProjectTypes'!A$3:B$13,2,FALSE)</f>
        <v>Program</v>
      </c>
      <c r="L114" s="21" t="s">
        <v>348</v>
      </c>
      <c r="M114" s="13" t="s">
        <v>1804</v>
      </c>
      <c r="N114" s="13" t="s">
        <v>1786</v>
      </c>
      <c r="O114" s="13" t="s">
        <v>273</v>
      </c>
      <c r="P114" s="13" t="s">
        <v>273</v>
      </c>
      <c r="Q114" s="22">
        <v>2</v>
      </c>
      <c r="R114" s="23">
        <v>463949</v>
      </c>
      <c r="S114" s="21" t="s">
        <v>24</v>
      </c>
      <c r="T114" s="21"/>
      <c r="U114" s="21"/>
      <c r="V114" s="24"/>
      <c r="W114" s="24"/>
      <c r="X114" s="28"/>
      <c r="Y114" s="17" t="s">
        <v>460</v>
      </c>
      <c r="Z114" s="18">
        <f>ROUND(R114*'Data-CostAssumptions'!$C$3,-3)</f>
        <v>642000</v>
      </c>
      <c r="AA114" s="11">
        <f t="shared" si="3"/>
        <v>0</v>
      </c>
      <c r="AB114" s="11">
        <v>2041</v>
      </c>
      <c r="AC114" s="11">
        <v>2041</v>
      </c>
      <c r="AD114" s="11">
        <v>2041</v>
      </c>
      <c r="AE114" s="11">
        <v>2041</v>
      </c>
      <c r="AF114" s="11">
        <v>0</v>
      </c>
      <c r="AG114" s="19">
        <f>ROUND((Z114*'Data-CostAssumptions'!$G$5)*(1+'Data-CostAssumptions'!$G$3)^(AC114-'Data-CostAssumptions'!$G$4),-3)</f>
        <v>362000</v>
      </c>
      <c r="AH114" s="19">
        <f>ROUND((Z114)*(1+'Data-CostAssumptions'!$G$3)^(AE114-'Data-CostAssumptions'!$G$4),-3)</f>
        <v>1646000</v>
      </c>
    </row>
    <row r="115" spans="1:34" ht="15" customHeight="1" x14ac:dyDescent="0.2">
      <c r="A115" s="11"/>
      <c r="B115" s="11" t="s">
        <v>1211</v>
      </c>
      <c r="C115" s="13">
        <v>736</v>
      </c>
      <c r="D115" s="13" t="s">
        <v>420</v>
      </c>
      <c r="E115" s="20">
        <v>14</v>
      </c>
      <c r="F115" s="20">
        <v>183</v>
      </c>
      <c r="G115" s="20">
        <v>114</v>
      </c>
      <c r="H115" s="13" t="s">
        <v>1745</v>
      </c>
      <c r="I115" s="13" t="str">
        <f t="shared" si="2"/>
        <v>Banks Rd (Copans Rd to Sample Rd)</v>
      </c>
      <c r="J115" s="13" t="s">
        <v>29</v>
      </c>
      <c r="K115" s="13" t="str">
        <f>VLOOKUP(J115,'Data-ProjectTypes'!A$3:B$13,2,FALSE)</f>
        <v>Program</v>
      </c>
      <c r="L115" s="21" t="s">
        <v>348</v>
      </c>
      <c r="M115" s="13" t="s">
        <v>1836</v>
      </c>
      <c r="N115" s="13" t="s">
        <v>1864</v>
      </c>
      <c r="O115" s="13" t="s">
        <v>272</v>
      </c>
      <c r="P115" s="13" t="s">
        <v>272</v>
      </c>
      <c r="Q115" s="22">
        <v>1.3</v>
      </c>
      <c r="R115" s="23">
        <v>302791</v>
      </c>
      <c r="S115" s="21"/>
      <c r="T115" s="21"/>
      <c r="U115" s="21"/>
      <c r="V115" s="24"/>
      <c r="W115" s="24"/>
      <c r="X115" s="24"/>
      <c r="Y115" s="17"/>
      <c r="Z115" s="18">
        <f>ROUND(R115*'Data-CostAssumptions'!$C$3,-3)</f>
        <v>419000</v>
      </c>
      <c r="AA115" s="11">
        <f t="shared" si="3"/>
        <v>0</v>
      </c>
      <c r="AB115" s="11">
        <v>2041</v>
      </c>
      <c r="AC115" s="11">
        <v>2041</v>
      </c>
      <c r="AD115" s="11">
        <v>2041</v>
      </c>
      <c r="AE115" s="11">
        <v>2041</v>
      </c>
      <c r="AF115" s="11">
        <v>0</v>
      </c>
      <c r="AG115" s="19">
        <f>ROUND((Z115*'Data-CostAssumptions'!$G$5)*(1+'Data-CostAssumptions'!$G$3)^(AC115-'Data-CostAssumptions'!$G$4),-3)</f>
        <v>236000</v>
      </c>
      <c r="AH115" s="19">
        <f>ROUND((Z115)*(1+'Data-CostAssumptions'!$G$3)^(AE115-'Data-CostAssumptions'!$G$4),-3)</f>
        <v>1074000</v>
      </c>
    </row>
    <row r="116" spans="1:34" ht="15" customHeight="1" x14ac:dyDescent="0.2">
      <c r="A116" s="11"/>
      <c r="B116" s="11" t="s">
        <v>1211</v>
      </c>
      <c r="C116" s="13">
        <v>737</v>
      </c>
      <c r="D116" s="13" t="s">
        <v>420</v>
      </c>
      <c r="E116" s="20">
        <v>15</v>
      </c>
      <c r="F116" s="20">
        <v>183</v>
      </c>
      <c r="G116" s="20">
        <v>115</v>
      </c>
      <c r="H116" s="13" t="s">
        <v>57</v>
      </c>
      <c r="I116" s="13" t="str">
        <f t="shared" si="2"/>
        <v>SR 7/US 441 (Copans Rd to Sample Rd)</v>
      </c>
      <c r="J116" s="13" t="s">
        <v>29</v>
      </c>
      <c r="K116" s="13" t="str">
        <f>VLOOKUP(J116,'Data-ProjectTypes'!A$3:B$13,2,FALSE)</f>
        <v>Program</v>
      </c>
      <c r="L116" s="21" t="s">
        <v>348</v>
      </c>
      <c r="M116" s="13" t="s">
        <v>1836</v>
      </c>
      <c r="N116" s="13" t="s">
        <v>1864</v>
      </c>
      <c r="O116" s="13" t="s">
        <v>270</v>
      </c>
      <c r="P116" s="13" t="s">
        <v>270</v>
      </c>
      <c r="Q116" s="22">
        <v>1.4</v>
      </c>
      <c r="R116" s="23">
        <v>316208</v>
      </c>
      <c r="S116" s="21"/>
      <c r="T116" s="21"/>
      <c r="U116" s="21"/>
      <c r="V116" s="24"/>
      <c r="W116" s="24"/>
      <c r="X116" s="24"/>
      <c r="Y116" s="17"/>
      <c r="Z116" s="18">
        <f>ROUND(R116*'Data-CostAssumptions'!$C$3,-3)</f>
        <v>438000</v>
      </c>
      <c r="AA116" s="11">
        <f t="shared" si="3"/>
        <v>0</v>
      </c>
      <c r="AB116" s="11">
        <v>2041</v>
      </c>
      <c r="AC116" s="11">
        <v>2041</v>
      </c>
      <c r="AD116" s="11">
        <v>2041</v>
      </c>
      <c r="AE116" s="11">
        <v>2041</v>
      </c>
      <c r="AF116" s="11">
        <v>0</v>
      </c>
      <c r="AG116" s="19">
        <f>ROUND((Z116*'Data-CostAssumptions'!$G$5)*(1+'Data-CostAssumptions'!$G$3)^(AC116-'Data-CostAssumptions'!$G$4),-3)</f>
        <v>247000</v>
      </c>
      <c r="AH116" s="19">
        <f>ROUND((Z116)*(1+'Data-CostAssumptions'!$G$3)^(AE116-'Data-CostAssumptions'!$G$4),-3)</f>
        <v>1123000</v>
      </c>
    </row>
    <row r="117" spans="1:34" ht="15" customHeight="1" x14ac:dyDescent="0.2">
      <c r="A117" s="11"/>
      <c r="B117" s="11" t="s">
        <v>1211</v>
      </c>
      <c r="C117" s="13">
        <v>738</v>
      </c>
      <c r="D117" s="13" t="s">
        <v>420</v>
      </c>
      <c r="E117" s="20">
        <v>16</v>
      </c>
      <c r="F117" s="20">
        <v>183</v>
      </c>
      <c r="G117" s="20">
        <v>116</v>
      </c>
      <c r="H117" s="13" t="s">
        <v>1799</v>
      </c>
      <c r="I117" s="13" t="str">
        <f t="shared" si="2"/>
        <v>Riverside Dr (Sample Rd to Holmberg Rd)</v>
      </c>
      <c r="J117" s="13" t="s">
        <v>29</v>
      </c>
      <c r="K117" s="13" t="str">
        <f>VLOOKUP(J117,'Data-ProjectTypes'!A$3:B$13,2,FALSE)</f>
        <v>Program</v>
      </c>
      <c r="L117" s="21" t="s">
        <v>348</v>
      </c>
      <c r="M117" s="13" t="s">
        <v>1864</v>
      </c>
      <c r="N117" s="13" t="s">
        <v>2404</v>
      </c>
      <c r="O117" s="13" t="s">
        <v>273</v>
      </c>
      <c r="P117" s="13" t="s">
        <v>273</v>
      </c>
      <c r="Q117" s="22">
        <v>2.8</v>
      </c>
      <c r="R117" s="23">
        <v>641336</v>
      </c>
      <c r="S117" s="21" t="s">
        <v>24</v>
      </c>
      <c r="T117" s="21"/>
      <c r="U117" s="21"/>
      <c r="V117" s="24"/>
      <c r="W117" s="31" t="s">
        <v>746</v>
      </c>
      <c r="X117" s="31" t="s">
        <v>744</v>
      </c>
      <c r="Y117" s="17" t="s">
        <v>742</v>
      </c>
      <c r="Z117" s="18">
        <f>ROUND(R117*'Data-CostAssumptions'!$C$3,-3)</f>
        <v>888000</v>
      </c>
      <c r="AA117" s="11">
        <f t="shared" si="3"/>
        <v>1</v>
      </c>
      <c r="AB117" s="11">
        <v>2041</v>
      </c>
      <c r="AC117" s="11">
        <v>2041</v>
      </c>
      <c r="AD117" s="11">
        <v>2041</v>
      </c>
      <c r="AE117" s="11">
        <v>2041</v>
      </c>
      <c r="AF117" s="11">
        <v>0</v>
      </c>
      <c r="AG117" s="19">
        <f>ROUND((Z117*'Data-CostAssumptions'!$G$5)*(1+'Data-CostAssumptions'!$G$3)^(AC117-'Data-CostAssumptions'!$G$4),-3)</f>
        <v>501000</v>
      </c>
      <c r="AH117" s="19">
        <f>ROUND((Z117)*(1+'Data-CostAssumptions'!$G$3)^(AE117-'Data-CostAssumptions'!$G$4),-3)</f>
        <v>2277000</v>
      </c>
    </row>
    <row r="118" spans="1:34" ht="15" customHeight="1" x14ac:dyDescent="0.2">
      <c r="A118" s="11"/>
      <c r="B118" s="11" t="s">
        <v>1211</v>
      </c>
      <c r="C118" s="13">
        <v>739</v>
      </c>
      <c r="D118" s="13" t="s">
        <v>420</v>
      </c>
      <c r="E118" s="20">
        <v>18</v>
      </c>
      <c r="F118" s="20">
        <v>183</v>
      </c>
      <c r="G118" s="20">
        <v>117</v>
      </c>
      <c r="H118" s="13" t="s">
        <v>1827</v>
      </c>
      <c r="I118" s="13" t="str">
        <f t="shared" si="2"/>
        <v>Royal Palm Bl (Rock Island Rd to University Dr)</v>
      </c>
      <c r="J118" s="13" t="s">
        <v>29</v>
      </c>
      <c r="K118" s="13" t="str">
        <f>VLOOKUP(J118,'Data-ProjectTypes'!A$3:B$13,2,FALSE)</f>
        <v>Program</v>
      </c>
      <c r="L118" s="21" t="s">
        <v>348</v>
      </c>
      <c r="M118" s="13" t="s">
        <v>1768</v>
      </c>
      <c r="N118" s="13" t="s">
        <v>1804</v>
      </c>
      <c r="O118" s="13" t="s">
        <v>272</v>
      </c>
      <c r="P118" s="13" t="s">
        <v>272</v>
      </c>
      <c r="Q118" s="22">
        <v>1.9</v>
      </c>
      <c r="R118" s="23">
        <v>429187</v>
      </c>
      <c r="S118" s="21" t="s">
        <v>24</v>
      </c>
      <c r="T118" s="21"/>
      <c r="U118" s="21"/>
      <c r="V118" s="24"/>
      <c r="W118" s="24"/>
      <c r="X118" s="24"/>
      <c r="Y118" s="17" t="s">
        <v>460</v>
      </c>
      <c r="Z118" s="18">
        <f>ROUND(R118*'Data-CostAssumptions'!$C$3,-3)</f>
        <v>594000</v>
      </c>
      <c r="AA118" s="11">
        <f t="shared" si="3"/>
        <v>0</v>
      </c>
      <c r="AB118" s="11">
        <v>2041</v>
      </c>
      <c r="AC118" s="11">
        <v>2041</v>
      </c>
      <c r="AD118" s="11">
        <v>2041</v>
      </c>
      <c r="AE118" s="11">
        <v>2041</v>
      </c>
      <c r="AF118" s="11">
        <v>0</v>
      </c>
      <c r="AG118" s="19">
        <f>ROUND((Z118*'Data-CostAssumptions'!$G$5)*(1+'Data-CostAssumptions'!$G$3)^(AC118-'Data-CostAssumptions'!$G$4),-3)</f>
        <v>335000</v>
      </c>
      <c r="AH118" s="19">
        <f>ROUND((Z118)*(1+'Data-CostAssumptions'!$G$3)^(AE118-'Data-CostAssumptions'!$G$4),-3)</f>
        <v>1523000</v>
      </c>
    </row>
    <row r="119" spans="1:34" ht="15" customHeight="1" x14ac:dyDescent="0.2">
      <c r="A119" s="11"/>
      <c r="B119" s="11" t="s">
        <v>1211</v>
      </c>
      <c r="C119" s="13">
        <v>741</v>
      </c>
      <c r="D119" s="13" t="s">
        <v>420</v>
      </c>
      <c r="E119" s="20">
        <v>39</v>
      </c>
      <c r="F119" s="20">
        <v>183</v>
      </c>
      <c r="G119" s="20">
        <v>118</v>
      </c>
      <c r="H119" s="13" t="s">
        <v>1871</v>
      </c>
      <c r="I119" s="13" t="str">
        <f t="shared" si="2"/>
        <v>48th St/49th St (SR 5/US 1 to NE 3rd Av)</v>
      </c>
      <c r="J119" s="13" t="s">
        <v>29</v>
      </c>
      <c r="K119" s="13" t="str">
        <f>VLOOKUP(J119,'Data-ProjectTypes'!A$3:B$13,2,FALSE)</f>
        <v>Program</v>
      </c>
      <c r="L119" s="21" t="s">
        <v>348</v>
      </c>
      <c r="M119" s="13" t="s">
        <v>1424</v>
      </c>
      <c r="N119" s="13" t="s">
        <v>2033</v>
      </c>
      <c r="O119" s="13" t="s">
        <v>273</v>
      </c>
      <c r="P119" s="13" t="s">
        <v>273</v>
      </c>
      <c r="Q119" s="22">
        <v>1.5</v>
      </c>
      <c r="R119" s="23">
        <v>359178</v>
      </c>
      <c r="S119" s="21"/>
      <c r="T119" s="21"/>
      <c r="U119" s="21"/>
      <c r="V119" s="24"/>
      <c r="W119" s="24" t="s">
        <v>676</v>
      </c>
      <c r="X119" s="32" t="s">
        <v>499</v>
      </c>
      <c r="Y119" s="17" t="s">
        <v>673</v>
      </c>
      <c r="Z119" s="18">
        <f>ROUND(R119*'Data-CostAssumptions'!$C$3,-3)</f>
        <v>497000</v>
      </c>
      <c r="AA119" s="11">
        <f t="shared" si="3"/>
        <v>1</v>
      </c>
      <c r="AB119" s="11">
        <v>2041</v>
      </c>
      <c r="AC119" s="11">
        <v>2041</v>
      </c>
      <c r="AD119" s="11">
        <v>2041</v>
      </c>
      <c r="AE119" s="11">
        <v>2041</v>
      </c>
      <c r="AF119" s="11">
        <v>0</v>
      </c>
      <c r="AG119" s="19">
        <f>ROUND((Z119*'Data-CostAssumptions'!$G$5)*(1+'Data-CostAssumptions'!$G$3)^(AC119-'Data-CostAssumptions'!$G$4),-3)</f>
        <v>280000</v>
      </c>
      <c r="AH119" s="19">
        <f>ROUND((Z119)*(1+'Data-CostAssumptions'!$G$3)^(AE119-'Data-CostAssumptions'!$G$4),-3)</f>
        <v>1274000</v>
      </c>
    </row>
    <row r="120" spans="1:34" ht="15" customHeight="1" x14ac:dyDescent="0.2">
      <c r="A120" s="11"/>
      <c r="B120" s="11" t="s">
        <v>1211</v>
      </c>
      <c r="C120" s="13">
        <v>742</v>
      </c>
      <c r="D120" s="13" t="s">
        <v>420</v>
      </c>
      <c r="E120" s="20">
        <v>49</v>
      </c>
      <c r="F120" s="20">
        <v>183</v>
      </c>
      <c r="G120" s="20">
        <v>119</v>
      </c>
      <c r="H120" s="13" t="s">
        <v>2102</v>
      </c>
      <c r="I120" s="13" t="str">
        <f t="shared" si="2"/>
        <v>SW 136th Av (State Rd 84 to Sunrise Bl)</v>
      </c>
      <c r="J120" s="13" t="s">
        <v>29</v>
      </c>
      <c r="K120" s="13" t="str">
        <f>VLOOKUP(J120,'Data-ProjectTypes'!A$3:B$13,2,FALSE)</f>
        <v>Program</v>
      </c>
      <c r="L120" s="21" t="s">
        <v>348</v>
      </c>
      <c r="M120" s="13" t="s">
        <v>1774</v>
      </c>
      <c r="N120" s="13" t="s">
        <v>1830</v>
      </c>
      <c r="O120" s="13" t="s">
        <v>273</v>
      </c>
      <c r="P120" s="13" t="s">
        <v>273</v>
      </c>
      <c r="Q120" s="22">
        <v>1.9</v>
      </c>
      <c r="R120" s="23">
        <v>827000</v>
      </c>
      <c r="S120" s="21"/>
      <c r="T120" s="21"/>
      <c r="U120" s="21"/>
      <c r="V120" s="24"/>
      <c r="W120" s="24"/>
      <c r="X120" s="24" t="s">
        <v>815</v>
      </c>
      <c r="Y120" s="17" t="s">
        <v>806</v>
      </c>
      <c r="Z120" s="18">
        <f>ROUND(R120*'Data-CostAssumptions'!$C$3,-3)</f>
        <v>1145000</v>
      </c>
      <c r="AA120" s="11">
        <f t="shared" si="3"/>
        <v>0</v>
      </c>
      <c r="AB120" s="11">
        <v>2041</v>
      </c>
      <c r="AC120" s="11">
        <v>2041</v>
      </c>
      <c r="AD120" s="11">
        <v>2041</v>
      </c>
      <c r="AE120" s="11">
        <v>2041</v>
      </c>
      <c r="AF120" s="11">
        <v>0</v>
      </c>
      <c r="AG120" s="19">
        <f>ROUND((Z120*'Data-CostAssumptions'!$G$5)*(1+'Data-CostAssumptions'!$G$3)^(AC120-'Data-CostAssumptions'!$G$4),-3)</f>
        <v>646000</v>
      </c>
      <c r="AH120" s="19">
        <f>ROUND((Z120)*(1+'Data-CostAssumptions'!$G$3)^(AE120-'Data-CostAssumptions'!$G$4),-3)</f>
        <v>2936000</v>
      </c>
    </row>
    <row r="121" spans="1:34" ht="15" customHeight="1" x14ac:dyDescent="0.2">
      <c r="A121" s="11"/>
      <c r="B121" s="11" t="s">
        <v>1211</v>
      </c>
      <c r="C121" s="13">
        <v>743</v>
      </c>
      <c r="D121" s="13" t="s">
        <v>420</v>
      </c>
      <c r="E121" s="20">
        <v>60</v>
      </c>
      <c r="F121" s="20">
        <v>183</v>
      </c>
      <c r="G121" s="20">
        <v>120</v>
      </c>
      <c r="H121" s="13" t="s">
        <v>1977</v>
      </c>
      <c r="I121" s="13" t="str">
        <f t="shared" si="2"/>
        <v>Miramar Pkwy (Palm Av to Flamingo Rd)</v>
      </c>
      <c r="J121" s="13" t="s">
        <v>29</v>
      </c>
      <c r="K121" s="13" t="str">
        <f>VLOOKUP(J121,'Data-ProjectTypes'!A$3:B$13,2,FALSE)</f>
        <v>Program</v>
      </c>
      <c r="L121" s="21" t="s">
        <v>348</v>
      </c>
      <c r="M121" s="13" t="s">
        <v>2083</v>
      </c>
      <c r="N121" s="13" t="s">
        <v>159</v>
      </c>
      <c r="O121" s="13" t="s">
        <v>274</v>
      </c>
      <c r="P121" s="13" t="s">
        <v>274</v>
      </c>
      <c r="Q121" s="22">
        <v>2</v>
      </c>
      <c r="R121" s="23">
        <v>471213</v>
      </c>
      <c r="S121" s="21" t="s">
        <v>24</v>
      </c>
      <c r="T121" s="21" t="s">
        <v>684</v>
      </c>
      <c r="U121" s="21" t="s">
        <v>684</v>
      </c>
      <c r="V121" s="24"/>
      <c r="W121" s="24"/>
      <c r="X121" s="24"/>
      <c r="Y121" s="17" t="s">
        <v>685</v>
      </c>
      <c r="Z121" s="18">
        <f>ROUND(R121*'Data-CostAssumptions'!$C$3,-3)</f>
        <v>652000</v>
      </c>
      <c r="AA121" s="11">
        <f t="shared" si="3"/>
        <v>0</v>
      </c>
      <c r="AB121" s="11">
        <v>2041</v>
      </c>
      <c r="AC121" s="11">
        <v>2041</v>
      </c>
      <c r="AD121" s="11">
        <v>2041</v>
      </c>
      <c r="AE121" s="11">
        <v>2041</v>
      </c>
      <c r="AF121" s="11">
        <v>0</v>
      </c>
      <c r="AG121" s="19">
        <f>ROUND((Z121*'Data-CostAssumptions'!$G$5)*(1+'Data-CostAssumptions'!$G$3)^(AC121-'Data-CostAssumptions'!$G$4),-3)</f>
        <v>368000</v>
      </c>
      <c r="AH121" s="19">
        <f>ROUND((Z121)*(1+'Data-CostAssumptions'!$G$3)^(AE121-'Data-CostAssumptions'!$G$4),-3)</f>
        <v>1672000</v>
      </c>
    </row>
    <row r="122" spans="1:34" ht="15" customHeight="1" x14ac:dyDescent="0.2">
      <c r="A122" s="11"/>
      <c r="B122" s="11" t="s">
        <v>1211</v>
      </c>
      <c r="C122" s="13">
        <v>744</v>
      </c>
      <c r="D122" s="13" t="s">
        <v>420</v>
      </c>
      <c r="E122" s="20">
        <v>61</v>
      </c>
      <c r="F122" s="20">
        <v>183</v>
      </c>
      <c r="G122" s="20">
        <v>121</v>
      </c>
      <c r="H122" s="13" t="s">
        <v>2710</v>
      </c>
      <c r="I122" s="13" t="str">
        <f t="shared" si="2"/>
        <v>SR 816/Oakland Park Bl (A1A/Ocean Bl to US 1/Federal Hwy)</v>
      </c>
      <c r="J122" s="13" t="s">
        <v>29</v>
      </c>
      <c r="K122" s="13" t="str">
        <f>VLOOKUP(J122,'Data-ProjectTypes'!A$3:B$13,2,FALSE)</f>
        <v>Program</v>
      </c>
      <c r="L122" s="21" t="s">
        <v>348</v>
      </c>
      <c r="M122" s="13" t="s">
        <v>1808</v>
      </c>
      <c r="N122" s="13" t="s">
        <v>2594</v>
      </c>
      <c r="O122" s="13" t="s">
        <v>270</v>
      </c>
      <c r="P122" s="13" t="s">
        <v>270</v>
      </c>
      <c r="Q122" s="22">
        <v>1</v>
      </c>
      <c r="R122" s="23">
        <v>236654</v>
      </c>
      <c r="S122" s="21"/>
      <c r="T122" s="21"/>
      <c r="U122" s="21"/>
      <c r="V122" s="24"/>
      <c r="W122" s="24"/>
      <c r="X122" s="24"/>
      <c r="Y122" s="17"/>
      <c r="Z122" s="18">
        <f>ROUND(R122*'Data-CostAssumptions'!$C$3,-3)</f>
        <v>328000</v>
      </c>
      <c r="AA122" s="11">
        <f t="shared" si="3"/>
        <v>0</v>
      </c>
      <c r="AB122" s="11">
        <v>2041</v>
      </c>
      <c r="AC122" s="11">
        <v>2041</v>
      </c>
      <c r="AD122" s="11">
        <v>2041</v>
      </c>
      <c r="AE122" s="11">
        <v>2041</v>
      </c>
      <c r="AF122" s="11">
        <v>0</v>
      </c>
      <c r="AG122" s="19">
        <f>ROUND((Z122*'Data-CostAssumptions'!$G$5)*(1+'Data-CostAssumptions'!$G$3)^(AC122-'Data-CostAssumptions'!$G$4),-3)</f>
        <v>185000</v>
      </c>
      <c r="AH122" s="19">
        <f>ROUND((Z122)*(1+'Data-CostAssumptions'!$G$3)^(AE122-'Data-CostAssumptions'!$G$4),-3)</f>
        <v>841000</v>
      </c>
    </row>
    <row r="123" spans="1:34" ht="15" customHeight="1" x14ac:dyDescent="0.2">
      <c r="A123" s="11"/>
      <c r="B123" s="11" t="s">
        <v>1211</v>
      </c>
      <c r="C123" s="13">
        <v>745</v>
      </c>
      <c r="D123" s="13" t="s">
        <v>420</v>
      </c>
      <c r="E123" s="20">
        <v>68</v>
      </c>
      <c r="F123" s="20">
        <v>183</v>
      </c>
      <c r="G123" s="20">
        <v>122</v>
      </c>
      <c r="H123" s="13" t="s">
        <v>2014</v>
      </c>
      <c r="I123" s="13" t="str">
        <f t="shared" si="2"/>
        <v>Andrews Av (SW 3rd St to Atlantic Bl)</v>
      </c>
      <c r="J123" s="13" t="s">
        <v>29</v>
      </c>
      <c r="K123" s="13" t="str">
        <f>VLOOKUP(J123,'Data-ProjectTypes'!A$3:B$13,2,FALSE)</f>
        <v>Program</v>
      </c>
      <c r="L123" s="21" t="s">
        <v>348</v>
      </c>
      <c r="M123" s="13" t="s">
        <v>1962</v>
      </c>
      <c r="N123" s="13" t="s">
        <v>1809</v>
      </c>
      <c r="O123" s="13" t="s">
        <v>273</v>
      </c>
      <c r="P123" s="13" t="s">
        <v>273</v>
      </c>
      <c r="Q123" s="22">
        <v>0.4</v>
      </c>
      <c r="R123" s="23">
        <v>97744</v>
      </c>
      <c r="S123" s="21"/>
      <c r="T123" s="21"/>
      <c r="U123" s="21"/>
      <c r="V123" s="24"/>
      <c r="W123" s="24"/>
      <c r="X123" s="24" t="s">
        <v>777</v>
      </c>
      <c r="Y123" s="17" t="s">
        <v>765</v>
      </c>
      <c r="Z123" s="18">
        <f>ROUND(R123*'Data-CostAssumptions'!$C$3,-3)</f>
        <v>135000</v>
      </c>
      <c r="AA123" s="11">
        <f t="shared" si="3"/>
        <v>0</v>
      </c>
      <c r="AB123" s="11">
        <v>2041</v>
      </c>
      <c r="AC123" s="11">
        <v>2041</v>
      </c>
      <c r="AD123" s="11">
        <v>2041</v>
      </c>
      <c r="AE123" s="11">
        <v>2041</v>
      </c>
      <c r="AF123" s="11">
        <v>0</v>
      </c>
      <c r="AG123" s="19">
        <f>ROUND((Z123*'Data-CostAssumptions'!$G$5)*(1+'Data-CostAssumptions'!$G$3)^(AC123-'Data-CostAssumptions'!$G$4),-3)</f>
        <v>76000</v>
      </c>
      <c r="AH123" s="19">
        <f>ROUND((Z123)*(1+'Data-CostAssumptions'!$G$3)^(AE123-'Data-CostAssumptions'!$G$4),-3)</f>
        <v>346000</v>
      </c>
    </row>
    <row r="124" spans="1:34" ht="15" customHeight="1" x14ac:dyDescent="0.2">
      <c r="A124" s="11"/>
      <c r="B124" s="11" t="s">
        <v>1211</v>
      </c>
      <c r="C124" s="13">
        <v>746</v>
      </c>
      <c r="D124" s="13" t="s">
        <v>420</v>
      </c>
      <c r="E124" s="20">
        <v>71</v>
      </c>
      <c r="F124" s="20">
        <v>184</v>
      </c>
      <c r="G124" s="20">
        <v>123</v>
      </c>
      <c r="H124" s="13" t="s">
        <v>1860</v>
      </c>
      <c r="I124" s="13" t="str">
        <f t="shared" si="2"/>
        <v>Race Track Rd/Palmetto Park Place (SW 15th Av to Powerline Rd/SW 26th Av)</v>
      </c>
      <c r="J124" s="13" t="s">
        <v>29</v>
      </c>
      <c r="K124" s="13" t="str">
        <f>VLOOKUP(J124,'Data-ProjectTypes'!A$3:B$13,2,FALSE)</f>
        <v>Program</v>
      </c>
      <c r="L124" s="21" t="s">
        <v>348</v>
      </c>
      <c r="M124" s="13" t="s">
        <v>2106</v>
      </c>
      <c r="N124" s="13" t="s">
        <v>2445</v>
      </c>
      <c r="O124" s="13" t="s">
        <v>273</v>
      </c>
      <c r="P124" s="13" t="s">
        <v>273</v>
      </c>
      <c r="Q124" s="22">
        <v>0.8</v>
      </c>
      <c r="R124" s="23">
        <v>177836</v>
      </c>
      <c r="S124" s="21"/>
      <c r="T124" s="21"/>
      <c r="U124" s="21"/>
      <c r="V124" s="24"/>
      <c r="W124" s="24"/>
      <c r="X124" s="24"/>
      <c r="Y124" s="17"/>
      <c r="Z124" s="18">
        <f>ROUND(R124*'Data-CostAssumptions'!$C$3,-3)</f>
        <v>246000</v>
      </c>
      <c r="AA124" s="11">
        <f t="shared" si="3"/>
        <v>0</v>
      </c>
      <c r="AB124" s="11">
        <v>2041</v>
      </c>
      <c r="AC124" s="11">
        <v>2041</v>
      </c>
      <c r="AD124" s="11">
        <v>2041</v>
      </c>
      <c r="AE124" s="11">
        <v>2041</v>
      </c>
      <c r="AF124" s="11">
        <v>0</v>
      </c>
      <c r="AG124" s="19">
        <f>ROUND((Z124*'Data-CostAssumptions'!$G$5)*(1+'Data-CostAssumptions'!$G$3)^(AC124-'Data-CostAssumptions'!$G$4),-3)</f>
        <v>139000</v>
      </c>
      <c r="AH124" s="19">
        <f>ROUND((Z124)*(1+'Data-CostAssumptions'!$G$3)^(AE124-'Data-CostAssumptions'!$G$4),-3)</f>
        <v>631000</v>
      </c>
    </row>
    <row r="125" spans="1:34" ht="15" customHeight="1" x14ac:dyDescent="0.2">
      <c r="A125" s="11"/>
      <c r="B125" s="11" t="s">
        <v>1211</v>
      </c>
      <c r="C125" s="13">
        <v>747</v>
      </c>
      <c r="D125" s="13" t="s">
        <v>420</v>
      </c>
      <c r="E125" s="20">
        <v>76</v>
      </c>
      <c r="F125" s="20">
        <v>184</v>
      </c>
      <c r="G125" s="20">
        <v>124</v>
      </c>
      <c r="H125" s="13" t="s">
        <v>1847</v>
      </c>
      <c r="I125" s="13" t="str">
        <f t="shared" si="2"/>
        <v>Floranada Rd (SR 5/US 1 to Dixie Hwy)</v>
      </c>
      <c r="J125" s="13" t="s">
        <v>29</v>
      </c>
      <c r="K125" s="13" t="str">
        <f>VLOOKUP(J125,'Data-ProjectTypes'!A$3:B$13,2,FALSE)</f>
        <v>Program</v>
      </c>
      <c r="L125" s="21" t="s">
        <v>705</v>
      </c>
      <c r="M125" s="13" t="s">
        <v>1424</v>
      </c>
      <c r="N125" s="13" t="s">
        <v>728</v>
      </c>
      <c r="O125" s="13" t="s">
        <v>272</v>
      </c>
      <c r="P125" s="13" t="s">
        <v>272</v>
      </c>
      <c r="Q125" s="22">
        <v>1</v>
      </c>
      <c r="R125" s="23">
        <v>229062</v>
      </c>
      <c r="S125" s="21" t="s">
        <v>24</v>
      </c>
      <c r="T125" s="21" t="s">
        <v>24</v>
      </c>
      <c r="U125" s="21" t="s">
        <v>24</v>
      </c>
      <c r="V125" s="24" t="s">
        <v>699</v>
      </c>
      <c r="W125" s="24"/>
      <c r="X125" s="29" t="s">
        <v>705</v>
      </c>
      <c r="Y125" s="17" t="s">
        <v>287</v>
      </c>
      <c r="Z125" s="18">
        <f>ROUND(R125*'Data-CostAssumptions'!$C$3,-3)</f>
        <v>317000</v>
      </c>
      <c r="AA125" s="11">
        <f t="shared" si="3"/>
        <v>1</v>
      </c>
      <c r="AB125" s="11">
        <v>2041</v>
      </c>
      <c r="AC125" s="11">
        <v>2041</v>
      </c>
      <c r="AD125" s="11">
        <v>2041</v>
      </c>
      <c r="AE125" s="11">
        <v>2041</v>
      </c>
      <c r="AF125" s="11">
        <v>0</v>
      </c>
      <c r="AG125" s="19">
        <f>ROUND((Z125*'Data-CostAssumptions'!$G$5)*(1+'Data-CostAssumptions'!$G$3)^(AC125-'Data-CostAssumptions'!$G$4),-3)</f>
        <v>179000</v>
      </c>
      <c r="AH125" s="19">
        <f>ROUND((Z125)*(1+'Data-CostAssumptions'!$G$3)^(AE125-'Data-CostAssumptions'!$G$4),-3)</f>
        <v>813000</v>
      </c>
    </row>
    <row r="126" spans="1:34" ht="15" customHeight="1" x14ac:dyDescent="0.2">
      <c r="A126" s="11"/>
      <c r="B126" s="11" t="s">
        <v>1211</v>
      </c>
      <c r="C126" s="13">
        <v>748</v>
      </c>
      <c r="D126" s="13" t="s">
        <v>420</v>
      </c>
      <c r="E126" s="20">
        <v>80</v>
      </c>
      <c r="F126" s="20">
        <v>184</v>
      </c>
      <c r="G126" s="20">
        <v>125</v>
      </c>
      <c r="H126" s="13" t="s">
        <v>1899</v>
      </c>
      <c r="I126" s="13" t="str">
        <f t="shared" si="2"/>
        <v>NE 58th St (US 1/Federal Hwy to Dixie Hwy)</v>
      </c>
      <c r="J126" s="13" t="s">
        <v>29</v>
      </c>
      <c r="K126" s="13" t="str">
        <f>VLOOKUP(J126,'Data-ProjectTypes'!A$3:B$13,2,FALSE)</f>
        <v>Program</v>
      </c>
      <c r="L126" s="21" t="s">
        <v>348</v>
      </c>
      <c r="M126" s="13" t="s">
        <v>2594</v>
      </c>
      <c r="N126" s="13" t="s">
        <v>728</v>
      </c>
      <c r="O126" s="13" t="s">
        <v>273</v>
      </c>
      <c r="P126" s="13" t="s">
        <v>273</v>
      </c>
      <c r="Q126" s="22">
        <v>1.3</v>
      </c>
      <c r="R126" s="23">
        <v>303036</v>
      </c>
      <c r="S126" s="21"/>
      <c r="T126" s="21"/>
      <c r="U126" s="21"/>
      <c r="V126" s="24"/>
      <c r="W126" s="24"/>
      <c r="X126" s="29" t="s">
        <v>706</v>
      </c>
      <c r="Y126" s="17" t="s">
        <v>287</v>
      </c>
      <c r="Z126" s="18">
        <f>ROUND(R126*'Data-CostAssumptions'!$C$3,-3)</f>
        <v>419000</v>
      </c>
      <c r="AA126" s="11">
        <f t="shared" si="3"/>
        <v>0</v>
      </c>
      <c r="AB126" s="11">
        <v>2041</v>
      </c>
      <c r="AC126" s="11">
        <v>2041</v>
      </c>
      <c r="AD126" s="11">
        <v>2041</v>
      </c>
      <c r="AE126" s="11">
        <v>2041</v>
      </c>
      <c r="AF126" s="11">
        <v>0</v>
      </c>
      <c r="AG126" s="19">
        <f>ROUND((Z126*'Data-CostAssumptions'!$G$5)*(1+'Data-CostAssumptions'!$G$3)^(AC126-'Data-CostAssumptions'!$G$4),-3)</f>
        <v>236000</v>
      </c>
      <c r="AH126" s="19">
        <f>ROUND((Z126)*(1+'Data-CostAssumptions'!$G$3)^(AE126-'Data-CostAssumptions'!$G$4),-3)</f>
        <v>1074000</v>
      </c>
    </row>
    <row r="127" spans="1:34" ht="15" customHeight="1" x14ac:dyDescent="0.2">
      <c r="A127" s="11"/>
      <c r="B127" s="11" t="s">
        <v>1211</v>
      </c>
      <c r="C127" s="13">
        <v>749</v>
      </c>
      <c r="D127" s="13" t="s">
        <v>420</v>
      </c>
      <c r="E127" s="20">
        <v>85</v>
      </c>
      <c r="F127" s="20">
        <v>184</v>
      </c>
      <c r="G127" s="20">
        <v>126</v>
      </c>
      <c r="H127" s="13" t="s">
        <v>150</v>
      </c>
      <c r="I127" s="13" t="str">
        <f t="shared" si="2"/>
        <v>Prospect Park (Dixie Hwy to Powerline Rd)</v>
      </c>
      <c r="J127" s="13" t="s">
        <v>29</v>
      </c>
      <c r="K127" s="13" t="str">
        <f>VLOOKUP(J127,'Data-ProjectTypes'!A$3:B$13,2,FALSE)</f>
        <v>Program</v>
      </c>
      <c r="L127" s="21" t="s">
        <v>348</v>
      </c>
      <c r="M127" s="13" t="s">
        <v>728</v>
      </c>
      <c r="N127" s="13" t="s">
        <v>1858</v>
      </c>
      <c r="O127" s="13" t="s">
        <v>273</v>
      </c>
      <c r="P127" s="13" t="s">
        <v>273</v>
      </c>
      <c r="Q127" s="22">
        <v>1.3</v>
      </c>
      <c r="R127" s="23">
        <v>292056</v>
      </c>
      <c r="S127" s="21"/>
      <c r="T127" s="21"/>
      <c r="U127" s="21"/>
      <c r="V127" s="24"/>
      <c r="W127" s="24" t="s">
        <v>696</v>
      </c>
      <c r="X127" s="24" t="s">
        <v>28</v>
      </c>
      <c r="Y127" s="17" t="s">
        <v>287</v>
      </c>
      <c r="Z127" s="18">
        <f>ROUND(R127*'Data-CostAssumptions'!$C$3,-3)</f>
        <v>404000</v>
      </c>
      <c r="AA127" s="11">
        <f t="shared" si="3"/>
        <v>1</v>
      </c>
      <c r="AB127" s="11">
        <v>2041</v>
      </c>
      <c r="AC127" s="11">
        <v>2041</v>
      </c>
      <c r="AD127" s="11">
        <v>2041</v>
      </c>
      <c r="AE127" s="11">
        <v>2041</v>
      </c>
      <c r="AF127" s="11">
        <v>0</v>
      </c>
      <c r="AG127" s="19">
        <f>ROUND((Z127*'Data-CostAssumptions'!$G$5)*(1+'Data-CostAssumptions'!$G$3)^(AC127-'Data-CostAssumptions'!$G$4),-3)</f>
        <v>228000</v>
      </c>
      <c r="AH127" s="19">
        <f>ROUND((Z127)*(1+'Data-CostAssumptions'!$G$3)^(AE127-'Data-CostAssumptions'!$G$4),-3)</f>
        <v>1036000</v>
      </c>
    </row>
    <row r="128" spans="1:34" ht="15" customHeight="1" x14ac:dyDescent="0.2">
      <c r="A128" s="11"/>
      <c r="B128" s="11" t="s">
        <v>1211</v>
      </c>
      <c r="C128" s="13">
        <v>750</v>
      </c>
      <c r="D128" s="13" t="s">
        <v>420</v>
      </c>
      <c r="E128" s="20">
        <v>92</v>
      </c>
      <c r="F128" s="20">
        <v>184</v>
      </c>
      <c r="G128" s="20">
        <v>127</v>
      </c>
      <c r="H128" s="13" t="s">
        <v>2710</v>
      </c>
      <c r="I128" s="13" t="str">
        <f t="shared" si="2"/>
        <v>SR 816/Oakland Park Bl (NE 16th Av to NE 6th Av)</v>
      </c>
      <c r="J128" s="13" t="s">
        <v>29</v>
      </c>
      <c r="K128" s="13" t="str">
        <f>VLOOKUP(J128,'Data-ProjectTypes'!A$3:B$13,2,FALSE)</f>
        <v>Program</v>
      </c>
      <c r="L128" s="26" t="s">
        <v>847</v>
      </c>
      <c r="M128" s="13" t="s">
        <v>2025</v>
      </c>
      <c r="N128" s="13" t="s">
        <v>2036</v>
      </c>
      <c r="O128" s="13" t="s">
        <v>270</v>
      </c>
      <c r="P128" s="13" t="s">
        <v>270</v>
      </c>
      <c r="Q128" s="22">
        <v>0.8</v>
      </c>
      <c r="R128" s="23">
        <v>177422</v>
      </c>
      <c r="S128" s="21"/>
      <c r="T128" s="21"/>
      <c r="U128" s="21" t="s">
        <v>24</v>
      </c>
      <c r="V128" s="24"/>
      <c r="W128" s="24" t="s">
        <v>848</v>
      </c>
      <c r="X128" s="24"/>
      <c r="Y128" s="17" t="s">
        <v>843</v>
      </c>
      <c r="Z128" s="18">
        <f>ROUND(R128*'Data-CostAssumptions'!$C$3,-3)</f>
        <v>246000</v>
      </c>
      <c r="AA128" s="11">
        <f t="shared" si="3"/>
        <v>1</v>
      </c>
      <c r="AB128" s="11">
        <v>2041</v>
      </c>
      <c r="AC128" s="11">
        <v>2041</v>
      </c>
      <c r="AD128" s="11">
        <v>2041</v>
      </c>
      <c r="AE128" s="11">
        <v>2041</v>
      </c>
      <c r="AF128" s="11">
        <v>0</v>
      </c>
      <c r="AG128" s="19">
        <f>ROUND((Z128*'Data-CostAssumptions'!$G$5)*(1+'Data-CostAssumptions'!$G$3)^(AC128-'Data-CostAssumptions'!$G$4),-3)</f>
        <v>139000</v>
      </c>
      <c r="AH128" s="19">
        <f>ROUND((Z128)*(1+'Data-CostAssumptions'!$G$3)^(AE128-'Data-CostAssumptions'!$G$4),-3)</f>
        <v>631000</v>
      </c>
    </row>
    <row r="129" spans="1:34" ht="15" customHeight="1" x14ac:dyDescent="0.2">
      <c r="A129" s="11"/>
      <c r="B129" s="11" t="s">
        <v>1211</v>
      </c>
      <c r="C129" s="13">
        <v>751</v>
      </c>
      <c r="D129" s="13" t="s">
        <v>420</v>
      </c>
      <c r="E129" s="20">
        <v>100</v>
      </c>
      <c r="F129" s="20">
        <v>184</v>
      </c>
      <c r="G129" s="20">
        <v>128</v>
      </c>
      <c r="H129" s="13" t="s">
        <v>1868</v>
      </c>
      <c r="I129" s="13" t="str">
        <f t="shared" si="2"/>
        <v>Victoria Park Rd (Broward Bl to Sunrise Bl)</v>
      </c>
      <c r="J129" s="13" t="s">
        <v>29</v>
      </c>
      <c r="K129" s="13" t="str">
        <f>VLOOKUP(J129,'Data-ProjectTypes'!A$3:B$13,2,FALSE)</f>
        <v>Program</v>
      </c>
      <c r="L129" s="21" t="s">
        <v>348</v>
      </c>
      <c r="M129" s="13" t="s">
        <v>1811</v>
      </c>
      <c r="N129" s="13" t="s">
        <v>1830</v>
      </c>
      <c r="O129" s="13" t="s">
        <v>276</v>
      </c>
      <c r="P129" s="13" t="s">
        <v>276</v>
      </c>
      <c r="Q129" s="22">
        <v>1.1000000000000001</v>
      </c>
      <c r="R129" s="23">
        <v>244972</v>
      </c>
      <c r="S129" s="21"/>
      <c r="T129" s="21"/>
      <c r="U129" s="21"/>
      <c r="V129" s="24"/>
      <c r="W129" s="24"/>
      <c r="X129" s="24"/>
      <c r="Y129" s="17"/>
      <c r="Z129" s="18">
        <f>ROUND(R129*'Data-CostAssumptions'!$C$3,-3)</f>
        <v>339000</v>
      </c>
      <c r="AA129" s="11">
        <f t="shared" si="3"/>
        <v>0</v>
      </c>
      <c r="AB129" s="11">
        <v>2041</v>
      </c>
      <c r="AC129" s="11">
        <v>2041</v>
      </c>
      <c r="AD129" s="11">
        <v>2041</v>
      </c>
      <c r="AE129" s="11">
        <v>2041</v>
      </c>
      <c r="AF129" s="11">
        <v>0</v>
      </c>
      <c r="AG129" s="19">
        <f>ROUND((Z129*'Data-CostAssumptions'!$G$5)*(1+'Data-CostAssumptions'!$G$3)^(AC129-'Data-CostAssumptions'!$G$4),-3)</f>
        <v>191000</v>
      </c>
      <c r="AH129" s="19">
        <f>ROUND((Z129)*(1+'Data-CostAssumptions'!$G$3)^(AE129-'Data-CostAssumptions'!$G$4),-3)</f>
        <v>869000</v>
      </c>
    </row>
    <row r="130" spans="1:34" ht="15" customHeight="1" x14ac:dyDescent="0.2">
      <c r="A130" s="11"/>
      <c r="B130" s="11" t="s">
        <v>1211</v>
      </c>
      <c r="C130" s="13">
        <v>752</v>
      </c>
      <c r="D130" s="13" t="s">
        <v>420</v>
      </c>
      <c r="E130" s="20">
        <v>105</v>
      </c>
      <c r="F130" s="20">
        <v>184</v>
      </c>
      <c r="G130" s="20">
        <v>129</v>
      </c>
      <c r="H130" s="13" t="s">
        <v>2209</v>
      </c>
      <c r="I130" s="13" t="str">
        <f t="shared" ref="I130:I193" si="4">IF(M130="@",H130&amp;" ("&amp;M130&amp;"  "&amp;N130&amp;")",H130&amp;" ("&amp;M130&amp;" to "&amp;N130&amp;")")</f>
        <v>SR 5/ US 1 (SE 30th St to SE 12th St/Davie Bl)</v>
      </c>
      <c r="J130" s="13" t="s">
        <v>29</v>
      </c>
      <c r="K130" s="13" t="str">
        <f>VLOOKUP(J130,'Data-ProjectTypes'!A$3:B$13,2,FALSE)</f>
        <v>Program</v>
      </c>
      <c r="L130" s="21" t="s">
        <v>348</v>
      </c>
      <c r="M130" s="13" t="s">
        <v>1945</v>
      </c>
      <c r="N130" s="13" t="s">
        <v>2590</v>
      </c>
      <c r="O130" s="13" t="s">
        <v>270</v>
      </c>
      <c r="P130" s="13" t="s">
        <v>270</v>
      </c>
      <c r="Q130" s="22">
        <v>1.4</v>
      </c>
      <c r="R130" s="23">
        <v>326260</v>
      </c>
      <c r="S130" s="21"/>
      <c r="T130" s="21"/>
      <c r="U130" s="21"/>
      <c r="V130" s="24"/>
      <c r="W130" s="24"/>
      <c r="X130" s="24"/>
      <c r="Y130" s="17"/>
      <c r="Z130" s="18">
        <f>ROUND(R130*'Data-CostAssumptions'!$C$3,-3)</f>
        <v>452000</v>
      </c>
      <c r="AA130" s="11">
        <f t="shared" si="3"/>
        <v>0</v>
      </c>
      <c r="AB130" s="11">
        <v>2041</v>
      </c>
      <c r="AC130" s="11">
        <v>2041</v>
      </c>
      <c r="AD130" s="11">
        <v>2041</v>
      </c>
      <c r="AE130" s="11">
        <v>2041</v>
      </c>
      <c r="AF130" s="11">
        <v>0</v>
      </c>
      <c r="AG130" s="19">
        <f>ROUND((Z130*'Data-CostAssumptions'!$G$5)*(1+'Data-CostAssumptions'!$G$3)^(AC130-'Data-CostAssumptions'!$G$4),-3)</f>
        <v>255000</v>
      </c>
      <c r="AH130" s="19">
        <f>ROUND((Z130)*(1+'Data-CostAssumptions'!$G$3)^(AE130-'Data-CostAssumptions'!$G$4),-3)</f>
        <v>1159000</v>
      </c>
    </row>
    <row r="131" spans="1:34" ht="15" customHeight="1" x14ac:dyDescent="0.2">
      <c r="A131" s="11"/>
      <c r="B131" s="11" t="s">
        <v>1211</v>
      </c>
      <c r="C131" s="13">
        <v>753</v>
      </c>
      <c r="D131" s="13" t="s">
        <v>420</v>
      </c>
      <c r="E131" s="20">
        <v>111</v>
      </c>
      <c r="F131" s="20">
        <v>184</v>
      </c>
      <c r="G131" s="20">
        <v>130</v>
      </c>
      <c r="H131" s="13" t="s">
        <v>1789</v>
      </c>
      <c r="I131" s="13" t="str">
        <f t="shared" si="4"/>
        <v>Eller Dr (I-595 ramp/NE 7th Av to Just south of SW 33rd St)</v>
      </c>
      <c r="J131" s="13" t="s">
        <v>29</v>
      </c>
      <c r="K131" s="13" t="str">
        <f>VLOOKUP(J131,'Data-ProjectTypes'!A$3:B$13,2,FALSE)</f>
        <v>Program</v>
      </c>
      <c r="L131" s="21" t="s">
        <v>348</v>
      </c>
      <c r="M131" s="13" t="s">
        <v>2346</v>
      </c>
      <c r="N131" s="13" t="s">
        <v>2489</v>
      </c>
      <c r="O131" s="13" t="s">
        <v>272</v>
      </c>
      <c r="P131" s="13" t="s">
        <v>272</v>
      </c>
      <c r="Q131" s="22">
        <v>0.6</v>
      </c>
      <c r="R131" s="23">
        <v>134131</v>
      </c>
      <c r="S131" s="21"/>
      <c r="T131" s="21"/>
      <c r="U131" s="21"/>
      <c r="V131" s="24"/>
      <c r="W131" s="24"/>
      <c r="X131" s="24"/>
      <c r="Y131" s="17"/>
      <c r="Z131" s="18">
        <f>ROUND(R131*'Data-CostAssumptions'!$C$3,-3)</f>
        <v>186000</v>
      </c>
      <c r="AA131" s="11">
        <f t="shared" ref="AA131:AA194" si="5">IF(V131="",IF(W131="",0,1),1)</f>
        <v>0</v>
      </c>
      <c r="AB131" s="11">
        <v>2041</v>
      </c>
      <c r="AC131" s="11">
        <v>2041</v>
      </c>
      <c r="AD131" s="11">
        <v>2041</v>
      </c>
      <c r="AE131" s="11">
        <v>2041</v>
      </c>
      <c r="AF131" s="11">
        <v>0</v>
      </c>
      <c r="AG131" s="19">
        <f>ROUND((Z131*'Data-CostAssumptions'!$G$5)*(1+'Data-CostAssumptions'!$G$3)^(AC131-'Data-CostAssumptions'!$G$4),-3)</f>
        <v>105000</v>
      </c>
      <c r="AH131" s="19">
        <f>ROUND((Z131)*(1+'Data-CostAssumptions'!$G$3)^(AE131-'Data-CostAssumptions'!$G$4),-3)</f>
        <v>477000</v>
      </c>
    </row>
    <row r="132" spans="1:34" ht="15" customHeight="1" x14ac:dyDescent="0.2">
      <c r="A132" s="11"/>
      <c r="B132" s="11" t="s">
        <v>1211</v>
      </c>
      <c r="C132" s="13">
        <v>754</v>
      </c>
      <c r="D132" s="13" t="s">
        <v>420</v>
      </c>
      <c r="E132" s="20">
        <v>116</v>
      </c>
      <c r="F132" s="20">
        <v>184</v>
      </c>
      <c r="G132" s="20">
        <v>131</v>
      </c>
      <c r="H132" s="13" t="s">
        <v>1765</v>
      </c>
      <c r="I132" s="13" t="str">
        <f t="shared" si="4"/>
        <v>Ravenswood Rd (Stirling Rd to SW 42nd St)</v>
      </c>
      <c r="J132" s="13" t="s">
        <v>29</v>
      </c>
      <c r="K132" s="13" t="str">
        <f>VLOOKUP(J132,'Data-ProjectTypes'!A$3:B$13,2,FALSE)</f>
        <v>Program</v>
      </c>
      <c r="L132" s="21" t="s">
        <v>348</v>
      </c>
      <c r="M132" s="13" t="s">
        <v>177</v>
      </c>
      <c r="N132" s="13" t="s">
        <v>2556</v>
      </c>
      <c r="O132" s="13" t="s">
        <v>273</v>
      </c>
      <c r="P132" s="13" t="s">
        <v>273</v>
      </c>
      <c r="Q132" s="22">
        <v>1.5</v>
      </c>
      <c r="R132" s="23">
        <v>352659</v>
      </c>
      <c r="S132" s="21"/>
      <c r="T132" s="21"/>
      <c r="U132" s="21"/>
      <c r="V132" s="24"/>
      <c r="W132" s="24"/>
      <c r="X132" s="24"/>
      <c r="Y132" s="17"/>
      <c r="Z132" s="18">
        <f>ROUND(R132*'Data-CostAssumptions'!$C$3,-3)</f>
        <v>488000</v>
      </c>
      <c r="AA132" s="11">
        <f t="shared" si="5"/>
        <v>0</v>
      </c>
      <c r="AB132" s="11">
        <v>2041</v>
      </c>
      <c r="AC132" s="11">
        <v>2041</v>
      </c>
      <c r="AD132" s="11">
        <v>2041</v>
      </c>
      <c r="AE132" s="11">
        <v>2041</v>
      </c>
      <c r="AF132" s="11">
        <v>0</v>
      </c>
      <c r="AG132" s="19">
        <f>ROUND((Z132*'Data-CostAssumptions'!$G$5)*(1+'Data-CostAssumptions'!$G$3)^(AC132-'Data-CostAssumptions'!$G$4),-3)</f>
        <v>275000</v>
      </c>
      <c r="AH132" s="19">
        <f>ROUND((Z132)*(1+'Data-CostAssumptions'!$G$3)^(AE132-'Data-CostAssumptions'!$G$4),-3)</f>
        <v>1251000</v>
      </c>
    </row>
    <row r="133" spans="1:34" ht="15" customHeight="1" x14ac:dyDescent="0.2">
      <c r="A133" s="11"/>
      <c r="B133" s="11" t="s">
        <v>1211</v>
      </c>
      <c r="C133" s="13">
        <v>755</v>
      </c>
      <c r="D133" s="13" t="s">
        <v>420</v>
      </c>
      <c r="E133" s="20">
        <v>120</v>
      </c>
      <c r="F133" s="20">
        <v>184</v>
      </c>
      <c r="G133" s="20">
        <v>132</v>
      </c>
      <c r="H133" s="13" t="s">
        <v>2727</v>
      </c>
      <c r="I133" s="13" t="str">
        <f t="shared" si="4"/>
        <v>SR 848/Stirling Rd (US 1/Federal Hwy to Ravenswood Rd)</v>
      </c>
      <c r="J133" s="13" t="s">
        <v>29</v>
      </c>
      <c r="K133" s="13" t="str">
        <f>VLOOKUP(J133,'Data-ProjectTypes'!A$3:B$13,2,FALSE)</f>
        <v>Program</v>
      </c>
      <c r="L133" s="21" t="s">
        <v>348</v>
      </c>
      <c r="M133" s="13" t="s">
        <v>2594</v>
      </c>
      <c r="N133" s="13" t="s">
        <v>1765</v>
      </c>
      <c r="O133" s="13" t="s">
        <v>270</v>
      </c>
      <c r="P133" s="13" t="s">
        <v>270</v>
      </c>
      <c r="Q133" s="22">
        <v>1.5</v>
      </c>
      <c r="R133" s="23">
        <v>355303</v>
      </c>
      <c r="S133" s="21"/>
      <c r="T133" s="21"/>
      <c r="U133" s="21"/>
      <c r="V133" s="24"/>
      <c r="W133" s="24"/>
      <c r="X133" s="24"/>
      <c r="Y133" s="17"/>
      <c r="Z133" s="18">
        <f>ROUND(R133*'Data-CostAssumptions'!$C$3,-3)</f>
        <v>492000</v>
      </c>
      <c r="AA133" s="11">
        <f t="shared" si="5"/>
        <v>0</v>
      </c>
      <c r="AB133" s="11">
        <v>2041</v>
      </c>
      <c r="AC133" s="11">
        <v>2041</v>
      </c>
      <c r="AD133" s="11">
        <v>2041</v>
      </c>
      <c r="AE133" s="11">
        <v>2041</v>
      </c>
      <c r="AF133" s="11">
        <v>0</v>
      </c>
      <c r="AG133" s="19">
        <f>ROUND((Z133*'Data-CostAssumptions'!$G$5)*(1+'Data-CostAssumptions'!$G$3)^(AC133-'Data-CostAssumptions'!$G$4),-3)</f>
        <v>278000</v>
      </c>
      <c r="AH133" s="19">
        <f>ROUND((Z133)*(1+'Data-CostAssumptions'!$G$3)^(AE133-'Data-CostAssumptions'!$G$4),-3)</f>
        <v>1261000</v>
      </c>
    </row>
    <row r="134" spans="1:34" ht="15" customHeight="1" x14ac:dyDescent="0.2">
      <c r="A134" s="11"/>
      <c r="B134" s="11" t="s">
        <v>1211</v>
      </c>
      <c r="C134" s="13">
        <v>756</v>
      </c>
      <c r="D134" s="13" t="s">
        <v>420</v>
      </c>
      <c r="E134" s="20">
        <v>137</v>
      </c>
      <c r="F134" s="20">
        <v>184</v>
      </c>
      <c r="G134" s="20">
        <v>133</v>
      </c>
      <c r="H134" s="13" t="s">
        <v>57</v>
      </c>
      <c r="I134" s="13" t="str">
        <f t="shared" si="4"/>
        <v>SR 7/US 441 (NW 34th St to NW 37th St)</v>
      </c>
      <c r="J134" s="13" t="s">
        <v>29</v>
      </c>
      <c r="K134" s="13" t="str">
        <f>VLOOKUP(J134,'Data-ProjectTypes'!A$3:B$13,2,FALSE)</f>
        <v>Program</v>
      </c>
      <c r="L134" s="21" t="s">
        <v>348</v>
      </c>
      <c r="M134" s="13" t="s">
        <v>2568</v>
      </c>
      <c r="N134" s="13" t="s">
        <v>2567</v>
      </c>
      <c r="O134" s="13" t="s">
        <v>270</v>
      </c>
      <c r="P134" s="13" t="s">
        <v>270</v>
      </c>
      <c r="Q134" s="22">
        <v>0.2</v>
      </c>
      <c r="R134" s="23">
        <v>39930</v>
      </c>
      <c r="S134" s="21"/>
      <c r="T134" s="21"/>
      <c r="U134" s="21"/>
      <c r="V134" s="24"/>
      <c r="W134" s="24"/>
      <c r="X134" s="24"/>
      <c r="Y134" s="17"/>
      <c r="Z134" s="18">
        <f>ROUND(R134*'Data-CostAssumptions'!$C$3,-3)</f>
        <v>55000</v>
      </c>
      <c r="AA134" s="11">
        <f t="shared" si="5"/>
        <v>0</v>
      </c>
      <c r="AB134" s="11">
        <v>2041</v>
      </c>
      <c r="AC134" s="11">
        <v>2041</v>
      </c>
      <c r="AD134" s="11">
        <v>2041</v>
      </c>
      <c r="AE134" s="11">
        <v>2041</v>
      </c>
      <c r="AF134" s="11">
        <v>0</v>
      </c>
      <c r="AG134" s="19">
        <f>ROUND((Z134*'Data-CostAssumptions'!$G$5)*(1+'Data-CostAssumptions'!$G$3)^(AC134-'Data-CostAssumptions'!$G$4),-3)</f>
        <v>31000</v>
      </c>
      <c r="AH134" s="19">
        <f>ROUND((Z134)*(1+'Data-CostAssumptions'!$G$3)^(AE134-'Data-CostAssumptions'!$G$4),-3)</f>
        <v>141000</v>
      </c>
    </row>
    <row r="135" spans="1:34" ht="15" customHeight="1" x14ac:dyDescent="0.2">
      <c r="A135" s="11"/>
      <c r="B135" s="11" t="s">
        <v>1211</v>
      </c>
      <c r="C135" s="13">
        <v>757</v>
      </c>
      <c r="D135" s="13" t="s">
        <v>420</v>
      </c>
      <c r="E135" s="20">
        <v>153</v>
      </c>
      <c r="F135" s="20">
        <v>184</v>
      </c>
      <c r="G135" s="20">
        <v>134</v>
      </c>
      <c r="H135" s="13" t="s">
        <v>2060</v>
      </c>
      <c r="I135" s="13" t="str">
        <f t="shared" si="4"/>
        <v>NW 27th Av (Broward Bl to Sunrise Bl)</v>
      </c>
      <c r="J135" s="13" t="s">
        <v>29</v>
      </c>
      <c r="K135" s="13" t="str">
        <f>VLOOKUP(J135,'Data-ProjectTypes'!A$3:B$13,2,FALSE)</f>
        <v>Program</v>
      </c>
      <c r="L135" s="21" t="s">
        <v>348</v>
      </c>
      <c r="M135" s="13" t="s">
        <v>1811</v>
      </c>
      <c r="N135" s="13" t="s">
        <v>1830</v>
      </c>
      <c r="O135" s="13" t="s">
        <v>273</v>
      </c>
      <c r="P135" s="13" t="s">
        <v>273</v>
      </c>
      <c r="Q135" s="22">
        <v>1</v>
      </c>
      <c r="R135" s="23">
        <v>237967</v>
      </c>
      <c r="S135" s="21"/>
      <c r="T135" s="21"/>
      <c r="U135" s="21"/>
      <c r="V135" s="24"/>
      <c r="W135" s="24"/>
      <c r="X135" s="24"/>
      <c r="Y135" s="17"/>
      <c r="Z135" s="18">
        <f>ROUND(R135*'Data-CostAssumptions'!$C$3,-3)</f>
        <v>329000</v>
      </c>
      <c r="AA135" s="11">
        <f t="shared" si="5"/>
        <v>0</v>
      </c>
      <c r="AB135" s="11">
        <v>2041</v>
      </c>
      <c r="AC135" s="11">
        <v>2041</v>
      </c>
      <c r="AD135" s="11">
        <v>2041</v>
      </c>
      <c r="AE135" s="11">
        <v>2041</v>
      </c>
      <c r="AF135" s="11">
        <v>0</v>
      </c>
      <c r="AG135" s="19">
        <f>ROUND((Z135*'Data-CostAssumptions'!$G$5)*(1+'Data-CostAssumptions'!$G$3)^(AC135-'Data-CostAssumptions'!$G$4),-3)</f>
        <v>186000</v>
      </c>
      <c r="AH135" s="19">
        <f>ROUND((Z135)*(1+'Data-CostAssumptions'!$G$3)^(AE135-'Data-CostAssumptions'!$G$4),-3)</f>
        <v>844000</v>
      </c>
    </row>
    <row r="136" spans="1:34" ht="15" customHeight="1" x14ac:dyDescent="0.2">
      <c r="A136" s="11"/>
      <c r="B136" s="11" t="s">
        <v>1211</v>
      </c>
      <c r="C136" s="13">
        <v>758</v>
      </c>
      <c r="D136" s="13" t="s">
        <v>420</v>
      </c>
      <c r="E136" s="20">
        <v>160</v>
      </c>
      <c r="F136" s="20">
        <v>184</v>
      </c>
      <c r="G136" s="20">
        <v>135</v>
      </c>
      <c r="H136" s="13" t="s">
        <v>2798</v>
      </c>
      <c r="I136" s="13" t="str">
        <f t="shared" si="4"/>
        <v>SR 842/Broward Bl (NW 70th Av to Pine Island Rd)</v>
      </c>
      <c r="J136" s="13" t="s">
        <v>29</v>
      </c>
      <c r="K136" s="13" t="str">
        <f>VLOOKUP(J136,'Data-ProjectTypes'!A$3:B$13,2,FALSE)</f>
        <v>Program</v>
      </c>
      <c r="L136" s="21" t="s">
        <v>348</v>
      </c>
      <c r="M136" s="13" t="s">
        <v>2078</v>
      </c>
      <c r="N136" s="13" t="s">
        <v>266</v>
      </c>
      <c r="O136" s="13" t="s">
        <v>273</v>
      </c>
      <c r="P136" s="13" t="s">
        <v>273</v>
      </c>
      <c r="Q136" s="22">
        <v>1.4</v>
      </c>
      <c r="R136" s="23">
        <v>335454</v>
      </c>
      <c r="S136" s="21"/>
      <c r="T136" s="21"/>
      <c r="U136" s="21"/>
      <c r="V136" s="24"/>
      <c r="W136" s="24"/>
      <c r="X136" s="24"/>
      <c r="Y136" s="17"/>
      <c r="Z136" s="18">
        <f>ROUND(R136*'Data-CostAssumptions'!$C$3,-3)</f>
        <v>464000</v>
      </c>
      <c r="AA136" s="11">
        <f t="shared" si="5"/>
        <v>0</v>
      </c>
      <c r="AB136" s="11">
        <v>2041</v>
      </c>
      <c r="AC136" s="11">
        <v>2041</v>
      </c>
      <c r="AD136" s="11">
        <v>2041</v>
      </c>
      <c r="AE136" s="11">
        <v>2041</v>
      </c>
      <c r="AF136" s="11">
        <v>0</v>
      </c>
      <c r="AG136" s="19">
        <f>ROUND((Z136*'Data-CostAssumptions'!$G$5)*(1+'Data-CostAssumptions'!$G$3)^(AC136-'Data-CostAssumptions'!$G$4),-3)</f>
        <v>262000</v>
      </c>
      <c r="AH136" s="19">
        <f>ROUND((Z136)*(1+'Data-CostAssumptions'!$G$3)^(AE136-'Data-CostAssumptions'!$G$4),-3)</f>
        <v>1190000</v>
      </c>
    </row>
    <row r="137" spans="1:34" ht="15" customHeight="1" x14ac:dyDescent="0.2">
      <c r="A137" s="11"/>
      <c r="B137" s="11" t="s">
        <v>1211</v>
      </c>
      <c r="C137" s="13">
        <v>759</v>
      </c>
      <c r="D137" s="13" t="s">
        <v>420</v>
      </c>
      <c r="E137" s="20">
        <v>165</v>
      </c>
      <c r="F137" s="20">
        <v>184</v>
      </c>
      <c r="G137" s="20">
        <v>136</v>
      </c>
      <c r="H137" s="13" t="s">
        <v>2709</v>
      </c>
      <c r="I137" s="13" t="str">
        <f t="shared" si="4"/>
        <v>SR 817/University Dr (Oakland Park Bl to NW 44th St)</v>
      </c>
      <c r="J137" s="13" t="s">
        <v>29</v>
      </c>
      <c r="K137" s="13" t="str">
        <f>VLOOKUP(J137,'Data-ProjectTypes'!A$3:B$13,2,FALSE)</f>
        <v>Program</v>
      </c>
      <c r="L137" s="21" t="s">
        <v>348</v>
      </c>
      <c r="M137" s="13" t="s">
        <v>1825</v>
      </c>
      <c r="N137" s="13" t="s">
        <v>1189</v>
      </c>
      <c r="O137" s="13" t="s">
        <v>270</v>
      </c>
      <c r="P137" s="13" t="s">
        <v>270</v>
      </c>
      <c r="Q137" s="22">
        <v>0.9</v>
      </c>
      <c r="R137" s="23">
        <v>214327</v>
      </c>
      <c r="S137" s="21"/>
      <c r="T137" s="21"/>
      <c r="U137" s="21"/>
      <c r="V137" s="24"/>
      <c r="W137" s="24"/>
      <c r="X137" s="24"/>
      <c r="Y137" s="17"/>
      <c r="Z137" s="18">
        <f>ROUND(R137*'Data-CostAssumptions'!$C$3,-3)</f>
        <v>297000</v>
      </c>
      <c r="AA137" s="11">
        <f t="shared" si="5"/>
        <v>0</v>
      </c>
      <c r="AB137" s="11">
        <v>2041</v>
      </c>
      <c r="AC137" s="11">
        <v>2041</v>
      </c>
      <c r="AD137" s="11">
        <v>2041</v>
      </c>
      <c r="AE137" s="11">
        <v>2041</v>
      </c>
      <c r="AF137" s="11">
        <v>0</v>
      </c>
      <c r="AG137" s="19">
        <f>ROUND((Z137*'Data-CostAssumptions'!$G$5)*(1+'Data-CostAssumptions'!$G$3)^(AC137-'Data-CostAssumptions'!$G$4),-3)</f>
        <v>168000</v>
      </c>
      <c r="AH137" s="19">
        <f>ROUND((Z137)*(1+'Data-CostAssumptions'!$G$3)^(AE137-'Data-CostAssumptions'!$G$4),-3)</f>
        <v>761000</v>
      </c>
    </row>
    <row r="138" spans="1:34" ht="15" customHeight="1" x14ac:dyDescent="0.2">
      <c r="A138" s="11"/>
      <c r="B138" s="11" t="s">
        <v>1211</v>
      </c>
      <c r="C138" s="13">
        <v>760</v>
      </c>
      <c r="D138" s="13" t="s">
        <v>420</v>
      </c>
      <c r="E138" s="20">
        <v>168</v>
      </c>
      <c r="F138" s="20">
        <v>184</v>
      </c>
      <c r="G138" s="20">
        <v>137</v>
      </c>
      <c r="H138" s="13" t="s">
        <v>266</v>
      </c>
      <c r="I138" s="13" t="str">
        <f t="shared" si="4"/>
        <v>Pine Island Rd (Sunrise Bl to NW 44th St)</v>
      </c>
      <c r="J138" s="13" t="s">
        <v>29</v>
      </c>
      <c r="K138" s="13" t="str">
        <f>VLOOKUP(J138,'Data-ProjectTypes'!A$3:B$13,2,FALSE)</f>
        <v>Program</v>
      </c>
      <c r="L138" s="21" t="s">
        <v>348</v>
      </c>
      <c r="M138" s="13" t="s">
        <v>1830</v>
      </c>
      <c r="N138" s="13" t="s">
        <v>1189</v>
      </c>
      <c r="O138" s="13" t="s">
        <v>273</v>
      </c>
      <c r="P138" s="13" t="s">
        <v>273</v>
      </c>
      <c r="Q138" s="22">
        <v>2.2000000000000002</v>
      </c>
      <c r="R138" s="23">
        <v>520594</v>
      </c>
      <c r="S138" s="21"/>
      <c r="T138" s="21"/>
      <c r="U138" s="21"/>
      <c r="V138" s="24"/>
      <c r="W138" s="24"/>
      <c r="X138" s="24"/>
      <c r="Y138" s="17"/>
      <c r="Z138" s="18">
        <f>ROUND(R138*'Data-CostAssumptions'!$C$3,-3)</f>
        <v>721000</v>
      </c>
      <c r="AA138" s="11">
        <f t="shared" si="5"/>
        <v>0</v>
      </c>
      <c r="AB138" s="11">
        <v>2041</v>
      </c>
      <c r="AC138" s="11">
        <v>2041</v>
      </c>
      <c r="AD138" s="11">
        <v>2041</v>
      </c>
      <c r="AE138" s="11">
        <v>2041</v>
      </c>
      <c r="AF138" s="11">
        <v>0</v>
      </c>
      <c r="AG138" s="19">
        <f>ROUND((Z138*'Data-CostAssumptions'!$G$5)*(1+'Data-CostAssumptions'!$G$3)^(AC138-'Data-CostAssumptions'!$G$4),-3)</f>
        <v>407000</v>
      </c>
      <c r="AH138" s="19">
        <f>ROUND((Z138)*(1+'Data-CostAssumptions'!$G$3)^(AE138-'Data-CostAssumptions'!$G$4),-3)</f>
        <v>1849000</v>
      </c>
    </row>
    <row r="139" spans="1:34" ht="15" customHeight="1" x14ac:dyDescent="0.2">
      <c r="A139" s="11"/>
      <c r="B139" s="11" t="s">
        <v>1211</v>
      </c>
      <c r="C139" s="13">
        <v>761</v>
      </c>
      <c r="D139" s="13" t="s">
        <v>420</v>
      </c>
      <c r="E139" s="20">
        <v>179</v>
      </c>
      <c r="F139" s="20">
        <v>184</v>
      </c>
      <c r="G139" s="20">
        <v>138</v>
      </c>
      <c r="H139" s="13" t="s">
        <v>184</v>
      </c>
      <c r="I139" s="13" t="str">
        <f t="shared" si="4"/>
        <v>Orange Dr (University Dr to Nob Hill Rd)</v>
      </c>
      <c r="J139" s="13" t="s">
        <v>29</v>
      </c>
      <c r="K139" s="13" t="str">
        <f>VLOOKUP(J139,'Data-ProjectTypes'!A$3:B$13,2,FALSE)</f>
        <v>Program</v>
      </c>
      <c r="L139" s="21" t="s">
        <v>348</v>
      </c>
      <c r="M139" s="13" t="s">
        <v>1804</v>
      </c>
      <c r="N139" s="13" t="s">
        <v>1755</v>
      </c>
      <c r="O139" s="13" t="s">
        <v>279</v>
      </c>
      <c r="P139" s="13" t="s">
        <v>279</v>
      </c>
      <c r="Q139" s="22">
        <v>1.7</v>
      </c>
      <c r="R139" s="23">
        <v>405678</v>
      </c>
      <c r="S139" s="21" t="s">
        <v>24</v>
      </c>
      <c r="T139" s="21" t="s">
        <v>25</v>
      </c>
      <c r="U139" s="21"/>
      <c r="V139" s="24"/>
      <c r="W139" s="24"/>
      <c r="X139" s="24"/>
      <c r="Y139" s="17" t="s">
        <v>469</v>
      </c>
      <c r="Z139" s="18">
        <f>ROUND(R139*'Data-CostAssumptions'!$C$3,-3)</f>
        <v>561000</v>
      </c>
      <c r="AA139" s="11">
        <f t="shared" si="5"/>
        <v>0</v>
      </c>
      <c r="AB139" s="11">
        <v>2041</v>
      </c>
      <c r="AC139" s="11">
        <v>2041</v>
      </c>
      <c r="AD139" s="11">
        <v>2041</v>
      </c>
      <c r="AE139" s="11">
        <v>2041</v>
      </c>
      <c r="AF139" s="11">
        <v>0</v>
      </c>
      <c r="AG139" s="19">
        <f>ROUND((Z139*'Data-CostAssumptions'!$G$5)*(1+'Data-CostAssumptions'!$G$3)^(AC139-'Data-CostAssumptions'!$G$4),-3)</f>
        <v>316000</v>
      </c>
      <c r="AH139" s="19">
        <f>ROUND((Z139)*(1+'Data-CostAssumptions'!$G$3)^(AE139-'Data-CostAssumptions'!$G$4),-3)</f>
        <v>1438000</v>
      </c>
    </row>
    <row r="140" spans="1:34" ht="15" customHeight="1" x14ac:dyDescent="0.2">
      <c r="A140" s="11"/>
      <c r="B140" s="11" t="s">
        <v>1211</v>
      </c>
      <c r="C140" s="13">
        <v>762</v>
      </c>
      <c r="D140" s="13" t="s">
        <v>420</v>
      </c>
      <c r="E140" s="20">
        <v>181</v>
      </c>
      <c r="F140" s="20">
        <v>184</v>
      </c>
      <c r="G140" s="20">
        <v>139</v>
      </c>
      <c r="H140" s="13" t="s">
        <v>184</v>
      </c>
      <c r="I140" s="13" t="str">
        <f t="shared" si="4"/>
        <v>Orange Dr (State Rd 7 to Davie Rd)</v>
      </c>
      <c r="J140" s="13" t="s">
        <v>29</v>
      </c>
      <c r="K140" s="13" t="str">
        <f>VLOOKUP(J140,'Data-ProjectTypes'!A$3:B$13,2,FALSE)</f>
        <v>Program</v>
      </c>
      <c r="L140" s="21" t="s">
        <v>348</v>
      </c>
      <c r="M140" s="13" t="s">
        <v>1772</v>
      </c>
      <c r="N140" s="13" t="s">
        <v>1845</v>
      </c>
      <c r="O140" s="13" t="s">
        <v>279</v>
      </c>
      <c r="P140" s="13" t="s">
        <v>279</v>
      </c>
      <c r="Q140" s="22">
        <v>1.5</v>
      </c>
      <c r="R140" s="23">
        <v>349047</v>
      </c>
      <c r="S140" s="21" t="s">
        <v>24</v>
      </c>
      <c r="T140" s="21" t="s">
        <v>24</v>
      </c>
      <c r="U140" s="21"/>
      <c r="V140" s="24"/>
      <c r="W140" s="24"/>
      <c r="X140" s="24"/>
      <c r="Y140" s="17" t="s">
        <v>469</v>
      </c>
      <c r="Z140" s="18">
        <f>ROUND(R140*'Data-CostAssumptions'!$C$3,-3)</f>
        <v>483000</v>
      </c>
      <c r="AA140" s="11">
        <f t="shared" si="5"/>
        <v>0</v>
      </c>
      <c r="AB140" s="11">
        <v>2041</v>
      </c>
      <c r="AC140" s="11">
        <v>2041</v>
      </c>
      <c r="AD140" s="11">
        <v>2041</v>
      </c>
      <c r="AE140" s="11">
        <v>2041</v>
      </c>
      <c r="AF140" s="11">
        <v>0</v>
      </c>
      <c r="AG140" s="19">
        <f>ROUND((Z140*'Data-CostAssumptions'!$G$5)*(1+'Data-CostAssumptions'!$G$3)^(AC140-'Data-CostAssumptions'!$G$4),-3)</f>
        <v>272000</v>
      </c>
      <c r="AH140" s="19">
        <f>ROUND((Z140)*(1+'Data-CostAssumptions'!$G$3)^(AE140-'Data-CostAssumptions'!$G$4),-3)</f>
        <v>1238000</v>
      </c>
    </row>
    <row r="141" spans="1:34" ht="15" customHeight="1" x14ac:dyDescent="0.2">
      <c r="A141" s="11"/>
      <c r="B141" s="11" t="s">
        <v>1211</v>
      </c>
      <c r="C141" s="13">
        <v>763</v>
      </c>
      <c r="D141" s="13" t="s">
        <v>420</v>
      </c>
      <c r="E141" s="20">
        <v>200</v>
      </c>
      <c r="F141" s="20">
        <v>184</v>
      </c>
      <c r="G141" s="20">
        <v>140</v>
      </c>
      <c r="H141" s="13" t="s">
        <v>1880</v>
      </c>
      <c r="I141" s="13" t="str">
        <f t="shared" si="4"/>
        <v>Johnson St (US 1/Federal Hwy to North 26th Av)</v>
      </c>
      <c r="J141" s="13" t="s">
        <v>29</v>
      </c>
      <c r="K141" s="13" t="str">
        <f>VLOOKUP(J141,'Data-ProjectTypes'!A$3:B$13,2,FALSE)</f>
        <v>Program</v>
      </c>
      <c r="L141" s="21" t="s">
        <v>572</v>
      </c>
      <c r="M141" s="13" t="s">
        <v>2594</v>
      </c>
      <c r="N141" s="13" t="s">
        <v>2039</v>
      </c>
      <c r="O141" s="13" t="s">
        <v>282</v>
      </c>
      <c r="P141" s="13" t="s">
        <v>282</v>
      </c>
      <c r="Q141" s="22">
        <v>1</v>
      </c>
      <c r="R141" s="23">
        <v>234092</v>
      </c>
      <c r="S141" s="21"/>
      <c r="T141" s="21" t="s">
        <v>24</v>
      </c>
      <c r="U141" s="21" t="s">
        <v>25</v>
      </c>
      <c r="V141" s="24" t="s">
        <v>24</v>
      </c>
      <c r="W141" s="24" t="s">
        <v>571</v>
      </c>
      <c r="X141" s="24"/>
      <c r="Y141" s="17" t="s">
        <v>538</v>
      </c>
      <c r="Z141" s="18">
        <f>ROUND(R141*'Data-CostAssumptions'!$C$3,-3)</f>
        <v>324000</v>
      </c>
      <c r="AA141" s="11">
        <f t="shared" si="5"/>
        <v>1</v>
      </c>
      <c r="AB141" s="11">
        <v>2041</v>
      </c>
      <c r="AC141" s="11">
        <v>2041</v>
      </c>
      <c r="AD141" s="11">
        <v>2041</v>
      </c>
      <c r="AE141" s="11">
        <v>2041</v>
      </c>
      <c r="AF141" s="11">
        <v>0</v>
      </c>
      <c r="AG141" s="19">
        <f>ROUND((Z141*'Data-CostAssumptions'!$G$5)*(1+'Data-CostAssumptions'!$G$3)^(AC141-'Data-CostAssumptions'!$G$4),-3)</f>
        <v>183000</v>
      </c>
      <c r="AH141" s="19">
        <f>ROUND((Z141)*(1+'Data-CostAssumptions'!$G$3)^(AE141-'Data-CostAssumptions'!$G$4),-3)</f>
        <v>831000</v>
      </c>
    </row>
    <row r="142" spans="1:34" ht="15" customHeight="1" x14ac:dyDescent="0.2">
      <c r="A142" s="11"/>
      <c r="B142" s="11" t="s">
        <v>1211</v>
      </c>
      <c r="C142" s="13">
        <v>764</v>
      </c>
      <c r="D142" s="13" t="s">
        <v>420</v>
      </c>
      <c r="E142" s="20">
        <v>202</v>
      </c>
      <c r="F142" s="20">
        <v>185</v>
      </c>
      <c r="G142" s="20">
        <v>141</v>
      </c>
      <c r="H142" s="13" t="s">
        <v>2800</v>
      </c>
      <c r="I142" s="13" t="str">
        <f t="shared" si="4"/>
        <v>SR 858/Hallandale Beach Bl (Eastern I-95 ramp to Country Club Lane)</v>
      </c>
      <c r="J142" s="13" t="s">
        <v>29</v>
      </c>
      <c r="K142" s="13" t="str">
        <f>VLOOKUP(J142,'Data-ProjectTypes'!A$3:B$13,2,FALSE)</f>
        <v>Program</v>
      </c>
      <c r="L142" s="21" t="s">
        <v>348</v>
      </c>
      <c r="M142" s="13" t="s">
        <v>135</v>
      </c>
      <c r="N142" s="13" t="s">
        <v>136</v>
      </c>
      <c r="O142" s="13" t="s">
        <v>270</v>
      </c>
      <c r="P142" s="13" t="s">
        <v>270</v>
      </c>
      <c r="Q142" s="22">
        <v>0.1</v>
      </c>
      <c r="R142" s="23">
        <v>34602</v>
      </c>
      <c r="S142" s="21" t="s">
        <v>24</v>
      </c>
      <c r="T142" s="21" t="s">
        <v>25</v>
      </c>
      <c r="U142" s="21"/>
      <c r="V142" s="24"/>
      <c r="W142" s="24" t="s">
        <v>517</v>
      </c>
      <c r="X142" s="24"/>
      <c r="Y142" s="17" t="s">
        <v>297</v>
      </c>
      <c r="Z142" s="18">
        <f>ROUND(R142*'Data-CostAssumptions'!$C$3,-3)</f>
        <v>48000</v>
      </c>
      <c r="AA142" s="11">
        <f t="shared" si="5"/>
        <v>1</v>
      </c>
      <c r="AB142" s="11">
        <v>2041</v>
      </c>
      <c r="AC142" s="11">
        <v>2041</v>
      </c>
      <c r="AD142" s="11">
        <v>2041</v>
      </c>
      <c r="AE142" s="11">
        <v>2041</v>
      </c>
      <c r="AF142" s="11">
        <v>0</v>
      </c>
      <c r="AG142" s="19">
        <f>ROUND((Z142*'Data-CostAssumptions'!$G$5)*(1+'Data-CostAssumptions'!$G$3)^(AC142-'Data-CostAssumptions'!$G$4),-3)</f>
        <v>27000</v>
      </c>
      <c r="AH142" s="19">
        <f>ROUND((Z142)*(1+'Data-CostAssumptions'!$G$3)^(AE142-'Data-CostAssumptions'!$G$4),-3)</f>
        <v>123000</v>
      </c>
    </row>
    <row r="143" spans="1:34" ht="15" customHeight="1" x14ac:dyDescent="0.2">
      <c r="A143" s="11"/>
      <c r="B143" s="11" t="s">
        <v>1211</v>
      </c>
      <c r="C143" s="13">
        <v>765</v>
      </c>
      <c r="D143" s="13" t="s">
        <v>420</v>
      </c>
      <c r="E143" s="20">
        <v>203</v>
      </c>
      <c r="F143" s="20">
        <v>185</v>
      </c>
      <c r="G143" s="20">
        <v>142</v>
      </c>
      <c r="H143" s="13" t="s">
        <v>1857</v>
      </c>
      <c r="I143" s="13" t="str">
        <f t="shared" si="4"/>
        <v>Park Rd (Hollywood Bl to Sheridan St)</v>
      </c>
      <c r="J143" s="13" t="s">
        <v>29</v>
      </c>
      <c r="K143" s="13" t="str">
        <f>VLOOKUP(J143,'Data-ProjectTypes'!A$3:B$13,2,FALSE)</f>
        <v>Program</v>
      </c>
      <c r="L143" s="21" t="s">
        <v>562</v>
      </c>
      <c r="M143" s="13" t="s">
        <v>1820</v>
      </c>
      <c r="N143" s="13" t="s">
        <v>1951</v>
      </c>
      <c r="O143" s="13" t="s">
        <v>282</v>
      </c>
      <c r="P143" s="13" t="s">
        <v>282</v>
      </c>
      <c r="Q143" s="22">
        <v>1.5</v>
      </c>
      <c r="R143" s="23">
        <v>357540</v>
      </c>
      <c r="S143" s="21"/>
      <c r="T143" s="21" t="s">
        <v>24</v>
      </c>
      <c r="U143" s="21" t="s">
        <v>25</v>
      </c>
      <c r="V143" s="24" t="s">
        <v>24</v>
      </c>
      <c r="W143" s="24" t="s">
        <v>561</v>
      </c>
      <c r="X143" s="24"/>
      <c r="Y143" s="17" t="s">
        <v>538</v>
      </c>
      <c r="Z143" s="18">
        <f>ROUND(R143*'Data-CostAssumptions'!$C$3,-3)</f>
        <v>495000</v>
      </c>
      <c r="AA143" s="11">
        <f t="shared" si="5"/>
        <v>1</v>
      </c>
      <c r="AB143" s="11">
        <v>2041</v>
      </c>
      <c r="AC143" s="11">
        <v>2041</v>
      </c>
      <c r="AD143" s="11">
        <v>2041</v>
      </c>
      <c r="AE143" s="11">
        <v>2041</v>
      </c>
      <c r="AF143" s="11">
        <v>0</v>
      </c>
      <c r="AG143" s="19">
        <f>ROUND((Z143*'Data-CostAssumptions'!$G$5)*(1+'Data-CostAssumptions'!$G$3)^(AC143-'Data-CostAssumptions'!$G$4),-3)</f>
        <v>279000</v>
      </c>
      <c r="AH143" s="19">
        <f>ROUND((Z143)*(1+'Data-CostAssumptions'!$G$3)^(AE143-'Data-CostAssumptions'!$G$4),-3)</f>
        <v>1269000</v>
      </c>
    </row>
    <row r="144" spans="1:34" ht="15" customHeight="1" x14ac:dyDescent="0.2">
      <c r="A144" s="11"/>
      <c r="B144" s="11" t="s">
        <v>1211</v>
      </c>
      <c r="C144" s="13">
        <v>766</v>
      </c>
      <c r="D144" s="13" t="s">
        <v>420</v>
      </c>
      <c r="E144" s="20">
        <v>207</v>
      </c>
      <c r="F144" s="20">
        <v>185</v>
      </c>
      <c r="G144" s="20">
        <v>143</v>
      </c>
      <c r="H144" s="13" t="s">
        <v>1857</v>
      </c>
      <c r="I144" s="13" t="str">
        <f t="shared" si="4"/>
        <v>Park Rd (Park Rd turn-off to North 56th Av)</v>
      </c>
      <c r="J144" s="13" t="s">
        <v>29</v>
      </c>
      <c r="K144" s="13" t="str">
        <f>VLOOKUP(J144,'Data-ProjectTypes'!A$3:B$13,2,FALSE)</f>
        <v>Program</v>
      </c>
      <c r="L144" s="21" t="s">
        <v>562</v>
      </c>
      <c r="M144" s="13" t="s">
        <v>2441</v>
      </c>
      <c r="N144" s="13" t="s">
        <v>2041</v>
      </c>
      <c r="O144" s="13" t="s">
        <v>282</v>
      </c>
      <c r="P144" s="13" t="s">
        <v>282</v>
      </c>
      <c r="Q144" s="22">
        <v>1.6</v>
      </c>
      <c r="R144" s="23">
        <v>367603</v>
      </c>
      <c r="S144" s="21"/>
      <c r="T144" s="21" t="s">
        <v>24</v>
      </c>
      <c r="U144" s="21" t="s">
        <v>25</v>
      </c>
      <c r="V144" s="24" t="s">
        <v>24</v>
      </c>
      <c r="W144" s="24" t="s">
        <v>561</v>
      </c>
      <c r="X144" s="24"/>
      <c r="Y144" s="17" t="s">
        <v>538</v>
      </c>
      <c r="Z144" s="18">
        <f>ROUND(R144*'Data-CostAssumptions'!$C$3,-3)</f>
        <v>509000</v>
      </c>
      <c r="AA144" s="11">
        <f t="shared" si="5"/>
        <v>1</v>
      </c>
      <c r="AB144" s="11">
        <v>2041</v>
      </c>
      <c r="AC144" s="11">
        <v>2041</v>
      </c>
      <c r="AD144" s="11">
        <v>2041</v>
      </c>
      <c r="AE144" s="11">
        <v>2041</v>
      </c>
      <c r="AF144" s="11">
        <v>0</v>
      </c>
      <c r="AG144" s="19">
        <f>ROUND((Z144*'Data-CostAssumptions'!$G$5)*(1+'Data-CostAssumptions'!$G$3)^(AC144-'Data-CostAssumptions'!$G$4),-3)</f>
        <v>287000</v>
      </c>
      <c r="AH144" s="19">
        <f>ROUND((Z144)*(1+'Data-CostAssumptions'!$G$3)^(AE144-'Data-CostAssumptions'!$G$4),-3)</f>
        <v>1305000</v>
      </c>
    </row>
    <row r="145" spans="1:34" ht="15" customHeight="1" x14ac:dyDescent="0.2">
      <c r="A145" s="11"/>
      <c r="B145" s="11" t="s">
        <v>1211</v>
      </c>
      <c r="C145" s="13">
        <v>767</v>
      </c>
      <c r="D145" s="13" t="s">
        <v>420</v>
      </c>
      <c r="E145" s="20">
        <v>216</v>
      </c>
      <c r="F145" s="20">
        <v>185</v>
      </c>
      <c r="G145" s="20">
        <v>144</v>
      </c>
      <c r="H145" s="13" t="s">
        <v>1880</v>
      </c>
      <c r="I145" s="13" t="str">
        <f t="shared" si="4"/>
        <v>Johnson St (North 46th Av to North 72nd Av)</v>
      </c>
      <c r="J145" s="13" t="s">
        <v>29</v>
      </c>
      <c r="K145" s="13" t="str">
        <f>VLOOKUP(J145,'Data-ProjectTypes'!A$3:B$13,2,FALSE)</f>
        <v>Program</v>
      </c>
      <c r="L145" s="21" t="s">
        <v>562</v>
      </c>
      <c r="M145" s="13" t="s">
        <v>2040</v>
      </c>
      <c r="N145" s="13" t="s">
        <v>2045</v>
      </c>
      <c r="O145" s="13" t="s">
        <v>282</v>
      </c>
      <c r="P145" s="13" t="s">
        <v>282</v>
      </c>
      <c r="Q145" s="22">
        <v>2.6</v>
      </c>
      <c r="R145" s="23">
        <v>610719</v>
      </c>
      <c r="S145" s="21"/>
      <c r="T145" s="21" t="s">
        <v>24</v>
      </c>
      <c r="U145" s="21" t="s">
        <v>25</v>
      </c>
      <c r="V145" s="24" t="s">
        <v>24</v>
      </c>
      <c r="W145" s="24" t="s">
        <v>561</v>
      </c>
      <c r="X145" s="24"/>
      <c r="Y145" s="17" t="s">
        <v>538</v>
      </c>
      <c r="Z145" s="18">
        <f>ROUND(R145*'Data-CostAssumptions'!$C$3,-3)</f>
        <v>845000</v>
      </c>
      <c r="AA145" s="11">
        <f t="shared" si="5"/>
        <v>1</v>
      </c>
      <c r="AB145" s="11">
        <v>2041</v>
      </c>
      <c r="AC145" s="11">
        <v>2041</v>
      </c>
      <c r="AD145" s="11">
        <v>2041</v>
      </c>
      <c r="AE145" s="11">
        <v>2041</v>
      </c>
      <c r="AF145" s="11">
        <v>0</v>
      </c>
      <c r="AG145" s="19">
        <f>ROUND((Z145*'Data-CostAssumptions'!$G$5)*(1+'Data-CostAssumptions'!$G$3)^(AC145-'Data-CostAssumptions'!$G$4),-3)</f>
        <v>477000</v>
      </c>
      <c r="AH145" s="19">
        <f>ROUND((Z145)*(1+'Data-CostAssumptions'!$G$3)^(AE145-'Data-CostAssumptions'!$G$4),-3)</f>
        <v>2167000</v>
      </c>
    </row>
    <row r="146" spans="1:34" ht="15" customHeight="1" x14ac:dyDescent="0.2">
      <c r="A146" s="11"/>
      <c r="B146" s="11" t="s">
        <v>1211</v>
      </c>
      <c r="C146" s="13">
        <v>768</v>
      </c>
      <c r="D146" s="13" t="s">
        <v>420</v>
      </c>
      <c r="E146" s="20">
        <v>219</v>
      </c>
      <c r="F146" s="20">
        <v>185</v>
      </c>
      <c r="G146" s="20">
        <v>145</v>
      </c>
      <c r="H146" s="13" t="s">
        <v>2133</v>
      </c>
      <c r="I146" s="13" t="str">
        <f t="shared" si="4"/>
        <v>SW 72nd Av (Pembroke Rd to Sheridan St)</v>
      </c>
      <c r="J146" s="13" t="s">
        <v>29</v>
      </c>
      <c r="K146" s="13" t="str">
        <f>VLOOKUP(J146,'Data-ProjectTypes'!A$3:B$13,2,FALSE)</f>
        <v>Program</v>
      </c>
      <c r="L146" s="21" t="s">
        <v>562</v>
      </c>
      <c r="M146" s="13" t="s">
        <v>1760</v>
      </c>
      <c r="N146" s="13" t="s">
        <v>1951</v>
      </c>
      <c r="O146" s="13" t="s">
        <v>272</v>
      </c>
      <c r="P146" s="13" t="s">
        <v>272</v>
      </c>
      <c r="Q146" s="22">
        <v>2.5</v>
      </c>
      <c r="R146" s="23">
        <v>583567</v>
      </c>
      <c r="S146" s="21"/>
      <c r="T146" s="21" t="s">
        <v>24</v>
      </c>
      <c r="U146" s="21" t="s">
        <v>25</v>
      </c>
      <c r="V146" s="24" t="s">
        <v>24</v>
      </c>
      <c r="W146" s="24" t="s">
        <v>561</v>
      </c>
      <c r="X146" s="24"/>
      <c r="Y146" s="17" t="s">
        <v>538</v>
      </c>
      <c r="Z146" s="18">
        <f>ROUND(R146*'Data-CostAssumptions'!$C$3,-3)</f>
        <v>808000</v>
      </c>
      <c r="AA146" s="11">
        <f t="shared" si="5"/>
        <v>1</v>
      </c>
      <c r="AB146" s="11">
        <v>2041</v>
      </c>
      <c r="AC146" s="11">
        <v>2041</v>
      </c>
      <c r="AD146" s="11">
        <v>2041</v>
      </c>
      <c r="AE146" s="11">
        <v>2041</v>
      </c>
      <c r="AF146" s="11">
        <v>0</v>
      </c>
      <c r="AG146" s="19">
        <f>ROUND((Z146*'Data-CostAssumptions'!$G$5)*(1+'Data-CostAssumptions'!$G$3)^(AC146-'Data-CostAssumptions'!$G$4),-3)</f>
        <v>456000</v>
      </c>
      <c r="AH146" s="19">
        <f>ROUND((Z146)*(1+'Data-CostAssumptions'!$G$3)^(AE146-'Data-CostAssumptions'!$G$4),-3)</f>
        <v>2072000</v>
      </c>
    </row>
    <row r="147" spans="1:34" ht="15" customHeight="1" x14ac:dyDescent="0.2">
      <c r="A147" s="11"/>
      <c r="B147" s="11" t="s">
        <v>1211</v>
      </c>
      <c r="C147" s="13">
        <v>769</v>
      </c>
      <c r="D147" s="13" t="s">
        <v>420</v>
      </c>
      <c r="E147" s="20">
        <v>241</v>
      </c>
      <c r="F147" s="20">
        <v>185</v>
      </c>
      <c r="G147" s="20">
        <v>146</v>
      </c>
      <c r="H147" s="13" t="s">
        <v>2734</v>
      </c>
      <c r="I147" s="13" t="str">
        <f t="shared" si="4"/>
        <v>SR 814/Atlantic Bl (Lyons Rd to State Rd 7/US 441)</v>
      </c>
      <c r="J147" s="13" t="s">
        <v>29</v>
      </c>
      <c r="K147" s="13" t="str">
        <f>VLOOKUP(J147,'Data-ProjectTypes'!A$3:B$13,2,FALSE)</f>
        <v>Program</v>
      </c>
      <c r="L147" s="21" t="s">
        <v>348</v>
      </c>
      <c r="M147" s="13" t="s">
        <v>1754</v>
      </c>
      <c r="N147" s="13" t="s">
        <v>1773</v>
      </c>
      <c r="O147" s="13" t="s">
        <v>270</v>
      </c>
      <c r="P147" s="13" t="s">
        <v>270</v>
      </c>
      <c r="Q147" s="22">
        <v>1.2</v>
      </c>
      <c r="R147" s="23">
        <v>285078</v>
      </c>
      <c r="S147" s="21"/>
      <c r="T147" s="21"/>
      <c r="U147" s="21"/>
      <c r="V147" s="24"/>
      <c r="W147" s="24"/>
      <c r="X147" s="24"/>
      <c r="Y147" s="17"/>
      <c r="Z147" s="18">
        <f>ROUND(R147*'Data-CostAssumptions'!$C$3,-3)</f>
        <v>395000</v>
      </c>
      <c r="AA147" s="11">
        <f t="shared" si="5"/>
        <v>0</v>
      </c>
      <c r="AB147" s="11">
        <v>2041</v>
      </c>
      <c r="AC147" s="11">
        <v>2041</v>
      </c>
      <c r="AD147" s="11">
        <v>2041</v>
      </c>
      <c r="AE147" s="11">
        <v>2041</v>
      </c>
      <c r="AF147" s="11">
        <v>0</v>
      </c>
      <c r="AG147" s="19">
        <f>ROUND((Z147*'Data-CostAssumptions'!$G$5)*(1+'Data-CostAssumptions'!$G$3)^(AC147-'Data-CostAssumptions'!$G$4),-3)</f>
        <v>223000</v>
      </c>
      <c r="AH147" s="19">
        <f>ROUND((Z147)*(1+'Data-CostAssumptions'!$G$3)^(AE147-'Data-CostAssumptions'!$G$4),-3)</f>
        <v>1013000</v>
      </c>
    </row>
    <row r="148" spans="1:34" ht="15" customHeight="1" x14ac:dyDescent="0.2">
      <c r="A148" s="11"/>
      <c r="B148" s="11" t="s">
        <v>1211</v>
      </c>
      <c r="C148" s="13">
        <v>770</v>
      </c>
      <c r="D148" s="13" t="s">
        <v>420</v>
      </c>
      <c r="E148" s="20">
        <v>242</v>
      </c>
      <c r="F148" s="20">
        <v>185</v>
      </c>
      <c r="G148" s="20">
        <v>147</v>
      </c>
      <c r="H148" s="13" t="s">
        <v>1754</v>
      </c>
      <c r="I148" s="13" t="str">
        <f t="shared" si="4"/>
        <v>Lyons Rd (Atlantic Bl to Copans Rd)</v>
      </c>
      <c r="J148" s="13" t="s">
        <v>29</v>
      </c>
      <c r="K148" s="13" t="str">
        <f>VLOOKUP(J148,'Data-ProjectTypes'!A$3:B$13,2,FALSE)</f>
        <v>Program</v>
      </c>
      <c r="L148" s="21" t="s">
        <v>348</v>
      </c>
      <c r="M148" s="13" t="s">
        <v>1809</v>
      </c>
      <c r="N148" s="13" t="s">
        <v>1836</v>
      </c>
      <c r="O148" s="13" t="s">
        <v>283</v>
      </c>
      <c r="P148" s="13" t="s">
        <v>283</v>
      </c>
      <c r="Q148" s="22">
        <v>1.9</v>
      </c>
      <c r="R148" s="23">
        <v>447823</v>
      </c>
      <c r="S148" s="21"/>
      <c r="T148" s="21"/>
      <c r="U148" s="21"/>
      <c r="V148" s="24"/>
      <c r="W148" s="24"/>
      <c r="X148" s="24"/>
      <c r="Y148" s="17"/>
      <c r="Z148" s="18">
        <f>ROUND(R148*'Data-CostAssumptions'!$C$3,-3)</f>
        <v>620000</v>
      </c>
      <c r="AA148" s="11">
        <f t="shared" si="5"/>
        <v>0</v>
      </c>
      <c r="AB148" s="11">
        <v>2041</v>
      </c>
      <c r="AC148" s="11">
        <v>2041</v>
      </c>
      <c r="AD148" s="11">
        <v>2041</v>
      </c>
      <c r="AE148" s="11">
        <v>2041</v>
      </c>
      <c r="AF148" s="11">
        <v>0</v>
      </c>
      <c r="AG148" s="19">
        <f>ROUND((Z148*'Data-CostAssumptions'!$G$5)*(1+'Data-CostAssumptions'!$G$3)^(AC148-'Data-CostAssumptions'!$G$4),-3)</f>
        <v>350000</v>
      </c>
      <c r="AH148" s="19">
        <f>ROUND((Z148)*(1+'Data-CostAssumptions'!$G$3)^(AE148-'Data-CostAssumptions'!$G$4),-3)</f>
        <v>1590000</v>
      </c>
    </row>
    <row r="149" spans="1:34" ht="15" customHeight="1" x14ac:dyDescent="0.2">
      <c r="A149" s="11"/>
      <c r="B149" s="11" t="s">
        <v>1211</v>
      </c>
      <c r="C149" s="13">
        <v>771</v>
      </c>
      <c r="D149" s="13" t="s">
        <v>420</v>
      </c>
      <c r="E149" s="20">
        <v>243</v>
      </c>
      <c r="F149" s="20">
        <v>185</v>
      </c>
      <c r="G149" s="20">
        <v>148</v>
      </c>
      <c r="H149" s="13" t="s">
        <v>1745</v>
      </c>
      <c r="I149" s="13" t="str">
        <f t="shared" si="4"/>
        <v>Banks Rd (Atlantic Bl to Copans Rd)</v>
      </c>
      <c r="J149" s="13" t="s">
        <v>29</v>
      </c>
      <c r="K149" s="13" t="str">
        <f>VLOOKUP(J149,'Data-ProjectTypes'!A$3:B$13,2,FALSE)</f>
        <v>Program</v>
      </c>
      <c r="L149" s="21" t="s">
        <v>348</v>
      </c>
      <c r="M149" s="13" t="s">
        <v>1809</v>
      </c>
      <c r="N149" s="13" t="s">
        <v>1836</v>
      </c>
      <c r="O149" s="13" t="s">
        <v>272</v>
      </c>
      <c r="P149" s="13" t="s">
        <v>272</v>
      </c>
      <c r="Q149" s="22">
        <v>1.5</v>
      </c>
      <c r="R149" s="23">
        <v>338601</v>
      </c>
      <c r="S149" s="21"/>
      <c r="T149" s="21"/>
      <c r="U149" s="21"/>
      <c r="V149" s="24"/>
      <c r="W149" s="24"/>
      <c r="X149" s="24"/>
      <c r="Y149" s="17"/>
      <c r="Z149" s="18">
        <f>ROUND(R149*'Data-CostAssumptions'!$C$3,-3)</f>
        <v>469000</v>
      </c>
      <c r="AA149" s="11">
        <f t="shared" si="5"/>
        <v>0</v>
      </c>
      <c r="AB149" s="11">
        <v>2041</v>
      </c>
      <c r="AC149" s="11">
        <v>2041</v>
      </c>
      <c r="AD149" s="11">
        <v>2041</v>
      </c>
      <c r="AE149" s="11">
        <v>2041</v>
      </c>
      <c r="AF149" s="11">
        <v>0</v>
      </c>
      <c r="AG149" s="19">
        <f>ROUND((Z149*'Data-CostAssumptions'!$G$5)*(1+'Data-CostAssumptions'!$G$3)^(AC149-'Data-CostAssumptions'!$G$4),-3)</f>
        <v>265000</v>
      </c>
      <c r="AH149" s="19">
        <f>ROUND((Z149)*(1+'Data-CostAssumptions'!$G$3)^(AE149-'Data-CostAssumptions'!$G$4),-3)</f>
        <v>1202000</v>
      </c>
    </row>
    <row r="150" spans="1:34" ht="15" customHeight="1" x14ac:dyDescent="0.2">
      <c r="A150" s="11"/>
      <c r="B150" s="11" t="s">
        <v>1211</v>
      </c>
      <c r="C150" s="13">
        <v>772</v>
      </c>
      <c r="D150" s="13" t="s">
        <v>420</v>
      </c>
      <c r="E150" s="20">
        <v>244</v>
      </c>
      <c r="F150" s="20">
        <v>185</v>
      </c>
      <c r="G150" s="20">
        <v>149</v>
      </c>
      <c r="H150" s="13" t="s">
        <v>57</v>
      </c>
      <c r="I150" s="13" t="str">
        <f t="shared" si="4"/>
        <v>SR 7/US 441 (Atlantic Bl to Copans Rd)</v>
      </c>
      <c r="J150" s="13" t="s">
        <v>29</v>
      </c>
      <c r="K150" s="13" t="str">
        <f>VLOOKUP(J150,'Data-ProjectTypes'!A$3:B$13,2,FALSE)</f>
        <v>Program</v>
      </c>
      <c r="L150" s="21" t="s">
        <v>348</v>
      </c>
      <c r="M150" s="13" t="s">
        <v>1809</v>
      </c>
      <c r="N150" s="13" t="s">
        <v>1836</v>
      </c>
      <c r="O150" s="13" t="s">
        <v>270</v>
      </c>
      <c r="P150" s="13" t="s">
        <v>270</v>
      </c>
      <c r="Q150" s="22">
        <v>1.4</v>
      </c>
      <c r="R150" s="23">
        <v>316986</v>
      </c>
      <c r="S150" s="21"/>
      <c r="T150" s="21"/>
      <c r="U150" s="21"/>
      <c r="V150" s="24"/>
      <c r="W150" s="24"/>
      <c r="X150" s="24"/>
      <c r="Y150" s="17"/>
      <c r="Z150" s="18">
        <f>ROUND(R150*'Data-CostAssumptions'!$C$3,-3)</f>
        <v>439000</v>
      </c>
      <c r="AA150" s="11">
        <f t="shared" si="5"/>
        <v>0</v>
      </c>
      <c r="AB150" s="11">
        <v>2041</v>
      </c>
      <c r="AC150" s="11">
        <v>2041</v>
      </c>
      <c r="AD150" s="11">
        <v>2041</v>
      </c>
      <c r="AE150" s="11">
        <v>2041</v>
      </c>
      <c r="AF150" s="11">
        <v>0</v>
      </c>
      <c r="AG150" s="19">
        <f>ROUND((Z150*'Data-CostAssumptions'!$G$5)*(1+'Data-CostAssumptions'!$G$3)^(AC150-'Data-CostAssumptions'!$G$4),-3)</f>
        <v>248000</v>
      </c>
      <c r="AH150" s="19">
        <f>ROUND((Z150)*(1+'Data-CostAssumptions'!$G$3)^(AE150-'Data-CostAssumptions'!$G$4),-3)</f>
        <v>1126000</v>
      </c>
    </row>
    <row r="151" spans="1:34" ht="15" customHeight="1" x14ac:dyDescent="0.2">
      <c r="A151" s="11"/>
      <c r="B151" s="11" t="s">
        <v>1211</v>
      </c>
      <c r="C151" s="13">
        <v>773</v>
      </c>
      <c r="D151" s="13" t="s">
        <v>420</v>
      </c>
      <c r="E151" s="20">
        <v>248</v>
      </c>
      <c r="F151" s="20">
        <v>185</v>
      </c>
      <c r="G151" s="20">
        <v>150</v>
      </c>
      <c r="H151" s="13" t="s">
        <v>1854</v>
      </c>
      <c r="I151" s="13" t="str">
        <f t="shared" si="4"/>
        <v>McNab Rd (NW 31st Av to University Dr)</v>
      </c>
      <c r="J151" s="13" t="s">
        <v>29</v>
      </c>
      <c r="K151" s="13" t="str">
        <f>VLOOKUP(J151,'Data-ProjectTypes'!A$3:B$13,2,FALSE)</f>
        <v>Program</v>
      </c>
      <c r="L151" s="21" t="s">
        <v>348</v>
      </c>
      <c r="M151" s="13" t="s">
        <v>2062</v>
      </c>
      <c r="N151" s="13" t="s">
        <v>1804</v>
      </c>
      <c r="O151" s="13" t="s">
        <v>273</v>
      </c>
      <c r="P151" s="13" t="s">
        <v>273</v>
      </c>
      <c r="Q151" s="22">
        <v>4.2</v>
      </c>
      <c r="R151" s="23">
        <v>970029</v>
      </c>
      <c r="S151" s="21"/>
      <c r="T151" s="21"/>
      <c r="U151" s="21"/>
      <c r="V151" s="24"/>
      <c r="W151" s="24"/>
      <c r="X151" s="24"/>
      <c r="Y151" s="17"/>
      <c r="Z151" s="18">
        <f>ROUND(R151*'Data-CostAssumptions'!$C$3,-3)</f>
        <v>1343000</v>
      </c>
      <c r="AA151" s="11">
        <f t="shared" si="5"/>
        <v>0</v>
      </c>
      <c r="AB151" s="11">
        <v>2041</v>
      </c>
      <c r="AC151" s="11">
        <v>2041</v>
      </c>
      <c r="AD151" s="11">
        <v>2041</v>
      </c>
      <c r="AE151" s="11">
        <v>2041</v>
      </c>
      <c r="AF151" s="11">
        <v>0</v>
      </c>
      <c r="AG151" s="19">
        <f>ROUND((Z151*'Data-CostAssumptions'!$G$5)*(1+'Data-CostAssumptions'!$G$3)^(AC151-'Data-CostAssumptions'!$G$4),-3)</f>
        <v>758000</v>
      </c>
      <c r="AH151" s="19">
        <f>ROUND((Z151)*(1+'Data-CostAssumptions'!$G$3)^(AE151-'Data-CostAssumptions'!$G$4),-3)</f>
        <v>3443000</v>
      </c>
    </row>
    <row r="152" spans="1:34" ht="15" customHeight="1" x14ac:dyDescent="0.2">
      <c r="A152" s="11"/>
      <c r="B152" s="11" t="s">
        <v>1211</v>
      </c>
      <c r="C152" s="13">
        <v>774</v>
      </c>
      <c r="D152" s="13" t="s">
        <v>420</v>
      </c>
      <c r="E152" s="20">
        <v>253</v>
      </c>
      <c r="F152" s="20">
        <v>185</v>
      </c>
      <c r="G152" s="20">
        <v>151</v>
      </c>
      <c r="H152" s="13" t="s">
        <v>1829</v>
      </c>
      <c r="I152" s="13" t="str">
        <f t="shared" si="4"/>
        <v>Southgate Bl (SW 81st Av to Coral Ridge Dr)</v>
      </c>
      <c r="J152" s="13" t="s">
        <v>29</v>
      </c>
      <c r="K152" s="13" t="str">
        <f>VLOOKUP(J152,'Data-ProjectTypes'!A$3:B$13,2,FALSE)</f>
        <v>Program</v>
      </c>
      <c r="L152" s="21" t="s">
        <v>348</v>
      </c>
      <c r="M152" s="13" t="s">
        <v>2134</v>
      </c>
      <c r="N152" s="13" t="s">
        <v>1786</v>
      </c>
      <c r="O152" s="13" t="s">
        <v>272</v>
      </c>
      <c r="P152" s="13" t="s">
        <v>272</v>
      </c>
      <c r="Q152" s="22">
        <v>2.8</v>
      </c>
      <c r="R152" s="23">
        <v>647446</v>
      </c>
      <c r="S152" s="21"/>
      <c r="T152" s="21"/>
      <c r="U152" s="21"/>
      <c r="V152" s="24"/>
      <c r="W152" s="24"/>
      <c r="X152" s="24"/>
      <c r="Y152" s="17"/>
      <c r="Z152" s="18">
        <f>ROUND(R152*'Data-CostAssumptions'!$C$3,-3)</f>
        <v>896000</v>
      </c>
      <c r="AA152" s="11">
        <f t="shared" si="5"/>
        <v>0</v>
      </c>
      <c r="AB152" s="11">
        <v>2041</v>
      </c>
      <c r="AC152" s="11">
        <v>2041</v>
      </c>
      <c r="AD152" s="11">
        <v>2041</v>
      </c>
      <c r="AE152" s="11">
        <v>2041</v>
      </c>
      <c r="AF152" s="11">
        <v>0</v>
      </c>
      <c r="AG152" s="19">
        <f>ROUND((Z152*'Data-CostAssumptions'!$G$5)*(1+'Data-CostAssumptions'!$G$3)^(AC152-'Data-CostAssumptions'!$G$4),-3)</f>
        <v>505000</v>
      </c>
      <c r="AH152" s="19">
        <f>ROUND((Z152)*(1+'Data-CostAssumptions'!$G$3)^(AE152-'Data-CostAssumptions'!$G$4),-3)</f>
        <v>2297000</v>
      </c>
    </row>
    <row r="153" spans="1:34" ht="15" customHeight="1" x14ac:dyDescent="0.2">
      <c r="A153" s="11"/>
      <c r="B153" s="11" t="s">
        <v>1211</v>
      </c>
      <c r="C153" s="13">
        <v>775</v>
      </c>
      <c r="D153" s="13" t="s">
        <v>420</v>
      </c>
      <c r="E153" s="20">
        <v>259</v>
      </c>
      <c r="F153" s="20">
        <v>185</v>
      </c>
      <c r="G153" s="20">
        <v>152</v>
      </c>
      <c r="H153" s="13" t="s">
        <v>1799</v>
      </c>
      <c r="I153" s="13" t="str">
        <f t="shared" si="4"/>
        <v>Riverside Dr (Atlantic Bl to Atlantic Bl)</v>
      </c>
      <c r="J153" s="13" t="s">
        <v>29</v>
      </c>
      <c r="K153" s="13" t="str">
        <f>VLOOKUP(J153,'Data-ProjectTypes'!A$3:B$13,2,FALSE)</f>
        <v>Program</v>
      </c>
      <c r="L153" s="21" t="s">
        <v>348</v>
      </c>
      <c r="M153" s="13" t="s">
        <v>1809</v>
      </c>
      <c r="N153" s="13" t="s">
        <v>1809</v>
      </c>
      <c r="O153" s="13" t="s">
        <v>273</v>
      </c>
      <c r="P153" s="13" t="s">
        <v>273</v>
      </c>
      <c r="Q153" s="22">
        <v>2.5</v>
      </c>
      <c r="R153" s="23">
        <v>590843</v>
      </c>
      <c r="S153" s="21" t="s">
        <v>24</v>
      </c>
      <c r="T153" s="21"/>
      <c r="U153" s="21"/>
      <c r="V153" s="24"/>
      <c r="W153" s="24"/>
      <c r="X153" s="24"/>
      <c r="Y153" s="17" t="s">
        <v>460</v>
      </c>
      <c r="Z153" s="18">
        <f>ROUND(R153*'Data-CostAssumptions'!$C$3,-3)</f>
        <v>818000</v>
      </c>
      <c r="AA153" s="11">
        <f t="shared" si="5"/>
        <v>0</v>
      </c>
      <c r="AB153" s="11">
        <v>2041</v>
      </c>
      <c r="AC153" s="11">
        <v>2041</v>
      </c>
      <c r="AD153" s="11">
        <v>2041</v>
      </c>
      <c r="AE153" s="11">
        <v>2041</v>
      </c>
      <c r="AF153" s="11">
        <v>0</v>
      </c>
      <c r="AG153" s="19">
        <f>ROUND((Z153*'Data-CostAssumptions'!$G$5)*(1+'Data-CostAssumptions'!$G$3)^(AC153-'Data-CostAssumptions'!$G$4),-3)</f>
        <v>461000</v>
      </c>
      <c r="AH153" s="19">
        <f>ROUND((Z153)*(1+'Data-CostAssumptions'!$G$3)^(AE153-'Data-CostAssumptions'!$G$4),-3)</f>
        <v>2097000</v>
      </c>
    </row>
    <row r="154" spans="1:34" ht="15" customHeight="1" x14ac:dyDescent="0.2">
      <c r="A154" s="11"/>
      <c r="B154" s="11" t="s">
        <v>1211</v>
      </c>
      <c r="C154" s="13">
        <v>776</v>
      </c>
      <c r="D154" s="13" t="s">
        <v>420</v>
      </c>
      <c r="E154" s="20">
        <v>280</v>
      </c>
      <c r="F154" s="20">
        <v>185</v>
      </c>
      <c r="G154" s="20">
        <v>153</v>
      </c>
      <c r="H154" s="13" t="s">
        <v>1752</v>
      </c>
      <c r="I154" s="13" t="str">
        <f t="shared" si="4"/>
        <v>Hiatus Rd (Pembroke Rd to Pines Bl)</v>
      </c>
      <c r="J154" s="13" t="s">
        <v>29</v>
      </c>
      <c r="K154" s="13" t="str">
        <f>VLOOKUP(J154,'Data-ProjectTypes'!A$3:B$13,2,FALSE)</f>
        <v>Program</v>
      </c>
      <c r="L154" s="21" t="s">
        <v>348</v>
      </c>
      <c r="M154" s="13" t="s">
        <v>1760</v>
      </c>
      <c r="N154" s="13" t="s">
        <v>1826</v>
      </c>
      <c r="O154" s="13" t="s">
        <v>272</v>
      </c>
      <c r="P154" s="13" t="s">
        <v>272</v>
      </c>
      <c r="Q154" s="22">
        <v>1</v>
      </c>
      <c r="R154" s="23">
        <v>231419</v>
      </c>
      <c r="S154" s="21" t="s">
        <v>24</v>
      </c>
      <c r="T154" s="21" t="s">
        <v>684</v>
      </c>
      <c r="U154" s="21" t="s">
        <v>684</v>
      </c>
      <c r="V154" s="24"/>
      <c r="W154" s="24"/>
      <c r="X154" s="24"/>
      <c r="Y154" s="17" t="s">
        <v>685</v>
      </c>
      <c r="Z154" s="18">
        <f>ROUND(R154*'Data-CostAssumptions'!$C$3,-3)</f>
        <v>320000</v>
      </c>
      <c r="AA154" s="11">
        <f t="shared" si="5"/>
        <v>0</v>
      </c>
      <c r="AB154" s="11">
        <v>2041</v>
      </c>
      <c r="AC154" s="11">
        <v>2041</v>
      </c>
      <c r="AD154" s="11">
        <v>2041</v>
      </c>
      <c r="AE154" s="11">
        <v>2041</v>
      </c>
      <c r="AF154" s="11">
        <v>0</v>
      </c>
      <c r="AG154" s="19">
        <f>ROUND((Z154*'Data-CostAssumptions'!$G$5)*(1+'Data-CostAssumptions'!$G$3)^(AC154-'Data-CostAssumptions'!$G$4),-3)</f>
        <v>181000</v>
      </c>
      <c r="AH154" s="19">
        <f>ROUND((Z154)*(1+'Data-CostAssumptions'!$G$3)^(AE154-'Data-CostAssumptions'!$G$4),-3)</f>
        <v>820000</v>
      </c>
    </row>
    <row r="155" spans="1:34" ht="15" customHeight="1" x14ac:dyDescent="0.2">
      <c r="A155" s="11"/>
      <c r="B155" s="11" t="s">
        <v>1211</v>
      </c>
      <c r="C155" s="13">
        <v>777</v>
      </c>
      <c r="D155" s="13" t="s">
        <v>420</v>
      </c>
      <c r="E155" s="20">
        <v>284</v>
      </c>
      <c r="F155" s="20">
        <v>185</v>
      </c>
      <c r="G155" s="20">
        <v>154</v>
      </c>
      <c r="H155" s="13" t="s">
        <v>1955</v>
      </c>
      <c r="I155" s="13" t="str">
        <f t="shared" si="4"/>
        <v>SW 14th St/Indian Trace (SW 136th Av to Weston Rd)</v>
      </c>
      <c r="J155" s="13" t="s">
        <v>29</v>
      </c>
      <c r="K155" s="13" t="str">
        <f>VLOOKUP(J155,'Data-ProjectTypes'!A$3:B$13,2,FALSE)</f>
        <v>Program</v>
      </c>
      <c r="L155" s="21" t="s">
        <v>348</v>
      </c>
      <c r="M155" s="13" t="s">
        <v>2102</v>
      </c>
      <c r="N155" s="13" t="s">
        <v>1779</v>
      </c>
      <c r="O155" s="13" t="s">
        <v>272</v>
      </c>
      <c r="P155" s="13" t="s">
        <v>272</v>
      </c>
      <c r="Q155" s="22">
        <v>2.2999999999999998</v>
      </c>
      <c r="R155" s="23">
        <v>522743</v>
      </c>
      <c r="S155" s="29" t="s">
        <v>835</v>
      </c>
      <c r="T155" s="21"/>
      <c r="U155" s="21"/>
      <c r="V155" s="24"/>
      <c r="W155" s="24"/>
      <c r="X155" s="24"/>
      <c r="Y155" s="17" t="s">
        <v>834</v>
      </c>
      <c r="Z155" s="18">
        <f>ROUND(R155*'Data-CostAssumptions'!$C$3,-3)</f>
        <v>723000</v>
      </c>
      <c r="AA155" s="11">
        <f t="shared" si="5"/>
        <v>0</v>
      </c>
      <c r="AB155" s="11">
        <v>2041</v>
      </c>
      <c r="AC155" s="11">
        <v>2041</v>
      </c>
      <c r="AD155" s="11">
        <v>2041</v>
      </c>
      <c r="AE155" s="11">
        <v>2041</v>
      </c>
      <c r="AF155" s="11">
        <v>0</v>
      </c>
      <c r="AG155" s="19">
        <f>ROUND((Z155*'Data-CostAssumptions'!$G$5)*(1+'Data-CostAssumptions'!$G$3)^(AC155-'Data-CostAssumptions'!$G$4),-3)</f>
        <v>408000</v>
      </c>
      <c r="AH155" s="19">
        <f>ROUND((Z155)*(1+'Data-CostAssumptions'!$G$3)^(AE155-'Data-CostAssumptions'!$G$4),-3)</f>
        <v>1854000</v>
      </c>
    </row>
    <row r="156" spans="1:34" ht="15" customHeight="1" x14ac:dyDescent="0.2">
      <c r="A156" s="11"/>
      <c r="B156" s="11" t="s">
        <v>1211</v>
      </c>
      <c r="C156" s="13">
        <v>778</v>
      </c>
      <c r="D156" s="13" t="s">
        <v>420</v>
      </c>
      <c r="E156" s="20">
        <v>300</v>
      </c>
      <c r="F156" s="20">
        <v>185</v>
      </c>
      <c r="G156" s="20">
        <v>155</v>
      </c>
      <c r="H156" s="13" t="s">
        <v>1780</v>
      </c>
      <c r="I156" s="13" t="str">
        <f t="shared" si="4"/>
        <v>Wiles Rd (Rock Island Rd to University Dr)</v>
      </c>
      <c r="J156" s="13" t="s">
        <v>29</v>
      </c>
      <c r="K156" s="13" t="str">
        <f>VLOOKUP(J156,'Data-ProjectTypes'!A$3:B$13,2,FALSE)</f>
        <v>Program</v>
      </c>
      <c r="L156" s="21" t="s">
        <v>348</v>
      </c>
      <c r="M156" s="13" t="s">
        <v>1768</v>
      </c>
      <c r="N156" s="13" t="s">
        <v>1804</v>
      </c>
      <c r="O156" s="13" t="s">
        <v>273</v>
      </c>
      <c r="P156" s="13" t="s">
        <v>273</v>
      </c>
      <c r="Q156" s="22">
        <v>1.9</v>
      </c>
      <c r="R156" s="23">
        <v>446938</v>
      </c>
      <c r="S156" s="21" t="s">
        <v>24</v>
      </c>
      <c r="T156" s="21"/>
      <c r="U156" s="21"/>
      <c r="V156" s="24"/>
      <c r="W156" s="24"/>
      <c r="X156" s="24"/>
      <c r="Y156" s="17" t="s">
        <v>460</v>
      </c>
      <c r="Z156" s="18">
        <f>ROUND(R156*'Data-CostAssumptions'!$C$3,-3)</f>
        <v>619000</v>
      </c>
      <c r="AA156" s="11">
        <f t="shared" si="5"/>
        <v>0</v>
      </c>
      <c r="AB156" s="11">
        <v>2041</v>
      </c>
      <c r="AC156" s="11">
        <v>2041</v>
      </c>
      <c r="AD156" s="11">
        <v>2041</v>
      </c>
      <c r="AE156" s="11">
        <v>2041</v>
      </c>
      <c r="AF156" s="11">
        <v>0</v>
      </c>
      <c r="AG156" s="19">
        <f>ROUND((Z156*'Data-CostAssumptions'!$G$5)*(1+'Data-CostAssumptions'!$G$3)^(AC156-'Data-CostAssumptions'!$G$4),-3)</f>
        <v>349000</v>
      </c>
      <c r="AH156" s="19">
        <f>ROUND((Z156)*(1+'Data-CostAssumptions'!$G$3)^(AE156-'Data-CostAssumptions'!$G$4),-3)</f>
        <v>1587000</v>
      </c>
    </row>
    <row r="157" spans="1:34" ht="15" customHeight="1" x14ac:dyDescent="0.2">
      <c r="A157" s="11"/>
      <c r="B157" s="11" t="s">
        <v>1211</v>
      </c>
      <c r="C157" s="13">
        <v>779</v>
      </c>
      <c r="D157" s="13" t="s">
        <v>420</v>
      </c>
      <c r="E157" s="20">
        <v>314</v>
      </c>
      <c r="F157" s="20">
        <v>185</v>
      </c>
      <c r="G157" s="20">
        <v>156</v>
      </c>
      <c r="H157" s="13" t="s">
        <v>2058</v>
      </c>
      <c r="I157" s="13" t="str">
        <f t="shared" si="4"/>
        <v>NW 21st Av/NW 23rd Av (Service Rd at Sunrise Bl to Oakland Park Bl)</v>
      </c>
      <c r="J157" s="13" t="s">
        <v>29</v>
      </c>
      <c r="K157" s="13" t="str">
        <f>VLOOKUP(J157,'Data-ProjectTypes'!A$3:B$13,2,FALSE)</f>
        <v>Program</v>
      </c>
      <c r="L157" s="21" t="s">
        <v>348</v>
      </c>
      <c r="M157" s="13" t="s">
        <v>2436</v>
      </c>
      <c r="N157" s="13" t="s">
        <v>1825</v>
      </c>
      <c r="O157" s="13" t="s">
        <v>273</v>
      </c>
      <c r="P157" s="13" t="s">
        <v>273</v>
      </c>
      <c r="Q157" s="22">
        <v>2</v>
      </c>
      <c r="R157" s="23">
        <v>457635</v>
      </c>
      <c r="S157" s="21"/>
      <c r="T157" s="21"/>
      <c r="U157" s="21"/>
      <c r="V157" s="24"/>
      <c r="W157" s="24"/>
      <c r="X157" s="32" t="s">
        <v>704</v>
      </c>
      <c r="Y157" s="17" t="s">
        <v>287</v>
      </c>
      <c r="Z157" s="18">
        <f>ROUND(R157*'Data-CostAssumptions'!$C$3,-3)</f>
        <v>633000</v>
      </c>
      <c r="AA157" s="11">
        <f t="shared" si="5"/>
        <v>0</v>
      </c>
      <c r="AB157" s="11">
        <v>2041</v>
      </c>
      <c r="AC157" s="11">
        <v>2041</v>
      </c>
      <c r="AD157" s="11">
        <v>2041</v>
      </c>
      <c r="AE157" s="11">
        <v>2041</v>
      </c>
      <c r="AF157" s="11">
        <v>0</v>
      </c>
      <c r="AG157" s="19">
        <f>ROUND((Z157*'Data-CostAssumptions'!$G$5)*(1+'Data-CostAssumptions'!$G$3)^(AC157-'Data-CostAssumptions'!$G$4),-3)</f>
        <v>357000</v>
      </c>
      <c r="AH157" s="19">
        <f>ROUND((Z157)*(1+'Data-CostAssumptions'!$G$3)^(AE157-'Data-CostAssumptions'!$G$4),-3)</f>
        <v>1623000</v>
      </c>
    </row>
    <row r="158" spans="1:34" ht="15" customHeight="1" x14ac:dyDescent="0.2">
      <c r="A158" s="11"/>
      <c r="B158" s="11" t="s">
        <v>1211</v>
      </c>
      <c r="C158" s="13">
        <v>780</v>
      </c>
      <c r="D158" s="13" t="s">
        <v>420</v>
      </c>
      <c r="E158" s="20">
        <v>319</v>
      </c>
      <c r="F158" s="20">
        <v>185</v>
      </c>
      <c r="G158" s="20">
        <v>157</v>
      </c>
      <c r="H158" s="13" t="s">
        <v>2137</v>
      </c>
      <c r="I158" s="13" t="str">
        <f t="shared" si="4"/>
        <v>SW 9th Av (State Rd 84 to Davie Bl)</v>
      </c>
      <c r="J158" s="13" t="s">
        <v>29</v>
      </c>
      <c r="K158" s="13" t="str">
        <f>VLOOKUP(J158,'Data-ProjectTypes'!A$3:B$13,2,FALSE)</f>
        <v>Program</v>
      </c>
      <c r="L158" s="21" t="s">
        <v>348</v>
      </c>
      <c r="M158" s="13" t="s">
        <v>1774</v>
      </c>
      <c r="N158" s="13" t="s">
        <v>1816</v>
      </c>
      <c r="O158" s="13" t="s">
        <v>276</v>
      </c>
      <c r="P158" s="13" t="s">
        <v>276</v>
      </c>
      <c r="Q158" s="22">
        <v>1</v>
      </c>
      <c r="R158" s="23">
        <v>237084</v>
      </c>
      <c r="S158" s="21"/>
      <c r="T158" s="21"/>
      <c r="U158" s="21"/>
      <c r="V158" s="24"/>
      <c r="W158" s="24"/>
      <c r="X158" s="24"/>
      <c r="Y158" s="17"/>
      <c r="Z158" s="18">
        <f>ROUND(R158*'Data-CostAssumptions'!$C$3,-3)</f>
        <v>328000</v>
      </c>
      <c r="AA158" s="11">
        <f t="shared" si="5"/>
        <v>0</v>
      </c>
      <c r="AB158" s="11">
        <v>2041</v>
      </c>
      <c r="AC158" s="11">
        <v>2041</v>
      </c>
      <c r="AD158" s="11">
        <v>2041</v>
      </c>
      <c r="AE158" s="11">
        <v>2041</v>
      </c>
      <c r="AF158" s="11">
        <v>0</v>
      </c>
      <c r="AG158" s="19">
        <f>ROUND((Z158*'Data-CostAssumptions'!$G$5)*(1+'Data-CostAssumptions'!$G$3)^(AC158-'Data-CostAssumptions'!$G$4),-3)</f>
        <v>185000</v>
      </c>
      <c r="AH158" s="19">
        <f>ROUND((Z158)*(1+'Data-CostAssumptions'!$G$3)^(AE158-'Data-CostAssumptions'!$G$4),-3)</f>
        <v>841000</v>
      </c>
    </row>
    <row r="159" spans="1:34" ht="15" customHeight="1" x14ac:dyDescent="0.2">
      <c r="A159" s="11"/>
      <c r="B159" s="11" t="s">
        <v>1211</v>
      </c>
      <c r="C159" s="13">
        <v>781</v>
      </c>
      <c r="D159" s="13" t="s">
        <v>420</v>
      </c>
      <c r="E159" s="20">
        <v>320</v>
      </c>
      <c r="F159" s="20">
        <v>185</v>
      </c>
      <c r="G159" s="20">
        <v>158</v>
      </c>
      <c r="H159" s="13" t="s">
        <v>182</v>
      </c>
      <c r="I159" s="13" t="str">
        <f t="shared" si="4"/>
        <v>SE 17th St (US 1/Federal Hwy to SW 9th Av)</v>
      </c>
      <c r="J159" s="13" t="s">
        <v>29</v>
      </c>
      <c r="K159" s="13" t="str">
        <f>VLOOKUP(J159,'Data-ProjectTypes'!A$3:B$13,2,FALSE)</f>
        <v>Program</v>
      </c>
      <c r="L159" s="21" t="s">
        <v>348</v>
      </c>
      <c r="M159" s="13" t="s">
        <v>2594</v>
      </c>
      <c r="N159" s="13" t="s">
        <v>2137</v>
      </c>
      <c r="O159" s="13" t="s">
        <v>276</v>
      </c>
      <c r="P159" s="13" t="s">
        <v>276</v>
      </c>
      <c r="Q159" s="22">
        <v>1</v>
      </c>
      <c r="R159" s="23">
        <v>240978</v>
      </c>
      <c r="S159" s="21"/>
      <c r="T159" s="21"/>
      <c r="U159" s="21"/>
      <c r="V159" s="24"/>
      <c r="W159" s="24"/>
      <c r="X159" s="24"/>
      <c r="Y159" s="17"/>
      <c r="Z159" s="18">
        <f>ROUND(R159*'Data-CostAssumptions'!$C$3,-3)</f>
        <v>334000</v>
      </c>
      <c r="AA159" s="11">
        <f t="shared" si="5"/>
        <v>0</v>
      </c>
      <c r="AB159" s="11">
        <v>2041</v>
      </c>
      <c r="AC159" s="11">
        <v>2041</v>
      </c>
      <c r="AD159" s="11">
        <v>2041</v>
      </c>
      <c r="AE159" s="11">
        <v>2041</v>
      </c>
      <c r="AF159" s="11">
        <v>0</v>
      </c>
      <c r="AG159" s="19">
        <f>ROUND((Z159*'Data-CostAssumptions'!$G$5)*(1+'Data-CostAssumptions'!$G$3)^(AC159-'Data-CostAssumptions'!$G$4),-3)</f>
        <v>188000</v>
      </c>
      <c r="AH159" s="19">
        <f>ROUND((Z159)*(1+'Data-CostAssumptions'!$G$3)^(AE159-'Data-CostAssumptions'!$G$4),-3)</f>
        <v>856000</v>
      </c>
    </row>
    <row r="160" spans="1:34" ht="15" customHeight="1" x14ac:dyDescent="0.2">
      <c r="A160" s="11"/>
      <c r="B160" s="11" t="s">
        <v>1211</v>
      </c>
      <c r="C160" s="13">
        <v>782</v>
      </c>
      <c r="D160" s="13" t="s">
        <v>420</v>
      </c>
      <c r="E160" s="20">
        <v>322</v>
      </c>
      <c r="F160" s="20">
        <v>185</v>
      </c>
      <c r="G160" s="20">
        <v>159</v>
      </c>
      <c r="H160" s="13" t="s">
        <v>1942</v>
      </c>
      <c r="I160" s="13" t="str">
        <f t="shared" si="4"/>
        <v>SE 24th St/Spangler Bl (Eisenhower Bl to US 1/Federal Hwy)</v>
      </c>
      <c r="J160" s="13" t="s">
        <v>29</v>
      </c>
      <c r="K160" s="13" t="str">
        <f>VLOOKUP(J160,'Data-ProjectTypes'!A$3:B$13,2,FALSE)</f>
        <v>Program</v>
      </c>
      <c r="L160" s="21" t="s">
        <v>562</v>
      </c>
      <c r="M160" s="13" t="s">
        <v>1817</v>
      </c>
      <c r="N160" s="13" t="s">
        <v>2594</v>
      </c>
      <c r="O160" s="13" t="s">
        <v>272</v>
      </c>
      <c r="P160" s="13" t="s">
        <v>272</v>
      </c>
      <c r="Q160" s="22">
        <v>0.8</v>
      </c>
      <c r="R160" s="23">
        <v>176086</v>
      </c>
      <c r="S160" s="21" t="s">
        <v>24</v>
      </c>
      <c r="T160" s="21" t="s">
        <v>25</v>
      </c>
      <c r="U160" s="24" t="s">
        <v>24</v>
      </c>
      <c r="V160" s="24" t="s">
        <v>561</v>
      </c>
      <c r="W160" s="24"/>
      <c r="Y160" s="17" t="s">
        <v>538</v>
      </c>
      <c r="Z160" s="18">
        <f>ROUND(R160*'Data-CostAssumptions'!$C$3,-3)</f>
        <v>244000</v>
      </c>
      <c r="AA160" s="11">
        <f t="shared" si="5"/>
        <v>1</v>
      </c>
      <c r="AB160" s="11">
        <v>2041</v>
      </c>
      <c r="AC160" s="11">
        <v>2041</v>
      </c>
      <c r="AD160" s="11">
        <v>2041</v>
      </c>
      <c r="AE160" s="11">
        <v>2041</v>
      </c>
      <c r="AF160" s="11">
        <v>0</v>
      </c>
      <c r="AG160" s="19">
        <f>ROUND((Z160*'Data-CostAssumptions'!$G$5)*(1+'Data-CostAssumptions'!$G$3)^(AC160-'Data-CostAssumptions'!$G$4),-3)</f>
        <v>138000</v>
      </c>
      <c r="AH160" s="19">
        <f>ROUND((Z160)*(1+'Data-CostAssumptions'!$G$3)^(AE160-'Data-CostAssumptions'!$G$4),-3)</f>
        <v>626000</v>
      </c>
    </row>
    <row r="161" spans="1:34" ht="15" customHeight="1" x14ac:dyDescent="0.2">
      <c r="A161" s="11"/>
      <c r="B161" s="11" t="s">
        <v>1211</v>
      </c>
      <c r="C161" s="13">
        <v>783</v>
      </c>
      <c r="D161" s="13" t="s">
        <v>420</v>
      </c>
      <c r="E161" s="20">
        <v>329</v>
      </c>
      <c r="F161" s="20">
        <v>186</v>
      </c>
      <c r="G161" s="20">
        <v>160</v>
      </c>
      <c r="H161" s="13" t="s">
        <v>485</v>
      </c>
      <c r="I161" s="13" t="str">
        <f t="shared" si="4"/>
        <v>SW 30th St (College Av to Pine Island Rd)</v>
      </c>
      <c r="J161" s="13" t="s">
        <v>29</v>
      </c>
      <c r="K161" s="13" t="str">
        <f>VLOOKUP(J161,'Data-ProjectTypes'!A$3:B$13,2,FALSE)</f>
        <v>Program</v>
      </c>
      <c r="L161" s="21" t="s">
        <v>348</v>
      </c>
      <c r="M161" s="13" t="s">
        <v>2016</v>
      </c>
      <c r="N161" s="13" t="s">
        <v>266</v>
      </c>
      <c r="O161" s="13" t="s">
        <v>279</v>
      </c>
      <c r="P161" s="13" t="s">
        <v>279</v>
      </c>
      <c r="Q161" s="22">
        <v>1.7</v>
      </c>
      <c r="R161" s="23">
        <v>403247</v>
      </c>
      <c r="S161" s="21" t="s">
        <v>24</v>
      </c>
      <c r="T161" s="21" t="s">
        <v>24</v>
      </c>
      <c r="U161" s="21"/>
      <c r="V161" s="24"/>
      <c r="W161" s="24"/>
      <c r="X161" s="24"/>
      <c r="Y161" s="17" t="s">
        <v>469</v>
      </c>
      <c r="Z161" s="18">
        <f>ROUND(R161*'Data-CostAssumptions'!$C$3,-3)</f>
        <v>558000</v>
      </c>
      <c r="AA161" s="11">
        <f t="shared" si="5"/>
        <v>0</v>
      </c>
      <c r="AB161" s="11">
        <v>2041</v>
      </c>
      <c r="AC161" s="11">
        <v>2041</v>
      </c>
      <c r="AD161" s="11">
        <v>2041</v>
      </c>
      <c r="AE161" s="11">
        <v>2041</v>
      </c>
      <c r="AF161" s="11">
        <v>0</v>
      </c>
      <c r="AG161" s="19">
        <f>ROUND((Z161*'Data-CostAssumptions'!$G$5)*(1+'Data-CostAssumptions'!$G$3)^(AC161-'Data-CostAssumptions'!$G$4),-3)</f>
        <v>315000</v>
      </c>
      <c r="AH161" s="19">
        <f>ROUND((Z161)*(1+'Data-CostAssumptions'!$G$3)^(AE161-'Data-CostAssumptions'!$G$4),-3)</f>
        <v>1431000</v>
      </c>
    </row>
    <row r="162" spans="1:34" ht="15" customHeight="1" x14ac:dyDescent="0.2">
      <c r="A162" s="11"/>
      <c r="B162" s="11" t="s">
        <v>1211</v>
      </c>
      <c r="C162" s="13">
        <v>784</v>
      </c>
      <c r="D162" s="13" t="s">
        <v>420</v>
      </c>
      <c r="E162" s="20">
        <v>331</v>
      </c>
      <c r="F162" s="20">
        <v>186</v>
      </c>
      <c r="G162" s="20">
        <v>161</v>
      </c>
      <c r="H162" s="13" t="s">
        <v>486</v>
      </c>
      <c r="I162" s="13" t="str">
        <f t="shared" si="4"/>
        <v>SW 39th St (Davie Rd to University Dr)</v>
      </c>
      <c r="J162" s="13" t="s">
        <v>29</v>
      </c>
      <c r="K162" s="13" t="str">
        <f>VLOOKUP(J162,'Data-ProjectTypes'!A$3:B$13,2,FALSE)</f>
        <v>Program</v>
      </c>
      <c r="L162" s="21" t="s">
        <v>348</v>
      </c>
      <c r="M162" s="13" t="s">
        <v>1845</v>
      </c>
      <c r="N162" s="13" t="s">
        <v>1804</v>
      </c>
      <c r="O162" s="13" t="s">
        <v>279</v>
      </c>
      <c r="P162" s="13" t="s">
        <v>279</v>
      </c>
      <c r="Q162" s="22">
        <v>1.3</v>
      </c>
      <c r="R162" s="23">
        <v>292133</v>
      </c>
      <c r="S162" s="21" t="s">
        <v>24</v>
      </c>
      <c r="T162" s="21" t="s">
        <v>24</v>
      </c>
      <c r="U162" s="21"/>
      <c r="V162" s="24"/>
      <c r="W162" s="24"/>
      <c r="X162" s="24"/>
      <c r="Y162" s="17" t="s">
        <v>469</v>
      </c>
      <c r="Z162" s="18">
        <f>ROUND(R162*'Data-CostAssumptions'!$C$3,-3)</f>
        <v>404000</v>
      </c>
      <c r="AA162" s="11">
        <f t="shared" si="5"/>
        <v>0</v>
      </c>
      <c r="AB162" s="11">
        <v>2041</v>
      </c>
      <c r="AC162" s="11">
        <v>2041</v>
      </c>
      <c r="AD162" s="11">
        <v>2041</v>
      </c>
      <c r="AE162" s="11">
        <v>2041</v>
      </c>
      <c r="AF162" s="11">
        <v>0</v>
      </c>
      <c r="AG162" s="19">
        <f>ROUND((Z162*'Data-CostAssumptions'!$G$5)*(1+'Data-CostAssumptions'!$G$3)^(AC162-'Data-CostAssumptions'!$G$4),-3)</f>
        <v>228000</v>
      </c>
      <c r="AH162" s="19">
        <f>ROUND((Z162)*(1+'Data-CostAssumptions'!$G$3)^(AE162-'Data-CostAssumptions'!$G$4),-3)</f>
        <v>1036000</v>
      </c>
    </row>
    <row r="163" spans="1:34" ht="15" customHeight="1" x14ac:dyDescent="0.2">
      <c r="A163" s="11"/>
      <c r="B163" s="11" t="s">
        <v>1211</v>
      </c>
      <c r="C163" s="13">
        <v>785</v>
      </c>
      <c r="D163" s="13" t="s">
        <v>420</v>
      </c>
      <c r="E163" s="20">
        <v>4</v>
      </c>
      <c r="F163" s="20">
        <v>186</v>
      </c>
      <c r="G163" s="20">
        <v>162</v>
      </c>
      <c r="H163" s="13" t="s">
        <v>2793</v>
      </c>
      <c r="I163" s="13" t="str">
        <f t="shared" si="4"/>
        <v>SR 834/Sample Rd (NW 110th Av to NW 124th Av)</v>
      </c>
      <c r="J163" s="13" t="s">
        <v>29</v>
      </c>
      <c r="K163" s="13" t="str">
        <f>VLOOKUP(J163,'Data-ProjectTypes'!A$3:B$13,2,FALSE)</f>
        <v>Program</v>
      </c>
      <c r="L163" s="21" t="s">
        <v>348</v>
      </c>
      <c r="M163" s="13" t="s">
        <v>2375</v>
      </c>
      <c r="N163" s="13" t="s">
        <v>2259</v>
      </c>
      <c r="O163" s="13" t="s">
        <v>273</v>
      </c>
      <c r="P163" s="13" t="s">
        <v>273</v>
      </c>
      <c r="Q163" s="22">
        <v>1.2</v>
      </c>
      <c r="R163" s="23">
        <v>280464</v>
      </c>
      <c r="S163" s="21" t="s">
        <v>24</v>
      </c>
      <c r="T163" s="21"/>
      <c r="U163" s="21"/>
      <c r="V163" s="24"/>
      <c r="W163" s="24"/>
      <c r="X163" s="24"/>
      <c r="Y163" s="17" t="s">
        <v>460</v>
      </c>
      <c r="Z163" s="18">
        <f>ROUND(R163*'Data-CostAssumptions'!$C$3,-3)</f>
        <v>388000</v>
      </c>
      <c r="AA163" s="11">
        <f t="shared" si="5"/>
        <v>0</v>
      </c>
      <c r="AB163" s="11">
        <v>2041</v>
      </c>
      <c r="AC163" s="11">
        <v>2041</v>
      </c>
      <c r="AD163" s="11">
        <v>2041</v>
      </c>
      <c r="AE163" s="11">
        <v>2041</v>
      </c>
      <c r="AF163" s="11">
        <v>0</v>
      </c>
      <c r="AG163" s="19">
        <f>ROUND((Z163*'Data-CostAssumptions'!$G$5)*(1+'Data-CostAssumptions'!$G$3)^(AC163-'Data-CostAssumptions'!$G$4),-3)</f>
        <v>219000</v>
      </c>
      <c r="AH163" s="19">
        <f>ROUND((Z163)*(1+'Data-CostAssumptions'!$G$3)^(AE163-'Data-CostAssumptions'!$G$4),-3)</f>
        <v>995000</v>
      </c>
    </row>
    <row r="164" spans="1:34" ht="15" customHeight="1" x14ac:dyDescent="0.2">
      <c r="A164" s="11"/>
      <c r="B164" s="11" t="s">
        <v>1211</v>
      </c>
      <c r="C164" s="13">
        <v>786</v>
      </c>
      <c r="D164" s="13" t="s">
        <v>420</v>
      </c>
      <c r="E164" s="20">
        <v>5</v>
      </c>
      <c r="F164" s="20">
        <v>186</v>
      </c>
      <c r="G164" s="20">
        <v>163</v>
      </c>
      <c r="H164" s="13" t="s">
        <v>1786</v>
      </c>
      <c r="I164" s="13" t="str">
        <f t="shared" si="4"/>
        <v>Coral Ridge Dr (Royal Palm Bl to Holmberg Rd)</v>
      </c>
      <c r="J164" s="13" t="s">
        <v>29</v>
      </c>
      <c r="K164" s="13" t="str">
        <f>VLOOKUP(J164,'Data-ProjectTypes'!A$3:B$13,2,FALSE)</f>
        <v>Program</v>
      </c>
      <c r="L164" s="21" t="s">
        <v>348</v>
      </c>
      <c r="M164" s="13" t="s">
        <v>1827</v>
      </c>
      <c r="N164" s="13" t="s">
        <v>2404</v>
      </c>
      <c r="O164" s="13" t="s">
        <v>273</v>
      </c>
      <c r="P164" s="13" t="s">
        <v>273</v>
      </c>
      <c r="Q164" s="22">
        <v>3.3</v>
      </c>
      <c r="R164" s="23">
        <v>762989</v>
      </c>
      <c r="S164" s="21" t="s">
        <v>24</v>
      </c>
      <c r="T164" s="21"/>
      <c r="U164" s="21"/>
      <c r="V164" s="24"/>
      <c r="W164" s="24"/>
      <c r="X164" s="24"/>
      <c r="Y164" s="17" t="s">
        <v>460</v>
      </c>
      <c r="Z164" s="18">
        <f>ROUND(R164*'Data-CostAssumptions'!$C$3,-3)</f>
        <v>1056000</v>
      </c>
      <c r="AA164" s="11">
        <f t="shared" si="5"/>
        <v>0</v>
      </c>
      <c r="AB164" s="11">
        <v>2041</v>
      </c>
      <c r="AC164" s="11">
        <v>2041</v>
      </c>
      <c r="AD164" s="11">
        <v>2041</v>
      </c>
      <c r="AE164" s="11">
        <v>2041</v>
      </c>
      <c r="AF164" s="11">
        <v>0</v>
      </c>
      <c r="AG164" s="19">
        <f>ROUND((Z164*'Data-CostAssumptions'!$G$5)*(1+'Data-CostAssumptions'!$G$3)^(AC164-'Data-CostAssumptions'!$G$4),-3)</f>
        <v>596000</v>
      </c>
      <c r="AH164" s="19">
        <f>ROUND((Z164)*(1+'Data-CostAssumptions'!$G$3)^(AE164-'Data-CostAssumptions'!$G$4),-3)</f>
        <v>2708000</v>
      </c>
    </row>
    <row r="165" spans="1:34" ht="15" customHeight="1" x14ac:dyDescent="0.2">
      <c r="A165" s="11"/>
      <c r="B165" s="11" t="s">
        <v>1211</v>
      </c>
      <c r="C165" s="13">
        <v>787</v>
      </c>
      <c r="D165" s="13" t="s">
        <v>420</v>
      </c>
      <c r="E165" s="20">
        <v>19</v>
      </c>
      <c r="F165" s="20">
        <v>186</v>
      </c>
      <c r="G165" s="20">
        <v>164</v>
      </c>
      <c r="H165" s="13" t="s">
        <v>1827</v>
      </c>
      <c r="I165" s="13" t="str">
        <f t="shared" si="4"/>
        <v>Royal Palm Bl (State Rd 7 to Rock Island Rd)</v>
      </c>
      <c r="J165" s="13" t="s">
        <v>29</v>
      </c>
      <c r="K165" s="13" t="str">
        <f>VLOOKUP(J165,'Data-ProjectTypes'!A$3:B$13,2,FALSE)</f>
        <v>Program</v>
      </c>
      <c r="L165" s="21" t="s">
        <v>348</v>
      </c>
      <c r="M165" s="13" t="s">
        <v>1772</v>
      </c>
      <c r="N165" s="13" t="s">
        <v>1768</v>
      </c>
      <c r="O165" s="13" t="s">
        <v>291</v>
      </c>
      <c r="P165" s="13" t="s">
        <v>291</v>
      </c>
      <c r="Q165" s="22">
        <v>1.3</v>
      </c>
      <c r="R165" s="23">
        <v>291007</v>
      </c>
      <c r="S165" s="21" t="s">
        <v>24</v>
      </c>
      <c r="T165" s="21" t="s">
        <v>25</v>
      </c>
      <c r="U165" s="21"/>
      <c r="V165" s="33" t="s">
        <v>681</v>
      </c>
      <c r="W165" s="24"/>
      <c r="X165" s="24"/>
      <c r="Y165" s="17" t="s">
        <v>680</v>
      </c>
      <c r="Z165" s="18">
        <f>ROUND(R165*'Data-CostAssumptions'!$C$3,-3)</f>
        <v>403000</v>
      </c>
      <c r="AA165" s="11">
        <f t="shared" si="5"/>
        <v>1</v>
      </c>
      <c r="AB165" s="11">
        <v>2041</v>
      </c>
      <c r="AC165" s="11">
        <v>2041</v>
      </c>
      <c r="AD165" s="11">
        <v>2041</v>
      </c>
      <c r="AE165" s="11">
        <v>2041</v>
      </c>
      <c r="AF165" s="11">
        <v>0</v>
      </c>
      <c r="AG165" s="19">
        <f>ROUND((Z165*'Data-CostAssumptions'!$G$5)*(1+'Data-CostAssumptions'!$G$3)^(AC165-'Data-CostAssumptions'!$G$4),-3)</f>
        <v>227000</v>
      </c>
      <c r="AH165" s="19">
        <f>ROUND((Z165)*(1+'Data-CostAssumptions'!$G$3)^(AE165-'Data-CostAssumptions'!$G$4),-3)</f>
        <v>1033000</v>
      </c>
    </row>
    <row r="166" spans="1:34" ht="15" customHeight="1" x14ac:dyDescent="0.2">
      <c r="A166" s="11"/>
      <c r="B166" s="11" t="s">
        <v>1211</v>
      </c>
      <c r="C166" s="13">
        <v>788</v>
      </c>
      <c r="D166" s="13" t="s">
        <v>420</v>
      </c>
      <c r="E166" s="20">
        <v>23</v>
      </c>
      <c r="F166" s="20">
        <v>186</v>
      </c>
      <c r="G166" s="20">
        <v>165</v>
      </c>
      <c r="H166" s="13" t="s">
        <v>2815</v>
      </c>
      <c r="I166" s="13" t="str">
        <f t="shared" si="4"/>
        <v>SR 820/Hillsboro Bl (NE 20th Av/Ocean Bl to US 1/Federal Hwy)</v>
      </c>
      <c r="J166" s="13" t="s">
        <v>29</v>
      </c>
      <c r="K166" s="13" t="str">
        <f>VLOOKUP(J166,'Data-ProjectTypes'!A$3:B$13,2,FALSE)</f>
        <v>Program</v>
      </c>
      <c r="L166" s="21" t="s">
        <v>348</v>
      </c>
      <c r="M166" s="13" t="s">
        <v>2348</v>
      </c>
      <c r="N166" s="13" t="s">
        <v>2594</v>
      </c>
      <c r="O166" s="13" t="s">
        <v>270</v>
      </c>
      <c r="P166" s="13" t="s">
        <v>270</v>
      </c>
      <c r="Q166" s="22">
        <v>0.9</v>
      </c>
      <c r="R166" s="23">
        <v>201672</v>
      </c>
      <c r="S166" s="21"/>
      <c r="T166" s="21"/>
      <c r="U166" s="21"/>
      <c r="V166" s="24"/>
      <c r="W166" s="24"/>
      <c r="X166" s="24"/>
      <c r="Y166" s="17"/>
      <c r="Z166" s="18">
        <f>ROUND(R166*'Data-CostAssumptions'!$C$3,-3)</f>
        <v>279000</v>
      </c>
      <c r="AA166" s="11">
        <f t="shared" si="5"/>
        <v>0</v>
      </c>
      <c r="AB166" s="11">
        <v>2041</v>
      </c>
      <c r="AC166" s="11">
        <v>2041</v>
      </c>
      <c r="AD166" s="11">
        <v>2041</v>
      </c>
      <c r="AE166" s="11">
        <v>2041</v>
      </c>
      <c r="AF166" s="11">
        <v>0</v>
      </c>
      <c r="AG166" s="19">
        <f>ROUND((Z166*'Data-CostAssumptions'!$G$5)*(1+'Data-CostAssumptions'!$G$3)^(AC166-'Data-CostAssumptions'!$G$4),-3)</f>
        <v>157000</v>
      </c>
      <c r="AH166" s="19">
        <f>ROUND((Z166)*(1+'Data-CostAssumptions'!$G$3)^(AE166-'Data-CostAssumptions'!$G$4),-3)</f>
        <v>715000</v>
      </c>
    </row>
    <row r="167" spans="1:34" ht="15" customHeight="1" x14ac:dyDescent="0.2">
      <c r="A167" s="11"/>
      <c r="B167" s="11" t="s">
        <v>1211</v>
      </c>
      <c r="C167" s="13">
        <v>789</v>
      </c>
      <c r="D167" s="13" t="s">
        <v>420</v>
      </c>
      <c r="E167" s="20">
        <v>24</v>
      </c>
      <c r="F167" s="20">
        <v>186</v>
      </c>
      <c r="G167" s="20">
        <v>166</v>
      </c>
      <c r="H167" s="13" t="s">
        <v>1836</v>
      </c>
      <c r="I167" s="13" t="str">
        <f t="shared" si="4"/>
        <v>Copans Rd (Dixie Hwy to I-95)</v>
      </c>
      <c r="J167" s="13" t="s">
        <v>29</v>
      </c>
      <c r="K167" s="13" t="str">
        <f>VLOOKUP(J167,'Data-ProjectTypes'!A$3:B$13,2,FALSE)</f>
        <v>Program</v>
      </c>
      <c r="L167" s="21" t="s">
        <v>348</v>
      </c>
      <c r="M167" s="13" t="s">
        <v>728</v>
      </c>
      <c r="N167" s="13" t="s">
        <v>41</v>
      </c>
      <c r="O167" s="13" t="s">
        <v>273</v>
      </c>
      <c r="P167" s="13" t="s">
        <v>273</v>
      </c>
      <c r="Q167" s="22">
        <v>0.9</v>
      </c>
      <c r="R167" s="23">
        <v>208315</v>
      </c>
      <c r="S167" s="21"/>
      <c r="T167" s="21"/>
      <c r="U167" s="21"/>
      <c r="V167" s="24"/>
      <c r="W167" s="24"/>
      <c r="X167" s="24" t="s">
        <v>764</v>
      </c>
      <c r="Y167" s="17" t="s">
        <v>765</v>
      </c>
      <c r="Z167" s="18">
        <f>ROUND(R167*'Data-CostAssumptions'!$C$3,-3)</f>
        <v>288000</v>
      </c>
      <c r="AA167" s="11">
        <f t="shared" si="5"/>
        <v>0</v>
      </c>
      <c r="AB167" s="11">
        <v>2041</v>
      </c>
      <c r="AC167" s="11">
        <v>2041</v>
      </c>
      <c r="AD167" s="11">
        <v>2041</v>
      </c>
      <c r="AE167" s="11">
        <v>2041</v>
      </c>
      <c r="AF167" s="11">
        <v>0</v>
      </c>
      <c r="AG167" s="19">
        <f>ROUND((Z167*'Data-CostAssumptions'!$G$5)*(1+'Data-CostAssumptions'!$G$3)^(AC167-'Data-CostAssumptions'!$G$4),-3)</f>
        <v>162000</v>
      </c>
      <c r="AH167" s="19">
        <f>ROUND((Z167)*(1+'Data-CostAssumptions'!$G$3)^(AE167-'Data-CostAssumptions'!$G$4),-3)</f>
        <v>738000</v>
      </c>
    </row>
    <row r="168" spans="1:34" ht="15" customHeight="1" x14ac:dyDescent="0.2">
      <c r="A168" s="11"/>
      <c r="B168" s="11" t="s">
        <v>1211</v>
      </c>
      <c r="C168" s="13">
        <v>791</v>
      </c>
      <c r="D168" s="13" t="s">
        <v>420</v>
      </c>
      <c r="E168" s="20">
        <v>32</v>
      </c>
      <c r="F168" s="20">
        <v>186</v>
      </c>
      <c r="G168" s="20">
        <v>167</v>
      </c>
      <c r="H168" s="13" t="s">
        <v>2815</v>
      </c>
      <c r="I168" s="13" t="str">
        <f t="shared" si="4"/>
        <v>SR 820/Hillsboro Bl (US 1/Federal Hwy to Natura Bl)</v>
      </c>
      <c r="J168" s="13" t="s">
        <v>29</v>
      </c>
      <c r="K168" s="13" t="str">
        <f>VLOOKUP(J168,'Data-ProjectTypes'!A$3:B$13,2,FALSE)</f>
        <v>Program</v>
      </c>
      <c r="L168" s="21" t="s">
        <v>501</v>
      </c>
      <c r="M168" s="13" t="s">
        <v>2594</v>
      </c>
      <c r="N168" s="13" t="s">
        <v>1824</v>
      </c>
      <c r="O168" s="13" t="s">
        <v>270</v>
      </c>
      <c r="P168" s="13" t="s">
        <v>270</v>
      </c>
      <c r="Q168" s="22">
        <v>1.2</v>
      </c>
      <c r="R168" s="23">
        <v>285732</v>
      </c>
      <c r="S168" s="21"/>
      <c r="T168" s="21" t="s">
        <v>24</v>
      </c>
      <c r="U168" s="21"/>
      <c r="V168" s="24"/>
      <c r="W168" s="24" t="s">
        <v>491</v>
      </c>
      <c r="X168" s="24"/>
      <c r="Y168" s="17" t="s">
        <v>492</v>
      </c>
      <c r="Z168" s="18">
        <f>ROUND(R168*'Data-CostAssumptions'!$C$3,-3)</f>
        <v>395000</v>
      </c>
      <c r="AA168" s="11">
        <f t="shared" si="5"/>
        <v>1</v>
      </c>
      <c r="AB168" s="11">
        <v>2041</v>
      </c>
      <c r="AC168" s="11">
        <v>2041</v>
      </c>
      <c r="AD168" s="11">
        <v>2041</v>
      </c>
      <c r="AE168" s="11">
        <v>2041</v>
      </c>
      <c r="AF168" s="11">
        <v>0</v>
      </c>
      <c r="AG168" s="19">
        <f>ROUND((Z168*'Data-CostAssumptions'!$G$5)*(1+'Data-CostAssumptions'!$G$3)^(AC168-'Data-CostAssumptions'!$G$4),-3)</f>
        <v>223000</v>
      </c>
      <c r="AH168" s="19">
        <f>ROUND((Z168)*(1+'Data-CostAssumptions'!$G$3)^(AE168-'Data-CostAssumptions'!$G$4),-3)</f>
        <v>1013000</v>
      </c>
    </row>
    <row r="169" spans="1:34" ht="15" customHeight="1" x14ac:dyDescent="0.2">
      <c r="A169" s="11"/>
      <c r="B169" s="11" t="s">
        <v>1211</v>
      </c>
      <c r="C169" s="13">
        <v>792</v>
      </c>
      <c r="D169" s="13" t="s">
        <v>420</v>
      </c>
      <c r="E169" s="20">
        <v>55</v>
      </c>
      <c r="F169" s="20">
        <v>186</v>
      </c>
      <c r="G169" s="20">
        <v>168</v>
      </c>
      <c r="H169" s="13" t="s">
        <v>1977</v>
      </c>
      <c r="I169" s="13" t="str">
        <f t="shared" si="4"/>
        <v>Miramar Pkwy (I-75 Ramp to 160th Av)</v>
      </c>
      <c r="J169" s="13" t="s">
        <v>29</v>
      </c>
      <c r="K169" s="13" t="str">
        <f>VLOOKUP(J169,'Data-ProjectTypes'!A$3:B$13,2,FALSE)</f>
        <v>Program</v>
      </c>
      <c r="L169" s="21" t="s">
        <v>348</v>
      </c>
      <c r="M169" s="13" t="s">
        <v>93</v>
      </c>
      <c r="N169" s="13" t="s">
        <v>2231</v>
      </c>
      <c r="O169" s="13" t="s">
        <v>274</v>
      </c>
      <c r="P169" s="13" t="s">
        <v>274</v>
      </c>
      <c r="Q169" s="22">
        <v>0.4</v>
      </c>
      <c r="R169" s="23">
        <v>90699</v>
      </c>
      <c r="S169" s="21" t="s">
        <v>24</v>
      </c>
      <c r="T169" s="21" t="s">
        <v>684</v>
      </c>
      <c r="U169" s="21" t="s">
        <v>684</v>
      </c>
      <c r="V169" s="24"/>
      <c r="W169" s="24"/>
      <c r="X169" s="24"/>
      <c r="Y169" s="17" t="s">
        <v>685</v>
      </c>
      <c r="Z169" s="18">
        <f>ROUND(R169*'Data-CostAssumptions'!$C$3,-3)</f>
        <v>126000</v>
      </c>
      <c r="AA169" s="11">
        <f t="shared" si="5"/>
        <v>0</v>
      </c>
      <c r="AB169" s="11">
        <v>2041</v>
      </c>
      <c r="AC169" s="11">
        <v>2041</v>
      </c>
      <c r="AD169" s="11">
        <v>2041</v>
      </c>
      <c r="AE169" s="11">
        <v>2041</v>
      </c>
      <c r="AF169" s="11">
        <v>0</v>
      </c>
      <c r="AG169" s="19">
        <f>ROUND((Z169*'Data-CostAssumptions'!$G$5)*(1+'Data-CostAssumptions'!$G$3)^(AC169-'Data-CostAssumptions'!$G$4),-3)</f>
        <v>71000</v>
      </c>
      <c r="AH169" s="19">
        <f>ROUND((Z169)*(1+'Data-CostAssumptions'!$G$3)^(AE169-'Data-CostAssumptions'!$G$4),-3)</f>
        <v>323000</v>
      </c>
    </row>
    <row r="170" spans="1:34" ht="15" customHeight="1" x14ac:dyDescent="0.2">
      <c r="A170" s="11"/>
      <c r="B170" s="11" t="s">
        <v>1211</v>
      </c>
      <c r="C170" s="13">
        <v>793</v>
      </c>
      <c r="D170" s="13" t="s">
        <v>420</v>
      </c>
      <c r="E170" s="20">
        <v>56</v>
      </c>
      <c r="F170" s="20">
        <v>186</v>
      </c>
      <c r="G170" s="20">
        <v>169</v>
      </c>
      <c r="H170" s="13" t="s">
        <v>2083</v>
      </c>
      <c r="I170" s="13" t="str">
        <f t="shared" si="4"/>
        <v>Palm Av (Pines Bl to Johnson St)</v>
      </c>
      <c r="J170" s="13" t="s">
        <v>29</v>
      </c>
      <c r="K170" s="13" t="str">
        <f>VLOOKUP(J170,'Data-ProjectTypes'!A$3:B$13,2,FALSE)</f>
        <v>Program</v>
      </c>
      <c r="L170" s="21" t="s">
        <v>348</v>
      </c>
      <c r="M170" s="13" t="s">
        <v>1826</v>
      </c>
      <c r="N170" s="13" t="s">
        <v>1880</v>
      </c>
      <c r="O170" s="13" t="s">
        <v>270</v>
      </c>
      <c r="P170" s="13" t="s">
        <v>270</v>
      </c>
      <c r="Q170" s="22">
        <v>0.5</v>
      </c>
      <c r="R170" s="23">
        <v>113823</v>
      </c>
      <c r="S170" s="21"/>
      <c r="T170" s="21"/>
      <c r="U170" s="21"/>
      <c r="V170" s="24"/>
      <c r="W170" s="24"/>
      <c r="X170" s="24"/>
      <c r="Y170" s="17"/>
      <c r="Z170" s="18">
        <f>ROUND(R170*'Data-CostAssumptions'!$C$3,-3)</f>
        <v>158000</v>
      </c>
      <c r="AA170" s="11">
        <f t="shared" si="5"/>
        <v>0</v>
      </c>
      <c r="AB170" s="11">
        <v>2041</v>
      </c>
      <c r="AC170" s="11">
        <v>2041</v>
      </c>
      <c r="AD170" s="11">
        <v>2041</v>
      </c>
      <c r="AE170" s="11">
        <v>2041</v>
      </c>
      <c r="AF170" s="11">
        <v>0</v>
      </c>
      <c r="AG170" s="19">
        <f>ROUND((Z170*'Data-CostAssumptions'!$G$5)*(1+'Data-CostAssumptions'!$G$3)^(AC170-'Data-CostAssumptions'!$G$4),-3)</f>
        <v>89000</v>
      </c>
      <c r="AH170" s="19">
        <f>ROUND((Z170)*(1+'Data-CostAssumptions'!$G$3)^(AE170-'Data-CostAssumptions'!$G$4),-3)</f>
        <v>405000</v>
      </c>
    </row>
    <row r="171" spans="1:34" ht="15" customHeight="1" x14ac:dyDescent="0.2">
      <c r="A171" s="11"/>
      <c r="B171" s="11" t="s">
        <v>1211</v>
      </c>
      <c r="C171" s="13">
        <v>794</v>
      </c>
      <c r="D171" s="13" t="s">
        <v>420</v>
      </c>
      <c r="E171" s="20">
        <v>57</v>
      </c>
      <c r="F171" s="20">
        <v>186</v>
      </c>
      <c r="G171" s="20">
        <v>170</v>
      </c>
      <c r="H171" s="13" t="s">
        <v>1951</v>
      </c>
      <c r="I171" s="13" t="str">
        <f t="shared" si="4"/>
        <v>Sheridan St (North 72nd Av to Pine Island Rd)</v>
      </c>
      <c r="J171" s="13" t="s">
        <v>29</v>
      </c>
      <c r="K171" s="13" t="str">
        <f>VLOOKUP(J171,'Data-ProjectTypes'!A$3:B$13,2,FALSE)</f>
        <v>Program</v>
      </c>
      <c r="L171" s="21" t="s">
        <v>348</v>
      </c>
      <c r="M171" s="13" t="s">
        <v>2045</v>
      </c>
      <c r="N171" s="13" t="s">
        <v>266</v>
      </c>
      <c r="O171" s="13" t="s">
        <v>272</v>
      </c>
      <c r="P171" s="13" t="s">
        <v>272</v>
      </c>
      <c r="Q171" s="22">
        <v>2</v>
      </c>
      <c r="R171" s="23">
        <v>462017</v>
      </c>
      <c r="S171" s="21" t="s">
        <v>24</v>
      </c>
      <c r="T171" s="21" t="s">
        <v>25</v>
      </c>
      <c r="U171" s="21" t="s">
        <v>25</v>
      </c>
      <c r="V171" s="24"/>
      <c r="W171" s="24" t="s">
        <v>573</v>
      </c>
      <c r="X171" s="24"/>
      <c r="Y171" s="17" t="s">
        <v>547</v>
      </c>
      <c r="Z171" s="18">
        <f>ROUND(R171*'Data-CostAssumptions'!$C$3,-3)</f>
        <v>639000</v>
      </c>
      <c r="AA171" s="11">
        <f t="shared" si="5"/>
        <v>1</v>
      </c>
      <c r="AB171" s="11">
        <v>2041</v>
      </c>
      <c r="AC171" s="11">
        <v>2041</v>
      </c>
      <c r="AD171" s="11">
        <v>2041</v>
      </c>
      <c r="AE171" s="11">
        <v>2041</v>
      </c>
      <c r="AF171" s="11">
        <v>0</v>
      </c>
      <c r="AG171" s="19">
        <f>ROUND((Z171*'Data-CostAssumptions'!$G$5)*(1+'Data-CostAssumptions'!$G$3)^(AC171-'Data-CostAssumptions'!$G$4),-3)</f>
        <v>360000</v>
      </c>
      <c r="AH171" s="19">
        <f>ROUND((Z171)*(1+'Data-CostAssumptions'!$G$3)^(AE171-'Data-CostAssumptions'!$G$4),-3)</f>
        <v>1638000</v>
      </c>
    </row>
    <row r="172" spans="1:34" ht="15" customHeight="1" x14ac:dyDescent="0.2">
      <c r="A172" s="11"/>
      <c r="B172" s="11" t="s">
        <v>1211</v>
      </c>
      <c r="C172" s="13">
        <v>795</v>
      </c>
      <c r="D172" s="13" t="s">
        <v>420</v>
      </c>
      <c r="E172" s="20">
        <v>58</v>
      </c>
      <c r="F172" s="20">
        <v>186</v>
      </c>
      <c r="G172" s="20">
        <v>171</v>
      </c>
      <c r="H172" s="13" t="s">
        <v>2838</v>
      </c>
      <c r="I172" s="13" t="str">
        <f t="shared" si="4"/>
        <v>Davie Rd Ext. (Stirling Rd/Davie Bl to University Dr)</v>
      </c>
      <c r="J172" s="13" t="s">
        <v>29</v>
      </c>
      <c r="K172" s="13" t="str">
        <f>VLOOKUP(J172,'Data-ProjectTypes'!A$3:B$13,2,FALSE)</f>
        <v>Program</v>
      </c>
      <c r="L172" s="21" t="s">
        <v>348</v>
      </c>
      <c r="M172" s="13" t="s">
        <v>2406</v>
      </c>
      <c r="N172" s="13" t="s">
        <v>1804</v>
      </c>
      <c r="O172" s="13" t="s">
        <v>273</v>
      </c>
      <c r="P172" s="13" t="s">
        <v>273</v>
      </c>
      <c r="Q172" s="22">
        <v>1.5</v>
      </c>
      <c r="R172" s="23">
        <v>338828</v>
      </c>
      <c r="S172" s="21" t="s">
        <v>24</v>
      </c>
      <c r="T172" s="21" t="s">
        <v>25</v>
      </c>
      <c r="U172" s="21"/>
      <c r="V172" s="24"/>
      <c r="W172" s="24"/>
      <c r="X172" s="24"/>
      <c r="Y172" s="17" t="s">
        <v>547</v>
      </c>
      <c r="Z172" s="18">
        <f>ROUND(R172*'Data-CostAssumptions'!$C$3,-3)</f>
        <v>469000</v>
      </c>
      <c r="AA172" s="11">
        <f t="shared" si="5"/>
        <v>0</v>
      </c>
      <c r="AB172" s="11">
        <v>2041</v>
      </c>
      <c r="AC172" s="11">
        <v>2041</v>
      </c>
      <c r="AD172" s="11">
        <v>2041</v>
      </c>
      <c r="AE172" s="11">
        <v>2041</v>
      </c>
      <c r="AF172" s="11">
        <v>0</v>
      </c>
      <c r="AG172" s="19">
        <f>ROUND((Z172*'Data-CostAssumptions'!$G$5)*(1+'Data-CostAssumptions'!$G$3)^(AC172-'Data-CostAssumptions'!$G$4),-3)</f>
        <v>265000</v>
      </c>
      <c r="AH172" s="19">
        <f>ROUND((Z172)*(1+'Data-CostAssumptions'!$G$3)^(AE172-'Data-CostAssumptions'!$G$4),-3)</f>
        <v>1202000</v>
      </c>
    </row>
    <row r="173" spans="1:34" ht="15" customHeight="1" x14ac:dyDescent="0.2">
      <c r="A173" s="11"/>
      <c r="B173" s="11" t="s">
        <v>1211</v>
      </c>
      <c r="C173" s="13">
        <v>796</v>
      </c>
      <c r="D173" s="13" t="s">
        <v>420</v>
      </c>
      <c r="E173" s="20">
        <v>73</v>
      </c>
      <c r="F173" s="20">
        <v>186</v>
      </c>
      <c r="G173" s="20">
        <v>172</v>
      </c>
      <c r="H173" s="13" t="s">
        <v>2799</v>
      </c>
      <c r="I173" s="13" t="str">
        <f t="shared" si="4"/>
        <v>SR 845/Powerline Rd (Commercial Bl to NW 62nd St/Cypress Creek Rd)</v>
      </c>
      <c r="J173" s="13" t="s">
        <v>29</v>
      </c>
      <c r="K173" s="13" t="str">
        <f>VLOOKUP(J173,'Data-ProjectTypes'!A$3:B$13,2,FALSE)</f>
        <v>Program</v>
      </c>
      <c r="L173" s="21" t="s">
        <v>348</v>
      </c>
      <c r="M173" s="13" t="s">
        <v>1813</v>
      </c>
      <c r="N173" s="13" t="s">
        <v>1928</v>
      </c>
      <c r="O173" s="13" t="s">
        <v>270</v>
      </c>
      <c r="P173" s="13" t="s">
        <v>270</v>
      </c>
      <c r="Q173" s="22">
        <v>1</v>
      </c>
      <c r="R173" s="23">
        <v>235052</v>
      </c>
      <c r="S173" s="21"/>
      <c r="T173" s="21"/>
      <c r="U173" s="21"/>
      <c r="V173" s="24"/>
      <c r="W173" s="24"/>
      <c r="X173" s="24"/>
      <c r="Y173" s="17"/>
      <c r="Z173" s="18">
        <f>ROUND(R173*'Data-CostAssumptions'!$C$3,-3)</f>
        <v>325000</v>
      </c>
      <c r="AA173" s="11">
        <f t="shared" si="5"/>
        <v>0</v>
      </c>
      <c r="AB173" s="11">
        <v>2041</v>
      </c>
      <c r="AC173" s="11">
        <v>2041</v>
      </c>
      <c r="AD173" s="11">
        <v>2041</v>
      </c>
      <c r="AE173" s="11">
        <v>2041</v>
      </c>
      <c r="AF173" s="11">
        <v>0</v>
      </c>
      <c r="AG173" s="19">
        <f>ROUND((Z173*'Data-CostAssumptions'!$G$5)*(1+'Data-CostAssumptions'!$G$3)^(AC173-'Data-CostAssumptions'!$G$4),-3)</f>
        <v>183000</v>
      </c>
      <c r="AH173" s="19">
        <f>ROUND((Z173)*(1+'Data-CostAssumptions'!$G$3)^(AE173-'Data-CostAssumptions'!$G$4),-3)</f>
        <v>833000</v>
      </c>
    </row>
    <row r="174" spans="1:34" ht="15" customHeight="1" x14ac:dyDescent="0.2">
      <c r="A174" s="11"/>
      <c r="B174" s="11" t="s">
        <v>1211</v>
      </c>
      <c r="C174" s="13">
        <v>797</v>
      </c>
      <c r="D174" s="13" t="s">
        <v>420</v>
      </c>
      <c r="E174" s="20">
        <v>78</v>
      </c>
      <c r="F174" s="20">
        <v>186</v>
      </c>
      <c r="G174" s="20">
        <v>173</v>
      </c>
      <c r="H174" s="13" t="s">
        <v>1842</v>
      </c>
      <c r="I174" s="13" t="str">
        <f t="shared" si="4"/>
        <v>Cypress Creek Rd (Andrews Av to SR 845 / Powerline Rd)</v>
      </c>
      <c r="J174" s="13" t="s">
        <v>29</v>
      </c>
      <c r="K174" s="13" t="str">
        <f>VLOOKUP(J174,'Data-ProjectTypes'!A$3:B$13,2,FALSE)</f>
        <v>Program</v>
      </c>
      <c r="L174" s="21" t="s">
        <v>348</v>
      </c>
      <c r="M174" s="13" t="s">
        <v>2014</v>
      </c>
      <c r="N174" s="13" t="s">
        <v>2210</v>
      </c>
      <c r="O174" s="13" t="s">
        <v>273</v>
      </c>
      <c r="P174" s="13" t="s">
        <v>273</v>
      </c>
      <c r="Q174" s="22">
        <v>0.4</v>
      </c>
      <c r="R174" s="23">
        <v>101532</v>
      </c>
      <c r="S174" s="21"/>
      <c r="T174" s="21"/>
      <c r="U174" s="21"/>
      <c r="V174" s="24"/>
      <c r="W174" s="24"/>
      <c r="X174" s="28"/>
      <c r="Y174" s="17"/>
      <c r="Z174" s="18">
        <f>ROUND(R174*'Data-CostAssumptions'!$C$3,-3)</f>
        <v>141000</v>
      </c>
      <c r="AA174" s="11">
        <f t="shared" si="5"/>
        <v>0</v>
      </c>
      <c r="AB174" s="11">
        <v>2041</v>
      </c>
      <c r="AC174" s="11">
        <v>2041</v>
      </c>
      <c r="AD174" s="11">
        <v>2041</v>
      </c>
      <c r="AE174" s="11">
        <v>2041</v>
      </c>
      <c r="AF174" s="11">
        <v>0</v>
      </c>
      <c r="AG174" s="19">
        <f>ROUND((Z174*'Data-CostAssumptions'!$G$5)*(1+'Data-CostAssumptions'!$G$3)^(AC174-'Data-CostAssumptions'!$G$4),-3)</f>
        <v>80000</v>
      </c>
      <c r="AH174" s="19">
        <f>ROUND((Z174)*(1+'Data-CostAssumptions'!$G$3)^(AE174-'Data-CostAssumptions'!$G$4),-3)</f>
        <v>362000</v>
      </c>
    </row>
    <row r="175" spans="1:34" ht="15" customHeight="1" x14ac:dyDescent="0.2">
      <c r="A175" s="11"/>
      <c r="B175" s="11" t="s">
        <v>1211</v>
      </c>
      <c r="C175" s="13">
        <v>798</v>
      </c>
      <c r="D175" s="13" t="s">
        <v>420</v>
      </c>
      <c r="E175" s="20">
        <v>94</v>
      </c>
      <c r="F175" s="20">
        <v>186</v>
      </c>
      <c r="G175" s="20">
        <v>174</v>
      </c>
      <c r="H175" s="13" t="s">
        <v>2025</v>
      </c>
      <c r="I175" s="13" t="str">
        <f t="shared" si="4"/>
        <v>NE 16th Av (NE 21st St to Oakland Park Bl)</v>
      </c>
      <c r="J175" s="13" t="s">
        <v>29</v>
      </c>
      <c r="K175" s="13" t="str">
        <f>VLOOKUP(J175,'Data-ProjectTypes'!A$3:B$13,2,FALSE)</f>
        <v>Program</v>
      </c>
      <c r="L175" s="26" t="s">
        <v>847</v>
      </c>
      <c r="M175" s="13" t="s">
        <v>2506</v>
      </c>
      <c r="N175" s="13" t="s">
        <v>1825</v>
      </c>
      <c r="O175" s="13" t="s">
        <v>272</v>
      </c>
      <c r="P175" s="13" t="s">
        <v>272</v>
      </c>
      <c r="Q175" s="22">
        <v>0.8</v>
      </c>
      <c r="R175" s="23">
        <v>193445</v>
      </c>
      <c r="S175" s="21"/>
      <c r="T175" s="21"/>
      <c r="U175" s="21" t="s">
        <v>24</v>
      </c>
      <c r="V175" s="24"/>
      <c r="W175" s="24" t="s">
        <v>848</v>
      </c>
      <c r="X175" s="24"/>
      <c r="Y175" s="17" t="s">
        <v>843</v>
      </c>
      <c r="Z175" s="18">
        <f>ROUND(R175*'Data-CostAssumptions'!$C$3,-3)</f>
        <v>268000</v>
      </c>
      <c r="AA175" s="11">
        <f t="shared" si="5"/>
        <v>1</v>
      </c>
      <c r="AB175" s="11">
        <v>2041</v>
      </c>
      <c r="AC175" s="11">
        <v>2041</v>
      </c>
      <c r="AD175" s="11">
        <v>2041</v>
      </c>
      <c r="AE175" s="11">
        <v>2041</v>
      </c>
      <c r="AF175" s="11">
        <v>0</v>
      </c>
      <c r="AG175" s="19">
        <f>ROUND((Z175*'Data-CostAssumptions'!$G$5)*(1+'Data-CostAssumptions'!$G$3)^(AC175-'Data-CostAssumptions'!$G$4),-3)</f>
        <v>151000</v>
      </c>
      <c r="AH175" s="19">
        <f>ROUND((Z175)*(1+'Data-CostAssumptions'!$G$3)^(AE175-'Data-CostAssumptions'!$G$4),-3)</f>
        <v>687000</v>
      </c>
    </row>
    <row r="176" spans="1:34" ht="15" customHeight="1" x14ac:dyDescent="0.2">
      <c r="A176" s="11"/>
      <c r="B176" s="11" t="s">
        <v>1211</v>
      </c>
      <c r="C176" s="13">
        <v>799</v>
      </c>
      <c r="D176" s="13" t="s">
        <v>420</v>
      </c>
      <c r="E176" s="20">
        <v>99</v>
      </c>
      <c r="F176" s="20">
        <v>186</v>
      </c>
      <c r="G176" s="20">
        <v>175</v>
      </c>
      <c r="H176" s="13" t="s">
        <v>1903</v>
      </c>
      <c r="I176" s="13" t="str">
        <f t="shared" si="4"/>
        <v>NE 7th St/Sunrise Bl Connector (NE 24th Av to Victoria Park Rd)</v>
      </c>
      <c r="J176" s="13" t="s">
        <v>29</v>
      </c>
      <c r="K176" s="13" t="str">
        <f>VLOOKUP(J176,'Data-ProjectTypes'!A$3:B$13,2,FALSE)</f>
        <v>Program</v>
      </c>
      <c r="L176" s="21" t="s">
        <v>348</v>
      </c>
      <c r="M176" s="13" t="s">
        <v>2364</v>
      </c>
      <c r="N176" s="13" t="s">
        <v>1868</v>
      </c>
      <c r="O176" s="13" t="s">
        <v>276</v>
      </c>
      <c r="P176" s="13" t="s">
        <v>276</v>
      </c>
      <c r="Q176" s="22">
        <v>0.8</v>
      </c>
      <c r="R176" s="23">
        <v>196311</v>
      </c>
      <c r="S176" s="21"/>
      <c r="T176" s="21"/>
      <c r="U176" s="21"/>
      <c r="V176" s="24"/>
      <c r="W176" s="24"/>
      <c r="X176" s="28"/>
      <c r="Y176" s="17"/>
      <c r="Z176" s="18">
        <f>ROUND(R176*'Data-CostAssumptions'!$C$3,-3)</f>
        <v>272000</v>
      </c>
      <c r="AA176" s="11">
        <f t="shared" si="5"/>
        <v>0</v>
      </c>
      <c r="AB176" s="11">
        <v>2041</v>
      </c>
      <c r="AC176" s="11">
        <v>2041</v>
      </c>
      <c r="AD176" s="11">
        <v>2041</v>
      </c>
      <c r="AE176" s="11">
        <v>2041</v>
      </c>
      <c r="AF176" s="11">
        <v>0</v>
      </c>
      <c r="AG176" s="19">
        <f>ROUND((Z176*'Data-CostAssumptions'!$G$5)*(1+'Data-CostAssumptions'!$G$3)^(AC176-'Data-CostAssumptions'!$G$4),-3)</f>
        <v>153000</v>
      </c>
      <c r="AH176" s="19">
        <f>ROUND((Z176)*(1+'Data-CostAssumptions'!$G$3)^(AE176-'Data-CostAssumptions'!$G$4),-3)</f>
        <v>697000</v>
      </c>
    </row>
    <row r="177" spans="1:34" ht="15" customHeight="1" x14ac:dyDescent="0.2">
      <c r="A177" s="11"/>
      <c r="B177" s="11" t="s">
        <v>1211</v>
      </c>
      <c r="C177" s="13">
        <v>800</v>
      </c>
      <c r="D177" s="13" t="s">
        <v>420</v>
      </c>
      <c r="E177" s="20">
        <v>113</v>
      </c>
      <c r="F177" s="20">
        <v>187</v>
      </c>
      <c r="G177" s="20">
        <v>176</v>
      </c>
      <c r="H177" s="13" t="s">
        <v>1866</v>
      </c>
      <c r="I177" s="13" t="str">
        <f t="shared" si="4"/>
        <v>Taylor Rd (NE 7th Av to US 1/Federal Hwy)</v>
      </c>
      <c r="J177" s="13" t="s">
        <v>29</v>
      </c>
      <c r="K177" s="13" t="str">
        <f>VLOOKUP(J177,'Data-ProjectTypes'!A$3:B$13,2,FALSE)</f>
        <v>Program</v>
      </c>
      <c r="L177" s="21" t="s">
        <v>348</v>
      </c>
      <c r="M177" s="13" t="s">
        <v>2037</v>
      </c>
      <c r="N177" s="13" t="s">
        <v>2594</v>
      </c>
      <c r="O177" s="13" t="s">
        <v>273</v>
      </c>
      <c r="P177" s="13" t="s">
        <v>273</v>
      </c>
      <c r="Q177" s="22">
        <v>0.8</v>
      </c>
      <c r="R177" s="23">
        <v>182351</v>
      </c>
      <c r="S177" s="21"/>
      <c r="T177" s="21"/>
      <c r="U177" s="21"/>
      <c r="V177" s="24"/>
      <c r="W177" s="24"/>
      <c r="X177" s="24"/>
      <c r="Y177" s="17"/>
      <c r="Z177" s="18">
        <f>ROUND(R177*'Data-CostAssumptions'!$C$3,-3)</f>
        <v>252000</v>
      </c>
      <c r="AA177" s="11">
        <f t="shared" si="5"/>
        <v>0</v>
      </c>
      <c r="AB177" s="11">
        <v>2041</v>
      </c>
      <c r="AC177" s="11">
        <v>2041</v>
      </c>
      <c r="AD177" s="11">
        <v>2041</v>
      </c>
      <c r="AE177" s="11">
        <v>2041</v>
      </c>
      <c r="AF177" s="11">
        <v>0</v>
      </c>
      <c r="AG177" s="19">
        <f>ROUND((Z177*'Data-CostAssumptions'!$G$5)*(1+'Data-CostAssumptions'!$G$3)^(AC177-'Data-CostAssumptions'!$G$4),-3)</f>
        <v>142000</v>
      </c>
      <c r="AH177" s="19">
        <f>ROUND((Z177)*(1+'Data-CostAssumptions'!$G$3)^(AE177-'Data-CostAssumptions'!$G$4),-3)</f>
        <v>646000</v>
      </c>
    </row>
    <row r="178" spans="1:34" ht="15" customHeight="1" x14ac:dyDescent="0.2">
      <c r="A178" s="11"/>
      <c r="B178" s="11" t="s">
        <v>1211</v>
      </c>
      <c r="C178" s="13">
        <v>801</v>
      </c>
      <c r="D178" s="13" t="s">
        <v>420</v>
      </c>
      <c r="E178" s="20">
        <v>115</v>
      </c>
      <c r="F178" s="20">
        <v>187</v>
      </c>
      <c r="G178" s="20">
        <v>177</v>
      </c>
      <c r="H178" s="13" t="s">
        <v>1815</v>
      </c>
      <c r="I178" s="13" t="str">
        <f t="shared" si="4"/>
        <v>Dania Beach Bl (Gulfstream Rd to US 1/Federal Hwy)</v>
      </c>
      <c r="J178" s="13" t="s">
        <v>29</v>
      </c>
      <c r="K178" s="13" t="str">
        <f>VLOOKUP(J178,'Data-ProjectTypes'!A$3:B$13,2,FALSE)</f>
        <v>Program</v>
      </c>
      <c r="L178" s="21" t="s">
        <v>348</v>
      </c>
      <c r="M178" s="13" t="s">
        <v>2405</v>
      </c>
      <c r="N178" s="13" t="s">
        <v>2594</v>
      </c>
      <c r="O178" s="13" t="s">
        <v>270</v>
      </c>
      <c r="P178" s="13" t="s">
        <v>270</v>
      </c>
      <c r="Q178" s="22">
        <v>0.8</v>
      </c>
      <c r="R178" s="23">
        <v>177527</v>
      </c>
      <c r="S178" s="21"/>
      <c r="T178" s="21"/>
      <c r="U178" s="21"/>
      <c r="V178" s="24"/>
      <c r="W178" s="24"/>
      <c r="X178" s="34" t="s">
        <v>1177</v>
      </c>
      <c r="Y178" s="17" t="s">
        <v>1171</v>
      </c>
      <c r="Z178" s="18">
        <f>ROUND(R178*'Data-CostAssumptions'!$C$3,-3)</f>
        <v>246000</v>
      </c>
      <c r="AA178" s="11">
        <f t="shared" si="5"/>
        <v>0</v>
      </c>
      <c r="AB178" s="11">
        <v>2041</v>
      </c>
      <c r="AC178" s="11">
        <v>2041</v>
      </c>
      <c r="AD178" s="11">
        <v>2041</v>
      </c>
      <c r="AE178" s="11">
        <v>2041</v>
      </c>
      <c r="AF178" s="11">
        <v>0</v>
      </c>
      <c r="AG178" s="19">
        <f>ROUND((Z178*'Data-CostAssumptions'!$G$5)*(1+'Data-CostAssumptions'!$G$3)^(AC178-'Data-CostAssumptions'!$G$4),-3)</f>
        <v>139000</v>
      </c>
      <c r="AH178" s="19">
        <f>ROUND((Z178)*(1+'Data-CostAssumptions'!$G$3)^(AE178-'Data-CostAssumptions'!$G$4),-3)</f>
        <v>631000</v>
      </c>
    </row>
    <row r="179" spans="1:34" ht="15" customHeight="1" x14ac:dyDescent="0.2">
      <c r="A179" s="11"/>
      <c r="B179" s="11" t="s">
        <v>1211</v>
      </c>
      <c r="C179" s="13">
        <v>802</v>
      </c>
      <c r="D179" s="13" t="s">
        <v>420</v>
      </c>
      <c r="E179" s="20">
        <v>123</v>
      </c>
      <c r="F179" s="20">
        <v>187</v>
      </c>
      <c r="G179" s="20">
        <v>178</v>
      </c>
      <c r="H179" s="13" t="s">
        <v>2799</v>
      </c>
      <c r="I179" s="13" t="str">
        <f t="shared" si="4"/>
        <v>SR 845/Powerline Rd (Sunrise Bl to Oakland Park Bl)</v>
      </c>
      <c r="J179" s="13" t="s">
        <v>29</v>
      </c>
      <c r="K179" s="13" t="str">
        <f>VLOOKUP(J179,'Data-ProjectTypes'!A$3:B$13,2,FALSE)</f>
        <v>Program</v>
      </c>
      <c r="L179" s="26" t="s">
        <v>847</v>
      </c>
      <c r="M179" s="13" t="s">
        <v>1830</v>
      </c>
      <c r="N179" s="13" t="s">
        <v>1825</v>
      </c>
      <c r="O179" s="13" t="s">
        <v>270</v>
      </c>
      <c r="P179" s="13" t="s">
        <v>270</v>
      </c>
      <c r="Q179" s="22">
        <v>2</v>
      </c>
      <c r="R179" s="23">
        <v>473350</v>
      </c>
      <c r="S179" s="21"/>
      <c r="T179" s="21"/>
      <c r="U179" s="21" t="s">
        <v>24</v>
      </c>
      <c r="V179" s="24"/>
      <c r="W179" s="24"/>
      <c r="X179" s="24"/>
      <c r="Y179" s="17" t="s">
        <v>846</v>
      </c>
      <c r="Z179" s="18">
        <f>ROUND(R179*'Data-CostAssumptions'!$C$3,-3)</f>
        <v>655000</v>
      </c>
      <c r="AA179" s="11">
        <f t="shared" si="5"/>
        <v>0</v>
      </c>
      <c r="AB179" s="11">
        <v>2041</v>
      </c>
      <c r="AC179" s="11">
        <v>2041</v>
      </c>
      <c r="AD179" s="11">
        <v>2041</v>
      </c>
      <c r="AE179" s="11">
        <v>2041</v>
      </c>
      <c r="AF179" s="11">
        <v>0</v>
      </c>
      <c r="AG179" s="19">
        <f>ROUND((Z179*'Data-CostAssumptions'!$G$5)*(1+'Data-CostAssumptions'!$G$3)^(AC179-'Data-CostAssumptions'!$G$4),-3)</f>
        <v>369000</v>
      </c>
      <c r="AH179" s="19">
        <f>ROUND((Z179)*(1+'Data-CostAssumptions'!$G$3)^(AE179-'Data-CostAssumptions'!$G$4),-3)</f>
        <v>1679000</v>
      </c>
    </row>
    <row r="180" spans="1:34" ht="15" customHeight="1" x14ac:dyDescent="0.2">
      <c r="A180" s="11"/>
      <c r="B180" s="11" t="s">
        <v>1211</v>
      </c>
      <c r="C180" s="13">
        <v>803</v>
      </c>
      <c r="D180" s="13" t="s">
        <v>420</v>
      </c>
      <c r="E180" s="20">
        <v>124</v>
      </c>
      <c r="F180" s="20">
        <v>187</v>
      </c>
      <c r="G180" s="20">
        <v>179</v>
      </c>
      <c r="H180" s="13" t="s">
        <v>2710</v>
      </c>
      <c r="I180" s="13" t="str">
        <f t="shared" si="4"/>
        <v>SR 816/Oakland Park Bl (NE 6th Av to NW 9th Av/Powerline Rd)</v>
      </c>
      <c r="J180" s="13" t="s">
        <v>29</v>
      </c>
      <c r="K180" s="13" t="str">
        <f>VLOOKUP(J180,'Data-ProjectTypes'!A$3:B$13,2,FALSE)</f>
        <v>Program</v>
      </c>
      <c r="L180" s="26" t="s">
        <v>847</v>
      </c>
      <c r="M180" s="13" t="s">
        <v>2036</v>
      </c>
      <c r="N180" s="13" t="s">
        <v>2439</v>
      </c>
      <c r="O180" s="13" t="s">
        <v>270</v>
      </c>
      <c r="P180" s="13" t="s">
        <v>270</v>
      </c>
      <c r="Q180" s="22">
        <v>1</v>
      </c>
      <c r="R180" s="23">
        <v>233388</v>
      </c>
      <c r="S180" s="21"/>
      <c r="T180" s="21"/>
      <c r="U180" s="21" t="s">
        <v>24</v>
      </c>
      <c r="V180" s="24"/>
      <c r="W180" s="24"/>
      <c r="X180" s="24"/>
      <c r="Y180" s="17" t="s">
        <v>846</v>
      </c>
      <c r="Z180" s="18">
        <f>ROUND(R180*'Data-CostAssumptions'!$C$3,-3)</f>
        <v>323000</v>
      </c>
      <c r="AA180" s="11">
        <f t="shared" si="5"/>
        <v>0</v>
      </c>
      <c r="AB180" s="11">
        <v>2041</v>
      </c>
      <c r="AC180" s="11">
        <v>2041</v>
      </c>
      <c r="AD180" s="11">
        <v>2041</v>
      </c>
      <c r="AE180" s="11">
        <v>2041</v>
      </c>
      <c r="AF180" s="11">
        <v>0</v>
      </c>
      <c r="AG180" s="19">
        <f>ROUND((Z180*'Data-CostAssumptions'!$G$5)*(1+'Data-CostAssumptions'!$G$3)^(AC180-'Data-CostAssumptions'!$G$4),-3)</f>
        <v>182000</v>
      </c>
      <c r="AH180" s="19">
        <f>ROUND((Z180)*(1+'Data-CostAssumptions'!$G$3)^(AE180-'Data-CostAssumptions'!$G$4),-3)</f>
        <v>828000</v>
      </c>
    </row>
    <row r="181" spans="1:34" ht="15" customHeight="1" x14ac:dyDescent="0.2">
      <c r="A181" s="11"/>
      <c r="B181" s="11" t="s">
        <v>1211</v>
      </c>
      <c r="C181" s="13">
        <v>804</v>
      </c>
      <c r="D181" s="13" t="s">
        <v>420</v>
      </c>
      <c r="E181" s="20">
        <v>128</v>
      </c>
      <c r="F181" s="20">
        <v>187</v>
      </c>
      <c r="G181" s="20">
        <v>180</v>
      </c>
      <c r="H181" s="13" t="s">
        <v>1982</v>
      </c>
      <c r="I181" s="13" t="str">
        <f t="shared" si="4"/>
        <v>NW 7th Av (Broward Bl to Sunrise Bl)</v>
      </c>
      <c r="J181" s="13" t="s">
        <v>29</v>
      </c>
      <c r="K181" s="13" t="str">
        <f>VLOOKUP(J181,'Data-ProjectTypes'!A$3:B$13,2,FALSE)</f>
        <v>Program</v>
      </c>
      <c r="L181" s="21" t="s">
        <v>348</v>
      </c>
      <c r="M181" s="13" t="s">
        <v>1811</v>
      </c>
      <c r="N181" s="13" t="s">
        <v>1830</v>
      </c>
      <c r="O181" s="13" t="s">
        <v>273</v>
      </c>
      <c r="P181" s="13" t="s">
        <v>273</v>
      </c>
      <c r="Q181" s="22">
        <v>1</v>
      </c>
      <c r="R181" s="23">
        <v>230885</v>
      </c>
      <c r="S181" s="21"/>
      <c r="T181" s="21"/>
      <c r="U181" s="21"/>
      <c r="V181" s="24"/>
      <c r="W181" s="24"/>
      <c r="X181" s="24"/>
      <c r="Y181" s="17"/>
      <c r="Z181" s="18">
        <f>ROUND(R181*'Data-CostAssumptions'!$C$3,-3)</f>
        <v>320000</v>
      </c>
      <c r="AA181" s="11">
        <f t="shared" si="5"/>
        <v>0</v>
      </c>
      <c r="AB181" s="11">
        <v>2041</v>
      </c>
      <c r="AC181" s="11">
        <v>2041</v>
      </c>
      <c r="AD181" s="11">
        <v>2041</v>
      </c>
      <c r="AE181" s="11">
        <v>2041</v>
      </c>
      <c r="AF181" s="11">
        <v>0</v>
      </c>
      <c r="AG181" s="19">
        <f>ROUND((Z181*'Data-CostAssumptions'!$G$5)*(1+'Data-CostAssumptions'!$G$3)^(AC181-'Data-CostAssumptions'!$G$4),-3)</f>
        <v>181000</v>
      </c>
      <c r="AH181" s="19">
        <f>ROUND((Z181)*(1+'Data-CostAssumptions'!$G$3)^(AE181-'Data-CostAssumptions'!$G$4),-3)</f>
        <v>820000</v>
      </c>
    </row>
    <row r="182" spans="1:34" ht="15" customHeight="1" x14ac:dyDescent="0.2">
      <c r="A182" s="11"/>
      <c r="B182" s="11" t="s">
        <v>1211</v>
      </c>
      <c r="C182" s="13">
        <v>805</v>
      </c>
      <c r="D182" s="13" t="s">
        <v>420</v>
      </c>
      <c r="E182" s="20">
        <v>141</v>
      </c>
      <c r="F182" s="20">
        <v>187</v>
      </c>
      <c r="G182" s="20">
        <v>181</v>
      </c>
      <c r="H182" s="13" t="s">
        <v>2076</v>
      </c>
      <c r="I182" s="13" t="str">
        <f t="shared" si="4"/>
        <v>NW 64th Av/NW 19th St (NE 56th Av to Oakland Park Bl)</v>
      </c>
      <c r="J182" s="13" t="s">
        <v>29</v>
      </c>
      <c r="K182" s="13" t="str">
        <f>VLOOKUP(J182,'Data-ProjectTypes'!A$3:B$13,2,FALSE)</f>
        <v>Program</v>
      </c>
      <c r="L182" s="21" t="s">
        <v>817</v>
      </c>
      <c r="M182" s="13" t="s">
        <v>2368</v>
      </c>
      <c r="N182" s="13" t="s">
        <v>1825</v>
      </c>
      <c r="O182" s="13" t="s">
        <v>272</v>
      </c>
      <c r="P182" s="13" t="s">
        <v>272</v>
      </c>
      <c r="Q182" s="22">
        <v>1.6</v>
      </c>
      <c r="R182" s="23">
        <v>700000</v>
      </c>
      <c r="S182" s="21" t="s">
        <v>24</v>
      </c>
      <c r="T182" s="21" t="s">
        <v>24</v>
      </c>
      <c r="U182" s="21" t="s">
        <v>24</v>
      </c>
      <c r="V182" s="24" t="s">
        <v>816</v>
      </c>
      <c r="W182" s="24"/>
      <c r="X182" s="24"/>
      <c r="Y182" s="17" t="s">
        <v>806</v>
      </c>
      <c r="Z182" s="18">
        <f>ROUND(R182*'Data-CostAssumptions'!$C$3,-3)</f>
        <v>969000</v>
      </c>
      <c r="AA182" s="11">
        <f t="shared" si="5"/>
        <v>1</v>
      </c>
      <c r="AB182" s="11">
        <v>2041</v>
      </c>
      <c r="AC182" s="11">
        <v>2041</v>
      </c>
      <c r="AD182" s="11">
        <v>2041</v>
      </c>
      <c r="AE182" s="11">
        <v>2041</v>
      </c>
      <c r="AF182" s="11">
        <v>0</v>
      </c>
      <c r="AG182" s="19">
        <f>ROUND((Z182*'Data-CostAssumptions'!$G$5)*(1+'Data-CostAssumptions'!$G$3)^(AC182-'Data-CostAssumptions'!$G$4),-3)</f>
        <v>547000</v>
      </c>
      <c r="AH182" s="19">
        <f>ROUND((Z182)*(1+'Data-CostAssumptions'!$G$3)^(AE182-'Data-CostAssumptions'!$G$4),-3)</f>
        <v>2484000</v>
      </c>
    </row>
    <row r="183" spans="1:34" ht="15" customHeight="1" x14ac:dyDescent="0.2">
      <c r="A183" s="11"/>
      <c r="B183" s="11" t="s">
        <v>1211</v>
      </c>
      <c r="C183" s="13">
        <v>806</v>
      </c>
      <c r="D183" s="13" t="s">
        <v>420</v>
      </c>
      <c r="E183" s="20">
        <v>142</v>
      </c>
      <c r="F183" s="20">
        <v>187</v>
      </c>
      <c r="G183" s="20">
        <v>182</v>
      </c>
      <c r="H183" s="13" t="s">
        <v>2803</v>
      </c>
      <c r="I183" s="13" t="str">
        <f t="shared" si="4"/>
        <v>SR 870/Commercial Bl (Prospect Rd to State Rd 7)</v>
      </c>
      <c r="J183" s="13" t="s">
        <v>29</v>
      </c>
      <c r="K183" s="13" t="str">
        <f>VLOOKUP(J183,'Data-ProjectTypes'!A$3:B$13,2,FALSE)</f>
        <v>Program</v>
      </c>
      <c r="L183" s="21" t="s">
        <v>348</v>
      </c>
      <c r="M183" s="13" t="s">
        <v>1859</v>
      </c>
      <c r="N183" s="13" t="s">
        <v>1772</v>
      </c>
      <c r="O183" s="13" t="s">
        <v>270</v>
      </c>
      <c r="P183" s="13" t="s">
        <v>270</v>
      </c>
      <c r="Q183" s="22">
        <v>1.8</v>
      </c>
      <c r="R183" s="23">
        <v>413268</v>
      </c>
      <c r="S183" s="21"/>
      <c r="T183" s="21"/>
      <c r="U183" s="21"/>
      <c r="V183" s="24"/>
      <c r="W183" s="24"/>
      <c r="X183" s="24"/>
      <c r="Y183" s="17"/>
      <c r="Z183" s="18">
        <f>ROUND(R183*'Data-CostAssumptions'!$C$3,-3)</f>
        <v>572000</v>
      </c>
      <c r="AA183" s="11">
        <f t="shared" si="5"/>
        <v>0</v>
      </c>
      <c r="AB183" s="11">
        <v>2041</v>
      </c>
      <c r="AC183" s="11">
        <v>2041</v>
      </c>
      <c r="AD183" s="11">
        <v>2041</v>
      </c>
      <c r="AE183" s="11">
        <v>2041</v>
      </c>
      <c r="AF183" s="11">
        <v>0</v>
      </c>
      <c r="AG183" s="19">
        <f>ROUND((Z183*'Data-CostAssumptions'!$G$5)*(1+'Data-CostAssumptions'!$G$3)^(AC183-'Data-CostAssumptions'!$G$4),-3)</f>
        <v>323000</v>
      </c>
      <c r="AH183" s="19">
        <f>ROUND((Z183)*(1+'Data-CostAssumptions'!$G$3)^(AE183-'Data-CostAssumptions'!$G$4),-3)</f>
        <v>1467000</v>
      </c>
    </row>
    <row r="184" spans="1:34" ht="15" customHeight="1" x14ac:dyDescent="0.2">
      <c r="A184" s="11"/>
      <c r="B184" s="11" t="s">
        <v>1211</v>
      </c>
      <c r="C184" s="13">
        <v>807</v>
      </c>
      <c r="D184" s="13" t="s">
        <v>420</v>
      </c>
      <c r="E184" s="20">
        <v>150</v>
      </c>
      <c r="F184" s="20">
        <v>187</v>
      </c>
      <c r="G184" s="20">
        <v>183</v>
      </c>
      <c r="H184" s="13" t="s">
        <v>2710</v>
      </c>
      <c r="I184" s="13" t="str">
        <f t="shared" si="4"/>
        <v>SR 816/Oakland Park Bl (NE 21st Av to State Rd 7)</v>
      </c>
      <c r="J184" s="13" t="s">
        <v>29</v>
      </c>
      <c r="K184" s="13" t="str">
        <f>VLOOKUP(J184,'Data-ProjectTypes'!A$3:B$13,2,FALSE)</f>
        <v>Program</v>
      </c>
      <c r="L184" s="21" t="s">
        <v>348</v>
      </c>
      <c r="M184" s="13" t="s">
        <v>2369</v>
      </c>
      <c r="N184" s="13" t="s">
        <v>1772</v>
      </c>
      <c r="O184" s="13" t="s">
        <v>270</v>
      </c>
      <c r="P184" s="13" t="s">
        <v>270</v>
      </c>
      <c r="Q184" s="22">
        <v>2</v>
      </c>
      <c r="R184" s="23">
        <v>464632</v>
      </c>
      <c r="S184" s="21"/>
      <c r="T184" s="21"/>
      <c r="U184" s="21"/>
      <c r="V184" s="24"/>
      <c r="W184" s="24" t="s">
        <v>696</v>
      </c>
      <c r="X184" s="24"/>
      <c r="Y184" s="17" t="s">
        <v>287</v>
      </c>
      <c r="Z184" s="18">
        <f>ROUND(R184*'Data-CostAssumptions'!$C$3,-3)</f>
        <v>643000</v>
      </c>
      <c r="AA184" s="11">
        <f t="shared" si="5"/>
        <v>1</v>
      </c>
      <c r="AB184" s="11">
        <v>2041</v>
      </c>
      <c r="AC184" s="11">
        <v>2041</v>
      </c>
      <c r="AD184" s="11">
        <v>2041</v>
      </c>
      <c r="AE184" s="11">
        <v>2041</v>
      </c>
      <c r="AF184" s="11">
        <v>0</v>
      </c>
      <c r="AG184" s="19">
        <f>ROUND((Z184*'Data-CostAssumptions'!$G$5)*(1+'Data-CostAssumptions'!$G$3)^(AC184-'Data-CostAssumptions'!$G$4),-3)</f>
        <v>363000</v>
      </c>
      <c r="AH184" s="19">
        <f>ROUND((Z184)*(1+'Data-CostAssumptions'!$G$3)^(AE184-'Data-CostAssumptions'!$G$4),-3)</f>
        <v>1649000</v>
      </c>
    </row>
    <row r="185" spans="1:34" ht="15" customHeight="1" x14ac:dyDescent="0.2">
      <c r="A185" s="11"/>
      <c r="B185" s="11" t="s">
        <v>1211</v>
      </c>
      <c r="C185" s="13">
        <v>808</v>
      </c>
      <c r="D185" s="13" t="s">
        <v>420</v>
      </c>
      <c r="E185" s="20">
        <v>163</v>
      </c>
      <c r="F185" s="20">
        <v>187</v>
      </c>
      <c r="G185" s="20">
        <v>184</v>
      </c>
      <c r="H185" s="13" t="s">
        <v>2803</v>
      </c>
      <c r="I185" s="13" t="str">
        <f t="shared" si="4"/>
        <v>SR 870/Commercial Bl (University Dr to NW 105th Av)</v>
      </c>
      <c r="J185" s="13" t="s">
        <v>29</v>
      </c>
      <c r="K185" s="13" t="str">
        <f>VLOOKUP(J185,'Data-ProjectTypes'!A$3:B$13,2,FALSE)</f>
        <v>Program</v>
      </c>
      <c r="L185" s="21" t="s">
        <v>348</v>
      </c>
      <c r="M185" s="13" t="s">
        <v>1804</v>
      </c>
      <c r="N185" s="13" t="s">
        <v>2214</v>
      </c>
      <c r="O185" s="13" t="s">
        <v>273</v>
      </c>
      <c r="P185" s="13" t="s">
        <v>273</v>
      </c>
      <c r="Q185" s="22">
        <v>2.4</v>
      </c>
      <c r="R185" s="23">
        <v>561098</v>
      </c>
      <c r="S185" s="21"/>
      <c r="T185" s="21"/>
      <c r="U185" s="21"/>
      <c r="V185" s="24"/>
      <c r="W185" s="24"/>
      <c r="X185" s="24"/>
      <c r="Y185" s="17"/>
      <c r="Z185" s="18">
        <f>ROUND(R185*'Data-CostAssumptions'!$C$3,-3)</f>
        <v>777000</v>
      </c>
      <c r="AA185" s="11">
        <f t="shared" si="5"/>
        <v>0</v>
      </c>
      <c r="AB185" s="11">
        <v>2041</v>
      </c>
      <c r="AC185" s="11">
        <v>2041</v>
      </c>
      <c r="AD185" s="11">
        <v>2041</v>
      </c>
      <c r="AE185" s="11">
        <v>2041</v>
      </c>
      <c r="AF185" s="11">
        <v>0</v>
      </c>
      <c r="AG185" s="19">
        <f>ROUND((Z185*'Data-CostAssumptions'!$G$5)*(1+'Data-CostAssumptions'!$G$3)^(AC185-'Data-CostAssumptions'!$G$4),-3)</f>
        <v>438000</v>
      </c>
      <c r="AH185" s="19">
        <f>ROUND((Z185)*(1+'Data-CostAssumptions'!$G$3)^(AE185-'Data-CostAssumptions'!$G$4),-3)</f>
        <v>1992000</v>
      </c>
    </row>
    <row r="186" spans="1:34" ht="15" customHeight="1" x14ac:dyDescent="0.2">
      <c r="A186" s="11"/>
      <c r="B186" s="11" t="s">
        <v>1211</v>
      </c>
      <c r="C186" s="13">
        <v>809</v>
      </c>
      <c r="D186" s="13" t="s">
        <v>420</v>
      </c>
      <c r="E186" s="20">
        <v>170</v>
      </c>
      <c r="F186" s="20">
        <v>187</v>
      </c>
      <c r="G186" s="20">
        <v>185</v>
      </c>
      <c r="H186" s="13" t="s">
        <v>1812</v>
      </c>
      <c r="I186" s="13" t="str">
        <f t="shared" si="4"/>
        <v>Cleary Bl (NW 80th Way to Nob Hill Rd)</v>
      </c>
      <c r="J186" s="13" t="s">
        <v>29</v>
      </c>
      <c r="K186" s="13" t="str">
        <f>VLOOKUP(J186,'Data-ProjectTypes'!A$3:B$13,2,FALSE)</f>
        <v>Program</v>
      </c>
      <c r="L186" s="21" t="s">
        <v>348</v>
      </c>
      <c r="M186" s="13" t="s">
        <v>127</v>
      </c>
      <c r="N186" s="13" t="s">
        <v>1755</v>
      </c>
      <c r="O186" s="13" t="s">
        <v>284</v>
      </c>
      <c r="P186" s="13" t="s">
        <v>284</v>
      </c>
      <c r="Q186" s="22">
        <v>2</v>
      </c>
      <c r="R186" s="23">
        <v>467155</v>
      </c>
      <c r="S186" s="21"/>
      <c r="T186" s="21"/>
      <c r="U186" s="21"/>
      <c r="V186" s="24"/>
      <c r="W186" s="24"/>
      <c r="X186" s="28"/>
      <c r="Y186" s="17"/>
      <c r="Z186" s="18">
        <f>ROUND(R186*'Data-CostAssumptions'!$C$3,-3)</f>
        <v>647000</v>
      </c>
      <c r="AA186" s="11">
        <f t="shared" si="5"/>
        <v>0</v>
      </c>
      <c r="AB186" s="11">
        <v>2041</v>
      </c>
      <c r="AC186" s="11">
        <v>2041</v>
      </c>
      <c r="AD186" s="11">
        <v>2041</v>
      </c>
      <c r="AE186" s="11">
        <v>2041</v>
      </c>
      <c r="AF186" s="11">
        <v>0</v>
      </c>
      <c r="AG186" s="19">
        <f>ROUND((Z186*'Data-CostAssumptions'!$G$5)*(1+'Data-CostAssumptions'!$G$3)^(AC186-'Data-CostAssumptions'!$G$4),-3)</f>
        <v>365000</v>
      </c>
      <c r="AH186" s="19">
        <f>ROUND((Z186)*(1+'Data-CostAssumptions'!$G$3)^(AE186-'Data-CostAssumptions'!$G$4),-3)</f>
        <v>1659000</v>
      </c>
    </row>
    <row r="187" spans="1:34" ht="15" customHeight="1" x14ac:dyDescent="0.2">
      <c r="A187" s="11"/>
      <c r="B187" s="11" t="s">
        <v>1211</v>
      </c>
      <c r="C187" s="13">
        <v>810</v>
      </c>
      <c r="D187" s="13" t="s">
        <v>420</v>
      </c>
      <c r="E187" s="20">
        <v>192</v>
      </c>
      <c r="F187" s="20">
        <v>187</v>
      </c>
      <c r="G187" s="20">
        <v>186</v>
      </c>
      <c r="H187" s="13" t="s">
        <v>110</v>
      </c>
      <c r="I187" s="13" t="str">
        <f t="shared" si="4"/>
        <v>SR A1A (South County Line to Hallandale Beach Bl)</v>
      </c>
      <c r="J187" s="13" t="s">
        <v>29</v>
      </c>
      <c r="K187" s="13" t="str">
        <f>VLOOKUP(J187,'Data-ProjectTypes'!A$3:B$13,2,FALSE)</f>
        <v>Program</v>
      </c>
      <c r="L187" s="21" t="s">
        <v>348</v>
      </c>
      <c r="M187" s="13" t="s">
        <v>155</v>
      </c>
      <c r="N187" s="13" t="s">
        <v>1818</v>
      </c>
      <c r="O187" s="13" t="s">
        <v>270</v>
      </c>
      <c r="P187" s="13" t="s">
        <v>270</v>
      </c>
      <c r="Q187" s="22">
        <v>0.8</v>
      </c>
      <c r="R187" s="23">
        <v>178529</v>
      </c>
      <c r="S187" s="21" t="s">
        <v>24</v>
      </c>
      <c r="T187" s="21" t="s">
        <v>25</v>
      </c>
      <c r="U187" s="21"/>
      <c r="V187" s="24"/>
      <c r="W187" s="24" t="s">
        <v>517</v>
      </c>
      <c r="X187" s="24"/>
      <c r="Y187" s="17" t="s">
        <v>297</v>
      </c>
      <c r="Z187" s="18">
        <f>ROUND(R187*'Data-CostAssumptions'!$C$3,-3)</f>
        <v>247000</v>
      </c>
      <c r="AA187" s="11">
        <f t="shared" si="5"/>
        <v>1</v>
      </c>
      <c r="AB187" s="11">
        <v>2041</v>
      </c>
      <c r="AC187" s="11">
        <v>2041</v>
      </c>
      <c r="AD187" s="11">
        <v>2041</v>
      </c>
      <c r="AE187" s="11">
        <v>2041</v>
      </c>
      <c r="AF187" s="11">
        <v>0</v>
      </c>
      <c r="AG187" s="19">
        <f>ROUND((Z187*'Data-CostAssumptions'!$G$5)*(1+'Data-CostAssumptions'!$G$3)^(AC187-'Data-CostAssumptions'!$G$4),-3)</f>
        <v>139000</v>
      </c>
      <c r="AH187" s="19">
        <f>ROUND((Z187)*(1+'Data-CostAssumptions'!$G$3)^(AE187-'Data-CostAssumptions'!$G$4),-3)</f>
        <v>633000</v>
      </c>
    </row>
    <row r="188" spans="1:34" ht="15" customHeight="1" x14ac:dyDescent="0.2">
      <c r="A188" s="11"/>
      <c r="B188" s="11" t="s">
        <v>1211</v>
      </c>
      <c r="C188" s="13">
        <v>811</v>
      </c>
      <c r="D188" s="13" t="s">
        <v>420</v>
      </c>
      <c r="E188" s="20">
        <v>204</v>
      </c>
      <c r="F188" s="20">
        <v>187</v>
      </c>
      <c r="G188" s="20">
        <v>187</v>
      </c>
      <c r="H188" s="13" t="s">
        <v>2040</v>
      </c>
      <c r="I188" s="13" t="str">
        <f t="shared" si="4"/>
        <v>North 46th Av (Washington St to Sheridan St)</v>
      </c>
      <c r="J188" s="13" t="s">
        <v>29</v>
      </c>
      <c r="K188" s="13" t="str">
        <f>VLOOKUP(J188,'Data-ProjectTypes'!A$3:B$13,2,FALSE)</f>
        <v>Program</v>
      </c>
      <c r="L188" s="21" t="s">
        <v>562</v>
      </c>
      <c r="M188" s="13" t="s">
        <v>1971</v>
      </c>
      <c r="N188" s="13" t="s">
        <v>1951</v>
      </c>
      <c r="O188" s="13" t="s">
        <v>282</v>
      </c>
      <c r="P188" s="13" t="s">
        <v>282</v>
      </c>
      <c r="Q188" s="22">
        <v>2.1</v>
      </c>
      <c r="R188" s="23">
        <v>486558</v>
      </c>
      <c r="S188" s="21" t="s">
        <v>24</v>
      </c>
      <c r="T188" s="21" t="s">
        <v>25</v>
      </c>
      <c r="U188" s="21" t="s">
        <v>24</v>
      </c>
      <c r="V188" s="24" t="s">
        <v>561</v>
      </c>
      <c r="W188" s="24"/>
      <c r="X188" s="24"/>
      <c r="Y188" s="17" t="s">
        <v>538</v>
      </c>
      <c r="Z188" s="18">
        <f>ROUND(R188*'Data-CostAssumptions'!$C$3,-3)</f>
        <v>673000</v>
      </c>
      <c r="AA188" s="11">
        <f t="shared" si="5"/>
        <v>1</v>
      </c>
      <c r="AB188" s="11">
        <v>2041</v>
      </c>
      <c r="AC188" s="11">
        <v>2041</v>
      </c>
      <c r="AD188" s="11">
        <v>2041</v>
      </c>
      <c r="AE188" s="11">
        <v>2041</v>
      </c>
      <c r="AF188" s="11">
        <v>0</v>
      </c>
      <c r="AG188" s="19">
        <f>ROUND((Z188*'Data-CostAssumptions'!$G$5)*(1+'Data-CostAssumptions'!$G$3)^(AC188-'Data-CostAssumptions'!$G$4),-3)</f>
        <v>380000</v>
      </c>
      <c r="AH188" s="19">
        <f>ROUND((Z188)*(1+'Data-CostAssumptions'!$G$3)^(AE188-'Data-CostAssumptions'!$G$4),-3)</f>
        <v>1726000</v>
      </c>
    </row>
    <row r="189" spans="1:34" ht="15" customHeight="1" x14ac:dyDescent="0.2">
      <c r="A189" s="11"/>
      <c r="B189" s="11" t="s">
        <v>1211</v>
      </c>
      <c r="C189" s="13">
        <v>812</v>
      </c>
      <c r="D189" s="13" t="s">
        <v>420</v>
      </c>
      <c r="E189" s="20">
        <v>209</v>
      </c>
      <c r="F189" s="20">
        <v>187</v>
      </c>
      <c r="G189" s="20">
        <v>188</v>
      </c>
      <c r="H189" s="13" t="s">
        <v>1971</v>
      </c>
      <c r="I189" s="13" t="str">
        <f t="shared" si="4"/>
        <v>Washington St (Park Rd to State Rd 7)</v>
      </c>
      <c r="J189" s="13" t="s">
        <v>29</v>
      </c>
      <c r="K189" s="13" t="str">
        <f>VLOOKUP(J189,'Data-ProjectTypes'!A$3:B$13,2,FALSE)</f>
        <v>Program</v>
      </c>
      <c r="L189" s="21" t="s">
        <v>562</v>
      </c>
      <c r="M189" s="13" t="s">
        <v>1857</v>
      </c>
      <c r="N189" s="13" t="s">
        <v>1772</v>
      </c>
      <c r="O189" s="13" t="s">
        <v>282</v>
      </c>
      <c r="P189" s="13" t="s">
        <v>282</v>
      </c>
      <c r="Q189" s="22">
        <v>1.9</v>
      </c>
      <c r="R189" s="23">
        <v>441370</v>
      </c>
      <c r="S189" s="21" t="s">
        <v>24</v>
      </c>
      <c r="T189" s="21" t="s">
        <v>25</v>
      </c>
      <c r="U189" s="21" t="s">
        <v>24</v>
      </c>
      <c r="V189" s="24" t="s">
        <v>561</v>
      </c>
      <c r="W189" s="24"/>
      <c r="X189" s="24" t="s">
        <v>574</v>
      </c>
      <c r="Y189" s="17" t="s">
        <v>538</v>
      </c>
      <c r="Z189" s="18">
        <f>ROUND(R189*'Data-CostAssumptions'!$C$3,-3)</f>
        <v>611000</v>
      </c>
      <c r="AA189" s="11">
        <f t="shared" si="5"/>
        <v>1</v>
      </c>
      <c r="AB189" s="11">
        <v>2041</v>
      </c>
      <c r="AC189" s="11">
        <v>2041</v>
      </c>
      <c r="AD189" s="11">
        <v>2041</v>
      </c>
      <c r="AE189" s="11">
        <v>2041</v>
      </c>
      <c r="AF189" s="11">
        <v>0</v>
      </c>
      <c r="AG189" s="19">
        <f>ROUND((Z189*'Data-CostAssumptions'!$G$5)*(1+'Data-CostAssumptions'!$G$3)^(AC189-'Data-CostAssumptions'!$G$4),-3)</f>
        <v>345000</v>
      </c>
      <c r="AH189" s="19">
        <f>ROUND((Z189)*(1+'Data-CostAssumptions'!$G$3)^(AE189-'Data-CostAssumptions'!$G$4),-3)</f>
        <v>1567000</v>
      </c>
    </row>
    <row r="190" spans="1:34" ht="15" customHeight="1" x14ac:dyDescent="0.2">
      <c r="A190" s="11"/>
      <c r="B190" s="11" t="s">
        <v>1211</v>
      </c>
      <c r="C190" s="13">
        <v>813</v>
      </c>
      <c r="D190" s="13" t="s">
        <v>420</v>
      </c>
      <c r="E190" s="20">
        <v>211</v>
      </c>
      <c r="F190" s="20">
        <v>187</v>
      </c>
      <c r="G190" s="20">
        <v>189</v>
      </c>
      <c r="H190" s="13" t="s">
        <v>2787</v>
      </c>
      <c r="I190" s="13" t="str">
        <f t="shared" si="4"/>
        <v>SR 822/Sheridan St (North 26th Av to North 46th Av)</v>
      </c>
      <c r="J190" s="13" t="s">
        <v>29</v>
      </c>
      <c r="K190" s="13" t="str">
        <f>VLOOKUP(J190,'Data-ProjectTypes'!A$3:B$13,2,FALSE)</f>
        <v>Program</v>
      </c>
      <c r="L190" s="21" t="s">
        <v>348</v>
      </c>
      <c r="M190" s="13" t="s">
        <v>2039</v>
      </c>
      <c r="N190" s="13" t="s">
        <v>2040</v>
      </c>
      <c r="O190" s="13" t="s">
        <v>270</v>
      </c>
      <c r="P190" s="13" t="s">
        <v>270</v>
      </c>
      <c r="Q190" s="22">
        <v>1.9</v>
      </c>
      <c r="R190" s="23">
        <v>442603</v>
      </c>
      <c r="S190" s="21" t="s">
        <v>24</v>
      </c>
      <c r="T190" s="21"/>
      <c r="U190" s="21"/>
      <c r="V190" s="24"/>
      <c r="W190" s="24" t="s">
        <v>561</v>
      </c>
      <c r="X190" s="28"/>
      <c r="Y190" s="17" t="s">
        <v>538</v>
      </c>
      <c r="Z190" s="18">
        <f>ROUND(R190*'Data-CostAssumptions'!$C$3,-3)</f>
        <v>613000</v>
      </c>
      <c r="AA190" s="11">
        <f t="shared" si="5"/>
        <v>1</v>
      </c>
      <c r="AB190" s="11">
        <v>2041</v>
      </c>
      <c r="AC190" s="11">
        <v>2041</v>
      </c>
      <c r="AD190" s="11">
        <v>2041</v>
      </c>
      <c r="AE190" s="11">
        <v>2041</v>
      </c>
      <c r="AF190" s="11">
        <v>0</v>
      </c>
      <c r="AG190" s="19">
        <f>ROUND((Z190*'Data-CostAssumptions'!$G$5)*(1+'Data-CostAssumptions'!$G$3)^(AC190-'Data-CostAssumptions'!$G$4),-3)</f>
        <v>346000</v>
      </c>
      <c r="AH190" s="19">
        <f>ROUND((Z190)*(1+'Data-CostAssumptions'!$G$3)^(AE190-'Data-CostAssumptions'!$G$4),-3)</f>
        <v>1572000</v>
      </c>
    </row>
    <row r="191" spans="1:34" ht="15" customHeight="1" x14ac:dyDescent="0.2">
      <c r="A191" s="11"/>
      <c r="B191" s="11" t="s">
        <v>1211</v>
      </c>
      <c r="C191" s="13">
        <v>814</v>
      </c>
      <c r="D191" s="13" t="s">
        <v>420</v>
      </c>
      <c r="E191" s="20">
        <v>212</v>
      </c>
      <c r="F191" s="20">
        <v>187</v>
      </c>
      <c r="G191" s="20">
        <v>190</v>
      </c>
      <c r="H191" s="13" t="s">
        <v>1968</v>
      </c>
      <c r="I191" s="13" t="str">
        <f t="shared" si="4"/>
        <v>Taft St (North 26th Av to North 46th Av)</v>
      </c>
      <c r="J191" s="13" t="s">
        <v>29</v>
      </c>
      <c r="K191" s="13" t="str">
        <f>VLOOKUP(J191,'Data-ProjectTypes'!A$3:B$13,2,FALSE)</f>
        <v>Program</v>
      </c>
      <c r="L191" s="21" t="s">
        <v>562</v>
      </c>
      <c r="M191" s="13" t="s">
        <v>2039</v>
      </c>
      <c r="N191" s="13" t="s">
        <v>2040</v>
      </c>
      <c r="O191" s="13" t="s">
        <v>282</v>
      </c>
      <c r="P191" s="13" t="s">
        <v>282</v>
      </c>
      <c r="Q191" s="22">
        <v>1.9</v>
      </c>
      <c r="R191" s="23">
        <v>444003</v>
      </c>
      <c r="S191" s="21" t="s">
        <v>24</v>
      </c>
      <c r="T191" s="21" t="s">
        <v>25</v>
      </c>
      <c r="U191" s="21" t="s">
        <v>24</v>
      </c>
      <c r="V191" s="24" t="s">
        <v>561</v>
      </c>
      <c r="W191" s="24"/>
      <c r="X191" s="24"/>
      <c r="Y191" s="17" t="s">
        <v>538</v>
      </c>
      <c r="Z191" s="18">
        <f>ROUND(R191*'Data-CostAssumptions'!$C$3,-3)</f>
        <v>615000</v>
      </c>
      <c r="AA191" s="11">
        <f t="shared" si="5"/>
        <v>1</v>
      </c>
      <c r="AB191" s="11">
        <v>2041</v>
      </c>
      <c r="AC191" s="11">
        <v>2041</v>
      </c>
      <c r="AD191" s="11">
        <v>2041</v>
      </c>
      <c r="AE191" s="11">
        <v>2041</v>
      </c>
      <c r="AF191" s="11">
        <v>0</v>
      </c>
      <c r="AG191" s="19">
        <f>ROUND((Z191*'Data-CostAssumptions'!$G$5)*(1+'Data-CostAssumptions'!$G$3)^(AC191-'Data-CostAssumptions'!$G$4),-3)</f>
        <v>347000</v>
      </c>
      <c r="AH191" s="19">
        <f>ROUND((Z191)*(1+'Data-CostAssumptions'!$G$3)^(AE191-'Data-CostAssumptions'!$G$4),-3)</f>
        <v>1577000</v>
      </c>
    </row>
    <row r="192" spans="1:34" ht="15" customHeight="1" x14ac:dyDescent="0.2">
      <c r="A192" s="11"/>
      <c r="B192" s="11" t="s">
        <v>1211</v>
      </c>
      <c r="C192" s="13">
        <v>815</v>
      </c>
      <c r="D192" s="13" t="s">
        <v>420</v>
      </c>
      <c r="E192" s="20">
        <v>213</v>
      </c>
      <c r="F192" s="20">
        <v>187</v>
      </c>
      <c r="G192" s="20">
        <v>191</v>
      </c>
      <c r="H192" s="13" t="s">
        <v>1880</v>
      </c>
      <c r="I192" s="13" t="str">
        <f t="shared" si="4"/>
        <v>Johnson St (North 26th Av to North 46th Av)</v>
      </c>
      <c r="J192" s="13" t="s">
        <v>29</v>
      </c>
      <c r="K192" s="13" t="str">
        <f>VLOOKUP(J192,'Data-ProjectTypes'!A$3:B$13,2,FALSE)</f>
        <v>Program</v>
      </c>
      <c r="L192" s="21" t="s">
        <v>576</v>
      </c>
      <c r="M192" s="13" t="s">
        <v>2039</v>
      </c>
      <c r="N192" s="13" t="s">
        <v>2040</v>
      </c>
      <c r="O192" s="13" t="s">
        <v>282</v>
      </c>
      <c r="P192" s="13" t="s">
        <v>282</v>
      </c>
      <c r="Q192" s="22">
        <v>1.9</v>
      </c>
      <c r="R192" s="23">
        <v>437645</v>
      </c>
      <c r="S192" s="21" t="s">
        <v>24</v>
      </c>
      <c r="T192" s="21" t="s">
        <v>25</v>
      </c>
      <c r="U192" s="21" t="s">
        <v>24</v>
      </c>
      <c r="V192" s="24" t="s">
        <v>561</v>
      </c>
      <c r="W192" s="24"/>
      <c r="X192" s="28" t="s">
        <v>575</v>
      </c>
      <c r="Y192" s="17" t="s">
        <v>538</v>
      </c>
      <c r="Z192" s="18">
        <f>ROUND(R192*'Data-CostAssumptions'!$C$3,-3)</f>
        <v>606000</v>
      </c>
      <c r="AA192" s="11">
        <f t="shared" si="5"/>
        <v>1</v>
      </c>
      <c r="AB192" s="11">
        <v>2041</v>
      </c>
      <c r="AC192" s="11">
        <v>2041</v>
      </c>
      <c r="AD192" s="11">
        <v>2041</v>
      </c>
      <c r="AE192" s="11">
        <v>2041</v>
      </c>
      <c r="AF192" s="11">
        <v>0</v>
      </c>
      <c r="AG192" s="19">
        <f>ROUND((Z192*'Data-CostAssumptions'!$G$5)*(1+'Data-CostAssumptions'!$G$3)^(AC192-'Data-CostAssumptions'!$G$4),-3)</f>
        <v>342000</v>
      </c>
      <c r="AH192" s="19">
        <f>ROUND((Z192)*(1+'Data-CostAssumptions'!$G$3)^(AE192-'Data-CostAssumptions'!$G$4),-3)</f>
        <v>1554000</v>
      </c>
    </row>
    <row r="193" spans="1:34" ht="15" customHeight="1" x14ac:dyDescent="0.2">
      <c r="A193" s="11"/>
      <c r="B193" s="11" t="s">
        <v>1211</v>
      </c>
      <c r="C193" s="13">
        <v>816</v>
      </c>
      <c r="D193" s="13" t="s">
        <v>420</v>
      </c>
      <c r="E193" s="20">
        <v>217</v>
      </c>
      <c r="F193" s="20">
        <v>187</v>
      </c>
      <c r="G193" s="20">
        <v>192</v>
      </c>
      <c r="H193" s="13" t="s">
        <v>1968</v>
      </c>
      <c r="I193" s="13" t="str">
        <f t="shared" si="4"/>
        <v>Taft St (North 46th Av to North 72nd Av)</v>
      </c>
      <c r="J193" s="13" t="s">
        <v>29</v>
      </c>
      <c r="K193" s="13" t="str">
        <f>VLOOKUP(J193,'Data-ProjectTypes'!A$3:B$13,2,FALSE)</f>
        <v>Program</v>
      </c>
      <c r="L193" s="21" t="s">
        <v>562</v>
      </c>
      <c r="M193" s="13" t="s">
        <v>2040</v>
      </c>
      <c r="N193" s="13" t="s">
        <v>2045</v>
      </c>
      <c r="O193" s="13" t="s">
        <v>282</v>
      </c>
      <c r="P193" s="13" t="s">
        <v>282</v>
      </c>
      <c r="Q193" s="22">
        <v>2.6</v>
      </c>
      <c r="R193" s="23">
        <v>611961</v>
      </c>
      <c r="S193" s="21" t="s">
        <v>24</v>
      </c>
      <c r="T193" s="21" t="s">
        <v>25</v>
      </c>
      <c r="U193" s="21" t="s">
        <v>24</v>
      </c>
      <c r="V193" s="24" t="s">
        <v>561</v>
      </c>
      <c r="W193" s="24"/>
      <c r="X193" s="24"/>
      <c r="Y193" s="17" t="s">
        <v>538</v>
      </c>
      <c r="Z193" s="18">
        <f>ROUND(R193*'Data-CostAssumptions'!$C$3,-3)</f>
        <v>847000</v>
      </c>
      <c r="AA193" s="11">
        <f t="shared" si="5"/>
        <v>1</v>
      </c>
      <c r="AB193" s="11">
        <v>2041</v>
      </c>
      <c r="AC193" s="11">
        <v>2041</v>
      </c>
      <c r="AD193" s="11">
        <v>2041</v>
      </c>
      <c r="AE193" s="11">
        <v>2041</v>
      </c>
      <c r="AF193" s="11">
        <v>0</v>
      </c>
      <c r="AG193" s="19">
        <f>ROUND((Z193*'Data-CostAssumptions'!$G$5)*(1+'Data-CostAssumptions'!$G$3)^(AC193-'Data-CostAssumptions'!$G$4),-3)</f>
        <v>478000</v>
      </c>
      <c r="AH193" s="19">
        <f>ROUND((Z193)*(1+'Data-CostAssumptions'!$G$3)^(AE193-'Data-CostAssumptions'!$G$4),-3)</f>
        <v>2172000</v>
      </c>
    </row>
    <row r="194" spans="1:34" ht="15" customHeight="1" x14ac:dyDescent="0.2">
      <c r="A194" s="11"/>
      <c r="B194" s="11" t="s">
        <v>1211</v>
      </c>
      <c r="C194" s="13">
        <v>817</v>
      </c>
      <c r="D194" s="13" t="s">
        <v>420</v>
      </c>
      <c r="E194" s="20">
        <v>221</v>
      </c>
      <c r="F194" s="20">
        <v>187</v>
      </c>
      <c r="G194" s="20">
        <v>193</v>
      </c>
      <c r="H194" s="13" t="s">
        <v>1880</v>
      </c>
      <c r="I194" s="13" t="str">
        <f t="shared" ref="I194:I257" si="6">IF(M194="@",H194&amp;" ("&amp;M194&amp;"  "&amp;N194&amp;")",H194&amp;" ("&amp;M194&amp;" to "&amp;N194&amp;")")</f>
        <v>Johnson St (Just east of NW 72nd Av to Douglas Rd/Pine Island Rd)</v>
      </c>
      <c r="J194" s="13" t="s">
        <v>29</v>
      </c>
      <c r="K194" s="13" t="str">
        <f>VLOOKUP(J194,'Data-ProjectTypes'!A$3:B$13,2,FALSE)</f>
        <v>Program</v>
      </c>
      <c r="L194" s="21" t="s">
        <v>562</v>
      </c>
      <c r="M194" s="13" t="s">
        <v>2355</v>
      </c>
      <c r="N194" s="13" t="s">
        <v>2424</v>
      </c>
      <c r="O194" s="13" t="s">
        <v>272</v>
      </c>
      <c r="P194" s="13" t="s">
        <v>272</v>
      </c>
      <c r="Q194" s="22">
        <v>2</v>
      </c>
      <c r="R194" s="23">
        <v>462103</v>
      </c>
      <c r="S194" s="21" t="s">
        <v>24</v>
      </c>
      <c r="T194" s="21" t="s">
        <v>25</v>
      </c>
      <c r="U194" s="21" t="s">
        <v>24</v>
      </c>
      <c r="V194" s="24" t="s">
        <v>561</v>
      </c>
      <c r="W194" s="24"/>
      <c r="X194" s="24"/>
      <c r="Y194" s="17" t="s">
        <v>538</v>
      </c>
      <c r="Z194" s="18">
        <f>ROUND(R194*'Data-CostAssumptions'!$C$3,-3)</f>
        <v>640000</v>
      </c>
      <c r="AA194" s="11">
        <f t="shared" si="5"/>
        <v>1</v>
      </c>
      <c r="AB194" s="11">
        <v>2041</v>
      </c>
      <c r="AC194" s="11">
        <v>2041</v>
      </c>
      <c r="AD194" s="11">
        <v>2041</v>
      </c>
      <c r="AE194" s="11">
        <v>2041</v>
      </c>
      <c r="AF194" s="11">
        <v>0</v>
      </c>
      <c r="AG194" s="19">
        <f>ROUND((Z194*'Data-CostAssumptions'!$G$5)*(1+'Data-CostAssumptions'!$G$3)^(AC194-'Data-CostAssumptions'!$G$4),-3)</f>
        <v>361000</v>
      </c>
      <c r="AH194" s="19">
        <f>ROUND((Z194)*(1+'Data-CostAssumptions'!$G$3)^(AE194-'Data-CostAssumptions'!$G$4),-3)</f>
        <v>1641000</v>
      </c>
    </row>
    <row r="195" spans="1:34" ht="15" customHeight="1" x14ac:dyDescent="0.2">
      <c r="A195" s="11"/>
      <c r="B195" s="11" t="s">
        <v>1211</v>
      </c>
      <c r="C195" s="13">
        <v>818</v>
      </c>
      <c r="D195" s="13" t="s">
        <v>420</v>
      </c>
      <c r="E195" s="20">
        <v>222</v>
      </c>
      <c r="F195" s="20">
        <v>188</v>
      </c>
      <c r="G195" s="20">
        <v>194</v>
      </c>
      <c r="H195" s="13" t="s">
        <v>2792</v>
      </c>
      <c r="I195" s="13" t="str">
        <f t="shared" si="6"/>
        <v>SR 827/Pembroke Rd (Just east of NW 72nd Av to Douglas Rd/Pine Island Rd)</v>
      </c>
      <c r="J195" s="13" t="s">
        <v>29</v>
      </c>
      <c r="K195" s="13" t="str">
        <f>VLOOKUP(J195,'Data-ProjectTypes'!A$3:B$13,2,FALSE)</f>
        <v>Program</v>
      </c>
      <c r="L195" s="21" t="s">
        <v>348</v>
      </c>
      <c r="M195" s="13" t="s">
        <v>2355</v>
      </c>
      <c r="N195" s="13" t="s">
        <v>2424</v>
      </c>
      <c r="O195" s="13" t="s">
        <v>270</v>
      </c>
      <c r="P195" s="13" t="s">
        <v>270</v>
      </c>
      <c r="Q195" s="22">
        <v>2</v>
      </c>
      <c r="R195" s="23">
        <v>462825</v>
      </c>
      <c r="S195" s="21" t="s">
        <v>24</v>
      </c>
      <c r="T195" s="21" t="s">
        <v>684</v>
      </c>
      <c r="U195" s="21" t="s">
        <v>684</v>
      </c>
      <c r="V195" s="24"/>
      <c r="W195" s="24"/>
      <c r="X195" s="24"/>
      <c r="Y195" s="17" t="s">
        <v>685</v>
      </c>
      <c r="Z195" s="18">
        <f>ROUND(R195*'Data-CostAssumptions'!$C$3,-3)</f>
        <v>641000</v>
      </c>
      <c r="AA195" s="11">
        <f t="shared" ref="AA195:AA258" si="7">IF(V195="",IF(W195="",0,1),1)</f>
        <v>0</v>
      </c>
      <c r="AB195" s="11">
        <v>2041</v>
      </c>
      <c r="AC195" s="11">
        <v>2041</v>
      </c>
      <c r="AD195" s="11">
        <v>2041</v>
      </c>
      <c r="AE195" s="11">
        <v>2041</v>
      </c>
      <c r="AF195" s="11">
        <v>0</v>
      </c>
      <c r="AG195" s="19">
        <f>ROUND((Z195*'Data-CostAssumptions'!$G$5)*(1+'Data-CostAssumptions'!$G$3)^(AC195-'Data-CostAssumptions'!$G$4),-3)</f>
        <v>362000</v>
      </c>
      <c r="AH195" s="19">
        <f>ROUND((Z195)*(1+'Data-CostAssumptions'!$G$3)^(AE195-'Data-CostAssumptions'!$G$4),-3)</f>
        <v>1643000</v>
      </c>
    </row>
    <row r="196" spans="1:34" ht="15" customHeight="1" x14ac:dyDescent="0.2">
      <c r="A196" s="11"/>
      <c r="B196" s="11" t="s">
        <v>1211</v>
      </c>
      <c r="C196" s="13">
        <v>819</v>
      </c>
      <c r="D196" s="13" t="s">
        <v>420</v>
      </c>
      <c r="E196" s="20">
        <v>229</v>
      </c>
      <c r="F196" s="20">
        <v>188</v>
      </c>
      <c r="G196" s="20">
        <v>195</v>
      </c>
      <c r="H196" s="13" t="s">
        <v>2700</v>
      </c>
      <c r="I196" s="13" t="str">
        <f t="shared" si="6"/>
        <v>SR 858/ Miramar Pkwy/Hallandale Beach Bl (SW 40th Av to SW 67th Av)</v>
      </c>
      <c r="J196" s="13" t="s">
        <v>29</v>
      </c>
      <c r="K196" s="13" t="str">
        <f>VLOOKUP(J196,'Data-ProjectTypes'!A$3:B$13,2,FALSE)</f>
        <v>Program</v>
      </c>
      <c r="L196" s="21" t="s">
        <v>348</v>
      </c>
      <c r="M196" s="13" t="s">
        <v>2124</v>
      </c>
      <c r="N196" s="13" t="s">
        <v>2232</v>
      </c>
      <c r="O196" s="13" t="s">
        <v>270</v>
      </c>
      <c r="P196" s="13" t="s">
        <v>270</v>
      </c>
      <c r="Q196" s="22">
        <v>2.4</v>
      </c>
      <c r="R196" s="23">
        <v>548756</v>
      </c>
      <c r="S196" s="21" t="s">
        <v>24</v>
      </c>
      <c r="T196" s="21" t="s">
        <v>684</v>
      </c>
      <c r="U196" s="21" t="s">
        <v>684</v>
      </c>
      <c r="V196" s="24"/>
      <c r="W196" s="24" t="s">
        <v>1108</v>
      </c>
      <c r="X196" s="24"/>
      <c r="Y196" s="17" t="s">
        <v>1110</v>
      </c>
      <c r="Z196" s="18">
        <f>ROUND(R196*'Data-CostAssumptions'!$C$3,-3)</f>
        <v>759000</v>
      </c>
      <c r="AA196" s="11">
        <f t="shared" si="7"/>
        <v>1</v>
      </c>
      <c r="AB196" s="11">
        <v>2041</v>
      </c>
      <c r="AC196" s="11">
        <v>2041</v>
      </c>
      <c r="AD196" s="11">
        <v>2041</v>
      </c>
      <c r="AE196" s="11">
        <v>2041</v>
      </c>
      <c r="AF196" s="11">
        <v>0</v>
      </c>
      <c r="AG196" s="19">
        <f>ROUND((Z196*'Data-CostAssumptions'!$G$5)*(1+'Data-CostAssumptions'!$G$3)^(AC196-'Data-CostAssumptions'!$G$4),-3)</f>
        <v>428000</v>
      </c>
      <c r="AH196" s="19">
        <f>ROUND((Z196)*(1+'Data-CostAssumptions'!$G$3)^(AE196-'Data-CostAssumptions'!$G$4),-3)</f>
        <v>1946000</v>
      </c>
    </row>
    <row r="197" spans="1:34" ht="15" customHeight="1" x14ac:dyDescent="0.2">
      <c r="A197" s="11"/>
      <c r="B197" s="11" t="s">
        <v>1211</v>
      </c>
      <c r="C197" s="13">
        <v>820</v>
      </c>
      <c r="D197" s="13" t="s">
        <v>420</v>
      </c>
      <c r="E197" s="20">
        <v>232</v>
      </c>
      <c r="F197" s="20">
        <v>188</v>
      </c>
      <c r="G197" s="20">
        <v>196</v>
      </c>
      <c r="H197" s="13" t="s">
        <v>1973</v>
      </c>
      <c r="I197" s="13" t="str">
        <f t="shared" si="6"/>
        <v>Coconut Creek Pkwy/Martin Luther King Bl (NW 26th Av to Lyons Rd)</v>
      </c>
      <c r="J197" s="13" t="s">
        <v>29</v>
      </c>
      <c r="K197" s="13" t="str">
        <f>VLOOKUP(J197,'Data-ProjectTypes'!A$3:B$13,2,FALSE)</f>
        <v>Program</v>
      </c>
      <c r="L197" s="21" t="s">
        <v>348</v>
      </c>
      <c r="M197" s="13" t="s">
        <v>2222</v>
      </c>
      <c r="N197" s="13" t="s">
        <v>1754</v>
      </c>
      <c r="O197" s="13" t="s">
        <v>273</v>
      </c>
      <c r="P197" s="13" t="s">
        <v>273</v>
      </c>
      <c r="Q197" s="22">
        <v>1.8</v>
      </c>
      <c r="R197" s="23">
        <v>415183</v>
      </c>
      <c r="S197" s="21"/>
      <c r="T197" s="21"/>
      <c r="U197" s="21"/>
      <c r="V197" s="24"/>
      <c r="W197" s="24"/>
      <c r="X197" s="24"/>
      <c r="Y197" s="17"/>
      <c r="Z197" s="18">
        <f>ROUND(R197*'Data-CostAssumptions'!$C$3,-3)</f>
        <v>575000</v>
      </c>
      <c r="AA197" s="11">
        <f t="shared" si="7"/>
        <v>0</v>
      </c>
      <c r="AB197" s="11">
        <v>2041</v>
      </c>
      <c r="AC197" s="11">
        <v>2041</v>
      </c>
      <c r="AD197" s="11">
        <v>2041</v>
      </c>
      <c r="AE197" s="11">
        <v>2041</v>
      </c>
      <c r="AF197" s="11">
        <v>0</v>
      </c>
      <c r="AG197" s="19">
        <f>ROUND((Z197*'Data-CostAssumptions'!$G$5)*(1+'Data-CostAssumptions'!$G$3)^(AC197-'Data-CostAssumptions'!$G$4),-3)</f>
        <v>324000</v>
      </c>
      <c r="AH197" s="19">
        <f>ROUND((Z197)*(1+'Data-CostAssumptions'!$G$3)^(AE197-'Data-CostAssumptions'!$G$4),-3)</f>
        <v>1474000</v>
      </c>
    </row>
    <row r="198" spans="1:34" ht="15" customHeight="1" x14ac:dyDescent="0.2">
      <c r="A198" s="11"/>
      <c r="B198" s="11" t="s">
        <v>1211</v>
      </c>
      <c r="C198" s="13">
        <v>821</v>
      </c>
      <c r="D198" s="13" t="s">
        <v>420</v>
      </c>
      <c r="E198" s="20">
        <v>235</v>
      </c>
      <c r="F198" s="20">
        <v>188</v>
      </c>
      <c r="G198" s="20">
        <v>197</v>
      </c>
      <c r="H198" s="13" t="s">
        <v>2734</v>
      </c>
      <c r="I198" s="13" t="str">
        <f t="shared" si="6"/>
        <v>SR 814/Atlantic Bl (Briny Av to US 1/Federal Hwy)</v>
      </c>
      <c r="J198" s="13" t="s">
        <v>29</v>
      </c>
      <c r="K198" s="13" t="str">
        <f>VLOOKUP(J198,'Data-ProjectTypes'!A$3:B$13,2,FALSE)</f>
        <v>Program</v>
      </c>
      <c r="L198" s="21" t="s">
        <v>348</v>
      </c>
      <c r="M198" s="13" t="s">
        <v>2337</v>
      </c>
      <c r="N198" s="13" t="s">
        <v>2594</v>
      </c>
      <c r="O198" s="13" t="s">
        <v>270</v>
      </c>
      <c r="P198" s="13" t="s">
        <v>270</v>
      </c>
      <c r="Q198" s="22">
        <v>0.8</v>
      </c>
      <c r="R198" s="23">
        <v>186614</v>
      </c>
      <c r="S198" s="21"/>
      <c r="T198" s="21"/>
      <c r="U198" s="21"/>
      <c r="V198" s="24"/>
      <c r="W198" s="24"/>
      <c r="X198" s="24"/>
      <c r="Y198" s="17"/>
      <c r="Z198" s="18">
        <f>ROUND(R198*'Data-CostAssumptions'!$C$3,-3)</f>
        <v>258000</v>
      </c>
      <c r="AA198" s="11">
        <f t="shared" si="7"/>
        <v>0</v>
      </c>
      <c r="AB198" s="11">
        <v>2041</v>
      </c>
      <c r="AC198" s="11">
        <v>2041</v>
      </c>
      <c r="AD198" s="11">
        <v>2041</v>
      </c>
      <c r="AE198" s="11">
        <v>2041</v>
      </c>
      <c r="AF198" s="11">
        <v>0</v>
      </c>
      <c r="AG198" s="19">
        <f>ROUND((Z198*'Data-CostAssumptions'!$G$5)*(1+'Data-CostAssumptions'!$G$3)^(AC198-'Data-CostAssumptions'!$G$4),-3)</f>
        <v>146000</v>
      </c>
      <c r="AH198" s="19">
        <f>ROUND((Z198)*(1+'Data-CostAssumptions'!$G$3)^(AE198-'Data-CostAssumptions'!$G$4),-3)</f>
        <v>661000</v>
      </c>
    </row>
    <row r="199" spans="1:34" ht="15" customHeight="1" x14ac:dyDescent="0.2">
      <c r="A199" s="11"/>
      <c r="B199" s="11" t="s">
        <v>1211</v>
      </c>
      <c r="C199" s="13">
        <v>822</v>
      </c>
      <c r="D199" s="13" t="s">
        <v>420</v>
      </c>
      <c r="E199" s="20">
        <v>236</v>
      </c>
      <c r="F199" s="20">
        <v>188</v>
      </c>
      <c r="G199" s="20">
        <v>198</v>
      </c>
      <c r="H199" s="13" t="s">
        <v>2209</v>
      </c>
      <c r="I199" s="13" t="str">
        <f t="shared" si="6"/>
        <v>SR 5/ US 1 (SE 7th St to Atlantic Bl)</v>
      </c>
      <c r="J199" s="13" t="s">
        <v>29</v>
      </c>
      <c r="K199" s="13" t="str">
        <f>VLOOKUP(J199,'Data-ProjectTypes'!A$3:B$13,2,FALSE)</f>
        <v>Program</v>
      </c>
      <c r="L199" s="21" t="s">
        <v>348</v>
      </c>
      <c r="M199" s="13" t="s">
        <v>2478</v>
      </c>
      <c r="N199" s="13" t="s">
        <v>1809</v>
      </c>
      <c r="O199" s="13" t="s">
        <v>270</v>
      </c>
      <c r="P199" s="13" t="s">
        <v>270</v>
      </c>
      <c r="Q199" s="22">
        <v>0.5</v>
      </c>
      <c r="R199" s="23">
        <v>113514</v>
      </c>
      <c r="S199" s="21"/>
      <c r="T199" s="21"/>
      <c r="U199" s="21"/>
      <c r="V199" s="24"/>
      <c r="W199" s="24"/>
      <c r="X199" s="24"/>
      <c r="Y199" s="17"/>
      <c r="Z199" s="18">
        <f>ROUND(R199*'Data-CostAssumptions'!$C$3,-3)</f>
        <v>157000</v>
      </c>
      <c r="AA199" s="11">
        <f t="shared" si="7"/>
        <v>0</v>
      </c>
      <c r="AB199" s="11">
        <v>2041</v>
      </c>
      <c r="AC199" s="11">
        <v>2041</v>
      </c>
      <c r="AD199" s="11">
        <v>2041</v>
      </c>
      <c r="AE199" s="11">
        <v>2041</v>
      </c>
      <c r="AF199" s="11">
        <v>0</v>
      </c>
      <c r="AG199" s="19">
        <f>ROUND((Z199*'Data-CostAssumptions'!$G$5)*(1+'Data-CostAssumptions'!$G$3)^(AC199-'Data-CostAssumptions'!$G$4),-3)</f>
        <v>89000</v>
      </c>
      <c r="AH199" s="19">
        <f>ROUND((Z199)*(1+'Data-CostAssumptions'!$G$3)^(AE199-'Data-CostAssumptions'!$G$4),-3)</f>
        <v>403000</v>
      </c>
    </row>
    <row r="200" spans="1:34" ht="15" customHeight="1" x14ac:dyDescent="0.2">
      <c r="A200" s="11"/>
      <c r="B200" s="11" t="s">
        <v>1211</v>
      </c>
      <c r="C200" s="13">
        <v>823</v>
      </c>
      <c r="D200" s="13" t="s">
        <v>420</v>
      </c>
      <c r="E200" s="20">
        <v>237</v>
      </c>
      <c r="F200" s="20">
        <v>188</v>
      </c>
      <c r="G200" s="20">
        <v>199</v>
      </c>
      <c r="H200" s="13" t="s">
        <v>1754</v>
      </c>
      <c r="I200" s="13" t="str">
        <f t="shared" si="6"/>
        <v>Lyons Rd (Sawgrass Expressway to Access Rd just north of NW 74th St)</v>
      </c>
      <c r="J200" s="13" t="s">
        <v>29</v>
      </c>
      <c r="K200" s="13" t="str">
        <f>VLOOKUP(J200,'Data-ProjectTypes'!A$3:B$13,2,FALSE)</f>
        <v>Program</v>
      </c>
      <c r="L200" s="21" t="s">
        <v>348</v>
      </c>
      <c r="M200" s="13" t="s">
        <v>72</v>
      </c>
      <c r="N200" s="13" t="s">
        <v>2495</v>
      </c>
      <c r="O200" s="13" t="s">
        <v>273</v>
      </c>
      <c r="P200" s="13" t="s">
        <v>273</v>
      </c>
      <c r="Q200" s="22">
        <v>1.6</v>
      </c>
      <c r="R200" s="23">
        <v>374139</v>
      </c>
      <c r="S200" s="21"/>
      <c r="T200" s="21"/>
      <c r="U200" s="21"/>
      <c r="V200" s="24"/>
      <c r="W200" s="24"/>
      <c r="X200" s="24"/>
      <c r="Y200" s="17"/>
      <c r="Z200" s="18">
        <f>ROUND(R200*'Data-CostAssumptions'!$C$3,-3)</f>
        <v>518000</v>
      </c>
      <c r="AA200" s="11">
        <f t="shared" si="7"/>
        <v>0</v>
      </c>
      <c r="AB200" s="11">
        <v>2041</v>
      </c>
      <c r="AC200" s="11">
        <v>2041</v>
      </c>
      <c r="AD200" s="11">
        <v>2041</v>
      </c>
      <c r="AE200" s="11">
        <v>2041</v>
      </c>
      <c r="AF200" s="11">
        <v>0</v>
      </c>
      <c r="AG200" s="19">
        <f>ROUND((Z200*'Data-CostAssumptions'!$G$5)*(1+'Data-CostAssumptions'!$G$3)^(AC200-'Data-CostAssumptions'!$G$4),-3)</f>
        <v>292000</v>
      </c>
      <c r="AH200" s="19">
        <f>ROUND((Z200)*(1+'Data-CostAssumptions'!$G$3)^(AE200-'Data-CostAssumptions'!$G$4),-3)</f>
        <v>1328000</v>
      </c>
    </row>
    <row r="201" spans="1:34" ht="15" customHeight="1" x14ac:dyDescent="0.2">
      <c r="A201" s="11"/>
      <c r="B201" s="11" t="s">
        <v>1211</v>
      </c>
      <c r="C201" s="13">
        <v>824</v>
      </c>
      <c r="D201" s="13" t="s">
        <v>420</v>
      </c>
      <c r="E201" s="20">
        <v>249</v>
      </c>
      <c r="F201" s="20">
        <v>188</v>
      </c>
      <c r="G201" s="20">
        <v>200</v>
      </c>
      <c r="H201" s="13" t="s">
        <v>1832</v>
      </c>
      <c r="I201" s="13" t="str">
        <f t="shared" si="6"/>
        <v>Baily Rd (State Rd 7/US 441 to SW 81st Av)</v>
      </c>
      <c r="J201" s="13" t="s">
        <v>29</v>
      </c>
      <c r="K201" s="13" t="str">
        <f>VLOOKUP(J201,'Data-ProjectTypes'!A$3:B$13,2,FALSE)</f>
        <v>Program</v>
      </c>
      <c r="L201" s="21" t="s">
        <v>348</v>
      </c>
      <c r="M201" s="13" t="s">
        <v>1773</v>
      </c>
      <c r="N201" s="13" t="s">
        <v>2134</v>
      </c>
      <c r="O201" s="13" t="s">
        <v>272</v>
      </c>
      <c r="P201" s="13" t="s">
        <v>272</v>
      </c>
      <c r="Q201" s="22">
        <v>2</v>
      </c>
      <c r="R201" s="23">
        <v>465971</v>
      </c>
      <c r="S201" s="21"/>
      <c r="T201" s="21"/>
      <c r="U201" s="21"/>
      <c r="V201" s="24"/>
      <c r="W201" s="24"/>
      <c r="X201" s="24"/>
      <c r="Y201" s="17"/>
      <c r="Z201" s="18">
        <f>ROUND(R201*'Data-CostAssumptions'!$C$3,-3)</f>
        <v>645000</v>
      </c>
      <c r="AA201" s="11">
        <f t="shared" si="7"/>
        <v>0</v>
      </c>
      <c r="AB201" s="11">
        <v>2041</v>
      </c>
      <c r="AC201" s="11">
        <v>2041</v>
      </c>
      <c r="AD201" s="11">
        <v>2041</v>
      </c>
      <c r="AE201" s="11">
        <v>2041</v>
      </c>
      <c r="AF201" s="11">
        <v>0</v>
      </c>
      <c r="AG201" s="19">
        <f>ROUND((Z201*'Data-CostAssumptions'!$G$5)*(1+'Data-CostAssumptions'!$G$3)^(AC201-'Data-CostAssumptions'!$G$4),-3)</f>
        <v>364000</v>
      </c>
      <c r="AH201" s="19">
        <f>ROUND((Z201)*(1+'Data-CostAssumptions'!$G$3)^(AE201-'Data-CostAssumptions'!$G$4),-3)</f>
        <v>1654000</v>
      </c>
    </row>
    <row r="202" spans="1:34" ht="15" customHeight="1" x14ac:dyDescent="0.2">
      <c r="A202" s="11"/>
      <c r="B202" s="11" t="s">
        <v>1211</v>
      </c>
      <c r="C202" s="13">
        <v>825</v>
      </c>
      <c r="D202" s="13" t="s">
        <v>420</v>
      </c>
      <c r="E202" s="20">
        <v>255</v>
      </c>
      <c r="F202" s="20">
        <v>188</v>
      </c>
      <c r="G202" s="20">
        <v>201</v>
      </c>
      <c r="H202" s="13" t="s">
        <v>266</v>
      </c>
      <c r="I202" s="13" t="str">
        <f t="shared" si="6"/>
        <v>Pine Island Rd (McNab Rd to Atlantic Bl)</v>
      </c>
      <c r="J202" s="13" t="s">
        <v>29</v>
      </c>
      <c r="K202" s="13" t="str">
        <f>VLOOKUP(J202,'Data-ProjectTypes'!A$3:B$13,2,FALSE)</f>
        <v>Program</v>
      </c>
      <c r="L202" s="21" t="s">
        <v>348</v>
      </c>
      <c r="M202" s="13" t="s">
        <v>1854</v>
      </c>
      <c r="N202" s="13" t="s">
        <v>1809</v>
      </c>
      <c r="O202" s="13" t="s">
        <v>273</v>
      </c>
      <c r="P202" s="13" t="s">
        <v>273</v>
      </c>
      <c r="Q202" s="22">
        <v>2.5</v>
      </c>
      <c r="R202" s="23">
        <v>569710</v>
      </c>
      <c r="S202" s="21" t="s">
        <v>24</v>
      </c>
      <c r="T202" s="21"/>
      <c r="U202" s="21"/>
      <c r="V202" s="24"/>
      <c r="W202" s="24"/>
      <c r="X202" s="24"/>
      <c r="Y202" s="17" t="s">
        <v>460</v>
      </c>
      <c r="Z202" s="18">
        <f>ROUND(R202*'Data-CostAssumptions'!$C$3,-3)</f>
        <v>788000</v>
      </c>
      <c r="AA202" s="11">
        <f t="shared" si="7"/>
        <v>0</v>
      </c>
      <c r="AB202" s="11">
        <v>2041</v>
      </c>
      <c r="AC202" s="11">
        <v>2041</v>
      </c>
      <c r="AD202" s="11">
        <v>2041</v>
      </c>
      <c r="AE202" s="11">
        <v>2041</v>
      </c>
      <c r="AF202" s="11">
        <v>0</v>
      </c>
      <c r="AG202" s="19">
        <f>ROUND((Z202*'Data-CostAssumptions'!$G$5)*(1+'Data-CostAssumptions'!$G$3)^(AC202-'Data-CostAssumptions'!$G$4),-3)</f>
        <v>444000</v>
      </c>
      <c r="AH202" s="19">
        <f>ROUND((Z202)*(1+'Data-CostAssumptions'!$G$3)^(AE202-'Data-CostAssumptions'!$G$4),-3)</f>
        <v>2020000</v>
      </c>
    </row>
    <row r="203" spans="1:34" ht="15" customHeight="1" x14ac:dyDescent="0.2">
      <c r="A203" s="11"/>
      <c r="B203" s="11" t="s">
        <v>1211</v>
      </c>
      <c r="C203" s="13">
        <v>826</v>
      </c>
      <c r="D203" s="13" t="s">
        <v>420</v>
      </c>
      <c r="E203" s="20">
        <v>265</v>
      </c>
      <c r="F203" s="20">
        <v>188</v>
      </c>
      <c r="G203" s="20">
        <v>202</v>
      </c>
      <c r="H203" s="13" t="s">
        <v>2727</v>
      </c>
      <c r="I203" s="13" t="str">
        <f t="shared" si="6"/>
        <v>SR 848/Stirling Rd (Davie Rd/Davie Rd Extension to Pine Island Rd)</v>
      </c>
      <c r="J203" s="13" t="s">
        <v>29</v>
      </c>
      <c r="K203" s="13" t="str">
        <f>VLOOKUP(J203,'Data-ProjectTypes'!A$3:B$13,2,FALSE)</f>
        <v>Program</v>
      </c>
      <c r="L203" s="21" t="s">
        <v>348</v>
      </c>
      <c r="M203" s="13" t="s">
        <v>2456</v>
      </c>
      <c r="N203" s="13" t="s">
        <v>266</v>
      </c>
      <c r="O203" s="13" t="s">
        <v>270</v>
      </c>
      <c r="P203" s="13" t="s">
        <v>270</v>
      </c>
      <c r="Q203" s="22">
        <v>1.8</v>
      </c>
      <c r="R203" s="23">
        <v>406706</v>
      </c>
      <c r="S203" s="21" t="s">
        <v>24</v>
      </c>
      <c r="T203" s="21"/>
      <c r="U203" s="21"/>
      <c r="V203" s="24"/>
      <c r="W203" s="24"/>
      <c r="X203" s="24"/>
      <c r="Y203" s="17" t="s">
        <v>469</v>
      </c>
      <c r="Z203" s="18">
        <f>ROUND(R203*'Data-CostAssumptions'!$C$3,-3)</f>
        <v>563000</v>
      </c>
      <c r="AA203" s="11">
        <f t="shared" si="7"/>
        <v>0</v>
      </c>
      <c r="AB203" s="11">
        <v>2041</v>
      </c>
      <c r="AC203" s="11">
        <v>2041</v>
      </c>
      <c r="AD203" s="11">
        <v>2041</v>
      </c>
      <c r="AE203" s="11">
        <v>2041</v>
      </c>
      <c r="AF203" s="11">
        <v>0</v>
      </c>
      <c r="AG203" s="19">
        <f>ROUND((Z203*'Data-CostAssumptions'!$G$5)*(1+'Data-CostAssumptions'!$G$3)^(AC203-'Data-CostAssumptions'!$G$4),-3)</f>
        <v>318000</v>
      </c>
      <c r="AH203" s="19">
        <f>ROUND((Z203)*(1+'Data-CostAssumptions'!$G$3)^(AE203-'Data-CostAssumptions'!$G$4),-3)</f>
        <v>1444000</v>
      </c>
    </row>
    <row r="204" spans="1:34" ht="15" customHeight="1" x14ac:dyDescent="0.2">
      <c r="A204" s="11"/>
      <c r="B204" s="11" t="s">
        <v>1211</v>
      </c>
      <c r="C204" s="13">
        <v>827</v>
      </c>
      <c r="D204" s="13" t="s">
        <v>420</v>
      </c>
      <c r="E204" s="20">
        <v>266</v>
      </c>
      <c r="F204" s="20">
        <v>188</v>
      </c>
      <c r="G204" s="20">
        <v>203</v>
      </c>
      <c r="H204" s="13" t="s">
        <v>177</v>
      </c>
      <c r="I204" s="13" t="str">
        <f t="shared" si="6"/>
        <v>Stirling Rd (Pine Island Rd to Palm Av/Nob Hill Rd)</v>
      </c>
      <c r="J204" s="13" t="s">
        <v>29</v>
      </c>
      <c r="K204" s="13" t="str">
        <f>VLOOKUP(J204,'Data-ProjectTypes'!A$3:B$13,2,FALSE)</f>
        <v>Program</v>
      </c>
      <c r="L204" s="21" t="s">
        <v>348</v>
      </c>
      <c r="M204" s="13" t="s">
        <v>266</v>
      </c>
      <c r="N204" s="13" t="s">
        <v>2455</v>
      </c>
      <c r="O204" s="13" t="s">
        <v>273</v>
      </c>
      <c r="P204" s="13" t="s">
        <v>273</v>
      </c>
      <c r="Q204" s="22">
        <v>1.3</v>
      </c>
      <c r="R204" s="23">
        <v>308243</v>
      </c>
      <c r="S204" s="21" t="s">
        <v>24</v>
      </c>
      <c r="T204" s="21" t="s">
        <v>25</v>
      </c>
      <c r="U204" s="21"/>
      <c r="V204" s="24"/>
      <c r="W204" s="24"/>
      <c r="X204" s="24"/>
      <c r="Y204" s="17" t="s">
        <v>469</v>
      </c>
      <c r="Z204" s="18">
        <f>ROUND(R204*'Data-CostAssumptions'!$C$3,-3)</f>
        <v>427000</v>
      </c>
      <c r="AA204" s="11">
        <f t="shared" si="7"/>
        <v>0</v>
      </c>
      <c r="AB204" s="11">
        <v>2041</v>
      </c>
      <c r="AC204" s="11">
        <v>2041</v>
      </c>
      <c r="AD204" s="11">
        <v>2041</v>
      </c>
      <c r="AE204" s="11">
        <v>2041</v>
      </c>
      <c r="AF204" s="11">
        <v>0</v>
      </c>
      <c r="AG204" s="19">
        <f>ROUND((Z204*'Data-CostAssumptions'!$G$5)*(1+'Data-CostAssumptions'!$G$3)^(AC204-'Data-CostAssumptions'!$G$4),-3)</f>
        <v>241000</v>
      </c>
      <c r="AH204" s="19">
        <f>ROUND((Z204)*(1+'Data-CostAssumptions'!$G$3)^(AE204-'Data-CostAssumptions'!$G$4),-3)</f>
        <v>1095000</v>
      </c>
    </row>
    <row r="205" spans="1:34" ht="15" customHeight="1" x14ac:dyDescent="0.2">
      <c r="A205" s="11"/>
      <c r="B205" s="11" t="s">
        <v>1211</v>
      </c>
      <c r="C205" s="13">
        <v>828</v>
      </c>
      <c r="D205" s="13" t="s">
        <v>420</v>
      </c>
      <c r="E205" s="20">
        <v>267</v>
      </c>
      <c r="F205" s="20">
        <v>188</v>
      </c>
      <c r="G205" s="20">
        <v>204</v>
      </c>
      <c r="H205" s="13" t="s">
        <v>177</v>
      </c>
      <c r="I205" s="13" t="str">
        <f t="shared" si="6"/>
        <v>Stirling Rd (Palm Av/Nob Hill Rd to Flamingo Rd)</v>
      </c>
      <c r="J205" s="13" t="s">
        <v>29</v>
      </c>
      <c r="K205" s="13" t="str">
        <f>VLOOKUP(J205,'Data-ProjectTypes'!A$3:B$13,2,FALSE)</f>
        <v>Program</v>
      </c>
      <c r="L205" s="21" t="s">
        <v>348</v>
      </c>
      <c r="M205" s="13" t="s">
        <v>2455</v>
      </c>
      <c r="N205" s="13" t="s">
        <v>159</v>
      </c>
      <c r="O205" s="13" t="s">
        <v>290</v>
      </c>
      <c r="P205" s="13" t="s">
        <v>290</v>
      </c>
      <c r="Q205" s="22">
        <v>2</v>
      </c>
      <c r="R205" s="23">
        <v>460470</v>
      </c>
      <c r="S205" s="21"/>
      <c r="T205" s="21"/>
      <c r="U205" s="21"/>
      <c r="V205" s="24"/>
      <c r="W205" s="24"/>
      <c r="X205" s="24"/>
      <c r="Y205" s="17"/>
      <c r="Z205" s="18">
        <f>ROUND(R205*'Data-CostAssumptions'!$C$3,-3)</f>
        <v>637000</v>
      </c>
      <c r="AA205" s="11">
        <f t="shared" si="7"/>
        <v>0</v>
      </c>
      <c r="AB205" s="11">
        <v>2041</v>
      </c>
      <c r="AC205" s="11">
        <v>2041</v>
      </c>
      <c r="AD205" s="11">
        <v>2041</v>
      </c>
      <c r="AE205" s="11">
        <v>2041</v>
      </c>
      <c r="AF205" s="11">
        <v>0</v>
      </c>
      <c r="AG205" s="19">
        <f>ROUND((Z205*'Data-CostAssumptions'!$G$5)*(1+'Data-CostAssumptions'!$G$3)^(AC205-'Data-CostAssumptions'!$G$4),-3)</f>
        <v>359000</v>
      </c>
      <c r="AH205" s="19">
        <f>ROUND((Z205)*(1+'Data-CostAssumptions'!$G$3)^(AE205-'Data-CostAssumptions'!$G$4),-3)</f>
        <v>1633000</v>
      </c>
    </row>
    <row r="206" spans="1:34" ht="15" customHeight="1" x14ac:dyDescent="0.2">
      <c r="A206" s="11"/>
      <c r="B206" s="11" t="s">
        <v>1211</v>
      </c>
      <c r="C206" s="13">
        <v>829</v>
      </c>
      <c r="D206" s="13" t="s">
        <v>420</v>
      </c>
      <c r="E206" s="20">
        <v>271</v>
      </c>
      <c r="F206" s="20">
        <v>188</v>
      </c>
      <c r="G206" s="20">
        <v>205</v>
      </c>
      <c r="H206" s="13" t="s">
        <v>1951</v>
      </c>
      <c r="I206" s="13" t="str">
        <f t="shared" si="6"/>
        <v>Sheridan St (Flamingo Rd to Volunteer Rd)</v>
      </c>
      <c r="J206" s="13" t="s">
        <v>29</v>
      </c>
      <c r="K206" s="13" t="str">
        <f>VLOOKUP(J206,'Data-ProjectTypes'!A$3:B$13,2,FALSE)</f>
        <v>Program</v>
      </c>
      <c r="L206" s="21" t="s">
        <v>348</v>
      </c>
      <c r="M206" s="13" t="s">
        <v>159</v>
      </c>
      <c r="N206" s="13" t="s">
        <v>2452</v>
      </c>
      <c r="O206" s="13" t="s">
        <v>273</v>
      </c>
      <c r="P206" s="13" t="s">
        <v>273</v>
      </c>
      <c r="Q206" s="22">
        <v>2</v>
      </c>
      <c r="R206" s="23">
        <v>474557</v>
      </c>
      <c r="S206" s="21"/>
      <c r="T206" s="21"/>
      <c r="U206" s="21"/>
      <c r="V206" s="24"/>
      <c r="W206" s="24"/>
      <c r="X206" s="24"/>
      <c r="Y206" s="17"/>
      <c r="Z206" s="18">
        <f>ROUND(R206*'Data-CostAssumptions'!$C$3,-3)</f>
        <v>657000</v>
      </c>
      <c r="AA206" s="11">
        <f t="shared" si="7"/>
        <v>0</v>
      </c>
      <c r="AB206" s="11">
        <v>2041</v>
      </c>
      <c r="AC206" s="11">
        <v>2041</v>
      </c>
      <c r="AD206" s="11">
        <v>2041</v>
      </c>
      <c r="AE206" s="11">
        <v>2041</v>
      </c>
      <c r="AF206" s="11">
        <v>0</v>
      </c>
      <c r="AG206" s="19">
        <f>ROUND((Z206*'Data-CostAssumptions'!$G$5)*(1+'Data-CostAssumptions'!$G$3)^(AC206-'Data-CostAssumptions'!$G$4),-3)</f>
        <v>371000</v>
      </c>
      <c r="AH206" s="19">
        <f>ROUND((Z206)*(1+'Data-CostAssumptions'!$G$3)^(AE206-'Data-CostAssumptions'!$G$4),-3)</f>
        <v>1685000</v>
      </c>
    </row>
    <row r="207" spans="1:34" ht="15" customHeight="1" x14ac:dyDescent="0.2">
      <c r="A207" s="11"/>
      <c r="B207" s="11" t="s">
        <v>1211</v>
      </c>
      <c r="C207" s="13">
        <v>830</v>
      </c>
      <c r="D207" s="13" t="s">
        <v>420</v>
      </c>
      <c r="E207" s="20">
        <v>277</v>
      </c>
      <c r="F207" s="20">
        <v>188</v>
      </c>
      <c r="G207" s="20">
        <v>206</v>
      </c>
      <c r="H207" s="13" t="s">
        <v>1880</v>
      </c>
      <c r="I207" s="13" t="str">
        <f t="shared" si="6"/>
        <v>Johnson St (Palm Av to Flamingo Rd)</v>
      </c>
      <c r="J207" s="13" t="s">
        <v>29</v>
      </c>
      <c r="K207" s="13" t="str">
        <f>VLOOKUP(J207,'Data-ProjectTypes'!A$3:B$13,2,FALSE)</f>
        <v>Program</v>
      </c>
      <c r="L207" s="21" t="s">
        <v>348</v>
      </c>
      <c r="M207" s="13" t="s">
        <v>2083</v>
      </c>
      <c r="N207" s="13" t="s">
        <v>159</v>
      </c>
      <c r="O207" s="13" t="s">
        <v>271</v>
      </c>
      <c r="P207" s="13" t="s">
        <v>271</v>
      </c>
      <c r="Q207" s="22">
        <v>2.1</v>
      </c>
      <c r="R207" s="23">
        <v>488402</v>
      </c>
      <c r="S207" s="21"/>
      <c r="T207" s="21"/>
      <c r="U207" s="21"/>
      <c r="V207" s="24"/>
      <c r="W207" s="24"/>
      <c r="X207" s="24"/>
      <c r="Y207" s="17"/>
      <c r="Z207" s="18">
        <f>ROUND(R207*'Data-CostAssumptions'!$C$3,-3)</f>
        <v>676000</v>
      </c>
      <c r="AA207" s="11">
        <f t="shared" si="7"/>
        <v>0</v>
      </c>
      <c r="AB207" s="11">
        <v>2041</v>
      </c>
      <c r="AC207" s="11">
        <v>2041</v>
      </c>
      <c r="AD207" s="11">
        <v>2041</v>
      </c>
      <c r="AE207" s="11">
        <v>2041</v>
      </c>
      <c r="AF207" s="11">
        <v>0</v>
      </c>
      <c r="AG207" s="19">
        <f>ROUND((Z207*'Data-CostAssumptions'!$G$5)*(1+'Data-CostAssumptions'!$G$3)^(AC207-'Data-CostAssumptions'!$G$4),-3)</f>
        <v>381000</v>
      </c>
      <c r="AH207" s="19">
        <f>ROUND((Z207)*(1+'Data-CostAssumptions'!$G$3)^(AE207-'Data-CostAssumptions'!$G$4),-3)</f>
        <v>1733000</v>
      </c>
    </row>
    <row r="208" spans="1:34" ht="15" customHeight="1" x14ac:dyDescent="0.2">
      <c r="A208" s="11"/>
      <c r="B208" s="11" t="s">
        <v>1211</v>
      </c>
      <c r="C208" s="13">
        <v>831</v>
      </c>
      <c r="D208" s="13" t="s">
        <v>420</v>
      </c>
      <c r="E208" s="20">
        <v>278</v>
      </c>
      <c r="F208" s="20">
        <v>188</v>
      </c>
      <c r="G208" s="20">
        <v>207</v>
      </c>
      <c r="H208" s="13" t="s">
        <v>1880</v>
      </c>
      <c r="I208" s="13" t="str">
        <f t="shared" si="6"/>
        <v>Johnson St (Douglas Rd to Palm Av)</v>
      </c>
      <c r="J208" s="13" t="s">
        <v>29</v>
      </c>
      <c r="K208" s="13" t="str">
        <f>VLOOKUP(J208,'Data-ProjectTypes'!A$3:B$13,2,FALSE)</f>
        <v>Program</v>
      </c>
      <c r="L208" s="21" t="s">
        <v>348</v>
      </c>
      <c r="M208" s="13" t="s">
        <v>2425</v>
      </c>
      <c r="N208" s="13" t="s">
        <v>2083</v>
      </c>
      <c r="O208" s="13" t="s">
        <v>271</v>
      </c>
      <c r="P208" s="13" t="s">
        <v>271</v>
      </c>
      <c r="Q208" s="22">
        <v>1</v>
      </c>
      <c r="R208" s="23">
        <v>229304</v>
      </c>
      <c r="S208" s="21"/>
      <c r="T208" s="21"/>
      <c r="U208" s="21"/>
      <c r="V208" s="24"/>
      <c r="W208" s="24"/>
      <c r="X208" s="24"/>
      <c r="Y208" s="17"/>
      <c r="Z208" s="18">
        <f>ROUND(R208*'Data-CostAssumptions'!$C$3,-3)</f>
        <v>317000</v>
      </c>
      <c r="AA208" s="11">
        <f t="shared" si="7"/>
        <v>0</v>
      </c>
      <c r="AB208" s="11">
        <v>2041</v>
      </c>
      <c r="AC208" s="11">
        <v>2041</v>
      </c>
      <c r="AD208" s="11">
        <v>2041</v>
      </c>
      <c r="AE208" s="11">
        <v>2041</v>
      </c>
      <c r="AF208" s="11">
        <v>0</v>
      </c>
      <c r="AG208" s="19">
        <f>ROUND((Z208*'Data-CostAssumptions'!$G$5)*(1+'Data-CostAssumptions'!$G$3)^(AC208-'Data-CostAssumptions'!$G$4),-3)</f>
        <v>179000</v>
      </c>
      <c r="AH208" s="19">
        <f>ROUND((Z208)*(1+'Data-CostAssumptions'!$G$3)^(AE208-'Data-CostAssumptions'!$G$4),-3)</f>
        <v>813000</v>
      </c>
    </row>
    <row r="209" spans="1:34" ht="15" customHeight="1" x14ac:dyDescent="0.2">
      <c r="A209" s="11"/>
      <c r="B209" s="11" t="s">
        <v>1211</v>
      </c>
      <c r="C209" s="13">
        <v>832</v>
      </c>
      <c r="D209" s="13" t="s">
        <v>420</v>
      </c>
      <c r="E209" s="20">
        <v>279</v>
      </c>
      <c r="F209" s="20">
        <v>188</v>
      </c>
      <c r="G209" s="20">
        <v>208</v>
      </c>
      <c r="H209" s="13" t="s">
        <v>2083</v>
      </c>
      <c r="I209" s="13" t="str">
        <f t="shared" si="6"/>
        <v>Palm Av (Pembroke Rd to Pines Bl)</v>
      </c>
      <c r="J209" s="13" t="s">
        <v>29</v>
      </c>
      <c r="K209" s="13" t="str">
        <f>VLOOKUP(J209,'Data-ProjectTypes'!A$3:B$13,2,FALSE)</f>
        <v>Program</v>
      </c>
      <c r="L209" s="21" t="s">
        <v>348</v>
      </c>
      <c r="M209" s="13" t="s">
        <v>1760</v>
      </c>
      <c r="N209" s="13" t="s">
        <v>1826</v>
      </c>
      <c r="O209" s="13" t="s">
        <v>273</v>
      </c>
      <c r="P209" s="13" t="s">
        <v>273</v>
      </c>
      <c r="Q209" s="22">
        <v>1</v>
      </c>
      <c r="R209" s="23">
        <v>232184</v>
      </c>
      <c r="S209" s="21" t="s">
        <v>24</v>
      </c>
      <c r="T209" s="21" t="s">
        <v>684</v>
      </c>
      <c r="U209" s="21" t="s">
        <v>684</v>
      </c>
      <c r="V209" s="24"/>
      <c r="W209" s="24"/>
      <c r="X209" s="24"/>
      <c r="Y209" s="17" t="s">
        <v>685</v>
      </c>
      <c r="Z209" s="18">
        <f>ROUND(R209*'Data-CostAssumptions'!$C$3,-3)</f>
        <v>321000</v>
      </c>
      <c r="AA209" s="11">
        <f t="shared" si="7"/>
        <v>0</v>
      </c>
      <c r="AB209" s="11">
        <v>2041</v>
      </c>
      <c r="AC209" s="11">
        <v>2041</v>
      </c>
      <c r="AD209" s="11">
        <v>2041</v>
      </c>
      <c r="AE209" s="11">
        <v>2041</v>
      </c>
      <c r="AF209" s="11">
        <v>0</v>
      </c>
      <c r="AG209" s="19">
        <f>ROUND((Z209*'Data-CostAssumptions'!$G$5)*(1+'Data-CostAssumptions'!$G$3)^(AC209-'Data-CostAssumptions'!$G$4),-3)</f>
        <v>181000</v>
      </c>
      <c r="AH209" s="19">
        <f>ROUND((Z209)*(1+'Data-CostAssumptions'!$G$3)^(AE209-'Data-CostAssumptions'!$G$4),-3)</f>
        <v>823000</v>
      </c>
    </row>
    <row r="210" spans="1:34" ht="15" customHeight="1" x14ac:dyDescent="0.2">
      <c r="A210" s="11"/>
      <c r="B210" s="11" t="s">
        <v>1211</v>
      </c>
      <c r="C210" s="13">
        <v>833</v>
      </c>
      <c r="D210" s="13" t="s">
        <v>420</v>
      </c>
      <c r="E210" s="20">
        <v>289</v>
      </c>
      <c r="F210" s="20">
        <v>188</v>
      </c>
      <c r="G210" s="20">
        <v>209</v>
      </c>
      <c r="H210" s="13" t="s">
        <v>2111</v>
      </c>
      <c r="I210" s="13" t="str">
        <f t="shared" si="6"/>
        <v>SW 184th Av (Pines Bl to Sheridan St)</v>
      </c>
      <c r="J210" s="13" t="s">
        <v>29</v>
      </c>
      <c r="K210" s="13" t="str">
        <f>VLOOKUP(J210,'Data-ProjectTypes'!A$3:B$13,2,FALSE)</f>
        <v>Program</v>
      </c>
      <c r="L210" s="21" t="s">
        <v>348</v>
      </c>
      <c r="M210" s="13" t="s">
        <v>1826</v>
      </c>
      <c r="N210" s="13" t="s">
        <v>1951</v>
      </c>
      <c r="O210" s="13" t="s">
        <v>272</v>
      </c>
      <c r="P210" s="13" t="s">
        <v>272</v>
      </c>
      <c r="Q210" s="22">
        <v>1.5</v>
      </c>
      <c r="R210" s="23">
        <v>349830</v>
      </c>
      <c r="S210" s="21" t="s">
        <v>684</v>
      </c>
      <c r="T210" s="21" t="s">
        <v>684</v>
      </c>
      <c r="U210" s="21" t="s">
        <v>684</v>
      </c>
      <c r="V210" s="24"/>
      <c r="W210" s="24"/>
      <c r="X210" s="24"/>
      <c r="Y210" s="17" t="s">
        <v>783</v>
      </c>
      <c r="Z210" s="18">
        <f>ROUND(R210*'Data-CostAssumptions'!$C$3,-3)</f>
        <v>484000</v>
      </c>
      <c r="AA210" s="11">
        <f t="shared" si="7"/>
        <v>0</v>
      </c>
      <c r="AB210" s="11">
        <v>2041</v>
      </c>
      <c r="AC210" s="11">
        <v>2041</v>
      </c>
      <c r="AD210" s="11">
        <v>2041</v>
      </c>
      <c r="AE210" s="11">
        <v>2041</v>
      </c>
      <c r="AF210" s="11">
        <v>0</v>
      </c>
      <c r="AG210" s="19">
        <f>ROUND((Z210*'Data-CostAssumptions'!$G$5)*(1+'Data-CostAssumptions'!$G$3)^(AC210-'Data-CostAssumptions'!$G$4),-3)</f>
        <v>273000</v>
      </c>
      <c r="AH210" s="19">
        <f>ROUND((Z210)*(1+'Data-CostAssumptions'!$G$3)^(AE210-'Data-CostAssumptions'!$G$4),-3)</f>
        <v>1241000</v>
      </c>
    </row>
    <row r="211" spans="1:34" ht="15" customHeight="1" x14ac:dyDescent="0.2">
      <c r="A211" s="11"/>
      <c r="B211" s="11" t="s">
        <v>1211</v>
      </c>
      <c r="C211" s="13">
        <v>834</v>
      </c>
      <c r="D211" s="13" t="s">
        <v>420</v>
      </c>
      <c r="E211" s="20">
        <v>294</v>
      </c>
      <c r="F211" s="20">
        <v>188</v>
      </c>
      <c r="G211" s="20">
        <v>210</v>
      </c>
      <c r="H211" s="13" t="s">
        <v>1755</v>
      </c>
      <c r="I211" s="13" t="str">
        <f t="shared" si="6"/>
        <v>Nob Hill Rd (Just north of State Rd 84 to Broward Bl)</v>
      </c>
      <c r="J211" s="13" t="s">
        <v>29</v>
      </c>
      <c r="K211" s="13" t="str">
        <f>VLOOKUP(J211,'Data-ProjectTypes'!A$3:B$13,2,FALSE)</f>
        <v>Program</v>
      </c>
      <c r="L211" s="21" t="s">
        <v>348</v>
      </c>
      <c r="M211" s="13" t="s">
        <v>2429</v>
      </c>
      <c r="N211" s="13" t="s">
        <v>1811</v>
      </c>
      <c r="O211" s="13" t="s">
        <v>273</v>
      </c>
      <c r="P211" s="13" t="s">
        <v>273</v>
      </c>
      <c r="Q211" s="22">
        <v>0.9</v>
      </c>
      <c r="R211" s="23">
        <v>220214</v>
      </c>
      <c r="S211" s="21"/>
      <c r="T211" s="21"/>
      <c r="U211" s="21"/>
      <c r="V211" s="24"/>
      <c r="W211" s="24"/>
      <c r="X211" s="24"/>
      <c r="Y211" s="17"/>
      <c r="Z211" s="18">
        <f>ROUND(R211*'Data-CostAssumptions'!$C$3,-3)</f>
        <v>305000</v>
      </c>
      <c r="AA211" s="11">
        <f t="shared" si="7"/>
        <v>0</v>
      </c>
      <c r="AB211" s="11">
        <v>2041</v>
      </c>
      <c r="AC211" s="11">
        <v>2041</v>
      </c>
      <c r="AD211" s="11">
        <v>2041</v>
      </c>
      <c r="AE211" s="11">
        <v>2041</v>
      </c>
      <c r="AF211" s="11">
        <v>0</v>
      </c>
      <c r="AG211" s="19">
        <f>ROUND((Z211*'Data-CostAssumptions'!$G$5)*(1+'Data-CostAssumptions'!$G$3)^(AC211-'Data-CostAssumptions'!$G$4),-3)</f>
        <v>172000</v>
      </c>
      <c r="AH211" s="19">
        <f>ROUND((Z211)*(1+'Data-CostAssumptions'!$G$3)^(AE211-'Data-CostAssumptions'!$G$4),-3)</f>
        <v>782000</v>
      </c>
    </row>
    <row r="212" spans="1:34" ht="15" customHeight="1" x14ac:dyDescent="0.2">
      <c r="A212" s="11"/>
      <c r="B212" s="11" t="s">
        <v>1211</v>
      </c>
      <c r="C212" s="13">
        <v>835</v>
      </c>
      <c r="D212" s="13" t="s">
        <v>420</v>
      </c>
      <c r="E212" s="20">
        <v>306</v>
      </c>
      <c r="F212" s="20">
        <v>189</v>
      </c>
      <c r="G212" s="20">
        <v>211</v>
      </c>
      <c r="H212" s="13" t="s">
        <v>728</v>
      </c>
      <c r="I212" s="13" t="str">
        <f t="shared" si="6"/>
        <v>Dixie Hwy (NE 3rd St to Hillsboro Bl)</v>
      </c>
      <c r="J212" s="13" t="s">
        <v>29</v>
      </c>
      <c r="K212" s="13" t="str">
        <f>VLOOKUP(J212,'Data-ProjectTypes'!A$3:B$13,2,FALSE)</f>
        <v>Program</v>
      </c>
      <c r="L212" s="21" t="s">
        <v>348</v>
      </c>
      <c r="M212" s="13" t="s">
        <v>1892</v>
      </c>
      <c r="N212" s="13" t="s">
        <v>1819</v>
      </c>
      <c r="O212" s="13" t="s">
        <v>273</v>
      </c>
      <c r="P212" s="13" t="s">
        <v>273</v>
      </c>
      <c r="Q212" s="22">
        <v>0.3</v>
      </c>
      <c r="R212" s="23">
        <v>69565</v>
      </c>
      <c r="S212" s="21"/>
      <c r="T212" s="21"/>
      <c r="U212" s="21"/>
      <c r="V212" s="24"/>
      <c r="W212" s="24"/>
      <c r="X212" s="24"/>
      <c r="Y212" s="17"/>
      <c r="Z212" s="18">
        <f>ROUND(R212*'Data-CostAssumptions'!$C$3,-3)</f>
        <v>96000</v>
      </c>
      <c r="AA212" s="11">
        <f t="shared" si="7"/>
        <v>0</v>
      </c>
      <c r="AB212" s="11">
        <v>2041</v>
      </c>
      <c r="AC212" s="11">
        <v>2041</v>
      </c>
      <c r="AD212" s="11">
        <v>2041</v>
      </c>
      <c r="AE212" s="11">
        <v>2041</v>
      </c>
      <c r="AF212" s="11">
        <v>0</v>
      </c>
      <c r="AG212" s="19">
        <f>ROUND((Z212*'Data-CostAssumptions'!$G$5)*(1+'Data-CostAssumptions'!$G$3)^(AC212-'Data-CostAssumptions'!$G$4),-3)</f>
        <v>54000</v>
      </c>
      <c r="AH212" s="19">
        <f>ROUND((Z212)*(1+'Data-CostAssumptions'!$G$3)^(AE212-'Data-CostAssumptions'!$G$4),-3)</f>
        <v>246000</v>
      </c>
    </row>
    <row r="213" spans="1:34" ht="15" customHeight="1" x14ac:dyDescent="0.2">
      <c r="A213" s="11"/>
      <c r="B213" s="11" t="s">
        <v>1211</v>
      </c>
      <c r="C213" s="13">
        <v>836</v>
      </c>
      <c r="D213" s="13" t="s">
        <v>420</v>
      </c>
      <c r="E213" s="20">
        <v>310</v>
      </c>
      <c r="F213" s="20">
        <v>189</v>
      </c>
      <c r="G213" s="20">
        <v>212</v>
      </c>
      <c r="H213" s="13" t="s">
        <v>1780</v>
      </c>
      <c r="I213" s="13" t="str">
        <f t="shared" si="6"/>
        <v>Wiles Rd (East end of Wiles Rd to Lyons Rd)</v>
      </c>
      <c r="J213" s="13" t="s">
        <v>29</v>
      </c>
      <c r="K213" s="13" t="str">
        <f>VLOOKUP(J213,'Data-ProjectTypes'!A$3:B$13,2,FALSE)</f>
        <v>Program</v>
      </c>
      <c r="L213" s="21" t="s">
        <v>348</v>
      </c>
      <c r="M213" s="13" t="s">
        <v>2472</v>
      </c>
      <c r="N213" s="13" t="s">
        <v>1754</v>
      </c>
      <c r="O213" s="13" t="s">
        <v>273</v>
      </c>
      <c r="P213" s="13" t="s">
        <v>273</v>
      </c>
      <c r="Q213" s="22">
        <v>0.9</v>
      </c>
      <c r="R213" s="23">
        <v>209532</v>
      </c>
      <c r="S213" s="21"/>
      <c r="T213" s="21"/>
      <c r="U213" s="21"/>
      <c r="V213" s="24"/>
      <c r="W213" s="24"/>
      <c r="X213" s="24"/>
      <c r="Y213" s="17"/>
      <c r="Z213" s="18">
        <f>ROUND(R213*'Data-CostAssumptions'!$C$3,-3)</f>
        <v>290000</v>
      </c>
      <c r="AA213" s="11">
        <f t="shared" si="7"/>
        <v>0</v>
      </c>
      <c r="AB213" s="11">
        <v>2041</v>
      </c>
      <c r="AC213" s="11">
        <v>2041</v>
      </c>
      <c r="AD213" s="11">
        <v>2041</v>
      </c>
      <c r="AE213" s="11">
        <v>2041</v>
      </c>
      <c r="AF213" s="11">
        <v>0</v>
      </c>
      <c r="AG213" s="19">
        <f>ROUND((Z213*'Data-CostAssumptions'!$G$5)*(1+'Data-CostAssumptions'!$G$3)^(AC213-'Data-CostAssumptions'!$G$4),-3)</f>
        <v>164000</v>
      </c>
      <c r="AH213" s="19">
        <f>ROUND((Z213)*(1+'Data-CostAssumptions'!$G$3)^(AE213-'Data-CostAssumptions'!$G$4),-3)</f>
        <v>744000</v>
      </c>
    </row>
    <row r="214" spans="1:34" ht="15" customHeight="1" x14ac:dyDescent="0.2">
      <c r="A214" s="11"/>
      <c r="B214" s="11" t="s">
        <v>1211</v>
      </c>
      <c r="C214" s="13">
        <v>837</v>
      </c>
      <c r="D214" s="13" t="s">
        <v>420</v>
      </c>
      <c r="E214" s="20">
        <v>312</v>
      </c>
      <c r="F214" s="20">
        <v>189</v>
      </c>
      <c r="G214" s="20">
        <v>213</v>
      </c>
      <c r="H214" s="13" t="s">
        <v>2062</v>
      </c>
      <c r="I214" s="13" t="str">
        <f t="shared" si="6"/>
        <v>NW 31st Av (Atlantic Bl to Hammondville Rd)</v>
      </c>
      <c r="J214" s="13" t="s">
        <v>29</v>
      </c>
      <c r="K214" s="13" t="str">
        <f>VLOOKUP(J214,'Data-ProjectTypes'!A$3:B$13,2,FALSE)</f>
        <v>Program</v>
      </c>
      <c r="L214" s="21" t="s">
        <v>348</v>
      </c>
      <c r="M214" s="13" t="s">
        <v>1809</v>
      </c>
      <c r="N214" s="13" t="s">
        <v>1751</v>
      </c>
      <c r="O214" s="13" t="s">
        <v>270</v>
      </c>
      <c r="P214" s="13" t="s">
        <v>270</v>
      </c>
      <c r="Q214" s="22">
        <v>1</v>
      </c>
      <c r="R214" s="23">
        <v>223350</v>
      </c>
      <c r="S214" s="21"/>
      <c r="T214" s="21"/>
      <c r="U214" s="21"/>
      <c r="V214" s="24"/>
      <c r="W214" s="24"/>
      <c r="X214" s="24" t="s">
        <v>771</v>
      </c>
      <c r="Y214" s="17" t="s">
        <v>765</v>
      </c>
      <c r="Z214" s="18">
        <f>ROUND(R214*'Data-CostAssumptions'!$C$3,-3)</f>
        <v>309000</v>
      </c>
      <c r="AA214" s="11">
        <f t="shared" si="7"/>
        <v>0</v>
      </c>
      <c r="AB214" s="11">
        <v>2041</v>
      </c>
      <c r="AC214" s="11">
        <v>2041</v>
      </c>
      <c r="AD214" s="11">
        <v>2041</v>
      </c>
      <c r="AE214" s="11">
        <v>2041</v>
      </c>
      <c r="AF214" s="11">
        <v>0</v>
      </c>
      <c r="AG214" s="19">
        <f>ROUND((Z214*'Data-CostAssumptions'!$G$5)*(1+'Data-CostAssumptions'!$G$3)^(AC214-'Data-CostAssumptions'!$G$4),-3)</f>
        <v>174000</v>
      </c>
      <c r="AH214" s="19">
        <f>ROUND((Z214)*(1+'Data-CostAssumptions'!$G$3)^(AE214-'Data-CostAssumptions'!$G$4),-3)</f>
        <v>792000</v>
      </c>
    </row>
    <row r="215" spans="1:34" ht="15" customHeight="1" x14ac:dyDescent="0.2">
      <c r="A215" s="11"/>
      <c r="B215" s="11" t="s">
        <v>1211</v>
      </c>
      <c r="C215" s="13">
        <v>838</v>
      </c>
      <c r="D215" s="13" t="s">
        <v>420</v>
      </c>
      <c r="E215" s="20">
        <v>313</v>
      </c>
      <c r="F215" s="20">
        <v>189</v>
      </c>
      <c r="G215" s="20">
        <v>214</v>
      </c>
      <c r="H215" s="13" t="s">
        <v>2024</v>
      </c>
      <c r="I215" s="13" t="str">
        <f t="shared" si="6"/>
        <v>NE 15th Av (Sunrise Bl to NE 13th St)</v>
      </c>
      <c r="J215" s="13" t="s">
        <v>29</v>
      </c>
      <c r="K215" s="13" t="str">
        <f>VLOOKUP(J215,'Data-ProjectTypes'!A$3:B$13,2,FALSE)</f>
        <v>Program</v>
      </c>
      <c r="L215" s="21" t="s">
        <v>348</v>
      </c>
      <c r="M215" s="13" t="s">
        <v>1830</v>
      </c>
      <c r="N215" s="13" t="s">
        <v>2488</v>
      </c>
      <c r="O215" s="13" t="s">
        <v>276</v>
      </c>
      <c r="P215" s="13" t="s">
        <v>276</v>
      </c>
      <c r="Q215" s="22">
        <v>0.4</v>
      </c>
      <c r="R215" s="23">
        <v>84384</v>
      </c>
      <c r="S215" s="21"/>
      <c r="T215" s="21"/>
      <c r="U215" s="21"/>
      <c r="V215" s="24"/>
      <c r="W215" s="24"/>
      <c r="X215" s="24"/>
      <c r="Y215" s="17"/>
      <c r="Z215" s="18">
        <f>ROUND(R215*'Data-CostAssumptions'!$C$3,-3)</f>
        <v>117000</v>
      </c>
      <c r="AA215" s="11">
        <f t="shared" si="7"/>
        <v>0</v>
      </c>
      <c r="AB215" s="11">
        <v>2041</v>
      </c>
      <c r="AC215" s="11">
        <v>2041</v>
      </c>
      <c r="AD215" s="11">
        <v>2041</v>
      </c>
      <c r="AE215" s="11">
        <v>2041</v>
      </c>
      <c r="AF215" s="11">
        <v>0</v>
      </c>
      <c r="AG215" s="19">
        <f>ROUND((Z215*'Data-CostAssumptions'!$G$5)*(1+'Data-CostAssumptions'!$G$3)^(AC215-'Data-CostAssumptions'!$G$4),-3)</f>
        <v>66000</v>
      </c>
      <c r="AH215" s="19">
        <f>ROUND((Z215)*(1+'Data-CostAssumptions'!$G$3)^(AE215-'Data-CostAssumptions'!$G$4),-3)</f>
        <v>300000</v>
      </c>
    </row>
    <row r="216" spans="1:34" ht="15" customHeight="1" x14ac:dyDescent="0.2">
      <c r="A216" s="11"/>
      <c r="B216" s="11" t="s">
        <v>1211</v>
      </c>
      <c r="C216" s="13">
        <v>839</v>
      </c>
      <c r="D216" s="13" t="s">
        <v>420</v>
      </c>
      <c r="E216" s="20">
        <v>21</v>
      </c>
      <c r="F216" s="20">
        <v>189</v>
      </c>
      <c r="G216" s="20">
        <v>215</v>
      </c>
      <c r="H216" s="13" t="s">
        <v>1885</v>
      </c>
      <c r="I216" s="13" t="str">
        <f t="shared" si="6"/>
        <v>NE 14th St (Ocean Bl to NE 25th Av)</v>
      </c>
      <c r="J216" s="13" t="s">
        <v>29</v>
      </c>
      <c r="K216" s="13" t="str">
        <f>VLOOKUP(J216,'Data-ProjectTypes'!A$3:B$13,2,FALSE)</f>
        <v>Program</v>
      </c>
      <c r="L216" s="21" t="s">
        <v>348</v>
      </c>
      <c r="M216" s="13" t="s">
        <v>2274</v>
      </c>
      <c r="N216" s="13" t="s">
        <v>2233</v>
      </c>
      <c r="O216" s="13" t="s">
        <v>270</v>
      </c>
      <c r="P216" s="13" t="s">
        <v>270</v>
      </c>
      <c r="Q216" s="22">
        <v>0.8</v>
      </c>
      <c r="R216" s="23">
        <v>174510</v>
      </c>
      <c r="S216" s="21"/>
      <c r="T216" s="21"/>
      <c r="U216" s="21"/>
      <c r="V216" s="24"/>
      <c r="W216" s="24"/>
      <c r="X216" s="24" t="s">
        <v>764</v>
      </c>
      <c r="Y216" s="17" t="s">
        <v>765</v>
      </c>
      <c r="Z216" s="18">
        <f>ROUND(R216*'Data-CostAssumptions'!$C$3,-3)</f>
        <v>242000</v>
      </c>
      <c r="AA216" s="11">
        <f t="shared" si="7"/>
        <v>0</v>
      </c>
      <c r="AB216" s="11">
        <v>2041</v>
      </c>
      <c r="AC216" s="11">
        <v>2041</v>
      </c>
      <c r="AD216" s="11">
        <v>2041</v>
      </c>
      <c r="AE216" s="11">
        <v>2041</v>
      </c>
      <c r="AF216" s="11">
        <v>0</v>
      </c>
      <c r="AG216" s="19">
        <f>ROUND((Z216*'Data-CostAssumptions'!$G$5)*(1+'Data-CostAssumptions'!$G$3)^(AC216-'Data-CostAssumptions'!$G$4),-3)</f>
        <v>137000</v>
      </c>
      <c r="AH216" s="19">
        <f>ROUND((Z216)*(1+'Data-CostAssumptions'!$G$3)^(AE216-'Data-CostAssumptions'!$G$4),-3)</f>
        <v>620000</v>
      </c>
    </row>
    <row r="217" spans="1:34" ht="15" customHeight="1" x14ac:dyDescent="0.2">
      <c r="A217" s="11"/>
      <c r="B217" s="11" t="s">
        <v>1211</v>
      </c>
      <c r="C217" s="13">
        <v>840</v>
      </c>
      <c r="D217" s="13" t="s">
        <v>420</v>
      </c>
      <c r="E217" s="20">
        <v>30</v>
      </c>
      <c r="F217" s="20">
        <v>189</v>
      </c>
      <c r="G217" s="20">
        <v>216</v>
      </c>
      <c r="H217" s="13" t="s">
        <v>2100</v>
      </c>
      <c r="I217" s="13" t="str">
        <f t="shared" si="6"/>
        <v>SW 11th Way/NE 3rd Av (48th St to 10th St)</v>
      </c>
      <c r="J217" s="13" t="s">
        <v>29</v>
      </c>
      <c r="K217" s="13" t="str">
        <f>VLOOKUP(J217,'Data-ProjectTypes'!A$3:B$13,2,FALSE)</f>
        <v>Program</v>
      </c>
      <c r="L217" s="21" t="s">
        <v>348</v>
      </c>
      <c r="M217" s="13" t="s">
        <v>2512</v>
      </c>
      <c r="N217" s="13" t="s">
        <v>1870</v>
      </c>
      <c r="O217" s="13" t="s">
        <v>289</v>
      </c>
      <c r="P217" s="13" t="s">
        <v>289</v>
      </c>
      <c r="Q217" s="22">
        <v>1.2</v>
      </c>
      <c r="R217" s="23">
        <v>274361</v>
      </c>
      <c r="S217" s="21" t="s">
        <v>24</v>
      </c>
      <c r="T217" s="21" t="s">
        <v>25</v>
      </c>
      <c r="U217" s="21"/>
      <c r="V217" s="24"/>
      <c r="W217" s="24"/>
      <c r="X217" s="24" t="s">
        <v>502</v>
      </c>
      <c r="Y217" s="17" t="s">
        <v>492</v>
      </c>
      <c r="Z217" s="18">
        <f>ROUND(R217*'Data-CostAssumptions'!$C$3,-3)</f>
        <v>380000</v>
      </c>
      <c r="AA217" s="11">
        <f t="shared" si="7"/>
        <v>0</v>
      </c>
      <c r="AB217" s="11">
        <v>2041</v>
      </c>
      <c r="AC217" s="11">
        <v>2041</v>
      </c>
      <c r="AD217" s="11">
        <v>2041</v>
      </c>
      <c r="AE217" s="11">
        <v>2041</v>
      </c>
      <c r="AF217" s="11">
        <v>0</v>
      </c>
      <c r="AG217" s="19">
        <f>ROUND((Z217*'Data-CostAssumptions'!$G$5)*(1+'Data-CostAssumptions'!$G$3)^(AC217-'Data-CostAssumptions'!$G$4),-3)</f>
        <v>214000</v>
      </c>
      <c r="AH217" s="19">
        <f>ROUND((Z217)*(1+'Data-CostAssumptions'!$G$3)^(AE217-'Data-CostAssumptions'!$G$4),-3)</f>
        <v>974000</v>
      </c>
    </row>
    <row r="218" spans="1:34" ht="15" customHeight="1" x14ac:dyDescent="0.2">
      <c r="A218" s="11"/>
      <c r="B218" s="11" t="s">
        <v>1211</v>
      </c>
      <c r="C218" s="13">
        <v>841</v>
      </c>
      <c r="D218" s="13" t="s">
        <v>420</v>
      </c>
      <c r="E218" s="20">
        <v>31</v>
      </c>
      <c r="F218" s="20">
        <v>189</v>
      </c>
      <c r="G218" s="20">
        <v>217</v>
      </c>
      <c r="H218" s="13" t="s">
        <v>1824</v>
      </c>
      <c r="I218" s="13" t="str">
        <f t="shared" si="6"/>
        <v>Natura Bl (10th St to Hillsboro Bl)</v>
      </c>
      <c r="J218" s="13" t="s">
        <v>29</v>
      </c>
      <c r="K218" s="13" t="str">
        <f>VLOOKUP(J218,'Data-ProjectTypes'!A$3:B$13,2,FALSE)</f>
        <v>Program</v>
      </c>
      <c r="L218" s="21" t="s">
        <v>503</v>
      </c>
      <c r="M218" s="13" t="s">
        <v>1870</v>
      </c>
      <c r="N218" s="13" t="s">
        <v>1819</v>
      </c>
      <c r="O218" s="13" t="s">
        <v>289</v>
      </c>
      <c r="P218" s="13" t="s">
        <v>289</v>
      </c>
      <c r="Q218" s="22">
        <v>1.2</v>
      </c>
      <c r="R218" s="23">
        <v>286250</v>
      </c>
      <c r="S218" s="21" t="s">
        <v>24</v>
      </c>
      <c r="T218" s="21" t="s">
        <v>24</v>
      </c>
      <c r="U218" s="21"/>
      <c r="V218" s="24"/>
      <c r="W218" s="24"/>
      <c r="X218" s="24"/>
      <c r="Y218" s="17" t="s">
        <v>492</v>
      </c>
      <c r="Z218" s="18">
        <f>ROUND(R218*'Data-CostAssumptions'!$C$3,-3)</f>
        <v>396000</v>
      </c>
      <c r="AA218" s="11">
        <f t="shared" si="7"/>
        <v>0</v>
      </c>
      <c r="AB218" s="11">
        <v>2041</v>
      </c>
      <c r="AC218" s="11">
        <v>2041</v>
      </c>
      <c r="AD218" s="11">
        <v>2041</v>
      </c>
      <c r="AE218" s="11">
        <v>2041</v>
      </c>
      <c r="AF218" s="11">
        <v>0</v>
      </c>
      <c r="AG218" s="19">
        <f>ROUND((Z218*'Data-CostAssumptions'!$G$5)*(1+'Data-CostAssumptions'!$G$3)^(AC218-'Data-CostAssumptions'!$G$4),-3)</f>
        <v>223000</v>
      </c>
      <c r="AH218" s="19">
        <f>ROUND((Z218)*(1+'Data-CostAssumptions'!$G$3)^(AE218-'Data-CostAssumptions'!$G$4),-3)</f>
        <v>1015000</v>
      </c>
    </row>
    <row r="219" spans="1:34" ht="15" customHeight="1" x14ac:dyDescent="0.2">
      <c r="A219" s="11"/>
      <c r="B219" s="11" t="s">
        <v>1211</v>
      </c>
      <c r="C219" s="13">
        <v>842</v>
      </c>
      <c r="D219" s="13" t="s">
        <v>420</v>
      </c>
      <c r="E219" s="20">
        <v>37</v>
      </c>
      <c r="F219" s="20">
        <v>189</v>
      </c>
      <c r="G219" s="20">
        <v>218</v>
      </c>
      <c r="H219" s="13" t="s">
        <v>2209</v>
      </c>
      <c r="I219" s="13" t="str">
        <f t="shared" si="6"/>
        <v>SR 5/ US 1 (SE 15th St to Hillsboro Bl)</v>
      </c>
      <c r="J219" s="13" t="s">
        <v>29</v>
      </c>
      <c r="K219" s="13" t="str">
        <f>VLOOKUP(J219,'Data-ProjectTypes'!A$3:B$13,2,FALSE)</f>
        <v>Program</v>
      </c>
      <c r="L219" s="21" t="s">
        <v>348</v>
      </c>
      <c r="M219" s="13" t="s">
        <v>1939</v>
      </c>
      <c r="N219" s="13" t="s">
        <v>1819</v>
      </c>
      <c r="O219" s="13" t="s">
        <v>270</v>
      </c>
      <c r="P219" s="13" t="s">
        <v>270</v>
      </c>
      <c r="Q219" s="22">
        <v>1.4</v>
      </c>
      <c r="R219" s="23">
        <v>327967</v>
      </c>
      <c r="S219" s="21"/>
      <c r="T219" s="21"/>
      <c r="U219" s="21"/>
      <c r="V219" s="24"/>
      <c r="W219" s="24" t="s">
        <v>491</v>
      </c>
      <c r="X219" s="24" t="s">
        <v>499</v>
      </c>
      <c r="Y219" s="17" t="s">
        <v>492</v>
      </c>
      <c r="Z219" s="18">
        <f>ROUND(R219*'Data-CostAssumptions'!$C$3,-3)</f>
        <v>454000</v>
      </c>
      <c r="AA219" s="11">
        <f t="shared" si="7"/>
        <v>1</v>
      </c>
      <c r="AB219" s="11">
        <v>2041</v>
      </c>
      <c r="AC219" s="11">
        <v>2041</v>
      </c>
      <c r="AD219" s="11">
        <v>2041</v>
      </c>
      <c r="AE219" s="11">
        <v>2041</v>
      </c>
      <c r="AF219" s="11">
        <v>0</v>
      </c>
      <c r="AG219" s="19">
        <f>ROUND((Z219*'Data-CostAssumptions'!$G$5)*(1+'Data-CostAssumptions'!$G$3)^(AC219-'Data-CostAssumptions'!$G$4),-3)</f>
        <v>256000</v>
      </c>
      <c r="AH219" s="19">
        <f>ROUND((Z219)*(1+'Data-CostAssumptions'!$G$3)^(AE219-'Data-CostAssumptions'!$G$4),-3)</f>
        <v>1164000</v>
      </c>
    </row>
    <row r="220" spans="1:34" ht="15" customHeight="1" x14ac:dyDescent="0.2">
      <c r="A220" s="11"/>
      <c r="B220" s="11" t="s">
        <v>1211</v>
      </c>
      <c r="C220" s="13">
        <v>843</v>
      </c>
      <c r="D220" s="13" t="s">
        <v>420</v>
      </c>
      <c r="E220" s="20">
        <v>40</v>
      </c>
      <c r="F220" s="20">
        <v>189</v>
      </c>
      <c r="G220" s="20">
        <v>219</v>
      </c>
      <c r="H220" s="13" t="s">
        <v>2024</v>
      </c>
      <c r="I220" s="13" t="str">
        <f t="shared" si="6"/>
        <v>NE 15th Av (Sample Rd to NE 48th St)</v>
      </c>
      <c r="J220" s="13" t="s">
        <v>29</v>
      </c>
      <c r="K220" s="13" t="str">
        <f>VLOOKUP(J220,'Data-ProjectTypes'!A$3:B$13,2,FALSE)</f>
        <v>Program</v>
      </c>
      <c r="L220" s="21" t="s">
        <v>348</v>
      </c>
      <c r="M220" s="13" t="s">
        <v>1864</v>
      </c>
      <c r="N220" s="13" t="s">
        <v>1895</v>
      </c>
      <c r="O220" s="13" t="s">
        <v>275</v>
      </c>
      <c r="P220" s="13" t="s">
        <v>275</v>
      </c>
      <c r="Q220" s="22">
        <v>1</v>
      </c>
      <c r="R220" s="23">
        <v>233797</v>
      </c>
      <c r="S220" s="21" t="s">
        <v>24</v>
      </c>
      <c r="T220" s="21"/>
      <c r="U220" s="21"/>
      <c r="V220" s="24"/>
      <c r="W220" s="24"/>
      <c r="X220" s="28"/>
      <c r="Y220" s="17" t="s">
        <v>765</v>
      </c>
      <c r="Z220" s="18">
        <f>ROUND(R220*'Data-CostAssumptions'!$C$3,-3)</f>
        <v>324000</v>
      </c>
      <c r="AA220" s="11">
        <f t="shared" si="7"/>
        <v>0</v>
      </c>
      <c r="AB220" s="11">
        <v>2041</v>
      </c>
      <c r="AC220" s="11">
        <v>2041</v>
      </c>
      <c r="AD220" s="11">
        <v>2041</v>
      </c>
      <c r="AE220" s="11">
        <v>2041</v>
      </c>
      <c r="AF220" s="11">
        <v>0</v>
      </c>
      <c r="AG220" s="19">
        <f>ROUND((Z220*'Data-CostAssumptions'!$G$5)*(1+'Data-CostAssumptions'!$G$3)^(AC220-'Data-CostAssumptions'!$G$4),-3)</f>
        <v>183000</v>
      </c>
      <c r="AH220" s="19">
        <f>ROUND((Z220)*(1+'Data-CostAssumptions'!$G$3)^(AE220-'Data-CostAssumptions'!$G$4),-3)</f>
        <v>831000</v>
      </c>
    </row>
    <row r="221" spans="1:34" ht="15" customHeight="1" x14ac:dyDescent="0.2">
      <c r="A221" s="11"/>
      <c r="B221" s="11" t="s">
        <v>1211</v>
      </c>
      <c r="C221" s="13">
        <v>844</v>
      </c>
      <c r="D221" s="13" t="s">
        <v>420</v>
      </c>
      <c r="E221" s="20">
        <v>46</v>
      </c>
      <c r="F221" s="20">
        <v>189</v>
      </c>
      <c r="G221" s="20">
        <v>220</v>
      </c>
      <c r="H221" s="13" t="s">
        <v>1752</v>
      </c>
      <c r="I221" s="13" t="str">
        <f t="shared" si="6"/>
        <v>Hiatus Rd (Orange Dr to State Rd 84)</v>
      </c>
      <c r="J221" s="13" t="s">
        <v>29</v>
      </c>
      <c r="K221" s="13" t="str">
        <f>VLOOKUP(J221,'Data-ProjectTypes'!A$3:B$13,2,FALSE)</f>
        <v>Program</v>
      </c>
      <c r="L221" s="21" t="s">
        <v>348</v>
      </c>
      <c r="M221" s="13" t="s">
        <v>184</v>
      </c>
      <c r="N221" s="13" t="s">
        <v>1774</v>
      </c>
      <c r="O221" s="13" t="s">
        <v>279</v>
      </c>
      <c r="P221" s="13" t="s">
        <v>279</v>
      </c>
      <c r="Q221" s="22">
        <v>3.2</v>
      </c>
      <c r="R221" s="23">
        <v>732361</v>
      </c>
      <c r="S221" s="21" t="s">
        <v>24</v>
      </c>
      <c r="T221" s="21" t="s">
        <v>25</v>
      </c>
      <c r="U221" s="21"/>
      <c r="V221" s="24"/>
      <c r="W221" s="24"/>
      <c r="X221" s="24"/>
      <c r="Y221" s="17" t="s">
        <v>469</v>
      </c>
      <c r="Z221" s="18">
        <f>ROUND(R221*'Data-CostAssumptions'!$C$3,-3)</f>
        <v>1014000</v>
      </c>
      <c r="AA221" s="11">
        <f t="shared" si="7"/>
        <v>0</v>
      </c>
      <c r="AB221" s="11">
        <v>2041</v>
      </c>
      <c r="AC221" s="11">
        <v>2041</v>
      </c>
      <c r="AD221" s="11">
        <v>2041</v>
      </c>
      <c r="AE221" s="11">
        <v>2041</v>
      </c>
      <c r="AF221" s="11">
        <v>0</v>
      </c>
      <c r="AG221" s="19">
        <f>ROUND((Z221*'Data-CostAssumptions'!$G$5)*(1+'Data-CostAssumptions'!$G$3)^(AC221-'Data-CostAssumptions'!$G$4),-3)</f>
        <v>572000</v>
      </c>
      <c r="AH221" s="19">
        <f>ROUND((Z221)*(1+'Data-CostAssumptions'!$G$3)^(AE221-'Data-CostAssumptions'!$G$4),-3)</f>
        <v>2600000</v>
      </c>
    </row>
    <row r="222" spans="1:34" ht="15" customHeight="1" x14ac:dyDescent="0.2">
      <c r="A222" s="11"/>
      <c r="B222" s="11" t="s">
        <v>1211</v>
      </c>
      <c r="C222" s="13">
        <v>845</v>
      </c>
      <c r="D222" s="13" t="s">
        <v>420</v>
      </c>
      <c r="E222" s="20">
        <v>48</v>
      </c>
      <c r="F222" s="20">
        <v>189</v>
      </c>
      <c r="G222" s="20">
        <v>221</v>
      </c>
      <c r="H222" s="13" t="s">
        <v>2798</v>
      </c>
      <c r="I222" s="13" t="str">
        <f t="shared" si="6"/>
        <v>SR 842/Broward Bl (Nob Hill Rd to Flamingo Rd)</v>
      </c>
      <c r="J222" s="13" t="s">
        <v>29</v>
      </c>
      <c r="K222" s="13" t="str">
        <f>VLOOKUP(J222,'Data-ProjectTypes'!A$3:B$13,2,FALSE)</f>
        <v>Program</v>
      </c>
      <c r="L222" s="21" t="s">
        <v>348</v>
      </c>
      <c r="M222" s="13" t="s">
        <v>1755</v>
      </c>
      <c r="N222" s="13" t="s">
        <v>159</v>
      </c>
      <c r="O222" s="13" t="s">
        <v>273</v>
      </c>
      <c r="P222" s="13" t="s">
        <v>273</v>
      </c>
      <c r="Q222" s="22">
        <v>1.8</v>
      </c>
      <c r="R222" s="23">
        <v>411548</v>
      </c>
      <c r="S222" s="21"/>
      <c r="T222" s="21"/>
      <c r="U222" s="21"/>
      <c r="V222" s="24"/>
      <c r="W222" s="24"/>
      <c r="X222" s="24"/>
      <c r="Y222" s="17"/>
      <c r="Z222" s="18">
        <f>ROUND(R222*'Data-CostAssumptions'!$C$3,-3)</f>
        <v>570000</v>
      </c>
      <c r="AA222" s="11">
        <f t="shared" si="7"/>
        <v>0</v>
      </c>
      <c r="AB222" s="11">
        <v>2041</v>
      </c>
      <c r="AC222" s="11">
        <v>2041</v>
      </c>
      <c r="AD222" s="11">
        <v>2041</v>
      </c>
      <c r="AE222" s="11">
        <v>2041</v>
      </c>
      <c r="AF222" s="11">
        <v>0</v>
      </c>
      <c r="AG222" s="19">
        <f>ROUND((Z222*'Data-CostAssumptions'!$G$5)*(1+'Data-CostAssumptions'!$G$3)^(AC222-'Data-CostAssumptions'!$G$4),-3)</f>
        <v>322000</v>
      </c>
      <c r="AH222" s="19">
        <f>ROUND((Z222)*(1+'Data-CostAssumptions'!$G$3)^(AE222-'Data-CostAssumptions'!$G$4),-3)</f>
        <v>1461000</v>
      </c>
    </row>
    <row r="223" spans="1:34" ht="15" customHeight="1" x14ac:dyDescent="0.2">
      <c r="A223" s="11"/>
      <c r="B223" s="11" t="s">
        <v>1211</v>
      </c>
      <c r="C223" s="13">
        <v>846</v>
      </c>
      <c r="D223" s="13" t="s">
        <v>420</v>
      </c>
      <c r="E223" s="20">
        <v>51</v>
      </c>
      <c r="F223" s="20">
        <v>189</v>
      </c>
      <c r="G223" s="20">
        <v>222</v>
      </c>
      <c r="H223" s="13" t="s">
        <v>2105</v>
      </c>
      <c r="I223" s="13" t="str">
        <f t="shared" si="6"/>
        <v>SW 154th Av/Shotgun Rd (Orange Dr to SW 14th St)</v>
      </c>
      <c r="J223" s="13" t="s">
        <v>29</v>
      </c>
      <c r="K223" s="13" t="str">
        <f>VLOOKUP(J223,'Data-ProjectTypes'!A$3:B$13,2,FALSE)</f>
        <v>Program</v>
      </c>
      <c r="L223" s="21" t="s">
        <v>348</v>
      </c>
      <c r="M223" s="13" t="s">
        <v>184</v>
      </c>
      <c r="N223" s="13" t="s">
        <v>2560</v>
      </c>
      <c r="O223" s="13" t="s">
        <v>272</v>
      </c>
      <c r="P223" s="13" t="s">
        <v>272</v>
      </c>
      <c r="Q223" s="22">
        <v>2.8</v>
      </c>
      <c r="R223" s="23">
        <v>649662</v>
      </c>
      <c r="S223" s="21" t="s">
        <v>24</v>
      </c>
      <c r="T223" s="21"/>
      <c r="U223" s="21"/>
      <c r="V223" s="24"/>
      <c r="W223" s="24"/>
      <c r="X223" s="24"/>
      <c r="Y223" s="17" t="s">
        <v>469</v>
      </c>
      <c r="Z223" s="18">
        <f>ROUND(R223*'Data-CostAssumptions'!$C$3,-3)</f>
        <v>899000</v>
      </c>
      <c r="AA223" s="11">
        <f t="shared" si="7"/>
        <v>0</v>
      </c>
      <c r="AB223" s="11">
        <v>2041</v>
      </c>
      <c r="AC223" s="11">
        <v>2041</v>
      </c>
      <c r="AD223" s="11">
        <v>2041</v>
      </c>
      <c r="AE223" s="11">
        <v>2041</v>
      </c>
      <c r="AF223" s="11">
        <v>0</v>
      </c>
      <c r="AG223" s="19">
        <f>ROUND((Z223*'Data-CostAssumptions'!$G$5)*(1+'Data-CostAssumptions'!$G$3)^(AC223-'Data-CostAssumptions'!$G$4),-3)</f>
        <v>507000</v>
      </c>
      <c r="AH223" s="19">
        <f>ROUND((Z223)*(1+'Data-CostAssumptions'!$G$3)^(AE223-'Data-CostAssumptions'!$G$4),-3)</f>
        <v>2305000</v>
      </c>
    </row>
    <row r="224" spans="1:34" ht="15" customHeight="1" x14ac:dyDescent="0.2">
      <c r="A224" s="11"/>
      <c r="B224" s="11" t="s">
        <v>1211</v>
      </c>
      <c r="C224" s="13">
        <v>847</v>
      </c>
      <c r="D224" s="13" t="s">
        <v>420</v>
      </c>
      <c r="E224" s="20">
        <v>63</v>
      </c>
      <c r="F224" s="20">
        <v>189</v>
      </c>
      <c r="G224" s="20">
        <v>223</v>
      </c>
      <c r="H224" s="13" t="s">
        <v>2803</v>
      </c>
      <c r="I224" s="13" t="str">
        <f t="shared" si="6"/>
        <v>SR 870/Commercial Bl (A1A/Ocean Bl to US 1/Federal Hwy)</v>
      </c>
      <c r="J224" s="13" t="s">
        <v>29</v>
      </c>
      <c r="K224" s="13" t="str">
        <f>VLOOKUP(J224,'Data-ProjectTypes'!A$3:B$13,2,FALSE)</f>
        <v>Program</v>
      </c>
      <c r="L224" s="21" t="s">
        <v>348</v>
      </c>
      <c r="M224" s="13" t="s">
        <v>1808</v>
      </c>
      <c r="N224" s="13" t="s">
        <v>2594</v>
      </c>
      <c r="O224" s="13" t="s">
        <v>270</v>
      </c>
      <c r="P224" s="13" t="s">
        <v>270</v>
      </c>
      <c r="Q224" s="22">
        <v>1.1000000000000001</v>
      </c>
      <c r="R224" s="23">
        <v>265466</v>
      </c>
      <c r="S224" s="21"/>
      <c r="T224" s="21"/>
      <c r="U224" s="21"/>
      <c r="V224" s="24"/>
      <c r="W224" s="24"/>
      <c r="X224" s="24"/>
      <c r="Y224" s="17"/>
      <c r="Z224" s="18">
        <f>ROUND(R224*'Data-CostAssumptions'!$C$3,-3)</f>
        <v>367000</v>
      </c>
      <c r="AA224" s="11">
        <f t="shared" si="7"/>
        <v>0</v>
      </c>
      <c r="AB224" s="11">
        <v>2041</v>
      </c>
      <c r="AC224" s="11">
        <v>2041</v>
      </c>
      <c r="AD224" s="11">
        <v>2041</v>
      </c>
      <c r="AE224" s="11">
        <v>2041</v>
      </c>
      <c r="AF224" s="11">
        <v>0</v>
      </c>
      <c r="AG224" s="19">
        <f>ROUND((Z224*'Data-CostAssumptions'!$G$5)*(1+'Data-CostAssumptions'!$G$3)^(AC224-'Data-CostAssumptions'!$G$4),-3)</f>
        <v>207000</v>
      </c>
      <c r="AH224" s="19">
        <f>ROUND((Z224)*(1+'Data-CostAssumptions'!$G$3)^(AE224-'Data-CostAssumptions'!$G$4),-3)</f>
        <v>941000</v>
      </c>
    </row>
    <row r="225" spans="1:34" ht="15" customHeight="1" x14ac:dyDescent="0.2">
      <c r="A225" s="11"/>
      <c r="B225" s="11" t="s">
        <v>1211</v>
      </c>
      <c r="C225" s="13">
        <v>848</v>
      </c>
      <c r="D225" s="13" t="s">
        <v>420</v>
      </c>
      <c r="E225" s="20">
        <v>69</v>
      </c>
      <c r="F225" s="20">
        <v>189</v>
      </c>
      <c r="G225" s="20">
        <v>224</v>
      </c>
      <c r="H225" s="13" t="s">
        <v>1854</v>
      </c>
      <c r="I225" s="13" t="str">
        <f t="shared" si="6"/>
        <v>McNab Rd (US 1/Federal Hwy to Cypress Rd)</v>
      </c>
      <c r="J225" s="13" t="s">
        <v>29</v>
      </c>
      <c r="K225" s="13" t="str">
        <f>VLOOKUP(J225,'Data-ProjectTypes'!A$3:B$13,2,FALSE)</f>
        <v>Program</v>
      </c>
      <c r="L225" s="21" t="s">
        <v>348</v>
      </c>
      <c r="M225" s="13" t="s">
        <v>2594</v>
      </c>
      <c r="N225" s="13" t="s">
        <v>1843</v>
      </c>
      <c r="O225" s="13" t="s">
        <v>275</v>
      </c>
      <c r="P225" s="13" t="s">
        <v>275</v>
      </c>
      <c r="Q225" s="22">
        <v>1</v>
      </c>
      <c r="R225" s="23">
        <v>235680</v>
      </c>
      <c r="S225" s="21"/>
      <c r="T225" s="21"/>
      <c r="U225" s="21"/>
      <c r="V225" s="24"/>
      <c r="W225" s="24"/>
      <c r="X225" s="24"/>
      <c r="Y225" s="17"/>
      <c r="Z225" s="18">
        <f>ROUND(R225*'Data-CostAssumptions'!$C$3,-3)</f>
        <v>326000</v>
      </c>
      <c r="AA225" s="11">
        <f t="shared" si="7"/>
        <v>0</v>
      </c>
      <c r="AB225" s="11">
        <v>2041</v>
      </c>
      <c r="AC225" s="11">
        <v>2041</v>
      </c>
      <c r="AD225" s="11">
        <v>2041</v>
      </c>
      <c r="AE225" s="11">
        <v>2041</v>
      </c>
      <c r="AF225" s="11">
        <v>0</v>
      </c>
      <c r="AG225" s="19">
        <f>ROUND((Z225*'Data-CostAssumptions'!$G$5)*(1+'Data-CostAssumptions'!$G$3)^(AC225-'Data-CostAssumptions'!$G$4),-3)</f>
        <v>184000</v>
      </c>
      <c r="AH225" s="19">
        <f>ROUND((Z225)*(1+'Data-CostAssumptions'!$G$3)^(AE225-'Data-CostAssumptions'!$G$4),-3)</f>
        <v>836000</v>
      </c>
    </row>
    <row r="226" spans="1:34" ht="15" customHeight="1" x14ac:dyDescent="0.2">
      <c r="A226" s="11"/>
      <c r="B226" s="11" t="s">
        <v>1211</v>
      </c>
      <c r="C226" s="13">
        <v>849</v>
      </c>
      <c r="D226" s="13" t="s">
        <v>420</v>
      </c>
      <c r="E226" s="20">
        <v>74</v>
      </c>
      <c r="F226" s="20">
        <v>189</v>
      </c>
      <c r="G226" s="20">
        <v>225</v>
      </c>
      <c r="H226" s="13" t="s">
        <v>2026</v>
      </c>
      <c r="I226" s="13" t="str">
        <f t="shared" si="6"/>
        <v>NE 18th Av (Commercial Bl to NE 62nd St/Cypress Creek Rd)</v>
      </c>
      <c r="J226" s="13" t="s">
        <v>29</v>
      </c>
      <c r="K226" s="13" t="str">
        <f>VLOOKUP(J226,'Data-ProjectTypes'!A$3:B$13,2,FALSE)</f>
        <v>Program</v>
      </c>
      <c r="L226" s="21" t="s">
        <v>348</v>
      </c>
      <c r="M226" s="13" t="s">
        <v>1813</v>
      </c>
      <c r="N226" s="13" t="s">
        <v>1901</v>
      </c>
      <c r="O226" s="13" t="s">
        <v>276</v>
      </c>
      <c r="P226" s="13" t="s">
        <v>276</v>
      </c>
      <c r="Q226" s="22">
        <v>1</v>
      </c>
      <c r="R226" s="23">
        <v>233388</v>
      </c>
      <c r="S226" s="21"/>
      <c r="T226" s="21"/>
      <c r="U226" s="21"/>
      <c r="V226" s="24"/>
      <c r="W226" s="24"/>
      <c r="X226" s="24"/>
      <c r="Y226" s="17"/>
      <c r="Z226" s="18">
        <f>ROUND(R226*'Data-CostAssumptions'!$C$3,-3)</f>
        <v>323000</v>
      </c>
      <c r="AA226" s="11">
        <f t="shared" si="7"/>
        <v>0</v>
      </c>
      <c r="AB226" s="11">
        <v>2041</v>
      </c>
      <c r="AC226" s="11">
        <v>2041</v>
      </c>
      <c r="AD226" s="11">
        <v>2041</v>
      </c>
      <c r="AE226" s="11">
        <v>2041</v>
      </c>
      <c r="AF226" s="11">
        <v>0</v>
      </c>
      <c r="AG226" s="19">
        <f>ROUND((Z226*'Data-CostAssumptions'!$G$5)*(1+'Data-CostAssumptions'!$G$3)^(AC226-'Data-CostAssumptions'!$G$4),-3)</f>
        <v>182000</v>
      </c>
      <c r="AH226" s="19">
        <f>ROUND((Z226)*(1+'Data-CostAssumptions'!$G$3)^(AE226-'Data-CostAssumptions'!$G$4),-3)</f>
        <v>828000</v>
      </c>
    </row>
    <row r="227" spans="1:34" ht="15" customHeight="1" x14ac:dyDescent="0.2">
      <c r="A227" s="11"/>
      <c r="B227" s="11" t="s">
        <v>1211</v>
      </c>
      <c r="C227" s="13">
        <v>850</v>
      </c>
      <c r="D227" s="13" t="s">
        <v>420</v>
      </c>
      <c r="E227" s="20">
        <v>77</v>
      </c>
      <c r="F227" s="20">
        <v>189</v>
      </c>
      <c r="G227" s="20">
        <v>226</v>
      </c>
      <c r="H227" s="13" t="s">
        <v>2014</v>
      </c>
      <c r="I227" s="13" t="str">
        <f t="shared" si="6"/>
        <v>Andrews Av (Prospect Rd to NE 62nd St/Cypress Creek Rd)</v>
      </c>
      <c r="J227" s="13" t="s">
        <v>29</v>
      </c>
      <c r="K227" s="13" t="str">
        <f>VLOOKUP(J227,'Data-ProjectTypes'!A$3:B$13,2,FALSE)</f>
        <v>Program</v>
      </c>
      <c r="L227" s="21" t="s">
        <v>708</v>
      </c>
      <c r="M227" s="13" t="s">
        <v>1859</v>
      </c>
      <c r="N227" s="13" t="s">
        <v>1901</v>
      </c>
      <c r="O227" s="13" t="s">
        <v>273</v>
      </c>
      <c r="P227" s="13" t="s">
        <v>273</v>
      </c>
      <c r="Q227" s="22">
        <v>1.6</v>
      </c>
      <c r="R227" s="23">
        <v>361720</v>
      </c>
      <c r="S227" s="21" t="s">
        <v>24</v>
      </c>
      <c r="T227" s="21" t="s">
        <v>24</v>
      </c>
      <c r="U227" s="21" t="s">
        <v>24</v>
      </c>
      <c r="V227" s="24" t="s">
        <v>707</v>
      </c>
      <c r="W227" s="24"/>
      <c r="X227" s="29" t="s">
        <v>708</v>
      </c>
      <c r="Y227" s="17" t="s">
        <v>287</v>
      </c>
      <c r="Z227" s="18">
        <f>ROUND(R227*'Data-CostAssumptions'!$C$3,-3)</f>
        <v>501000</v>
      </c>
      <c r="AA227" s="11">
        <f t="shared" si="7"/>
        <v>1</v>
      </c>
      <c r="AB227" s="11">
        <v>2041</v>
      </c>
      <c r="AC227" s="11">
        <v>2041</v>
      </c>
      <c r="AD227" s="11">
        <v>2041</v>
      </c>
      <c r="AE227" s="11">
        <v>2041</v>
      </c>
      <c r="AF227" s="11">
        <v>0</v>
      </c>
      <c r="AG227" s="19">
        <f>ROUND((Z227*'Data-CostAssumptions'!$G$5)*(1+'Data-CostAssumptions'!$G$3)^(AC227-'Data-CostAssumptions'!$G$4),-3)</f>
        <v>283000</v>
      </c>
      <c r="AH227" s="19">
        <f>ROUND((Z227)*(1+'Data-CostAssumptions'!$G$3)^(AE227-'Data-CostAssumptions'!$G$4),-3)</f>
        <v>1285000</v>
      </c>
    </row>
    <row r="228" spans="1:34" ht="15" customHeight="1" x14ac:dyDescent="0.2">
      <c r="A228" s="11"/>
      <c r="B228" s="11" t="s">
        <v>1211</v>
      </c>
      <c r="C228" s="13">
        <v>851</v>
      </c>
      <c r="D228" s="13" t="s">
        <v>420</v>
      </c>
      <c r="E228" s="20">
        <v>83</v>
      </c>
      <c r="F228" s="20">
        <v>190</v>
      </c>
      <c r="G228" s="20">
        <v>227</v>
      </c>
      <c r="H228" s="13" t="s">
        <v>2803</v>
      </c>
      <c r="I228" s="13" t="str">
        <f t="shared" si="6"/>
        <v>SR 870/Commercial Bl (SR 845 / Powerline Rd to Propect Rd)</v>
      </c>
      <c r="J228" s="13" t="s">
        <v>29</v>
      </c>
      <c r="K228" s="13" t="str">
        <f>VLOOKUP(J228,'Data-ProjectTypes'!A$3:B$13,2,FALSE)</f>
        <v>Program</v>
      </c>
      <c r="L228" s="21" t="s">
        <v>348</v>
      </c>
      <c r="M228" s="13" t="s">
        <v>2210</v>
      </c>
      <c r="N228" s="13" t="s">
        <v>2403</v>
      </c>
      <c r="O228" s="13" t="s">
        <v>270</v>
      </c>
      <c r="P228" s="13" t="s">
        <v>270</v>
      </c>
      <c r="Q228" s="22">
        <v>1.2</v>
      </c>
      <c r="R228" s="23">
        <v>288420</v>
      </c>
      <c r="S228" s="21"/>
      <c r="T228" s="21"/>
      <c r="U228" s="21"/>
      <c r="V228" s="24"/>
      <c r="W228" s="24"/>
      <c r="X228" s="24"/>
      <c r="Y228" s="17"/>
      <c r="Z228" s="18">
        <f>ROUND(R228*'Data-CostAssumptions'!$C$3,-3)</f>
        <v>399000</v>
      </c>
      <c r="AA228" s="11">
        <f t="shared" si="7"/>
        <v>0</v>
      </c>
      <c r="AB228" s="11">
        <v>2041</v>
      </c>
      <c r="AC228" s="11">
        <v>2041</v>
      </c>
      <c r="AD228" s="11">
        <v>2041</v>
      </c>
      <c r="AE228" s="11">
        <v>2041</v>
      </c>
      <c r="AF228" s="11">
        <v>0</v>
      </c>
      <c r="AG228" s="19">
        <f>ROUND((Z228*'Data-CostAssumptions'!$G$5)*(1+'Data-CostAssumptions'!$G$3)^(AC228-'Data-CostAssumptions'!$G$4),-3)</f>
        <v>225000</v>
      </c>
      <c r="AH228" s="19">
        <f>ROUND((Z228)*(1+'Data-CostAssumptions'!$G$3)^(AE228-'Data-CostAssumptions'!$G$4),-3)</f>
        <v>1023000</v>
      </c>
    </row>
    <row r="229" spans="1:34" ht="15" customHeight="1" x14ac:dyDescent="0.2">
      <c r="A229" s="11"/>
      <c r="B229" s="11" t="s">
        <v>1211</v>
      </c>
      <c r="C229" s="13">
        <v>852</v>
      </c>
      <c r="D229" s="13" t="s">
        <v>420</v>
      </c>
      <c r="E229" s="20">
        <v>84</v>
      </c>
      <c r="F229" s="20">
        <v>190</v>
      </c>
      <c r="G229" s="20">
        <v>228</v>
      </c>
      <c r="H229" s="13" t="s">
        <v>1859</v>
      </c>
      <c r="I229" s="13" t="str">
        <f t="shared" si="6"/>
        <v>Prospect Rd (Powerline Rd to NW 31st St)</v>
      </c>
      <c r="J229" s="13" t="s">
        <v>29</v>
      </c>
      <c r="K229" s="13" t="str">
        <f>VLOOKUP(J229,'Data-ProjectTypes'!A$3:B$13,2,FALSE)</f>
        <v>Program</v>
      </c>
      <c r="L229" s="21" t="s">
        <v>348</v>
      </c>
      <c r="M229" s="13" t="s">
        <v>1858</v>
      </c>
      <c r="N229" s="13" t="s">
        <v>2555</v>
      </c>
      <c r="O229" s="13" t="s">
        <v>273</v>
      </c>
      <c r="P229" s="13" t="s">
        <v>273</v>
      </c>
      <c r="Q229" s="22">
        <v>2.7</v>
      </c>
      <c r="R229" s="23">
        <v>624204</v>
      </c>
      <c r="S229" s="21"/>
      <c r="T229" s="21"/>
      <c r="U229" s="21"/>
      <c r="V229" s="24"/>
      <c r="W229" s="24" t="s">
        <v>696</v>
      </c>
      <c r="X229" s="24"/>
      <c r="Y229" s="17" t="s">
        <v>287</v>
      </c>
      <c r="Z229" s="18">
        <f>ROUND(R229*'Data-CostAssumptions'!$C$3,-3)</f>
        <v>864000</v>
      </c>
      <c r="AA229" s="11">
        <f t="shared" si="7"/>
        <v>1</v>
      </c>
      <c r="AB229" s="11">
        <v>2041</v>
      </c>
      <c r="AC229" s="11">
        <v>2041</v>
      </c>
      <c r="AD229" s="11">
        <v>2041</v>
      </c>
      <c r="AE229" s="11">
        <v>2041</v>
      </c>
      <c r="AF229" s="11">
        <v>0</v>
      </c>
      <c r="AG229" s="19">
        <f>ROUND((Z229*'Data-CostAssumptions'!$G$5)*(1+'Data-CostAssumptions'!$G$3)^(AC229-'Data-CostAssumptions'!$G$4),-3)</f>
        <v>487000</v>
      </c>
      <c r="AH229" s="19">
        <f>ROUND((Z229)*(1+'Data-CostAssumptions'!$G$3)^(AE229-'Data-CostAssumptions'!$G$4),-3)</f>
        <v>2215000</v>
      </c>
    </row>
    <row r="230" spans="1:34" ht="15" customHeight="1" x14ac:dyDescent="0.2">
      <c r="A230" s="11"/>
      <c r="B230" s="11" t="s">
        <v>1211</v>
      </c>
      <c r="C230" s="13">
        <v>853</v>
      </c>
      <c r="D230" s="13" t="s">
        <v>420</v>
      </c>
      <c r="E230" s="20">
        <v>87</v>
      </c>
      <c r="F230" s="20">
        <v>190</v>
      </c>
      <c r="G230" s="20">
        <v>229</v>
      </c>
      <c r="H230" s="13" t="s">
        <v>1891</v>
      </c>
      <c r="I230" s="13" t="str">
        <f t="shared" si="6"/>
        <v>NE 38th St (US 1/Federal Hwy to Dixie Hwy)</v>
      </c>
      <c r="J230" s="13" t="s">
        <v>29</v>
      </c>
      <c r="K230" s="13" t="str">
        <f>VLOOKUP(J230,'Data-ProjectTypes'!A$3:B$13,2,FALSE)</f>
        <v>Program</v>
      </c>
      <c r="L230" s="21" t="s">
        <v>348</v>
      </c>
      <c r="M230" s="13" t="s">
        <v>2594</v>
      </c>
      <c r="N230" s="13" t="s">
        <v>728</v>
      </c>
      <c r="O230" s="13" t="s">
        <v>272</v>
      </c>
      <c r="P230" s="13" t="s">
        <v>272</v>
      </c>
      <c r="Q230" s="22">
        <v>0.8</v>
      </c>
      <c r="R230" s="23">
        <v>176879</v>
      </c>
      <c r="S230" s="21"/>
      <c r="T230" s="21"/>
      <c r="U230" s="21"/>
      <c r="V230" s="24"/>
      <c r="W230" s="24" t="s">
        <v>696</v>
      </c>
      <c r="X230" s="24"/>
      <c r="Y230" s="17" t="s">
        <v>287</v>
      </c>
      <c r="Z230" s="18">
        <f>ROUND(R230*'Data-CostAssumptions'!$C$3,-3)</f>
        <v>245000</v>
      </c>
      <c r="AA230" s="11">
        <f t="shared" si="7"/>
        <v>1</v>
      </c>
      <c r="AB230" s="11">
        <v>2041</v>
      </c>
      <c r="AC230" s="11">
        <v>2041</v>
      </c>
      <c r="AD230" s="11">
        <v>2041</v>
      </c>
      <c r="AE230" s="11">
        <v>2041</v>
      </c>
      <c r="AF230" s="11">
        <v>0</v>
      </c>
      <c r="AG230" s="19">
        <f>ROUND((Z230*'Data-CostAssumptions'!$G$5)*(1+'Data-CostAssumptions'!$G$3)^(AC230-'Data-CostAssumptions'!$G$4),-3)</f>
        <v>138000</v>
      </c>
      <c r="AH230" s="19">
        <f>ROUND((Z230)*(1+'Data-CostAssumptions'!$G$3)^(AE230-'Data-CostAssumptions'!$G$4),-3)</f>
        <v>628000</v>
      </c>
    </row>
    <row r="231" spans="1:34" ht="15" customHeight="1" x14ac:dyDescent="0.2">
      <c r="A231" s="11"/>
      <c r="B231" s="11" t="s">
        <v>1213</v>
      </c>
      <c r="C231" s="13">
        <v>790</v>
      </c>
      <c r="D231" s="13" t="s">
        <v>420</v>
      </c>
      <c r="E231" s="20">
        <v>27</v>
      </c>
      <c r="F231" s="20">
        <v>186</v>
      </c>
      <c r="G231" s="20">
        <v>230</v>
      </c>
      <c r="H231" s="13" t="s">
        <v>2082</v>
      </c>
      <c r="I231" s="13" t="str">
        <f t="shared" si="6"/>
        <v>NW 9th Av/Military Trail (NW 49th Court/49th St/Green Rd to NW 5th St)</v>
      </c>
      <c r="J231" s="13" t="s">
        <v>29</v>
      </c>
      <c r="K231" s="13" t="str">
        <f>VLOOKUP(J231,'Data-ProjectTypes'!A$3:B$13,2,FALSE)</f>
        <v>Program</v>
      </c>
      <c r="L231" s="21" t="s">
        <v>500</v>
      </c>
      <c r="M231" s="13" t="s">
        <v>2547</v>
      </c>
      <c r="N231" s="13" t="s">
        <v>1926</v>
      </c>
      <c r="O231" s="13" t="s">
        <v>289</v>
      </c>
      <c r="P231" s="13" t="s">
        <v>289</v>
      </c>
      <c r="Q231" s="22">
        <v>2.5</v>
      </c>
      <c r="R231" s="23">
        <v>581899</v>
      </c>
      <c r="S231" s="21" t="s">
        <v>25</v>
      </c>
      <c r="T231" s="21" t="s">
        <v>24</v>
      </c>
      <c r="U231" s="21"/>
      <c r="V231" s="24"/>
      <c r="W231" s="24"/>
      <c r="X231" s="28"/>
      <c r="Y231" s="17" t="s">
        <v>492</v>
      </c>
      <c r="Z231" s="18">
        <f>ROUND(R231*'Data-CostAssumptions'!$C$3,-3)</f>
        <v>805000</v>
      </c>
      <c r="AA231" s="11">
        <f t="shared" si="7"/>
        <v>0</v>
      </c>
      <c r="AB231" s="11">
        <v>2041</v>
      </c>
      <c r="AC231" s="11">
        <v>2041</v>
      </c>
      <c r="AD231" s="11">
        <v>2041</v>
      </c>
      <c r="AE231" s="11">
        <v>2041</v>
      </c>
      <c r="AF231" s="11">
        <v>0</v>
      </c>
      <c r="AG231" s="19">
        <f>ROUND((Z231*'Data-CostAssumptions'!$G$5)*(1+'Data-CostAssumptions'!$G$3)^(AC231-'Data-CostAssumptions'!$G$4),-3)</f>
        <v>454000</v>
      </c>
      <c r="AH231" s="19">
        <f>ROUND((Z231)*(1+'Data-CostAssumptions'!$G$3)^(AE231-'Data-CostAssumptions'!$G$4),-3)</f>
        <v>2064000</v>
      </c>
    </row>
    <row r="232" spans="1:34" ht="15" customHeight="1" x14ac:dyDescent="0.2">
      <c r="A232" s="11"/>
      <c r="B232" s="11" t="s">
        <v>1211</v>
      </c>
      <c r="C232" s="13">
        <v>854</v>
      </c>
      <c r="D232" s="13" t="s">
        <v>420</v>
      </c>
      <c r="E232" s="20">
        <v>88</v>
      </c>
      <c r="F232" s="20">
        <v>190</v>
      </c>
      <c r="G232" s="20">
        <v>231</v>
      </c>
      <c r="H232" s="13" t="s">
        <v>1917</v>
      </c>
      <c r="I232" s="13" t="str">
        <f t="shared" si="6"/>
        <v>NW 38th St (Powerline Rd to NW 21st St)</v>
      </c>
      <c r="J232" s="13" t="s">
        <v>29</v>
      </c>
      <c r="K232" s="13" t="str">
        <f>VLOOKUP(J232,'Data-ProjectTypes'!A$3:B$13,2,FALSE)</f>
        <v>Program</v>
      </c>
      <c r="L232" s="21" t="s">
        <v>709</v>
      </c>
      <c r="M232" s="13" t="s">
        <v>1858</v>
      </c>
      <c r="N232" s="13" t="s">
        <v>2543</v>
      </c>
      <c r="O232" s="13" t="s">
        <v>287</v>
      </c>
      <c r="P232" s="13" t="s">
        <v>287</v>
      </c>
      <c r="Q232" s="22">
        <v>1.1000000000000001</v>
      </c>
      <c r="R232" s="23">
        <v>245751</v>
      </c>
      <c r="S232" s="21"/>
      <c r="T232" s="21" t="s">
        <v>24</v>
      </c>
      <c r="U232" s="21" t="s">
        <v>24</v>
      </c>
      <c r="V232" s="24" t="s">
        <v>707</v>
      </c>
      <c r="W232" s="24"/>
      <c r="X232" s="35" t="s">
        <v>709</v>
      </c>
      <c r="Y232" s="17" t="s">
        <v>287</v>
      </c>
      <c r="Z232" s="18">
        <f>ROUND(R232*'Data-CostAssumptions'!$C$3,-3)</f>
        <v>340000</v>
      </c>
      <c r="AA232" s="11">
        <f t="shared" si="7"/>
        <v>1</v>
      </c>
      <c r="AB232" s="11">
        <v>2041</v>
      </c>
      <c r="AC232" s="11">
        <v>2041</v>
      </c>
      <c r="AD232" s="11">
        <v>2041</v>
      </c>
      <c r="AE232" s="11">
        <v>2041</v>
      </c>
      <c r="AF232" s="11">
        <v>0</v>
      </c>
      <c r="AG232" s="19">
        <f>ROUND((Z232*'Data-CostAssumptions'!$G$5)*(1+'Data-CostAssumptions'!$G$3)^(AC232-'Data-CostAssumptions'!$G$4),-3)</f>
        <v>192000</v>
      </c>
      <c r="AH232" s="19">
        <f>ROUND((Z232)*(1+'Data-CostAssumptions'!$G$3)^(AE232-'Data-CostAssumptions'!$G$4),-3)</f>
        <v>872000</v>
      </c>
    </row>
    <row r="233" spans="1:34" ht="15" customHeight="1" x14ac:dyDescent="0.2">
      <c r="A233" s="11"/>
      <c r="B233" s="11" t="s">
        <v>1211</v>
      </c>
      <c r="C233" s="13">
        <v>855</v>
      </c>
      <c r="D233" s="13" t="s">
        <v>420</v>
      </c>
      <c r="E233" s="20">
        <v>89</v>
      </c>
      <c r="F233" s="20">
        <v>190</v>
      </c>
      <c r="G233" s="20">
        <v>232</v>
      </c>
      <c r="H233" s="13" t="s">
        <v>1189</v>
      </c>
      <c r="I233" s="13" t="str">
        <f t="shared" si="6"/>
        <v>NW 44th St (NW 21st Av to NW 31st Av)</v>
      </c>
      <c r="J233" s="13" t="s">
        <v>29</v>
      </c>
      <c r="K233" s="13" t="str">
        <f>VLOOKUP(J233,'Data-ProjectTypes'!A$3:B$13,2,FALSE)</f>
        <v>Program</v>
      </c>
      <c r="L233" s="21" t="s">
        <v>710</v>
      </c>
      <c r="M233" s="13" t="s">
        <v>2057</v>
      </c>
      <c r="N233" s="13" t="s">
        <v>2062</v>
      </c>
      <c r="O233" s="13" t="s">
        <v>272</v>
      </c>
      <c r="P233" s="13" t="s">
        <v>272</v>
      </c>
      <c r="Q233" s="22">
        <v>1</v>
      </c>
      <c r="R233" s="23">
        <v>235135</v>
      </c>
      <c r="S233" s="21"/>
      <c r="T233" s="21" t="s">
        <v>24</v>
      </c>
      <c r="U233" s="21" t="s">
        <v>24</v>
      </c>
      <c r="V233" s="24" t="s">
        <v>711</v>
      </c>
      <c r="W233" s="24"/>
      <c r="X233" s="29" t="s">
        <v>710</v>
      </c>
      <c r="Y233" s="17" t="s">
        <v>287</v>
      </c>
      <c r="Z233" s="18">
        <f>ROUND(R233*'Data-CostAssumptions'!$C$3,-3)</f>
        <v>325000</v>
      </c>
      <c r="AA233" s="11">
        <f t="shared" si="7"/>
        <v>1</v>
      </c>
      <c r="AB233" s="11">
        <v>2041</v>
      </c>
      <c r="AC233" s="11">
        <v>2041</v>
      </c>
      <c r="AD233" s="11">
        <v>2041</v>
      </c>
      <c r="AE233" s="11">
        <v>2041</v>
      </c>
      <c r="AF233" s="11">
        <v>0</v>
      </c>
      <c r="AG233" s="19">
        <f>ROUND((Z233*'Data-CostAssumptions'!$G$5)*(1+'Data-CostAssumptions'!$G$3)^(AC233-'Data-CostAssumptions'!$G$4),-3)</f>
        <v>183000</v>
      </c>
      <c r="AH233" s="19">
        <f>ROUND((Z233)*(1+'Data-CostAssumptions'!$G$3)^(AE233-'Data-CostAssumptions'!$G$4),-3)</f>
        <v>833000</v>
      </c>
    </row>
    <row r="234" spans="1:34" ht="15" customHeight="1" x14ac:dyDescent="0.2">
      <c r="A234" s="11"/>
      <c r="B234" s="11" t="s">
        <v>1211</v>
      </c>
      <c r="C234" s="13">
        <v>856</v>
      </c>
      <c r="D234" s="13" t="s">
        <v>420</v>
      </c>
      <c r="E234" s="20">
        <v>93</v>
      </c>
      <c r="F234" s="20">
        <v>190</v>
      </c>
      <c r="G234" s="20">
        <v>233</v>
      </c>
      <c r="H234" s="13" t="s">
        <v>2710</v>
      </c>
      <c r="I234" s="13" t="str">
        <f t="shared" si="6"/>
        <v>SR 816/Oakland Park Bl (US 1/Federal Hwy to NE 16th Av)</v>
      </c>
      <c r="J234" s="13" t="s">
        <v>29</v>
      </c>
      <c r="K234" s="13" t="str">
        <f>VLOOKUP(J234,'Data-ProjectTypes'!A$3:B$13,2,FALSE)</f>
        <v>Program</v>
      </c>
      <c r="L234" s="21" t="s">
        <v>348</v>
      </c>
      <c r="M234" s="13" t="s">
        <v>2594</v>
      </c>
      <c r="N234" s="13" t="s">
        <v>2025</v>
      </c>
      <c r="O234" s="13" t="s">
        <v>270</v>
      </c>
      <c r="P234" s="13" t="s">
        <v>270</v>
      </c>
      <c r="Q234" s="22">
        <v>0.6</v>
      </c>
      <c r="R234" s="23">
        <v>133527</v>
      </c>
      <c r="S234" s="21"/>
      <c r="T234" s="21"/>
      <c r="U234" s="21"/>
      <c r="V234" s="24"/>
      <c r="W234" s="24" t="s">
        <v>696</v>
      </c>
      <c r="X234" s="28"/>
      <c r="Y234" s="17" t="s">
        <v>287</v>
      </c>
      <c r="Z234" s="18">
        <f>ROUND(R234*'Data-CostAssumptions'!$C$3,-3)</f>
        <v>185000</v>
      </c>
      <c r="AA234" s="11">
        <f t="shared" si="7"/>
        <v>1</v>
      </c>
      <c r="AB234" s="11">
        <v>2041</v>
      </c>
      <c r="AC234" s="11">
        <v>2041</v>
      </c>
      <c r="AD234" s="11">
        <v>2041</v>
      </c>
      <c r="AE234" s="11">
        <v>2041</v>
      </c>
      <c r="AF234" s="11">
        <v>0</v>
      </c>
      <c r="AG234" s="19">
        <f>ROUND((Z234*'Data-CostAssumptions'!$G$5)*(1+'Data-CostAssumptions'!$G$3)^(AC234-'Data-CostAssumptions'!$G$4),-3)</f>
        <v>104000</v>
      </c>
      <c r="AH234" s="19">
        <f>ROUND((Z234)*(1+'Data-CostAssumptions'!$G$3)^(AE234-'Data-CostAssumptions'!$G$4),-3)</f>
        <v>474000</v>
      </c>
    </row>
    <row r="235" spans="1:34" ht="15" customHeight="1" x14ac:dyDescent="0.2">
      <c r="A235" s="11"/>
      <c r="B235" s="11" t="s">
        <v>1211</v>
      </c>
      <c r="C235" s="13">
        <v>857</v>
      </c>
      <c r="D235" s="13" t="s">
        <v>420</v>
      </c>
      <c r="E235" s="20">
        <v>110</v>
      </c>
      <c r="F235" s="20">
        <v>190</v>
      </c>
      <c r="G235" s="20">
        <v>234</v>
      </c>
      <c r="H235" s="13" t="s">
        <v>2784</v>
      </c>
      <c r="I235" s="13" t="str">
        <f t="shared" si="6"/>
        <v>SR 818/Griffin Rd (Old Griffin Rd/Service Rd to I-95)</v>
      </c>
      <c r="J235" s="13" t="s">
        <v>29</v>
      </c>
      <c r="K235" s="13" t="str">
        <f>VLOOKUP(J235,'Data-ProjectTypes'!A$3:B$13,2,FALSE)</f>
        <v>Program</v>
      </c>
      <c r="L235" s="21" t="s">
        <v>348</v>
      </c>
      <c r="M235" s="13" t="s">
        <v>2414</v>
      </c>
      <c r="N235" s="13" t="s">
        <v>41</v>
      </c>
      <c r="O235" s="13" t="s">
        <v>270</v>
      </c>
      <c r="P235" s="13" t="s">
        <v>270</v>
      </c>
      <c r="Q235" s="22">
        <v>0.2</v>
      </c>
      <c r="R235" s="23">
        <v>39394</v>
      </c>
      <c r="S235" s="21"/>
      <c r="T235" s="21"/>
      <c r="U235" s="21"/>
      <c r="V235" s="24"/>
      <c r="W235" s="24"/>
      <c r="X235" s="24"/>
      <c r="Y235" s="17"/>
      <c r="Z235" s="18">
        <f>ROUND(R235*'Data-CostAssumptions'!$C$3,-3)</f>
        <v>55000</v>
      </c>
      <c r="AA235" s="11">
        <f t="shared" si="7"/>
        <v>0</v>
      </c>
      <c r="AB235" s="11">
        <v>2041</v>
      </c>
      <c r="AC235" s="11">
        <v>2041</v>
      </c>
      <c r="AD235" s="11">
        <v>2041</v>
      </c>
      <c r="AE235" s="11">
        <v>2041</v>
      </c>
      <c r="AF235" s="11">
        <v>0</v>
      </c>
      <c r="AG235" s="19">
        <f>ROUND((Z235*'Data-CostAssumptions'!$G$5)*(1+'Data-CostAssumptions'!$G$3)^(AC235-'Data-CostAssumptions'!$G$4),-3)</f>
        <v>31000</v>
      </c>
      <c r="AH235" s="19">
        <f>ROUND((Z235)*(1+'Data-CostAssumptions'!$G$3)^(AE235-'Data-CostAssumptions'!$G$4),-3)</f>
        <v>141000</v>
      </c>
    </row>
    <row r="236" spans="1:34" ht="15" customHeight="1" x14ac:dyDescent="0.2">
      <c r="A236" s="11"/>
      <c r="B236" s="11" t="s">
        <v>1211</v>
      </c>
      <c r="C236" s="13">
        <v>858</v>
      </c>
      <c r="D236" s="13" t="s">
        <v>420</v>
      </c>
      <c r="E236" s="20">
        <v>112</v>
      </c>
      <c r="F236" s="20">
        <v>190</v>
      </c>
      <c r="G236" s="20">
        <v>235</v>
      </c>
      <c r="H236" s="13" t="s">
        <v>2037</v>
      </c>
      <c r="I236" s="13" t="str">
        <f t="shared" si="6"/>
        <v>NE 7th Av (Taylor Rd to Eller Dr)</v>
      </c>
      <c r="J236" s="13" t="s">
        <v>29</v>
      </c>
      <c r="K236" s="13" t="str">
        <f>VLOOKUP(J236,'Data-ProjectTypes'!A$3:B$13,2,FALSE)</f>
        <v>Program</v>
      </c>
      <c r="L236" s="21" t="s">
        <v>348</v>
      </c>
      <c r="M236" s="13" t="s">
        <v>1866</v>
      </c>
      <c r="N236" s="13" t="s">
        <v>1789</v>
      </c>
      <c r="O236" s="13" t="s">
        <v>286</v>
      </c>
      <c r="P236" s="13" t="s">
        <v>286</v>
      </c>
      <c r="Q236" s="22">
        <v>1</v>
      </c>
      <c r="R236" s="23">
        <v>238859</v>
      </c>
      <c r="S236" s="21"/>
      <c r="T236" s="21"/>
      <c r="U236" s="21"/>
      <c r="V236" s="24"/>
      <c r="W236" s="24"/>
      <c r="X236" s="34" t="s">
        <v>1174</v>
      </c>
      <c r="Y236" s="17" t="s">
        <v>1171</v>
      </c>
      <c r="Z236" s="18">
        <f>ROUND(R236*'Data-CostAssumptions'!$C$3,-3)</f>
        <v>331000</v>
      </c>
      <c r="AA236" s="11">
        <f t="shared" si="7"/>
        <v>0</v>
      </c>
      <c r="AB236" s="11">
        <v>2041</v>
      </c>
      <c r="AC236" s="11">
        <v>2041</v>
      </c>
      <c r="AD236" s="11">
        <v>2041</v>
      </c>
      <c r="AE236" s="11">
        <v>2041</v>
      </c>
      <c r="AF236" s="11">
        <v>0</v>
      </c>
      <c r="AG236" s="19">
        <f>ROUND((Z236*'Data-CostAssumptions'!$G$5)*(1+'Data-CostAssumptions'!$G$3)^(AC236-'Data-CostAssumptions'!$G$4),-3)</f>
        <v>187000</v>
      </c>
      <c r="AH236" s="19">
        <f>ROUND((Z236)*(1+'Data-CostAssumptions'!$G$3)^(AE236-'Data-CostAssumptions'!$G$4),-3)</f>
        <v>849000</v>
      </c>
    </row>
    <row r="237" spans="1:34" ht="15" customHeight="1" x14ac:dyDescent="0.2">
      <c r="A237" s="11"/>
      <c r="B237" s="11" t="s">
        <v>1211</v>
      </c>
      <c r="C237" s="13">
        <v>859</v>
      </c>
      <c r="D237" s="13" t="s">
        <v>420</v>
      </c>
      <c r="E237" s="20">
        <v>140</v>
      </c>
      <c r="F237" s="20">
        <v>190</v>
      </c>
      <c r="G237" s="20">
        <v>236</v>
      </c>
      <c r="H237" s="13" t="s">
        <v>2072</v>
      </c>
      <c r="I237" s="13" t="str">
        <f t="shared" si="6"/>
        <v>NW 56th Av (NW 19th St to Blueberry Court)</v>
      </c>
      <c r="J237" s="13" t="s">
        <v>29</v>
      </c>
      <c r="K237" s="13" t="str">
        <f>VLOOKUP(J237,'Data-ProjectTypes'!A$3:B$13,2,FALSE)</f>
        <v>Program</v>
      </c>
      <c r="L237" s="21" t="s">
        <v>348</v>
      </c>
      <c r="M237" s="13" t="s">
        <v>1911</v>
      </c>
      <c r="N237" s="13" t="s">
        <v>174</v>
      </c>
      <c r="O237" s="13" t="s">
        <v>281</v>
      </c>
      <c r="P237" s="13" t="s">
        <v>281</v>
      </c>
      <c r="Q237" s="22">
        <v>0.5</v>
      </c>
      <c r="R237" s="23">
        <v>109850</v>
      </c>
      <c r="S237" s="21"/>
      <c r="T237" s="21"/>
      <c r="U237" s="21"/>
      <c r="V237" s="24"/>
      <c r="W237" s="24"/>
      <c r="X237" s="28"/>
      <c r="Y237" s="17"/>
      <c r="Z237" s="18">
        <f>ROUND(R237*'Data-CostAssumptions'!$C$3,-3)</f>
        <v>152000</v>
      </c>
      <c r="AA237" s="11">
        <f t="shared" si="7"/>
        <v>0</v>
      </c>
      <c r="AB237" s="11">
        <v>2041</v>
      </c>
      <c r="AC237" s="11">
        <v>2041</v>
      </c>
      <c r="AD237" s="11">
        <v>2041</v>
      </c>
      <c r="AE237" s="11">
        <v>2041</v>
      </c>
      <c r="AF237" s="11">
        <v>0</v>
      </c>
      <c r="AG237" s="19">
        <f>ROUND((Z237*'Data-CostAssumptions'!$G$5)*(1+'Data-CostAssumptions'!$G$3)^(AC237-'Data-CostAssumptions'!$G$4),-3)</f>
        <v>86000</v>
      </c>
      <c r="AH237" s="19">
        <f>ROUND((Z237)*(1+'Data-CostAssumptions'!$G$3)^(AE237-'Data-CostAssumptions'!$G$4),-3)</f>
        <v>390000</v>
      </c>
    </row>
    <row r="238" spans="1:34" ht="15" customHeight="1" x14ac:dyDescent="0.2">
      <c r="A238" s="11"/>
      <c r="B238" s="11" t="s">
        <v>1211</v>
      </c>
      <c r="C238" s="13">
        <v>860</v>
      </c>
      <c r="D238" s="13" t="s">
        <v>420</v>
      </c>
      <c r="E238" s="20">
        <v>143</v>
      </c>
      <c r="F238" s="20">
        <v>190</v>
      </c>
      <c r="G238" s="20">
        <v>237</v>
      </c>
      <c r="H238" s="13" t="s">
        <v>2062</v>
      </c>
      <c r="I238" s="13" t="str">
        <f t="shared" si="6"/>
        <v>NW 31st Av (Commercial Bl to McNab Rd)</v>
      </c>
      <c r="J238" s="13" t="s">
        <v>29</v>
      </c>
      <c r="K238" s="13" t="str">
        <f>VLOOKUP(J238,'Data-ProjectTypes'!A$3:B$13,2,FALSE)</f>
        <v>Program</v>
      </c>
      <c r="L238" s="21" t="s">
        <v>348</v>
      </c>
      <c r="M238" s="13" t="s">
        <v>1813</v>
      </c>
      <c r="N238" s="13" t="s">
        <v>1854</v>
      </c>
      <c r="O238" s="13" t="s">
        <v>273</v>
      </c>
      <c r="P238" s="13" t="s">
        <v>273</v>
      </c>
      <c r="Q238" s="22">
        <v>1.6</v>
      </c>
      <c r="R238" s="23">
        <v>372606</v>
      </c>
      <c r="S238" s="21"/>
      <c r="T238" s="21"/>
      <c r="U238" s="21"/>
      <c r="V238" s="24"/>
      <c r="W238" s="24"/>
      <c r="X238" s="28"/>
      <c r="Y238" s="17"/>
      <c r="Z238" s="18">
        <f>ROUND(R238*'Data-CostAssumptions'!$C$3,-3)</f>
        <v>516000</v>
      </c>
      <c r="AA238" s="11">
        <f t="shared" si="7"/>
        <v>0</v>
      </c>
      <c r="AB238" s="11">
        <v>2041</v>
      </c>
      <c r="AC238" s="11">
        <v>2041</v>
      </c>
      <c r="AD238" s="11">
        <v>2041</v>
      </c>
      <c r="AE238" s="11">
        <v>2041</v>
      </c>
      <c r="AF238" s="11">
        <v>0</v>
      </c>
      <c r="AG238" s="19">
        <f>ROUND((Z238*'Data-CostAssumptions'!$G$5)*(1+'Data-CostAssumptions'!$G$3)^(AC238-'Data-CostAssumptions'!$G$4),-3)</f>
        <v>291000</v>
      </c>
      <c r="AH238" s="19">
        <f>ROUND((Z238)*(1+'Data-CostAssumptions'!$G$3)^(AE238-'Data-CostAssumptions'!$G$4),-3)</f>
        <v>1323000</v>
      </c>
    </row>
    <row r="239" spans="1:34" ht="15" customHeight="1" x14ac:dyDescent="0.2">
      <c r="A239" s="11"/>
      <c r="B239" s="11" t="s">
        <v>1211</v>
      </c>
      <c r="C239" s="13">
        <v>861</v>
      </c>
      <c r="D239" s="13" t="s">
        <v>420</v>
      </c>
      <c r="E239" s="20">
        <v>149</v>
      </c>
      <c r="F239" s="20">
        <v>190</v>
      </c>
      <c r="G239" s="20">
        <v>238</v>
      </c>
      <c r="H239" s="13" t="s">
        <v>2120</v>
      </c>
      <c r="I239" s="13" t="str">
        <f t="shared" si="6"/>
        <v>SW 31st Av (SW 5th Court to SW 2nd St)</v>
      </c>
      <c r="J239" s="13" t="s">
        <v>29</v>
      </c>
      <c r="K239" s="13" t="str">
        <f>VLOOKUP(J239,'Data-ProjectTypes'!A$3:B$13,2,FALSE)</f>
        <v>Program</v>
      </c>
      <c r="L239" s="21" t="s">
        <v>348</v>
      </c>
      <c r="M239" s="13" t="s">
        <v>212</v>
      </c>
      <c r="N239" s="13" t="s">
        <v>2577</v>
      </c>
      <c r="O239" s="13" t="s">
        <v>273</v>
      </c>
      <c r="P239" s="13" t="s">
        <v>273</v>
      </c>
      <c r="Q239" s="22">
        <v>0.4</v>
      </c>
      <c r="R239" s="23">
        <v>81534</v>
      </c>
      <c r="S239" s="21"/>
      <c r="T239" s="21"/>
      <c r="U239" s="21"/>
      <c r="V239" s="24"/>
      <c r="W239" s="24"/>
      <c r="X239" s="24"/>
      <c r="Y239" s="17"/>
      <c r="Z239" s="18">
        <f>ROUND(R239*'Data-CostAssumptions'!$C$3,-3)</f>
        <v>113000</v>
      </c>
      <c r="AA239" s="11">
        <f t="shared" si="7"/>
        <v>0</v>
      </c>
      <c r="AB239" s="11">
        <v>2041</v>
      </c>
      <c r="AC239" s="11">
        <v>2041</v>
      </c>
      <c r="AD239" s="11">
        <v>2041</v>
      </c>
      <c r="AE239" s="11">
        <v>2041</v>
      </c>
      <c r="AF239" s="11">
        <v>0</v>
      </c>
      <c r="AG239" s="19">
        <f>ROUND((Z239*'Data-CostAssumptions'!$G$5)*(1+'Data-CostAssumptions'!$G$3)^(AC239-'Data-CostAssumptions'!$G$4),-3)</f>
        <v>64000</v>
      </c>
      <c r="AH239" s="19">
        <f>ROUND((Z239)*(1+'Data-CostAssumptions'!$G$3)^(AE239-'Data-CostAssumptions'!$G$4),-3)</f>
        <v>290000</v>
      </c>
    </row>
    <row r="240" spans="1:34" ht="15" customHeight="1" x14ac:dyDescent="0.2">
      <c r="A240" s="11"/>
      <c r="B240" s="11" t="s">
        <v>1211</v>
      </c>
      <c r="C240" s="13">
        <v>862</v>
      </c>
      <c r="D240" s="13" t="s">
        <v>420</v>
      </c>
      <c r="E240" s="20">
        <v>154</v>
      </c>
      <c r="F240" s="20">
        <v>190</v>
      </c>
      <c r="G240" s="20">
        <v>239</v>
      </c>
      <c r="H240" s="13" t="s">
        <v>2117</v>
      </c>
      <c r="I240" s="13" t="str">
        <f t="shared" si="6"/>
        <v>SW 27th Av (Davie Bl to Broward Bl)</v>
      </c>
      <c r="J240" s="13" t="s">
        <v>29</v>
      </c>
      <c r="K240" s="13" t="str">
        <f>VLOOKUP(J240,'Data-ProjectTypes'!A$3:B$13,2,FALSE)</f>
        <v>Program</v>
      </c>
      <c r="L240" s="21" t="s">
        <v>348</v>
      </c>
      <c r="M240" s="13" t="s">
        <v>1816</v>
      </c>
      <c r="N240" s="13" t="s">
        <v>1811</v>
      </c>
      <c r="O240" s="13" t="s">
        <v>273</v>
      </c>
      <c r="P240" s="13" t="s">
        <v>273</v>
      </c>
      <c r="Q240" s="22">
        <v>1</v>
      </c>
      <c r="R240" s="23">
        <v>241911</v>
      </c>
      <c r="S240" s="21"/>
      <c r="T240" s="21"/>
      <c r="U240" s="21"/>
      <c r="V240" s="24"/>
      <c r="W240" s="24"/>
      <c r="X240" s="24"/>
      <c r="Y240" s="17"/>
      <c r="Z240" s="18">
        <f>ROUND(R240*'Data-CostAssumptions'!$C$3,-3)</f>
        <v>335000</v>
      </c>
      <c r="AA240" s="11">
        <f t="shared" si="7"/>
        <v>0</v>
      </c>
      <c r="AB240" s="11">
        <v>2041</v>
      </c>
      <c r="AC240" s="11">
        <v>2041</v>
      </c>
      <c r="AD240" s="11">
        <v>2041</v>
      </c>
      <c r="AE240" s="11">
        <v>2041</v>
      </c>
      <c r="AF240" s="11">
        <v>0</v>
      </c>
      <c r="AG240" s="19">
        <f>ROUND((Z240*'Data-CostAssumptions'!$G$5)*(1+'Data-CostAssumptions'!$G$3)^(AC240-'Data-CostAssumptions'!$G$4),-3)</f>
        <v>189000</v>
      </c>
      <c r="AH240" s="19">
        <f>ROUND((Z240)*(1+'Data-CostAssumptions'!$G$3)^(AE240-'Data-CostAssumptions'!$G$4),-3)</f>
        <v>859000</v>
      </c>
    </row>
    <row r="241" spans="1:34" ht="15" customHeight="1" x14ac:dyDescent="0.2">
      <c r="A241" s="11"/>
      <c r="B241" s="11" t="s">
        <v>1211</v>
      </c>
      <c r="C241" s="13">
        <v>863</v>
      </c>
      <c r="D241" s="13" t="s">
        <v>420</v>
      </c>
      <c r="E241" s="20">
        <v>157</v>
      </c>
      <c r="F241" s="20">
        <v>190</v>
      </c>
      <c r="G241" s="20">
        <v>240</v>
      </c>
      <c r="H241" s="13" t="s">
        <v>81</v>
      </c>
      <c r="I241" s="13" t="str">
        <f t="shared" si="6"/>
        <v>Sunset Strip (Sunrise Bl to NW 64th Av)</v>
      </c>
      <c r="J241" s="13" t="s">
        <v>29</v>
      </c>
      <c r="K241" s="13" t="str">
        <f>VLOOKUP(J241,'Data-ProjectTypes'!A$3:B$13,2,FALSE)</f>
        <v>Program</v>
      </c>
      <c r="L241" s="21" t="s">
        <v>348</v>
      </c>
      <c r="M241" s="13" t="s">
        <v>1830</v>
      </c>
      <c r="N241" s="13" t="s">
        <v>2225</v>
      </c>
      <c r="O241" s="13" t="s">
        <v>278</v>
      </c>
      <c r="P241" s="13" t="s">
        <v>278</v>
      </c>
      <c r="Q241" s="22">
        <v>1.4</v>
      </c>
      <c r="R241" s="23">
        <v>313193</v>
      </c>
      <c r="S241" s="21" t="s">
        <v>24</v>
      </c>
      <c r="T241" s="21" t="s">
        <v>684</v>
      </c>
      <c r="U241" s="21" t="s">
        <v>684</v>
      </c>
      <c r="V241" s="24"/>
      <c r="W241" s="24" t="s">
        <v>818</v>
      </c>
      <c r="X241" s="24" t="s">
        <v>813</v>
      </c>
      <c r="Y241" s="17" t="s">
        <v>806</v>
      </c>
      <c r="Z241" s="18">
        <f>ROUND(R241*'Data-CostAssumptions'!$C$3,-3)</f>
        <v>433000</v>
      </c>
      <c r="AA241" s="11">
        <f t="shared" si="7"/>
        <v>1</v>
      </c>
      <c r="AB241" s="11">
        <v>2041</v>
      </c>
      <c r="AC241" s="11">
        <v>2041</v>
      </c>
      <c r="AD241" s="11">
        <v>2041</v>
      </c>
      <c r="AE241" s="11">
        <v>2041</v>
      </c>
      <c r="AF241" s="11">
        <v>0</v>
      </c>
      <c r="AG241" s="19">
        <f>ROUND((Z241*'Data-CostAssumptions'!$G$5)*(1+'Data-CostAssumptions'!$G$3)^(AC241-'Data-CostAssumptions'!$G$4),-3)</f>
        <v>244000</v>
      </c>
      <c r="AH241" s="19">
        <f>ROUND((Z241)*(1+'Data-CostAssumptions'!$G$3)^(AE241-'Data-CostAssumptions'!$G$4),-3)</f>
        <v>1110000</v>
      </c>
    </row>
    <row r="242" spans="1:34" ht="15" customHeight="1" x14ac:dyDescent="0.2">
      <c r="A242" s="11"/>
      <c r="B242" s="11" t="s">
        <v>1211</v>
      </c>
      <c r="C242" s="13">
        <v>864</v>
      </c>
      <c r="D242" s="13" t="s">
        <v>420</v>
      </c>
      <c r="E242" s="20">
        <v>166</v>
      </c>
      <c r="F242" s="20">
        <v>190</v>
      </c>
      <c r="G242" s="20">
        <v>241</v>
      </c>
      <c r="H242" s="13" t="s">
        <v>1821</v>
      </c>
      <c r="I242" s="13" t="str">
        <f t="shared" si="6"/>
        <v>Inverrary Bl (Oakland Park Bl to NW 44th St)</v>
      </c>
      <c r="J242" s="13" t="s">
        <v>29</v>
      </c>
      <c r="K242" s="13" t="str">
        <f>VLOOKUP(J242,'Data-ProjectTypes'!A$3:B$13,2,FALSE)</f>
        <v>Program</v>
      </c>
      <c r="L242" s="21" t="s">
        <v>348</v>
      </c>
      <c r="M242" s="13" t="s">
        <v>1825</v>
      </c>
      <c r="N242" s="13" t="s">
        <v>1189</v>
      </c>
      <c r="O242" s="13" t="s">
        <v>288</v>
      </c>
      <c r="P242" s="13" t="s">
        <v>288</v>
      </c>
      <c r="Q242" s="22">
        <v>0.9</v>
      </c>
      <c r="R242" s="23">
        <v>209786</v>
      </c>
      <c r="S242" s="21"/>
      <c r="T242" s="21"/>
      <c r="U242" s="21"/>
      <c r="V242" s="24"/>
      <c r="W242" s="24"/>
      <c r="X242" s="24"/>
      <c r="Y242" s="17"/>
      <c r="Z242" s="18">
        <f>ROUND(R242*'Data-CostAssumptions'!$C$3,-3)</f>
        <v>290000</v>
      </c>
      <c r="AA242" s="11">
        <f t="shared" si="7"/>
        <v>0</v>
      </c>
      <c r="AB242" s="11">
        <v>2041</v>
      </c>
      <c r="AC242" s="11">
        <v>2041</v>
      </c>
      <c r="AD242" s="11">
        <v>2041</v>
      </c>
      <c r="AE242" s="11">
        <v>2041</v>
      </c>
      <c r="AF242" s="11">
        <v>0</v>
      </c>
      <c r="AG242" s="19">
        <f>ROUND((Z242*'Data-CostAssumptions'!$G$5)*(1+'Data-CostAssumptions'!$G$3)^(AC242-'Data-CostAssumptions'!$G$4),-3)</f>
        <v>164000</v>
      </c>
      <c r="AH242" s="19">
        <f>ROUND((Z242)*(1+'Data-CostAssumptions'!$G$3)^(AE242-'Data-CostAssumptions'!$G$4),-3)</f>
        <v>744000</v>
      </c>
    </row>
    <row r="243" spans="1:34" ht="15" customHeight="1" x14ac:dyDescent="0.2">
      <c r="A243" s="11"/>
      <c r="B243" s="11" t="s">
        <v>1211</v>
      </c>
      <c r="C243" s="13">
        <v>865</v>
      </c>
      <c r="D243" s="13" t="s">
        <v>420</v>
      </c>
      <c r="E243" s="20">
        <v>185</v>
      </c>
      <c r="F243" s="20">
        <v>190</v>
      </c>
      <c r="G243" s="20">
        <v>242</v>
      </c>
      <c r="H243" s="13" t="s">
        <v>2038</v>
      </c>
      <c r="I243" s="13" t="str">
        <f t="shared" si="6"/>
        <v>North 14th Av (Hallandale Beach Bl to Washington St)</v>
      </c>
      <c r="J243" s="13" t="s">
        <v>29</v>
      </c>
      <c r="K243" s="13" t="str">
        <f>VLOOKUP(J243,'Data-ProjectTypes'!A$3:B$13,2,FALSE)</f>
        <v>Program</v>
      </c>
      <c r="L243" s="21" t="s">
        <v>562</v>
      </c>
      <c r="M243" s="13" t="s">
        <v>1818</v>
      </c>
      <c r="N243" s="13" t="s">
        <v>1971</v>
      </c>
      <c r="O243" s="13" t="s">
        <v>272</v>
      </c>
      <c r="P243" s="13" t="s">
        <v>272</v>
      </c>
      <c r="Q243" s="22">
        <v>1.3</v>
      </c>
      <c r="R243" s="23">
        <v>296425</v>
      </c>
      <c r="S243" s="21" t="s">
        <v>24</v>
      </c>
      <c r="T243" s="21" t="s">
        <v>25</v>
      </c>
      <c r="U243" s="21" t="s">
        <v>24</v>
      </c>
      <c r="V243" s="24"/>
      <c r="W243" s="24" t="s">
        <v>565</v>
      </c>
      <c r="X243" s="24"/>
      <c r="Y243" s="17" t="s">
        <v>556</v>
      </c>
      <c r="Z243" s="18">
        <f>ROUND(R243*'Data-CostAssumptions'!$C$3,-3)</f>
        <v>410000</v>
      </c>
      <c r="AA243" s="11">
        <f t="shared" si="7"/>
        <v>1</v>
      </c>
      <c r="AB243" s="11">
        <v>2041</v>
      </c>
      <c r="AC243" s="11">
        <v>2041</v>
      </c>
      <c r="AD243" s="11">
        <v>2041</v>
      </c>
      <c r="AE243" s="11">
        <v>2041</v>
      </c>
      <c r="AF243" s="11">
        <v>0</v>
      </c>
      <c r="AG243" s="19">
        <f>ROUND((Z243*'Data-CostAssumptions'!$G$5)*(1+'Data-CostAssumptions'!$G$3)^(AC243-'Data-CostAssumptions'!$G$4),-3)</f>
        <v>231000</v>
      </c>
      <c r="AH243" s="19">
        <f>ROUND((Z243)*(1+'Data-CostAssumptions'!$G$3)^(AE243-'Data-CostAssumptions'!$G$4),-3)</f>
        <v>1051000</v>
      </c>
    </row>
    <row r="244" spans="1:34" ht="15" customHeight="1" x14ac:dyDescent="0.2">
      <c r="A244" s="11"/>
      <c r="B244" s="11" t="s">
        <v>1211</v>
      </c>
      <c r="C244" s="13">
        <v>866</v>
      </c>
      <c r="D244" s="13" t="s">
        <v>420</v>
      </c>
      <c r="E244" s="20">
        <v>189</v>
      </c>
      <c r="F244" s="20">
        <v>190</v>
      </c>
      <c r="G244" s="20">
        <v>243</v>
      </c>
      <c r="H244" s="13" t="s">
        <v>2040</v>
      </c>
      <c r="I244" s="13" t="str">
        <f t="shared" si="6"/>
        <v>North 46th Av (Sheridan St to Stirling Rd)</v>
      </c>
      <c r="J244" s="13" t="s">
        <v>29</v>
      </c>
      <c r="K244" s="13" t="str">
        <f>VLOOKUP(J244,'Data-ProjectTypes'!A$3:B$13,2,FALSE)</f>
        <v>Program</v>
      </c>
      <c r="L244" s="21" t="s">
        <v>562</v>
      </c>
      <c r="M244" s="13" t="s">
        <v>1951</v>
      </c>
      <c r="N244" s="13" t="s">
        <v>177</v>
      </c>
      <c r="O244" s="13" t="s">
        <v>282</v>
      </c>
      <c r="P244" s="13" t="s">
        <v>282</v>
      </c>
      <c r="Q244" s="22">
        <v>1</v>
      </c>
      <c r="R244" s="23">
        <v>231316</v>
      </c>
      <c r="S244" s="21" t="s">
        <v>24</v>
      </c>
      <c r="T244" s="21" t="s">
        <v>25</v>
      </c>
      <c r="U244" s="21" t="s">
        <v>24</v>
      </c>
      <c r="V244" s="24" t="s">
        <v>561</v>
      </c>
      <c r="W244" s="24"/>
      <c r="X244" s="24"/>
      <c r="Y244" s="17" t="s">
        <v>538</v>
      </c>
      <c r="Z244" s="18">
        <f>ROUND(R244*'Data-CostAssumptions'!$C$3,-3)</f>
        <v>320000</v>
      </c>
      <c r="AA244" s="11">
        <f t="shared" si="7"/>
        <v>1</v>
      </c>
      <c r="AB244" s="11">
        <v>2041</v>
      </c>
      <c r="AC244" s="11">
        <v>2041</v>
      </c>
      <c r="AD244" s="11">
        <v>2041</v>
      </c>
      <c r="AE244" s="11">
        <v>2041</v>
      </c>
      <c r="AF244" s="11">
        <v>0</v>
      </c>
      <c r="AG244" s="19">
        <f>ROUND((Z244*'Data-CostAssumptions'!$G$5)*(1+'Data-CostAssumptions'!$G$3)^(AC244-'Data-CostAssumptions'!$G$4),-3)</f>
        <v>181000</v>
      </c>
      <c r="AH244" s="19">
        <f>ROUND((Z244)*(1+'Data-CostAssumptions'!$G$3)^(AE244-'Data-CostAssumptions'!$G$4),-3)</f>
        <v>820000</v>
      </c>
    </row>
    <row r="245" spans="1:34" ht="15" customHeight="1" x14ac:dyDescent="0.2">
      <c r="A245" s="11"/>
      <c r="B245" s="11" t="s">
        <v>1211</v>
      </c>
      <c r="C245" s="13">
        <v>867</v>
      </c>
      <c r="D245" s="13" t="s">
        <v>420</v>
      </c>
      <c r="E245" s="20">
        <v>220</v>
      </c>
      <c r="F245" s="20">
        <v>190</v>
      </c>
      <c r="G245" s="20">
        <v>244</v>
      </c>
      <c r="H245" s="13" t="s">
        <v>1968</v>
      </c>
      <c r="I245" s="13" t="str">
        <f t="shared" si="6"/>
        <v>Taft St (Just east of NW 72nd Av to Douglas Rd/Pine Island Rd)</v>
      </c>
      <c r="J245" s="13" t="s">
        <v>29</v>
      </c>
      <c r="K245" s="13" t="str">
        <f>VLOOKUP(J245,'Data-ProjectTypes'!A$3:B$13,2,FALSE)</f>
        <v>Program</v>
      </c>
      <c r="L245" s="21" t="s">
        <v>562</v>
      </c>
      <c r="M245" s="13" t="s">
        <v>2355</v>
      </c>
      <c r="N245" s="13" t="s">
        <v>2424</v>
      </c>
      <c r="O245" s="13" t="s">
        <v>272</v>
      </c>
      <c r="P245" s="13" t="s">
        <v>272</v>
      </c>
      <c r="Q245" s="22">
        <v>2</v>
      </c>
      <c r="R245" s="23">
        <v>461947</v>
      </c>
      <c r="S245" s="21" t="s">
        <v>24</v>
      </c>
      <c r="T245" s="21" t="s">
        <v>25</v>
      </c>
      <c r="U245" s="21" t="s">
        <v>24</v>
      </c>
      <c r="V245" s="24" t="s">
        <v>561</v>
      </c>
      <c r="W245" s="24"/>
      <c r="X245" s="24"/>
      <c r="Y245" s="17" t="s">
        <v>538</v>
      </c>
      <c r="Z245" s="18">
        <f>ROUND(R245*'Data-CostAssumptions'!$C$3,-3)</f>
        <v>639000</v>
      </c>
      <c r="AA245" s="11">
        <f t="shared" si="7"/>
        <v>1</v>
      </c>
      <c r="AB245" s="11">
        <v>2041</v>
      </c>
      <c r="AC245" s="11">
        <v>2041</v>
      </c>
      <c r="AD245" s="11">
        <v>2041</v>
      </c>
      <c r="AE245" s="11">
        <v>2041</v>
      </c>
      <c r="AF245" s="11">
        <v>0</v>
      </c>
      <c r="AG245" s="19">
        <f>ROUND((Z245*'Data-CostAssumptions'!$G$5)*(1+'Data-CostAssumptions'!$G$3)^(AC245-'Data-CostAssumptions'!$G$4),-3)</f>
        <v>360000</v>
      </c>
      <c r="AH245" s="19">
        <f>ROUND((Z245)*(1+'Data-CostAssumptions'!$G$3)^(AE245-'Data-CostAssumptions'!$G$4),-3)</f>
        <v>1638000</v>
      </c>
    </row>
    <row r="246" spans="1:34" ht="15" customHeight="1" x14ac:dyDescent="0.2">
      <c r="A246" s="11"/>
      <c r="B246" s="11" t="s">
        <v>1211</v>
      </c>
      <c r="C246" s="13">
        <v>868</v>
      </c>
      <c r="D246" s="13" t="s">
        <v>420</v>
      </c>
      <c r="E246" s="20">
        <v>223</v>
      </c>
      <c r="F246" s="20">
        <v>190</v>
      </c>
      <c r="G246" s="20">
        <v>245</v>
      </c>
      <c r="H246" s="13" t="s">
        <v>2792</v>
      </c>
      <c r="I246" s="13" t="str">
        <f t="shared" si="6"/>
        <v>SR 827/Pembroke Rd (State Rd 7 to NW 72nd Av)</v>
      </c>
      <c r="J246" s="13" t="s">
        <v>29</v>
      </c>
      <c r="K246" s="13" t="str">
        <f>VLOOKUP(J246,'Data-ProjectTypes'!A$3:B$13,2,FALSE)</f>
        <v>Program</v>
      </c>
      <c r="L246" s="21" t="s">
        <v>348</v>
      </c>
      <c r="M246" s="13" t="s">
        <v>1772</v>
      </c>
      <c r="N246" s="13" t="s">
        <v>2079</v>
      </c>
      <c r="O246" s="13" t="s">
        <v>270</v>
      </c>
      <c r="P246" s="13" t="s">
        <v>270</v>
      </c>
      <c r="Q246" s="22">
        <v>1.5</v>
      </c>
      <c r="R246" s="23">
        <v>349941</v>
      </c>
      <c r="S246" s="21" t="s">
        <v>24</v>
      </c>
      <c r="T246" s="21"/>
      <c r="U246" s="21"/>
      <c r="V246" s="24"/>
      <c r="W246" s="24" t="s">
        <v>561</v>
      </c>
      <c r="X246" s="24"/>
      <c r="Y246" s="17" t="s">
        <v>687</v>
      </c>
      <c r="Z246" s="18">
        <f>ROUND(R246*'Data-CostAssumptions'!$C$3,-3)</f>
        <v>484000</v>
      </c>
      <c r="AA246" s="11">
        <f t="shared" si="7"/>
        <v>1</v>
      </c>
      <c r="AB246" s="11">
        <v>2041</v>
      </c>
      <c r="AC246" s="11">
        <v>2041</v>
      </c>
      <c r="AD246" s="11">
        <v>2041</v>
      </c>
      <c r="AE246" s="11">
        <v>2041</v>
      </c>
      <c r="AF246" s="11">
        <v>0</v>
      </c>
      <c r="AG246" s="19">
        <f>ROUND((Z246*'Data-CostAssumptions'!$G$5)*(1+'Data-CostAssumptions'!$G$3)^(AC246-'Data-CostAssumptions'!$G$4),-3)</f>
        <v>273000</v>
      </c>
      <c r="AH246" s="19">
        <f>ROUND((Z246)*(1+'Data-CostAssumptions'!$G$3)^(AE246-'Data-CostAssumptions'!$G$4),-3)</f>
        <v>1241000</v>
      </c>
    </row>
    <row r="247" spans="1:34" ht="15" customHeight="1" x14ac:dyDescent="0.2">
      <c r="A247" s="11"/>
      <c r="B247" s="11" t="s">
        <v>1211</v>
      </c>
      <c r="C247" s="13">
        <v>869</v>
      </c>
      <c r="D247" s="13" t="s">
        <v>420</v>
      </c>
      <c r="E247" s="20">
        <v>225</v>
      </c>
      <c r="F247" s="20">
        <v>191</v>
      </c>
      <c r="G247" s="20">
        <v>246</v>
      </c>
      <c r="H247" s="13" t="s">
        <v>57</v>
      </c>
      <c r="I247" s="13" t="str">
        <f t="shared" si="6"/>
        <v>SR 7/US 441 (County Line Rd to Washington St)</v>
      </c>
      <c r="J247" s="13" t="s">
        <v>29</v>
      </c>
      <c r="K247" s="13" t="str">
        <f>VLOOKUP(J247,'Data-ProjectTypes'!A$3:B$13,2,FALSE)</f>
        <v>Program</v>
      </c>
      <c r="L247" s="21" t="s">
        <v>348</v>
      </c>
      <c r="M247" s="13" t="s">
        <v>1839</v>
      </c>
      <c r="N247" s="13" t="s">
        <v>1971</v>
      </c>
      <c r="O247" s="13" t="s">
        <v>270</v>
      </c>
      <c r="P247" s="13" t="s">
        <v>270</v>
      </c>
      <c r="Q247" s="22">
        <v>2.1</v>
      </c>
      <c r="R247" s="23">
        <v>477303</v>
      </c>
      <c r="S247" s="21" t="s">
        <v>24</v>
      </c>
      <c r="T247" s="21" t="s">
        <v>1118</v>
      </c>
      <c r="U247" s="21" t="s">
        <v>1118</v>
      </c>
      <c r="V247" s="24"/>
      <c r="W247" s="24" t="s">
        <v>1116</v>
      </c>
      <c r="X247" s="24" t="s">
        <v>1117</v>
      </c>
      <c r="Y247" s="17" t="s">
        <v>1111</v>
      </c>
      <c r="Z247" s="18">
        <f>ROUND(R247*'Data-CostAssumptions'!$C$3,-3)</f>
        <v>661000</v>
      </c>
      <c r="AA247" s="11">
        <f t="shared" si="7"/>
        <v>1</v>
      </c>
      <c r="AB247" s="11">
        <v>2041</v>
      </c>
      <c r="AC247" s="11">
        <v>2041</v>
      </c>
      <c r="AD247" s="11">
        <v>2041</v>
      </c>
      <c r="AE247" s="11">
        <v>2041</v>
      </c>
      <c r="AF247" s="11">
        <v>0</v>
      </c>
      <c r="AG247" s="19">
        <f>ROUND((Z247*'Data-CostAssumptions'!$G$5)*(1+'Data-CostAssumptions'!$G$3)^(AC247-'Data-CostAssumptions'!$G$4),-3)</f>
        <v>373000</v>
      </c>
      <c r="AH247" s="19">
        <f>ROUND((Z247)*(1+'Data-CostAssumptions'!$G$3)^(AE247-'Data-CostAssumptions'!$G$4),-3)</f>
        <v>1695000</v>
      </c>
    </row>
    <row r="248" spans="1:34" ht="15" customHeight="1" x14ac:dyDescent="0.2">
      <c r="A248" s="11"/>
      <c r="B248" s="11" t="s">
        <v>1211</v>
      </c>
      <c r="C248" s="13">
        <v>870</v>
      </c>
      <c r="D248" s="13" t="s">
        <v>420</v>
      </c>
      <c r="E248" s="20">
        <v>230</v>
      </c>
      <c r="F248" s="20">
        <v>191</v>
      </c>
      <c r="G248" s="20">
        <v>247</v>
      </c>
      <c r="H248" s="13" t="s">
        <v>2799</v>
      </c>
      <c r="I248" s="13" t="str">
        <f t="shared" si="6"/>
        <v>SR 845/Powerline Rd (Oakland Park Bl to Prospect Rd)</v>
      </c>
      <c r="J248" s="13" t="s">
        <v>29</v>
      </c>
      <c r="K248" s="13" t="str">
        <f>VLOOKUP(J248,'Data-ProjectTypes'!A$3:B$13,2,FALSE)</f>
        <v>Program</v>
      </c>
      <c r="L248" s="26" t="s">
        <v>847</v>
      </c>
      <c r="M248" s="13" t="s">
        <v>1825</v>
      </c>
      <c r="N248" s="13" t="s">
        <v>1859</v>
      </c>
      <c r="O248" s="13" t="s">
        <v>270</v>
      </c>
      <c r="P248" s="13" t="s">
        <v>270</v>
      </c>
      <c r="Q248" s="22">
        <v>1</v>
      </c>
      <c r="R248" s="23">
        <v>236792</v>
      </c>
      <c r="S248" s="21"/>
      <c r="T248" s="21"/>
      <c r="U248" s="21" t="s">
        <v>24</v>
      </c>
      <c r="V248" s="24"/>
      <c r="W248" s="24" t="s">
        <v>848</v>
      </c>
      <c r="X248" s="24"/>
      <c r="Y248" s="17" t="s">
        <v>844</v>
      </c>
      <c r="Z248" s="18">
        <f>ROUND(R248*'Data-CostAssumptions'!$C$3,-3)</f>
        <v>328000</v>
      </c>
      <c r="AA248" s="11">
        <f t="shared" si="7"/>
        <v>1</v>
      </c>
      <c r="AB248" s="11">
        <v>2041</v>
      </c>
      <c r="AC248" s="11">
        <v>2041</v>
      </c>
      <c r="AD248" s="11">
        <v>2041</v>
      </c>
      <c r="AE248" s="11">
        <v>2041</v>
      </c>
      <c r="AF248" s="11">
        <v>0</v>
      </c>
      <c r="AG248" s="19">
        <f>ROUND((Z248*'Data-CostAssumptions'!$G$5)*(1+'Data-CostAssumptions'!$G$3)^(AC248-'Data-CostAssumptions'!$G$4),-3)</f>
        <v>185000</v>
      </c>
      <c r="AH248" s="19">
        <f>ROUND((Z248)*(1+'Data-CostAssumptions'!$G$3)^(AE248-'Data-CostAssumptions'!$G$4),-3)</f>
        <v>841000</v>
      </c>
    </row>
    <row r="249" spans="1:34" ht="15" customHeight="1" x14ac:dyDescent="0.2">
      <c r="A249" s="11"/>
      <c r="B249" s="11" t="s">
        <v>1211</v>
      </c>
      <c r="C249" s="13">
        <v>871</v>
      </c>
      <c r="D249" s="13" t="s">
        <v>420</v>
      </c>
      <c r="E249" s="20">
        <v>231</v>
      </c>
      <c r="F249" s="20">
        <v>191</v>
      </c>
      <c r="G249" s="20">
        <v>248</v>
      </c>
      <c r="H249" s="13" t="s">
        <v>1891</v>
      </c>
      <c r="I249" s="13" t="str">
        <f t="shared" si="6"/>
        <v>NE 38th St (Dixie Hwy to Andrews Av)</v>
      </c>
      <c r="J249" s="13" t="s">
        <v>29</v>
      </c>
      <c r="K249" s="13" t="str">
        <f>VLOOKUP(J249,'Data-ProjectTypes'!A$3:B$13,2,FALSE)</f>
        <v>Program</v>
      </c>
      <c r="L249" s="21" t="s">
        <v>348</v>
      </c>
      <c r="M249" s="13" t="s">
        <v>728</v>
      </c>
      <c r="N249" s="13" t="s">
        <v>2014</v>
      </c>
      <c r="O249" s="13" t="s">
        <v>287</v>
      </c>
      <c r="P249" s="13" t="s">
        <v>287</v>
      </c>
      <c r="Q249" s="22">
        <v>0.9</v>
      </c>
      <c r="R249" s="23">
        <v>216493</v>
      </c>
      <c r="S249" s="21"/>
      <c r="T249" s="21"/>
      <c r="U249" s="21"/>
      <c r="V249" s="24"/>
      <c r="W249" s="24" t="s">
        <v>696</v>
      </c>
      <c r="X249" s="24"/>
      <c r="Y249" s="17" t="s">
        <v>287</v>
      </c>
      <c r="Z249" s="18">
        <f>ROUND(R249*'Data-CostAssumptions'!$C$3,-3)</f>
        <v>300000</v>
      </c>
      <c r="AA249" s="11">
        <f t="shared" si="7"/>
        <v>1</v>
      </c>
      <c r="AB249" s="11">
        <v>2041</v>
      </c>
      <c r="AC249" s="11">
        <v>2041</v>
      </c>
      <c r="AD249" s="11">
        <v>2041</v>
      </c>
      <c r="AE249" s="11">
        <v>2041</v>
      </c>
      <c r="AF249" s="11">
        <v>0</v>
      </c>
      <c r="AG249" s="19">
        <f>ROUND((Z249*'Data-CostAssumptions'!$G$5)*(1+'Data-CostAssumptions'!$G$3)^(AC249-'Data-CostAssumptions'!$G$4),-3)</f>
        <v>169000</v>
      </c>
      <c r="AH249" s="19">
        <f>ROUND((Z249)*(1+'Data-CostAssumptions'!$G$3)^(AE249-'Data-CostAssumptions'!$G$4),-3)</f>
        <v>769000</v>
      </c>
    </row>
    <row r="250" spans="1:34" ht="15" customHeight="1" x14ac:dyDescent="0.2">
      <c r="A250" s="11"/>
      <c r="B250" s="11" t="s">
        <v>1211</v>
      </c>
      <c r="C250" s="13">
        <v>872</v>
      </c>
      <c r="D250" s="13" t="s">
        <v>420</v>
      </c>
      <c r="E250" s="20">
        <v>240</v>
      </c>
      <c r="F250" s="20">
        <v>191</v>
      </c>
      <c r="G250" s="20">
        <v>249</v>
      </c>
      <c r="H250" s="13" t="s">
        <v>1972</v>
      </c>
      <c r="I250" s="13" t="str">
        <f t="shared" si="6"/>
        <v>Coconut Creek Pkwy (Lyons Rd to State Rd 7/US 441)</v>
      </c>
      <c r="J250" s="13" t="s">
        <v>29</v>
      </c>
      <c r="K250" s="13" t="str">
        <f>VLOOKUP(J250,'Data-ProjectTypes'!A$3:B$13,2,FALSE)</f>
        <v>Program</v>
      </c>
      <c r="L250" s="21" t="s">
        <v>348</v>
      </c>
      <c r="M250" s="13" t="s">
        <v>1754</v>
      </c>
      <c r="N250" s="13" t="s">
        <v>1773</v>
      </c>
      <c r="O250" s="13" t="s">
        <v>273</v>
      </c>
      <c r="P250" s="13" t="s">
        <v>273</v>
      </c>
      <c r="Q250" s="22">
        <v>0.9</v>
      </c>
      <c r="R250" s="23">
        <v>216515</v>
      </c>
      <c r="S250" s="21"/>
      <c r="T250" s="21"/>
      <c r="U250" s="21"/>
      <c r="V250" s="24"/>
      <c r="W250" s="24"/>
      <c r="X250" s="24"/>
      <c r="Y250" s="17"/>
      <c r="Z250" s="18">
        <f>ROUND(R250*'Data-CostAssumptions'!$C$3,-3)</f>
        <v>300000</v>
      </c>
      <c r="AA250" s="11">
        <f t="shared" si="7"/>
        <v>0</v>
      </c>
      <c r="AB250" s="11">
        <v>2041</v>
      </c>
      <c r="AC250" s="11">
        <v>2041</v>
      </c>
      <c r="AD250" s="11">
        <v>2041</v>
      </c>
      <c r="AE250" s="11">
        <v>2041</v>
      </c>
      <c r="AF250" s="11">
        <v>0</v>
      </c>
      <c r="AG250" s="19">
        <f>ROUND((Z250*'Data-CostAssumptions'!$G$5)*(1+'Data-CostAssumptions'!$G$3)^(AC250-'Data-CostAssumptions'!$G$4),-3)</f>
        <v>169000</v>
      </c>
      <c r="AH250" s="19">
        <f>ROUND((Z250)*(1+'Data-CostAssumptions'!$G$3)^(AE250-'Data-CostAssumptions'!$G$4),-3)</f>
        <v>769000</v>
      </c>
    </row>
    <row r="251" spans="1:34" ht="15" customHeight="1" x14ac:dyDescent="0.2">
      <c r="A251" s="11"/>
      <c r="B251" s="11" t="s">
        <v>1211</v>
      </c>
      <c r="C251" s="13">
        <v>873</v>
      </c>
      <c r="D251" s="13" t="s">
        <v>420</v>
      </c>
      <c r="E251" s="20">
        <v>246</v>
      </c>
      <c r="F251" s="20">
        <v>191</v>
      </c>
      <c r="G251" s="20">
        <v>250</v>
      </c>
      <c r="H251" s="13" t="s">
        <v>1829</v>
      </c>
      <c r="I251" s="13" t="str">
        <f t="shared" si="6"/>
        <v>Southgate Bl (State Rd 7/US 441 to SW 81st Av)</v>
      </c>
      <c r="J251" s="13" t="s">
        <v>29</v>
      </c>
      <c r="K251" s="13" t="str">
        <f>VLOOKUP(J251,'Data-ProjectTypes'!A$3:B$13,2,FALSE)</f>
        <v>Program</v>
      </c>
      <c r="L251" s="21" t="s">
        <v>348</v>
      </c>
      <c r="M251" s="13" t="s">
        <v>1773</v>
      </c>
      <c r="N251" s="13" t="s">
        <v>2134</v>
      </c>
      <c r="O251" s="13" t="s">
        <v>272</v>
      </c>
      <c r="P251" s="13" t="s">
        <v>272</v>
      </c>
      <c r="Q251" s="22">
        <v>2</v>
      </c>
      <c r="R251" s="23">
        <v>465862</v>
      </c>
      <c r="S251" s="21"/>
      <c r="T251" s="21"/>
      <c r="U251" s="21"/>
      <c r="V251" s="24"/>
      <c r="W251" s="24"/>
      <c r="X251" s="24"/>
      <c r="Y251" s="17"/>
      <c r="Z251" s="18">
        <f>ROUND(R251*'Data-CostAssumptions'!$C$3,-3)</f>
        <v>645000</v>
      </c>
      <c r="AA251" s="11">
        <f t="shared" si="7"/>
        <v>0</v>
      </c>
      <c r="AB251" s="11">
        <v>2041</v>
      </c>
      <c r="AC251" s="11">
        <v>2041</v>
      </c>
      <c r="AD251" s="11">
        <v>2041</v>
      </c>
      <c r="AE251" s="11">
        <v>2041</v>
      </c>
      <c r="AF251" s="11">
        <v>0</v>
      </c>
      <c r="AG251" s="19">
        <f>ROUND((Z251*'Data-CostAssumptions'!$G$5)*(1+'Data-CostAssumptions'!$G$3)^(AC251-'Data-CostAssumptions'!$G$4),-3)</f>
        <v>364000</v>
      </c>
      <c r="AH251" s="19">
        <f>ROUND((Z251)*(1+'Data-CostAssumptions'!$G$3)^(AE251-'Data-CostAssumptions'!$G$4),-3)</f>
        <v>1654000</v>
      </c>
    </row>
    <row r="252" spans="1:34" ht="15" customHeight="1" x14ac:dyDescent="0.2">
      <c r="A252" s="11"/>
      <c r="B252" s="11" t="s">
        <v>1211</v>
      </c>
      <c r="C252" s="13">
        <v>874</v>
      </c>
      <c r="D252" s="13" t="s">
        <v>420</v>
      </c>
      <c r="E252" s="20">
        <v>264</v>
      </c>
      <c r="F252" s="20">
        <v>191</v>
      </c>
      <c r="G252" s="20">
        <v>251</v>
      </c>
      <c r="H252" s="13" t="s">
        <v>2045</v>
      </c>
      <c r="I252" s="13" t="str">
        <f t="shared" si="6"/>
        <v>North 72nd Av (Sheridan St to Davie Rd Extension)</v>
      </c>
      <c r="J252" s="13" t="s">
        <v>29</v>
      </c>
      <c r="K252" s="13" t="str">
        <f>VLOOKUP(J252,'Data-ProjectTypes'!A$3:B$13,2,FALSE)</f>
        <v>Program</v>
      </c>
      <c r="L252" s="21" t="s">
        <v>562</v>
      </c>
      <c r="M252" s="13" t="s">
        <v>1951</v>
      </c>
      <c r="N252" s="13" t="s">
        <v>1748</v>
      </c>
      <c r="O252" s="13" t="s">
        <v>282</v>
      </c>
      <c r="P252" s="13" t="s">
        <v>282</v>
      </c>
      <c r="Q252" s="22">
        <v>0.8</v>
      </c>
      <c r="R252" s="23">
        <v>174125</v>
      </c>
      <c r="S252" s="21" t="s">
        <v>24</v>
      </c>
      <c r="T252" s="21" t="s">
        <v>25</v>
      </c>
      <c r="U252" s="21" t="s">
        <v>24</v>
      </c>
      <c r="V252" s="24" t="s">
        <v>561</v>
      </c>
      <c r="W252" s="24"/>
      <c r="X252" s="28"/>
      <c r="Y252" s="17" t="s">
        <v>538</v>
      </c>
      <c r="Z252" s="18">
        <f>ROUND(R252*'Data-CostAssumptions'!$C$3,-3)</f>
        <v>241000</v>
      </c>
      <c r="AA252" s="11">
        <f t="shared" si="7"/>
        <v>1</v>
      </c>
      <c r="AB252" s="11">
        <v>2041</v>
      </c>
      <c r="AC252" s="11">
        <v>2041</v>
      </c>
      <c r="AD252" s="11">
        <v>2041</v>
      </c>
      <c r="AE252" s="11">
        <v>2041</v>
      </c>
      <c r="AF252" s="11">
        <v>0</v>
      </c>
      <c r="AG252" s="19">
        <f>ROUND((Z252*'Data-CostAssumptions'!$G$5)*(1+'Data-CostAssumptions'!$G$3)^(AC252-'Data-CostAssumptions'!$G$4),-3)</f>
        <v>136000</v>
      </c>
      <c r="AH252" s="19">
        <f>ROUND((Z252)*(1+'Data-CostAssumptions'!$G$3)^(AE252-'Data-CostAssumptions'!$G$4),-3)</f>
        <v>618000</v>
      </c>
    </row>
    <row r="253" spans="1:34" ht="15" customHeight="1" x14ac:dyDescent="0.2">
      <c r="A253" s="11"/>
      <c r="B253" s="11" t="s">
        <v>1211</v>
      </c>
      <c r="C253" s="13">
        <v>875</v>
      </c>
      <c r="D253" s="13" t="s">
        <v>420</v>
      </c>
      <c r="E253" s="20">
        <v>268</v>
      </c>
      <c r="F253" s="20">
        <v>191</v>
      </c>
      <c r="G253" s="20">
        <v>252</v>
      </c>
      <c r="H253" s="13" t="s">
        <v>1752</v>
      </c>
      <c r="I253" s="13" t="str">
        <f t="shared" si="6"/>
        <v>Hiatus Rd (Pines Bl to Sheridan St)</v>
      </c>
      <c r="J253" s="13" t="s">
        <v>29</v>
      </c>
      <c r="K253" s="13" t="str">
        <f>VLOOKUP(J253,'Data-ProjectTypes'!A$3:B$13,2,FALSE)</f>
        <v>Program</v>
      </c>
      <c r="L253" s="21" t="s">
        <v>348</v>
      </c>
      <c r="M253" s="13" t="s">
        <v>1826</v>
      </c>
      <c r="N253" s="13" t="s">
        <v>1951</v>
      </c>
      <c r="O253" s="13" t="s">
        <v>271</v>
      </c>
      <c r="P253" s="13" t="s">
        <v>271</v>
      </c>
      <c r="Q253" s="22">
        <v>1.6</v>
      </c>
      <c r="R253" s="23">
        <v>369838</v>
      </c>
      <c r="S253" s="21"/>
      <c r="T253" s="21"/>
      <c r="U253" s="21"/>
      <c r="V253" s="24"/>
      <c r="W253" s="24"/>
      <c r="X253" s="28"/>
      <c r="Y253" s="17"/>
      <c r="Z253" s="18">
        <f>ROUND(R253*'Data-CostAssumptions'!$C$3,-3)</f>
        <v>512000</v>
      </c>
      <c r="AA253" s="11">
        <f t="shared" si="7"/>
        <v>0</v>
      </c>
      <c r="AB253" s="11">
        <v>2041</v>
      </c>
      <c r="AC253" s="11">
        <v>2041</v>
      </c>
      <c r="AD253" s="11">
        <v>2041</v>
      </c>
      <c r="AE253" s="11">
        <v>2041</v>
      </c>
      <c r="AF253" s="11">
        <v>0</v>
      </c>
      <c r="AG253" s="19">
        <f>ROUND((Z253*'Data-CostAssumptions'!$G$5)*(1+'Data-CostAssumptions'!$G$3)^(AC253-'Data-CostAssumptions'!$G$4),-3)</f>
        <v>289000</v>
      </c>
      <c r="AH253" s="19">
        <f>ROUND((Z253)*(1+'Data-CostAssumptions'!$G$3)^(AE253-'Data-CostAssumptions'!$G$4),-3)</f>
        <v>1313000</v>
      </c>
    </row>
    <row r="254" spans="1:34" ht="15" customHeight="1" x14ac:dyDescent="0.2">
      <c r="A254" s="11"/>
      <c r="B254" s="11" t="s">
        <v>1211</v>
      </c>
      <c r="C254" s="13">
        <v>876</v>
      </c>
      <c r="D254" s="13" t="s">
        <v>420</v>
      </c>
      <c r="E254" s="20">
        <v>282</v>
      </c>
      <c r="F254" s="20">
        <v>191</v>
      </c>
      <c r="G254" s="20">
        <v>253</v>
      </c>
      <c r="H254" s="13" t="s">
        <v>2098</v>
      </c>
      <c r="I254" s="13" t="str">
        <f t="shared" si="6"/>
        <v>SW 100th Av/Nob Hill Rd (Stirling Rd to Griffin Rd)</v>
      </c>
      <c r="J254" s="13" t="s">
        <v>29</v>
      </c>
      <c r="K254" s="13" t="str">
        <f>VLOOKUP(J254,'Data-ProjectTypes'!A$3:B$13,2,FALSE)</f>
        <v>Program</v>
      </c>
      <c r="L254" s="21" t="s">
        <v>348</v>
      </c>
      <c r="M254" s="13" t="s">
        <v>177</v>
      </c>
      <c r="N254" s="13" t="s">
        <v>1750</v>
      </c>
      <c r="O254" s="13" t="s">
        <v>273</v>
      </c>
      <c r="P254" s="13" t="s">
        <v>273</v>
      </c>
      <c r="Q254" s="22">
        <v>1.4</v>
      </c>
      <c r="R254" s="23">
        <v>315461</v>
      </c>
      <c r="S254" s="21"/>
      <c r="T254" s="21"/>
      <c r="U254" s="21"/>
      <c r="V254" s="24"/>
      <c r="W254" s="24"/>
      <c r="X254" s="24"/>
      <c r="Y254" s="17"/>
      <c r="Z254" s="18">
        <f>ROUND(R254*'Data-CostAssumptions'!$C$3,-3)</f>
        <v>437000</v>
      </c>
      <c r="AA254" s="11">
        <f t="shared" si="7"/>
        <v>0</v>
      </c>
      <c r="AB254" s="11">
        <v>2041</v>
      </c>
      <c r="AC254" s="11">
        <v>2041</v>
      </c>
      <c r="AD254" s="11">
        <v>2041</v>
      </c>
      <c r="AE254" s="11">
        <v>2041</v>
      </c>
      <c r="AF254" s="11">
        <v>0</v>
      </c>
      <c r="AG254" s="19">
        <f>ROUND((Z254*'Data-CostAssumptions'!$G$5)*(1+'Data-CostAssumptions'!$G$3)^(AC254-'Data-CostAssumptions'!$G$4),-3)</f>
        <v>246000</v>
      </c>
      <c r="AH254" s="19">
        <f>ROUND((Z254)*(1+'Data-CostAssumptions'!$G$3)^(AE254-'Data-CostAssumptions'!$G$4),-3)</f>
        <v>1120000</v>
      </c>
    </row>
    <row r="255" spans="1:34" ht="15" customHeight="1" x14ac:dyDescent="0.2">
      <c r="A255" s="11"/>
      <c r="B255" s="11" t="s">
        <v>1211</v>
      </c>
      <c r="C255" s="13">
        <v>877</v>
      </c>
      <c r="D255" s="13" t="s">
        <v>420</v>
      </c>
      <c r="E255" s="20">
        <v>288</v>
      </c>
      <c r="F255" s="20">
        <v>191</v>
      </c>
      <c r="G255" s="20">
        <v>254</v>
      </c>
      <c r="H255" s="13" t="s">
        <v>2784</v>
      </c>
      <c r="I255" s="13" t="str">
        <f t="shared" si="6"/>
        <v>SR 818/Griffin Rd (SW 184th Av to US 27)</v>
      </c>
      <c r="J255" s="13" t="s">
        <v>29</v>
      </c>
      <c r="K255" s="13" t="str">
        <f>VLOOKUP(J255,'Data-ProjectTypes'!A$3:B$13,2,FALSE)</f>
        <v>Program</v>
      </c>
      <c r="L255" s="21" t="s">
        <v>348</v>
      </c>
      <c r="M255" s="13" t="s">
        <v>2111</v>
      </c>
      <c r="N255" s="13" t="s">
        <v>30</v>
      </c>
      <c r="O255" s="13" t="s">
        <v>273</v>
      </c>
      <c r="P255" s="13" t="s">
        <v>273</v>
      </c>
      <c r="Q255" s="22">
        <v>2.6</v>
      </c>
      <c r="R255" s="23">
        <v>592481</v>
      </c>
      <c r="S255" s="21" t="s">
        <v>24</v>
      </c>
      <c r="T255" s="21" t="s">
        <v>684</v>
      </c>
      <c r="U255" s="21" t="s">
        <v>684</v>
      </c>
      <c r="V255" s="24"/>
      <c r="W255" s="24" t="s">
        <v>780</v>
      </c>
      <c r="X255" s="24"/>
      <c r="Y255" s="17" t="s">
        <v>783</v>
      </c>
      <c r="Z255" s="18">
        <f>ROUND(R255*'Data-CostAssumptions'!$C$3,-3)</f>
        <v>820000</v>
      </c>
      <c r="AA255" s="11">
        <f t="shared" si="7"/>
        <v>1</v>
      </c>
      <c r="AB255" s="11">
        <v>2041</v>
      </c>
      <c r="AC255" s="11">
        <v>2041</v>
      </c>
      <c r="AD255" s="11">
        <v>2041</v>
      </c>
      <c r="AE255" s="11">
        <v>2041</v>
      </c>
      <c r="AF255" s="11">
        <v>0</v>
      </c>
      <c r="AG255" s="19">
        <f>ROUND((Z255*'Data-CostAssumptions'!$G$5)*(1+'Data-CostAssumptions'!$G$3)^(AC255-'Data-CostAssumptions'!$G$4),-3)</f>
        <v>463000</v>
      </c>
      <c r="AH255" s="19">
        <f>ROUND((Z255)*(1+'Data-CostAssumptions'!$G$3)^(AE255-'Data-CostAssumptions'!$G$4),-3)</f>
        <v>2102000</v>
      </c>
    </row>
    <row r="256" spans="1:34" ht="15" customHeight="1" x14ac:dyDescent="0.2">
      <c r="A256" s="11"/>
      <c r="B256" s="11" t="s">
        <v>1211</v>
      </c>
      <c r="C256" s="13">
        <v>878</v>
      </c>
      <c r="D256" s="13" t="s">
        <v>420</v>
      </c>
      <c r="E256" s="20">
        <v>290</v>
      </c>
      <c r="F256" s="20">
        <v>191</v>
      </c>
      <c r="G256" s="20">
        <v>255</v>
      </c>
      <c r="H256" s="13" t="s">
        <v>2111</v>
      </c>
      <c r="I256" s="13" t="str">
        <f t="shared" si="6"/>
        <v>SW 184th Av (Miramar Parkway to Pines Bl)</v>
      </c>
      <c r="J256" s="13" t="s">
        <v>29</v>
      </c>
      <c r="K256" s="13" t="str">
        <f>VLOOKUP(J256,'Data-ProjectTypes'!A$3:B$13,2,FALSE)</f>
        <v>Program</v>
      </c>
      <c r="L256" s="21" t="s">
        <v>348</v>
      </c>
      <c r="M256" s="13" t="s">
        <v>39</v>
      </c>
      <c r="N256" s="13" t="s">
        <v>1826</v>
      </c>
      <c r="O256" s="13" t="s">
        <v>272</v>
      </c>
      <c r="P256" s="13" t="s">
        <v>272</v>
      </c>
      <c r="Q256" s="22">
        <v>2</v>
      </c>
      <c r="R256" s="23">
        <v>462328</v>
      </c>
      <c r="S256" s="21" t="s">
        <v>24</v>
      </c>
      <c r="T256" s="21" t="s">
        <v>25</v>
      </c>
      <c r="U256" s="21" t="s">
        <v>25</v>
      </c>
      <c r="V256" s="24"/>
      <c r="W256" s="24"/>
      <c r="X256" s="24"/>
      <c r="Y256" s="17" t="s">
        <v>685</v>
      </c>
      <c r="Z256" s="18">
        <f>ROUND(R256*'Data-CostAssumptions'!$C$3,-3)</f>
        <v>640000</v>
      </c>
      <c r="AA256" s="11">
        <f t="shared" si="7"/>
        <v>0</v>
      </c>
      <c r="AB256" s="11">
        <v>2041</v>
      </c>
      <c r="AC256" s="11">
        <v>2041</v>
      </c>
      <c r="AD256" s="11">
        <v>2041</v>
      </c>
      <c r="AE256" s="11">
        <v>2041</v>
      </c>
      <c r="AF256" s="11">
        <v>0</v>
      </c>
      <c r="AG256" s="19">
        <f>ROUND((Z256*'Data-CostAssumptions'!$G$5)*(1+'Data-CostAssumptions'!$G$3)^(AC256-'Data-CostAssumptions'!$G$4),-3)</f>
        <v>361000</v>
      </c>
      <c r="AH256" s="19">
        <f>ROUND((Z256)*(1+'Data-CostAssumptions'!$G$3)^(AE256-'Data-CostAssumptions'!$G$4),-3)</f>
        <v>1641000</v>
      </c>
    </row>
    <row r="257" spans="1:34" ht="15" customHeight="1" x14ac:dyDescent="0.2">
      <c r="A257" s="11"/>
      <c r="B257" s="11" t="s">
        <v>1211</v>
      </c>
      <c r="C257" s="13">
        <v>879</v>
      </c>
      <c r="D257" s="13" t="s">
        <v>420</v>
      </c>
      <c r="E257" s="20">
        <v>296</v>
      </c>
      <c r="F257" s="20">
        <v>191</v>
      </c>
      <c r="G257" s="20">
        <v>256</v>
      </c>
      <c r="H257" s="13" t="s">
        <v>1911</v>
      </c>
      <c r="I257" s="13" t="str">
        <f t="shared" si="6"/>
        <v>NW 19th St (Powerline Rd to NW 21st Av/NW 23rd Av)</v>
      </c>
      <c r="J257" s="13" t="s">
        <v>29</v>
      </c>
      <c r="K257" s="13" t="str">
        <f>VLOOKUP(J257,'Data-ProjectTypes'!A$3:B$13,2,FALSE)</f>
        <v>Program</v>
      </c>
      <c r="L257" s="21" t="s">
        <v>348</v>
      </c>
      <c r="M257" s="13" t="s">
        <v>1858</v>
      </c>
      <c r="N257" s="13" t="s">
        <v>2058</v>
      </c>
      <c r="O257" s="13" t="s">
        <v>273</v>
      </c>
      <c r="P257" s="13" t="s">
        <v>273</v>
      </c>
      <c r="Q257" s="22">
        <v>1</v>
      </c>
      <c r="R257" s="23">
        <v>234348</v>
      </c>
      <c r="S257" s="21"/>
      <c r="T257" s="21"/>
      <c r="U257" s="21"/>
      <c r="V257" s="24"/>
      <c r="W257" s="24"/>
      <c r="X257" s="24"/>
      <c r="Y257" s="17"/>
      <c r="Z257" s="18">
        <f>ROUND(R257*'Data-CostAssumptions'!$C$3,-3)</f>
        <v>324000</v>
      </c>
      <c r="AA257" s="11">
        <f t="shared" si="7"/>
        <v>0</v>
      </c>
      <c r="AB257" s="11">
        <v>2041</v>
      </c>
      <c r="AC257" s="11">
        <v>2041</v>
      </c>
      <c r="AD257" s="11">
        <v>2041</v>
      </c>
      <c r="AE257" s="11">
        <v>2041</v>
      </c>
      <c r="AF257" s="11">
        <v>0</v>
      </c>
      <c r="AG257" s="19">
        <f>ROUND((Z257*'Data-CostAssumptions'!$G$5)*(1+'Data-CostAssumptions'!$G$3)^(AC257-'Data-CostAssumptions'!$G$4),-3)</f>
        <v>183000</v>
      </c>
      <c r="AH257" s="19">
        <f>ROUND((Z257)*(1+'Data-CostAssumptions'!$G$3)^(AE257-'Data-CostAssumptions'!$G$4),-3)</f>
        <v>831000</v>
      </c>
    </row>
    <row r="258" spans="1:34" ht="15" customHeight="1" x14ac:dyDescent="0.2">
      <c r="A258" s="11"/>
      <c r="B258" s="11" t="s">
        <v>1211</v>
      </c>
      <c r="C258" s="13">
        <v>880</v>
      </c>
      <c r="D258" s="13" t="s">
        <v>420</v>
      </c>
      <c r="E258" s="20">
        <v>308</v>
      </c>
      <c r="F258" s="20">
        <v>191</v>
      </c>
      <c r="G258" s="20">
        <v>257</v>
      </c>
      <c r="H258" s="13" t="s">
        <v>2209</v>
      </c>
      <c r="I258" s="13" t="str">
        <f t="shared" ref="I258:I321" si="8">IF(M258="@",H258&amp;" ("&amp;M258&amp;"  "&amp;N258&amp;")",H258&amp;" ("&amp;M258&amp;" to "&amp;N258&amp;")")</f>
        <v>SR 5/ US 1 (North County Line to Hillsboro Bl)</v>
      </c>
      <c r="J258" s="13" t="s">
        <v>29</v>
      </c>
      <c r="K258" s="13" t="str">
        <f>VLOOKUP(J258,'Data-ProjectTypes'!A$3:B$13,2,FALSE)</f>
        <v>Program</v>
      </c>
      <c r="L258" s="21" t="s">
        <v>348</v>
      </c>
      <c r="M258" s="13" t="s">
        <v>44</v>
      </c>
      <c r="N258" s="13" t="s">
        <v>1819</v>
      </c>
      <c r="O258" s="13" t="s">
        <v>270</v>
      </c>
      <c r="P258" s="13" t="s">
        <v>270</v>
      </c>
      <c r="Q258" s="22">
        <v>0.7</v>
      </c>
      <c r="R258" s="23">
        <v>163157</v>
      </c>
      <c r="S258" s="21"/>
      <c r="T258" s="21"/>
      <c r="U258" s="21"/>
      <c r="V258" s="24"/>
      <c r="W258" s="24" t="s">
        <v>491</v>
      </c>
      <c r="X258" s="32" t="s">
        <v>499</v>
      </c>
      <c r="Y258" s="17" t="s">
        <v>492</v>
      </c>
      <c r="Z258" s="18">
        <f>ROUND(R258*'Data-CostAssumptions'!$C$3,-3)</f>
        <v>226000</v>
      </c>
      <c r="AA258" s="11">
        <f t="shared" si="7"/>
        <v>1</v>
      </c>
      <c r="AB258" s="11">
        <v>2041</v>
      </c>
      <c r="AC258" s="11">
        <v>2041</v>
      </c>
      <c r="AD258" s="11">
        <v>2041</v>
      </c>
      <c r="AE258" s="11">
        <v>2041</v>
      </c>
      <c r="AF258" s="11">
        <v>0</v>
      </c>
      <c r="AG258" s="19">
        <f>ROUND((Z258*'Data-CostAssumptions'!$G$5)*(1+'Data-CostAssumptions'!$G$3)^(AC258-'Data-CostAssumptions'!$G$4),-3)</f>
        <v>127000</v>
      </c>
      <c r="AH258" s="19">
        <f>ROUND((Z258)*(1+'Data-CostAssumptions'!$G$3)^(AE258-'Data-CostAssumptions'!$G$4),-3)</f>
        <v>579000</v>
      </c>
    </row>
    <row r="259" spans="1:34" ht="15" customHeight="1" x14ac:dyDescent="0.2">
      <c r="A259" s="11"/>
      <c r="B259" s="11" t="s">
        <v>1211</v>
      </c>
      <c r="C259" s="13">
        <v>881</v>
      </c>
      <c r="D259" s="13" t="s">
        <v>420</v>
      </c>
      <c r="E259" s="20">
        <v>315</v>
      </c>
      <c r="F259" s="20">
        <v>191</v>
      </c>
      <c r="G259" s="20">
        <v>258</v>
      </c>
      <c r="H259" s="13" t="s">
        <v>2116</v>
      </c>
      <c r="I259" s="13" t="str">
        <f t="shared" si="8"/>
        <v>SW 26th Terrace-SW 32nd Av Connector (Ravenswood Rd to State Rd 84)</v>
      </c>
      <c r="J259" s="13" t="s">
        <v>29</v>
      </c>
      <c r="K259" s="13" t="str">
        <f>VLOOKUP(J259,'Data-ProjectTypes'!A$3:B$13,2,FALSE)</f>
        <v>Program</v>
      </c>
      <c r="L259" s="21" t="s">
        <v>348</v>
      </c>
      <c r="M259" s="13" t="s">
        <v>1765</v>
      </c>
      <c r="N259" s="13" t="s">
        <v>1774</v>
      </c>
      <c r="O259" s="13" t="s">
        <v>286</v>
      </c>
      <c r="P259" s="13" t="s">
        <v>286</v>
      </c>
      <c r="Q259" s="22">
        <v>0.7</v>
      </c>
      <c r="R259" s="23">
        <v>152900</v>
      </c>
      <c r="S259" s="21"/>
      <c r="T259" s="21"/>
      <c r="U259" s="21"/>
      <c r="V259" s="24"/>
      <c r="W259" s="24"/>
      <c r="X259" s="24"/>
      <c r="Y259" s="17"/>
      <c r="Z259" s="18">
        <f>ROUND(R259*'Data-CostAssumptions'!$C$3,-3)</f>
        <v>212000</v>
      </c>
      <c r="AA259" s="11">
        <f t="shared" ref="AA259:AA322" si="9">IF(V259="",IF(W259="",0,1),1)</f>
        <v>0</v>
      </c>
      <c r="AB259" s="11">
        <v>2041</v>
      </c>
      <c r="AC259" s="11">
        <v>2041</v>
      </c>
      <c r="AD259" s="11">
        <v>2041</v>
      </c>
      <c r="AE259" s="11">
        <v>2041</v>
      </c>
      <c r="AF259" s="11">
        <v>0</v>
      </c>
      <c r="AG259" s="19">
        <f>ROUND((Z259*'Data-CostAssumptions'!$G$5)*(1+'Data-CostAssumptions'!$G$3)^(AC259-'Data-CostAssumptions'!$G$4),-3)</f>
        <v>120000</v>
      </c>
      <c r="AH259" s="19">
        <f>ROUND((Z259)*(1+'Data-CostAssumptions'!$G$3)^(AE259-'Data-CostAssumptions'!$G$4),-3)</f>
        <v>544000</v>
      </c>
    </row>
    <row r="260" spans="1:34" ht="15" customHeight="1" x14ac:dyDescent="0.2">
      <c r="A260" s="11"/>
      <c r="B260" s="11" t="s">
        <v>1211</v>
      </c>
      <c r="C260" s="13">
        <v>882</v>
      </c>
      <c r="D260" s="13" t="s">
        <v>420</v>
      </c>
      <c r="E260" s="20">
        <v>325</v>
      </c>
      <c r="F260" s="20">
        <v>191</v>
      </c>
      <c r="G260" s="20">
        <v>259</v>
      </c>
      <c r="H260" s="13" t="s">
        <v>159</v>
      </c>
      <c r="I260" s="13" t="str">
        <f t="shared" si="8"/>
        <v>Flamingo Rd (Johnson St to Taft St)</v>
      </c>
      <c r="J260" s="13" t="s">
        <v>29</v>
      </c>
      <c r="K260" s="13" t="str">
        <f>VLOOKUP(J260,'Data-ProjectTypes'!A$3:B$13,2,FALSE)</f>
        <v>Program</v>
      </c>
      <c r="L260" s="21" t="s">
        <v>348</v>
      </c>
      <c r="M260" s="13" t="s">
        <v>1880</v>
      </c>
      <c r="N260" s="13" t="s">
        <v>1968</v>
      </c>
      <c r="O260" s="13" t="s">
        <v>271</v>
      </c>
      <c r="P260" s="13" t="s">
        <v>271</v>
      </c>
      <c r="Q260" s="22">
        <v>0.5</v>
      </c>
      <c r="R260" s="23">
        <v>116023</v>
      </c>
      <c r="S260" s="21"/>
      <c r="T260" s="21"/>
      <c r="U260" s="21"/>
      <c r="V260" s="24"/>
      <c r="W260" s="24"/>
      <c r="X260" s="24"/>
      <c r="Y260" s="17"/>
      <c r="Z260" s="18">
        <f>ROUND(R260*'Data-CostAssumptions'!$C$3,-3)</f>
        <v>161000</v>
      </c>
      <c r="AA260" s="11">
        <f t="shared" si="9"/>
        <v>0</v>
      </c>
      <c r="AB260" s="11">
        <v>2041</v>
      </c>
      <c r="AC260" s="11">
        <v>2041</v>
      </c>
      <c r="AD260" s="11">
        <v>2041</v>
      </c>
      <c r="AE260" s="11">
        <v>2041</v>
      </c>
      <c r="AF260" s="11">
        <v>0</v>
      </c>
      <c r="AG260" s="19">
        <f>ROUND((Z260*'Data-CostAssumptions'!$G$5)*(1+'Data-CostAssumptions'!$G$3)^(AC260-'Data-CostAssumptions'!$G$4),-3)</f>
        <v>91000</v>
      </c>
      <c r="AH260" s="19">
        <f>ROUND((Z260)*(1+'Data-CostAssumptions'!$G$3)^(AE260-'Data-CostAssumptions'!$G$4),-3)</f>
        <v>413000</v>
      </c>
    </row>
    <row r="261" spans="1:34" ht="15" customHeight="1" x14ac:dyDescent="0.2">
      <c r="A261" s="11"/>
      <c r="B261" s="11" t="s">
        <v>1211</v>
      </c>
      <c r="C261" s="13">
        <v>883</v>
      </c>
      <c r="D261" s="13" t="s">
        <v>420</v>
      </c>
      <c r="E261" s="20">
        <v>327</v>
      </c>
      <c r="F261" s="20">
        <v>191</v>
      </c>
      <c r="G261" s="20">
        <v>260</v>
      </c>
      <c r="H261" s="13" t="s">
        <v>1951</v>
      </c>
      <c r="I261" s="13" t="str">
        <f t="shared" si="8"/>
        <v>Sheridan St (NW 184th Av to US 27)</v>
      </c>
      <c r="J261" s="13" t="s">
        <v>29</v>
      </c>
      <c r="K261" s="13" t="str">
        <f>VLOOKUP(J261,'Data-ProjectTypes'!A$3:B$13,2,FALSE)</f>
        <v>Program</v>
      </c>
      <c r="L261" s="21" t="s">
        <v>348</v>
      </c>
      <c r="M261" s="13" t="s">
        <v>2381</v>
      </c>
      <c r="N261" s="13" t="s">
        <v>30</v>
      </c>
      <c r="O261" s="13" t="s">
        <v>273</v>
      </c>
      <c r="P261" s="13" t="s">
        <v>273</v>
      </c>
      <c r="Q261" s="22">
        <v>2.5</v>
      </c>
      <c r="R261" s="23">
        <v>580896</v>
      </c>
      <c r="S261" s="21"/>
      <c r="T261" s="21"/>
      <c r="U261" s="21"/>
      <c r="V261" s="24"/>
      <c r="W261" s="24"/>
      <c r="X261" s="24"/>
      <c r="Y261" s="17"/>
      <c r="Z261" s="18">
        <f>ROUND(R261*'Data-CostAssumptions'!$C$3,-3)</f>
        <v>804000</v>
      </c>
      <c r="AA261" s="11">
        <f t="shared" si="9"/>
        <v>0</v>
      </c>
      <c r="AB261" s="11">
        <v>2041</v>
      </c>
      <c r="AC261" s="11">
        <v>2041</v>
      </c>
      <c r="AD261" s="11">
        <v>2041</v>
      </c>
      <c r="AE261" s="11">
        <v>2041</v>
      </c>
      <c r="AF261" s="11">
        <v>0</v>
      </c>
      <c r="AG261" s="19">
        <f>ROUND((Z261*'Data-CostAssumptions'!$G$5)*(1+'Data-CostAssumptions'!$G$3)^(AC261-'Data-CostAssumptions'!$G$4),-3)</f>
        <v>454000</v>
      </c>
      <c r="AH261" s="19">
        <f>ROUND((Z261)*(1+'Data-CostAssumptions'!$G$3)^(AE261-'Data-CostAssumptions'!$G$4),-3)</f>
        <v>2061000</v>
      </c>
    </row>
    <row r="262" spans="1:34" ht="15" customHeight="1" x14ac:dyDescent="0.2">
      <c r="A262" s="11"/>
      <c r="B262" s="11" t="s">
        <v>1211</v>
      </c>
      <c r="C262" s="13">
        <v>884</v>
      </c>
      <c r="D262" s="13" t="s">
        <v>420</v>
      </c>
      <c r="E262" s="20">
        <v>330</v>
      </c>
      <c r="F262" s="20">
        <v>191</v>
      </c>
      <c r="G262" s="20">
        <v>261</v>
      </c>
      <c r="H262" s="13" t="s">
        <v>2016</v>
      </c>
      <c r="I262" s="13" t="str">
        <f t="shared" si="8"/>
        <v>College Av (SW 39th St to SW 30th St)</v>
      </c>
      <c r="J262" s="13" t="s">
        <v>29</v>
      </c>
      <c r="K262" s="13" t="str">
        <f>VLOOKUP(J262,'Data-ProjectTypes'!A$3:B$13,2,FALSE)</f>
        <v>Program</v>
      </c>
      <c r="L262" s="21" t="s">
        <v>348</v>
      </c>
      <c r="M262" s="13" t="s">
        <v>486</v>
      </c>
      <c r="N262" s="13" t="s">
        <v>485</v>
      </c>
      <c r="O262" s="13" t="s">
        <v>279</v>
      </c>
      <c r="P262" s="13" t="s">
        <v>279</v>
      </c>
      <c r="Q262" s="22">
        <v>0.6</v>
      </c>
      <c r="R262" s="23">
        <v>134977</v>
      </c>
      <c r="S262" s="21" t="s">
        <v>24</v>
      </c>
      <c r="T262" s="21" t="s">
        <v>24</v>
      </c>
      <c r="U262" s="21"/>
      <c r="V262" s="24"/>
      <c r="W262" s="24"/>
      <c r="X262" s="24"/>
      <c r="Y262" s="17" t="s">
        <v>469</v>
      </c>
      <c r="Z262" s="18">
        <f>ROUND(R262*'Data-CostAssumptions'!$C$3,-3)</f>
        <v>187000</v>
      </c>
      <c r="AA262" s="11">
        <f t="shared" si="9"/>
        <v>0</v>
      </c>
      <c r="AB262" s="11">
        <v>2041</v>
      </c>
      <c r="AC262" s="11">
        <v>2041</v>
      </c>
      <c r="AD262" s="11">
        <v>2041</v>
      </c>
      <c r="AE262" s="11">
        <v>2041</v>
      </c>
      <c r="AF262" s="11">
        <v>0</v>
      </c>
      <c r="AG262" s="19">
        <f>ROUND((Z262*'Data-CostAssumptions'!$G$5)*(1+'Data-CostAssumptions'!$G$3)^(AC262-'Data-CostAssumptions'!$G$4),-3)</f>
        <v>105000</v>
      </c>
      <c r="AH262" s="19">
        <f>ROUND((Z262)*(1+'Data-CostAssumptions'!$G$3)^(AE262-'Data-CostAssumptions'!$G$4),-3)</f>
        <v>479000</v>
      </c>
    </row>
    <row r="263" spans="1:34" ht="15" customHeight="1" x14ac:dyDescent="0.2">
      <c r="A263" s="11"/>
      <c r="B263" s="11" t="s">
        <v>1211</v>
      </c>
      <c r="C263" s="13">
        <v>885</v>
      </c>
      <c r="D263" s="13" t="s">
        <v>420</v>
      </c>
      <c r="E263" s="20">
        <v>333</v>
      </c>
      <c r="F263" s="20">
        <v>191</v>
      </c>
      <c r="G263" s="20">
        <v>262</v>
      </c>
      <c r="H263" s="13" t="s">
        <v>2798</v>
      </c>
      <c r="I263" s="13" t="str">
        <f t="shared" si="8"/>
        <v>SR 842/Broward Bl (Flamingo Rd to Commodore Dr)</v>
      </c>
      <c r="J263" s="13" t="s">
        <v>29</v>
      </c>
      <c r="K263" s="13" t="str">
        <f>VLOOKUP(J263,'Data-ProjectTypes'!A$3:B$13,2,FALSE)</f>
        <v>Program</v>
      </c>
      <c r="L263" s="21" t="s">
        <v>348</v>
      </c>
      <c r="M263" s="13" t="s">
        <v>159</v>
      </c>
      <c r="N263" s="13" t="s">
        <v>1784</v>
      </c>
      <c r="O263" s="13" t="s">
        <v>284</v>
      </c>
      <c r="P263" s="13" t="s">
        <v>284</v>
      </c>
      <c r="Q263" s="22">
        <v>0.7</v>
      </c>
      <c r="R263" s="23">
        <v>169947</v>
      </c>
      <c r="S263" s="21"/>
      <c r="T263" s="21"/>
      <c r="U263" s="21"/>
      <c r="V263" s="24"/>
      <c r="W263" s="24"/>
      <c r="X263" s="24"/>
      <c r="Y263" s="17"/>
      <c r="Z263" s="18">
        <f>ROUND(R263*'Data-CostAssumptions'!$C$3,-3)</f>
        <v>235000</v>
      </c>
      <c r="AA263" s="11">
        <f t="shared" si="9"/>
        <v>0</v>
      </c>
      <c r="AB263" s="11">
        <v>2041</v>
      </c>
      <c r="AC263" s="11">
        <v>2041</v>
      </c>
      <c r="AD263" s="11">
        <v>2041</v>
      </c>
      <c r="AE263" s="11">
        <v>2041</v>
      </c>
      <c r="AF263" s="11">
        <v>0</v>
      </c>
      <c r="AG263" s="19">
        <f>ROUND((Z263*'Data-CostAssumptions'!$G$5)*(1+'Data-CostAssumptions'!$G$3)^(AC263-'Data-CostAssumptions'!$G$4),-3)</f>
        <v>133000</v>
      </c>
      <c r="AH263" s="19">
        <f>ROUND((Z263)*(1+'Data-CostAssumptions'!$G$3)^(AE263-'Data-CostAssumptions'!$G$4),-3)</f>
        <v>603000</v>
      </c>
    </row>
    <row r="264" spans="1:34" ht="15" customHeight="1" x14ac:dyDescent="0.2">
      <c r="A264" s="11"/>
      <c r="B264" s="11" t="s">
        <v>1211</v>
      </c>
      <c r="C264" s="13">
        <v>886</v>
      </c>
      <c r="D264" s="13" t="s">
        <v>420</v>
      </c>
      <c r="E264" s="20">
        <v>1</v>
      </c>
      <c r="F264" s="20">
        <v>191</v>
      </c>
      <c r="G264" s="20">
        <v>263</v>
      </c>
      <c r="H264" s="13" t="s">
        <v>1755</v>
      </c>
      <c r="I264" s="13" t="str">
        <f t="shared" si="8"/>
        <v>Nob Hill Rd (Oakland Park Bl to McNab Rd)</v>
      </c>
      <c r="J264" s="13" t="s">
        <v>29</v>
      </c>
      <c r="K264" s="13" t="str">
        <f>VLOOKUP(J264,'Data-ProjectTypes'!A$3:B$13,2,FALSE)</f>
        <v>Program</v>
      </c>
      <c r="L264" s="21" t="s">
        <v>348</v>
      </c>
      <c r="M264" s="13" t="s">
        <v>1825</v>
      </c>
      <c r="N264" s="13" t="s">
        <v>1854</v>
      </c>
      <c r="O264" s="13" t="s">
        <v>273</v>
      </c>
      <c r="P264" s="13" t="s">
        <v>273</v>
      </c>
      <c r="Q264" s="22">
        <v>2.7</v>
      </c>
      <c r="R264" s="23">
        <v>619968</v>
      </c>
      <c r="S264" s="21"/>
      <c r="T264" s="21"/>
      <c r="U264" s="21"/>
      <c r="V264" s="24"/>
      <c r="W264" s="24"/>
      <c r="X264" s="24"/>
      <c r="Y264" s="17"/>
      <c r="Z264" s="18">
        <f>ROUND(R264*'Data-CostAssumptions'!$C$3,-3)</f>
        <v>858000</v>
      </c>
      <c r="AA264" s="11">
        <f t="shared" si="9"/>
        <v>0</v>
      </c>
      <c r="AB264" s="11">
        <v>2041</v>
      </c>
      <c r="AC264" s="11">
        <v>2041</v>
      </c>
      <c r="AD264" s="11">
        <v>2041</v>
      </c>
      <c r="AE264" s="11">
        <v>2041</v>
      </c>
      <c r="AF264" s="11">
        <v>0</v>
      </c>
      <c r="AG264" s="19">
        <f>ROUND((Z264*'Data-CostAssumptions'!$G$5)*(1+'Data-CostAssumptions'!$G$3)^(AC264-'Data-CostAssumptions'!$G$4),-3)</f>
        <v>484000</v>
      </c>
      <c r="AH264" s="19">
        <f>ROUND((Z264)*(1+'Data-CostAssumptions'!$G$3)^(AE264-'Data-CostAssumptions'!$G$4),-3)</f>
        <v>2200000</v>
      </c>
    </row>
    <row r="265" spans="1:34" ht="15" customHeight="1" x14ac:dyDescent="0.2">
      <c r="A265" s="11"/>
      <c r="B265" s="11" t="s">
        <v>1211</v>
      </c>
      <c r="C265" s="13">
        <v>887</v>
      </c>
      <c r="D265" s="13" t="s">
        <v>420</v>
      </c>
      <c r="E265" s="20">
        <v>13</v>
      </c>
      <c r="F265" s="20">
        <v>191</v>
      </c>
      <c r="G265" s="20">
        <v>264</v>
      </c>
      <c r="H265" s="13" t="s">
        <v>1787</v>
      </c>
      <c r="I265" s="13" t="str">
        <f t="shared" si="8"/>
        <v>Coral Springs Dr (NW 9th Manor/Atlantic Bl to Sample Rd)</v>
      </c>
      <c r="J265" s="13" t="s">
        <v>29</v>
      </c>
      <c r="K265" s="13" t="str">
        <f>VLOOKUP(J265,'Data-ProjectTypes'!A$3:B$13,2,FALSE)</f>
        <v>Program</v>
      </c>
      <c r="L265" s="21" t="s">
        <v>348</v>
      </c>
      <c r="M265" s="13" t="s">
        <v>2326</v>
      </c>
      <c r="N265" s="13" t="s">
        <v>1864</v>
      </c>
      <c r="O265" s="13" t="s">
        <v>273</v>
      </c>
      <c r="P265" s="13" t="s">
        <v>273</v>
      </c>
      <c r="Q265" s="22">
        <v>2.2999999999999998</v>
      </c>
      <c r="R265" s="23">
        <v>528940</v>
      </c>
      <c r="S265" s="21" t="s">
        <v>24</v>
      </c>
      <c r="T265" s="21"/>
      <c r="U265" s="21"/>
      <c r="V265" s="24"/>
      <c r="W265" s="24"/>
      <c r="X265" s="24"/>
      <c r="Y265" s="17" t="s">
        <v>460</v>
      </c>
      <c r="Z265" s="18">
        <f>ROUND(R265*'Data-CostAssumptions'!$C$3,-3)</f>
        <v>732000</v>
      </c>
      <c r="AA265" s="11">
        <f t="shared" si="9"/>
        <v>0</v>
      </c>
      <c r="AB265" s="11">
        <v>2041</v>
      </c>
      <c r="AC265" s="11">
        <v>2041</v>
      </c>
      <c r="AD265" s="11">
        <v>2041</v>
      </c>
      <c r="AE265" s="11">
        <v>2041</v>
      </c>
      <c r="AF265" s="11">
        <v>0</v>
      </c>
      <c r="AG265" s="19">
        <f>ROUND((Z265*'Data-CostAssumptions'!$G$5)*(1+'Data-CostAssumptions'!$G$3)^(AC265-'Data-CostAssumptions'!$G$4),-3)</f>
        <v>413000</v>
      </c>
      <c r="AH265" s="19">
        <f>ROUND((Z265)*(1+'Data-CostAssumptions'!$G$3)^(AE265-'Data-CostAssumptions'!$G$4),-3)</f>
        <v>1877000</v>
      </c>
    </row>
    <row r="266" spans="1:34" ht="15" customHeight="1" x14ac:dyDescent="0.2">
      <c r="A266" s="11"/>
      <c r="B266" s="11" t="s">
        <v>1211</v>
      </c>
      <c r="C266" s="13">
        <v>888</v>
      </c>
      <c r="D266" s="13" t="s">
        <v>420</v>
      </c>
      <c r="E266" s="20">
        <v>20</v>
      </c>
      <c r="F266" s="20">
        <v>192</v>
      </c>
      <c r="G266" s="20">
        <v>265</v>
      </c>
      <c r="H266" s="13" t="s">
        <v>1836</v>
      </c>
      <c r="I266" s="13" t="str">
        <f t="shared" si="8"/>
        <v>Copans Rd (NW 42nd Av to State Rd 7)</v>
      </c>
      <c r="J266" s="13" t="s">
        <v>29</v>
      </c>
      <c r="K266" s="13" t="str">
        <f>VLOOKUP(J266,'Data-ProjectTypes'!A$3:B$13,2,FALSE)</f>
        <v>Program</v>
      </c>
      <c r="L266" s="21" t="s">
        <v>348</v>
      </c>
      <c r="M266" s="13" t="s">
        <v>2213</v>
      </c>
      <c r="N266" s="13" t="s">
        <v>1772</v>
      </c>
      <c r="O266" s="13" t="s">
        <v>273</v>
      </c>
      <c r="P266" s="13" t="s">
        <v>273</v>
      </c>
      <c r="Q266" s="22">
        <v>1.3</v>
      </c>
      <c r="R266" s="23">
        <v>305772</v>
      </c>
      <c r="S266" s="21"/>
      <c r="T266" s="21"/>
      <c r="U266" s="21"/>
      <c r="V266" s="24"/>
      <c r="W266" s="24"/>
      <c r="X266" s="24"/>
      <c r="Y266" s="17"/>
      <c r="Z266" s="18">
        <f>ROUND(R266*'Data-CostAssumptions'!$C$3,-3)</f>
        <v>423000</v>
      </c>
      <c r="AA266" s="11">
        <f t="shared" si="9"/>
        <v>0</v>
      </c>
      <c r="AB266" s="11">
        <v>2041</v>
      </c>
      <c r="AC266" s="11">
        <v>2041</v>
      </c>
      <c r="AD266" s="11">
        <v>2041</v>
      </c>
      <c r="AE266" s="11">
        <v>2041</v>
      </c>
      <c r="AF266" s="11">
        <v>0</v>
      </c>
      <c r="AG266" s="19">
        <f>ROUND((Z266*'Data-CostAssumptions'!$G$5)*(1+'Data-CostAssumptions'!$G$3)^(AC266-'Data-CostAssumptions'!$G$4),-3)</f>
        <v>239000</v>
      </c>
      <c r="AH266" s="19">
        <f>ROUND((Z266)*(1+'Data-CostAssumptions'!$G$3)^(AE266-'Data-CostAssumptions'!$G$4),-3)</f>
        <v>1085000</v>
      </c>
    </row>
    <row r="267" spans="1:34" ht="15" customHeight="1" x14ac:dyDescent="0.2">
      <c r="A267" s="11"/>
      <c r="B267" s="11" t="s">
        <v>1211</v>
      </c>
      <c r="C267" s="13">
        <v>889</v>
      </c>
      <c r="D267" s="13" t="s">
        <v>420</v>
      </c>
      <c r="E267" s="20">
        <v>33</v>
      </c>
      <c r="F267" s="20">
        <v>192</v>
      </c>
      <c r="G267" s="20">
        <v>266</v>
      </c>
      <c r="H267" s="13" t="s">
        <v>2815</v>
      </c>
      <c r="I267" s="13" t="str">
        <f t="shared" si="8"/>
        <v>SR 820/Hillsboro Bl (Natura Bl to Military Trail)</v>
      </c>
      <c r="J267" s="13" t="s">
        <v>29</v>
      </c>
      <c r="K267" s="13" t="str">
        <f>VLOOKUP(J267,'Data-ProjectTypes'!A$3:B$13,2,FALSE)</f>
        <v>Program</v>
      </c>
      <c r="L267" s="21" t="s">
        <v>348</v>
      </c>
      <c r="M267" s="13" t="s">
        <v>1824</v>
      </c>
      <c r="N267" s="13" t="s">
        <v>113</v>
      </c>
      <c r="O267" s="13" t="s">
        <v>270</v>
      </c>
      <c r="P267" s="13" t="s">
        <v>270</v>
      </c>
      <c r="Q267" s="22">
        <v>1.1000000000000001</v>
      </c>
      <c r="R267" s="23">
        <v>254189</v>
      </c>
      <c r="S267" s="21"/>
      <c r="T267" s="21"/>
      <c r="U267" s="21"/>
      <c r="V267" s="24"/>
      <c r="W267" s="24" t="s">
        <v>491</v>
      </c>
      <c r="X267" s="24"/>
      <c r="Y267" s="17" t="s">
        <v>492</v>
      </c>
      <c r="Z267" s="18">
        <f>ROUND(R267*'Data-CostAssumptions'!$C$3,-3)</f>
        <v>352000</v>
      </c>
      <c r="AA267" s="11">
        <f t="shared" si="9"/>
        <v>1</v>
      </c>
      <c r="AB267" s="11">
        <v>2041</v>
      </c>
      <c r="AC267" s="11">
        <v>2041</v>
      </c>
      <c r="AD267" s="11">
        <v>2041</v>
      </c>
      <c r="AE267" s="11">
        <v>2041</v>
      </c>
      <c r="AF267" s="11">
        <v>0</v>
      </c>
      <c r="AG267" s="19">
        <f>ROUND((Z267*'Data-CostAssumptions'!$G$5)*(1+'Data-CostAssumptions'!$G$3)^(AC267-'Data-CostAssumptions'!$G$4),-3)</f>
        <v>199000</v>
      </c>
      <c r="AH267" s="19">
        <f>ROUND((Z267)*(1+'Data-CostAssumptions'!$G$3)^(AE267-'Data-CostAssumptions'!$G$4),-3)</f>
        <v>903000</v>
      </c>
    </row>
    <row r="268" spans="1:34" ht="15" customHeight="1" x14ac:dyDescent="0.2">
      <c r="A268" s="11"/>
      <c r="B268" s="11" t="s">
        <v>1211</v>
      </c>
      <c r="C268" s="13">
        <v>890</v>
      </c>
      <c r="D268" s="13" t="s">
        <v>420</v>
      </c>
      <c r="E268" s="20">
        <v>45</v>
      </c>
      <c r="F268" s="20">
        <v>192</v>
      </c>
      <c r="G268" s="20">
        <v>267</v>
      </c>
      <c r="H268" s="13" t="s">
        <v>1755</v>
      </c>
      <c r="I268" s="13" t="str">
        <f t="shared" si="8"/>
        <v>Nob Hill Rd (Sunrise Bl to Oakland Park Bl)</v>
      </c>
      <c r="J268" s="13" t="s">
        <v>29</v>
      </c>
      <c r="K268" s="13" t="str">
        <f>VLOOKUP(J268,'Data-ProjectTypes'!A$3:B$13,2,FALSE)</f>
        <v>Program</v>
      </c>
      <c r="L268" s="21" t="s">
        <v>348</v>
      </c>
      <c r="M268" s="13" t="s">
        <v>1830</v>
      </c>
      <c r="N268" s="13" t="s">
        <v>1825</v>
      </c>
      <c r="O268" s="13" t="s">
        <v>272</v>
      </c>
      <c r="P268" s="13" t="s">
        <v>272</v>
      </c>
      <c r="Q268" s="22">
        <v>1.8</v>
      </c>
      <c r="R268" s="23">
        <v>407371</v>
      </c>
      <c r="S268" s="21"/>
      <c r="T268" s="21"/>
      <c r="U268" s="21"/>
      <c r="V268" s="24"/>
      <c r="W268" s="24"/>
      <c r="X268" s="24"/>
      <c r="Y268" s="17"/>
      <c r="Z268" s="18">
        <f>ROUND(R268*'Data-CostAssumptions'!$C$3,-3)</f>
        <v>564000</v>
      </c>
      <c r="AA268" s="11">
        <f t="shared" si="9"/>
        <v>0</v>
      </c>
      <c r="AB268" s="11">
        <v>2041</v>
      </c>
      <c r="AC268" s="11">
        <v>2041</v>
      </c>
      <c r="AD268" s="11">
        <v>2041</v>
      </c>
      <c r="AE268" s="11">
        <v>2041</v>
      </c>
      <c r="AF268" s="11">
        <v>0</v>
      </c>
      <c r="AG268" s="19">
        <f>ROUND((Z268*'Data-CostAssumptions'!$G$5)*(1+'Data-CostAssumptions'!$G$3)^(AC268-'Data-CostAssumptions'!$G$4),-3)</f>
        <v>318000</v>
      </c>
      <c r="AH268" s="19">
        <f>ROUND((Z268)*(1+'Data-CostAssumptions'!$G$3)^(AE268-'Data-CostAssumptions'!$G$4),-3)</f>
        <v>1446000</v>
      </c>
    </row>
    <row r="269" spans="1:34" ht="15" customHeight="1" x14ac:dyDescent="0.2">
      <c r="A269" s="11"/>
      <c r="B269" s="11" t="s">
        <v>1211</v>
      </c>
      <c r="C269" s="13">
        <v>891</v>
      </c>
      <c r="D269" s="13" t="s">
        <v>420</v>
      </c>
      <c r="E269" s="20">
        <v>52</v>
      </c>
      <c r="F269" s="20">
        <v>192</v>
      </c>
      <c r="G269" s="20">
        <v>268</v>
      </c>
      <c r="H269" s="13" t="s">
        <v>2784</v>
      </c>
      <c r="I269" s="13" t="str">
        <f t="shared" si="8"/>
        <v>SR 818/Griffin Rd (I-75 to Weston Rd/Dykes Rd)</v>
      </c>
      <c r="J269" s="13" t="s">
        <v>29</v>
      </c>
      <c r="K269" s="13" t="str">
        <f>VLOOKUP(J269,'Data-ProjectTypes'!A$3:B$13,2,FALSE)</f>
        <v>Program</v>
      </c>
      <c r="L269" s="21" t="s">
        <v>348</v>
      </c>
      <c r="M269" s="13" t="s">
        <v>31</v>
      </c>
      <c r="N269" s="13" t="s">
        <v>2413</v>
      </c>
      <c r="O269" s="13" t="s">
        <v>273</v>
      </c>
      <c r="P269" s="13" t="s">
        <v>273</v>
      </c>
      <c r="Q269" s="22">
        <v>0.5</v>
      </c>
      <c r="R269" s="23">
        <v>108752</v>
      </c>
      <c r="S269" s="29" t="s">
        <v>791</v>
      </c>
      <c r="T269" s="21" t="s">
        <v>25</v>
      </c>
      <c r="U269" s="21"/>
      <c r="V269" s="24"/>
      <c r="W269" s="24" t="s">
        <v>781</v>
      </c>
      <c r="X269" s="24"/>
      <c r="Y269" s="17" t="s">
        <v>790</v>
      </c>
      <c r="Z269" s="18">
        <f>ROUND(R269*'Data-CostAssumptions'!$C$3,-3)</f>
        <v>151000</v>
      </c>
      <c r="AA269" s="11">
        <f t="shared" si="9"/>
        <v>1</v>
      </c>
      <c r="AB269" s="11">
        <v>2041</v>
      </c>
      <c r="AC269" s="11">
        <v>2041</v>
      </c>
      <c r="AD269" s="11">
        <v>2041</v>
      </c>
      <c r="AE269" s="11">
        <v>2041</v>
      </c>
      <c r="AF269" s="11">
        <v>0</v>
      </c>
      <c r="AG269" s="19">
        <f>ROUND((Z269*'Data-CostAssumptions'!$G$5)*(1+'Data-CostAssumptions'!$G$3)^(AC269-'Data-CostAssumptions'!$G$4),-3)</f>
        <v>85000</v>
      </c>
      <c r="AH269" s="19">
        <f>ROUND((Z269)*(1+'Data-CostAssumptions'!$G$3)^(AE269-'Data-CostAssumptions'!$G$4),-3)</f>
        <v>387000</v>
      </c>
    </row>
    <row r="270" spans="1:34" ht="15" customHeight="1" x14ac:dyDescent="0.2">
      <c r="A270" s="11"/>
      <c r="B270" s="11" t="s">
        <v>1211</v>
      </c>
      <c r="C270" s="13">
        <v>892</v>
      </c>
      <c r="D270" s="13" t="s">
        <v>420</v>
      </c>
      <c r="E270" s="20">
        <v>54</v>
      </c>
      <c r="F270" s="20">
        <v>192</v>
      </c>
      <c r="G270" s="20">
        <v>269</v>
      </c>
      <c r="H270" s="13" t="s">
        <v>184</v>
      </c>
      <c r="I270" s="13" t="str">
        <f t="shared" si="8"/>
        <v>Orange Dr (Flamingo Rd to Shotgun Rd turn-off)</v>
      </c>
      <c r="J270" s="13" t="s">
        <v>29</v>
      </c>
      <c r="K270" s="13" t="str">
        <f>VLOOKUP(J270,'Data-ProjectTypes'!A$3:B$13,2,FALSE)</f>
        <v>Program</v>
      </c>
      <c r="L270" s="21" t="s">
        <v>348</v>
      </c>
      <c r="M270" s="13" t="s">
        <v>159</v>
      </c>
      <c r="N270" s="13" t="s">
        <v>2440</v>
      </c>
      <c r="O270" s="13" t="s">
        <v>279</v>
      </c>
      <c r="P270" s="13" t="s">
        <v>279</v>
      </c>
      <c r="Q270" s="22">
        <v>2.2000000000000002</v>
      </c>
      <c r="R270" s="23">
        <v>516375</v>
      </c>
      <c r="S270" s="21" t="s">
        <v>24</v>
      </c>
      <c r="T270" s="21" t="s">
        <v>25</v>
      </c>
      <c r="U270" s="21"/>
      <c r="V270" s="24"/>
      <c r="W270" s="24"/>
      <c r="X270" s="24"/>
      <c r="Y270" s="17" t="s">
        <v>469</v>
      </c>
      <c r="Z270" s="18">
        <f>ROUND(R270*'Data-CostAssumptions'!$C$3,-3)</f>
        <v>715000</v>
      </c>
      <c r="AA270" s="11">
        <f t="shared" si="9"/>
        <v>0</v>
      </c>
      <c r="AB270" s="11">
        <v>2041</v>
      </c>
      <c r="AC270" s="11">
        <v>2041</v>
      </c>
      <c r="AD270" s="11">
        <v>2041</v>
      </c>
      <c r="AE270" s="11">
        <v>2041</v>
      </c>
      <c r="AF270" s="11">
        <v>0</v>
      </c>
      <c r="AG270" s="19">
        <f>ROUND((Z270*'Data-CostAssumptions'!$G$5)*(1+'Data-CostAssumptions'!$G$3)^(AC270-'Data-CostAssumptions'!$G$4),-3)</f>
        <v>403000</v>
      </c>
      <c r="AH270" s="19">
        <f>ROUND((Z270)*(1+'Data-CostAssumptions'!$G$3)^(AE270-'Data-CostAssumptions'!$G$4),-3)</f>
        <v>1833000</v>
      </c>
    </row>
    <row r="271" spans="1:34" ht="15" customHeight="1" x14ac:dyDescent="0.2">
      <c r="A271" s="11"/>
      <c r="B271" s="11" t="s">
        <v>1211</v>
      </c>
      <c r="C271" s="13">
        <v>893</v>
      </c>
      <c r="D271" s="13" t="s">
        <v>420</v>
      </c>
      <c r="E271" s="20">
        <v>75</v>
      </c>
      <c r="F271" s="20">
        <v>192</v>
      </c>
      <c r="G271" s="20">
        <v>270</v>
      </c>
      <c r="H271" s="13" t="s">
        <v>2026</v>
      </c>
      <c r="I271" s="13" t="str">
        <f t="shared" si="8"/>
        <v>NE 18th Av (NW 62nd St/Cypress Creek Rd to McNab Rd)</v>
      </c>
      <c r="J271" s="13" t="s">
        <v>29</v>
      </c>
      <c r="K271" s="13" t="str">
        <f>VLOOKUP(J271,'Data-ProjectTypes'!A$3:B$13,2,FALSE)</f>
        <v>Program</v>
      </c>
      <c r="L271" s="21" t="s">
        <v>348</v>
      </c>
      <c r="M271" s="13" t="s">
        <v>1928</v>
      </c>
      <c r="N271" s="13" t="s">
        <v>1854</v>
      </c>
      <c r="O271" s="13" t="s">
        <v>272</v>
      </c>
      <c r="P271" s="13" t="s">
        <v>272</v>
      </c>
      <c r="Q271" s="22">
        <v>0.5</v>
      </c>
      <c r="R271" s="23">
        <v>117932</v>
      </c>
      <c r="S271" s="21"/>
      <c r="T271" s="21"/>
      <c r="U271" s="21"/>
      <c r="V271" s="24"/>
      <c r="W271" s="24"/>
      <c r="X271" s="24"/>
      <c r="Y271" s="17"/>
      <c r="Z271" s="18">
        <f>ROUND(R271*'Data-CostAssumptions'!$C$3,-3)</f>
        <v>163000</v>
      </c>
      <c r="AA271" s="11">
        <f t="shared" si="9"/>
        <v>0</v>
      </c>
      <c r="AB271" s="11">
        <v>2041</v>
      </c>
      <c r="AC271" s="11">
        <v>2041</v>
      </c>
      <c r="AD271" s="11">
        <v>2041</v>
      </c>
      <c r="AE271" s="11">
        <v>2041</v>
      </c>
      <c r="AF271" s="11">
        <v>0</v>
      </c>
      <c r="AG271" s="19">
        <f>ROUND((Z271*'Data-CostAssumptions'!$G$5)*(1+'Data-CostAssumptions'!$G$3)^(AC271-'Data-CostAssumptions'!$G$4),-3)</f>
        <v>92000</v>
      </c>
      <c r="AH271" s="19">
        <f>ROUND((Z271)*(1+'Data-CostAssumptions'!$G$3)^(AE271-'Data-CostAssumptions'!$G$4),-3)</f>
        <v>418000</v>
      </c>
    </row>
    <row r="272" spans="1:34" ht="15" customHeight="1" x14ac:dyDescent="0.2">
      <c r="A272" s="11"/>
      <c r="B272" s="11" t="s">
        <v>1211</v>
      </c>
      <c r="C272" s="13">
        <v>894</v>
      </c>
      <c r="D272" s="13" t="s">
        <v>420</v>
      </c>
      <c r="E272" s="20">
        <v>91</v>
      </c>
      <c r="F272" s="20">
        <v>192</v>
      </c>
      <c r="G272" s="20">
        <v>271</v>
      </c>
      <c r="H272" s="13" t="s">
        <v>2710</v>
      </c>
      <c r="I272" s="13" t="str">
        <f t="shared" si="8"/>
        <v>SR 816/Oakland Park Bl (NW 9th Av/Powerline Rd to NW 21st Av)</v>
      </c>
      <c r="J272" s="13" t="s">
        <v>29</v>
      </c>
      <c r="K272" s="13" t="str">
        <f>VLOOKUP(J272,'Data-ProjectTypes'!A$3:B$13,2,FALSE)</f>
        <v>Program</v>
      </c>
      <c r="L272" s="26" t="s">
        <v>847</v>
      </c>
      <c r="M272" s="13" t="s">
        <v>2439</v>
      </c>
      <c r="N272" s="13" t="s">
        <v>2057</v>
      </c>
      <c r="O272" s="13" t="s">
        <v>270</v>
      </c>
      <c r="P272" s="13" t="s">
        <v>270</v>
      </c>
      <c r="Q272" s="22">
        <v>1</v>
      </c>
      <c r="R272" s="23">
        <v>235569</v>
      </c>
      <c r="S272" s="21"/>
      <c r="T272" s="21"/>
      <c r="U272" s="21" t="s">
        <v>24</v>
      </c>
      <c r="V272" s="24"/>
      <c r="W272" s="24" t="s">
        <v>848</v>
      </c>
      <c r="X272" s="24"/>
      <c r="Y272" s="17" t="s">
        <v>844</v>
      </c>
      <c r="Z272" s="18">
        <f>ROUND(R272*'Data-CostAssumptions'!$C$3,-3)</f>
        <v>326000</v>
      </c>
      <c r="AA272" s="11">
        <f t="shared" si="9"/>
        <v>1</v>
      </c>
      <c r="AB272" s="11">
        <v>2041</v>
      </c>
      <c r="AC272" s="11">
        <v>2041</v>
      </c>
      <c r="AD272" s="11">
        <v>2041</v>
      </c>
      <c r="AE272" s="11">
        <v>2041</v>
      </c>
      <c r="AF272" s="11">
        <v>0</v>
      </c>
      <c r="AG272" s="19">
        <f>ROUND((Z272*'Data-CostAssumptions'!$G$5)*(1+'Data-CostAssumptions'!$G$3)^(AC272-'Data-CostAssumptions'!$G$4),-3)</f>
        <v>184000</v>
      </c>
      <c r="AH272" s="19">
        <f>ROUND((Z272)*(1+'Data-CostAssumptions'!$G$3)^(AE272-'Data-CostAssumptions'!$G$4),-3)</f>
        <v>836000</v>
      </c>
    </row>
    <row r="273" spans="1:34" ht="15" customHeight="1" x14ac:dyDescent="0.2">
      <c r="A273" s="11"/>
      <c r="B273" s="11" t="s">
        <v>1211</v>
      </c>
      <c r="C273" s="13">
        <v>895</v>
      </c>
      <c r="D273" s="13" t="s">
        <v>420</v>
      </c>
      <c r="E273" s="20">
        <v>134</v>
      </c>
      <c r="F273" s="20">
        <v>192</v>
      </c>
      <c r="G273" s="20">
        <v>272</v>
      </c>
      <c r="H273" s="13" t="s">
        <v>1859</v>
      </c>
      <c r="I273" s="13" t="str">
        <f t="shared" si="8"/>
        <v>Prospect Rd (NW 31st Av to State Rd 7)</v>
      </c>
      <c r="J273" s="13" t="s">
        <v>29</v>
      </c>
      <c r="K273" s="13" t="str">
        <f>VLOOKUP(J273,'Data-ProjectTypes'!A$3:B$13,2,FALSE)</f>
        <v>Program</v>
      </c>
      <c r="L273" s="21" t="s">
        <v>348</v>
      </c>
      <c r="M273" s="13" t="s">
        <v>2062</v>
      </c>
      <c r="N273" s="13" t="s">
        <v>1772</v>
      </c>
      <c r="O273" s="13" t="s">
        <v>273</v>
      </c>
      <c r="P273" s="13" t="s">
        <v>273</v>
      </c>
      <c r="Q273" s="22">
        <v>1</v>
      </c>
      <c r="R273" s="23">
        <v>231895</v>
      </c>
      <c r="S273" s="21"/>
      <c r="T273" s="21"/>
      <c r="U273" s="21"/>
      <c r="V273" s="24"/>
      <c r="W273" s="24"/>
      <c r="X273" s="24"/>
      <c r="Y273" s="17"/>
      <c r="Z273" s="18">
        <f>ROUND(R273*'Data-CostAssumptions'!$C$3,-3)</f>
        <v>321000</v>
      </c>
      <c r="AA273" s="11">
        <f t="shared" si="9"/>
        <v>0</v>
      </c>
      <c r="AB273" s="11">
        <v>2041</v>
      </c>
      <c r="AC273" s="11">
        <v>2041</v>
      </c>
      <c r="AD273" s="11">
        <v>2041</v>
      </c>
      <c r="AE273" s="11">
        <v>2041</v>
      </c>
      <c r="AF273" s="11">
        <v>0</v>
      </c>
      <c r="AG273" s="19">
        <f>ROUND((Z273*'Data-CostAssumptions'!$G$5)*(1+'Data-CostAssumptions'!$G$3)^(AC273-'Data-CostAssumptions'!$G$4),-3)</f>
        <v>181000</v>
      </c>
      <c r="AH273" s="19">
        <f>ROUND((Z273)*(1+'Data-CostAssumptions'!$G$3)^(AE273-'Data-CostAssumptions'!$G$4),-3)</f>
        <v>823000</v>
      </c>
    </row>
    <row r="274" spans="1:34" ht="15" customHeight="1" x14ac:dyDescent="0.2">
      <c r="A274" s="11"/>
      <c r="B274" s="11" t="s">
        <v>1211</v>
      </c>
      <c r="C274" s="13">
        <v>896</v>
      </c>
      <c r="D274" s="13" t="s">
        <v>420</v>
      </c>
      <c r="E274" s="20">
        <v>135</v>
      </c>
      <c r="F274" s="20">
        <v>192</v>
      </c>
      <c r="G274" s="20">
        <v>273</v>
      </c>
      <c r="H274" s="13" t="s">
        <v>57</v>
      </c>
      <c r="I274" s="13" t="str">
        <f t="shared" si="8"/>
        <v>SR 7/US 441 (Prospect Rd to Bailey Rd)</v>
      </c>
      <c r="J274" s="13" t="s">
        <v>29</v>
      </c>
      <c r="K274" s="13" t="str">
        <f>VLOOKUP(J274,'Data-ProjectTypes'!A$3:B$13,2,FALSE)</f>
        <v>Program</v>
      </c>
      <c r="L274" s="21" t="s">
        <v>348</v>
      </c>
      <c r="M274" s="13" t="s">
        <v>1859</v>
      </c>
      <c r="N274" s="13" t="s">
        <v>1744</v>
      </c>
      <c r="O274" s="13" t="s">
        <v>270</v>
      </c>
      <c r="P274" s="13" t="s">
        <v>270</v>
      </c>
      <c r="Q274" s="22">
        <v>0.4</v>
      </c>
      <c r="R274" s="23">
        <v>92850</v>
      </c>
      <c r="S274" s="21"/>
      <c r="T274" s="21"/>
      <c r="U274" s="21"/>
      <c r="V274" s="24"/>
      <c r="W274" s="24"/>
      <c r="X274" s="24"/>
      <c r="Y274" s="17"/>
      <c r="Z274" s="18">
        <f>ROUND(R274*'Data-CostAssumptions'!$C$3,-3)</f>
        <v>129000</v>
      </c>
      <c r="AA274" s="11">
        <f t="shared" si="9"/>
        <v>0</v>
      </c>
      <c r="AB274" s="11">
        <v>2041</v>
      </c>
      <c r="AC274" s="11">
        <v>2041</v>
      </c>
      <c r="AD274" s="11">
        <v>2041</v>
      </c>
      <c r="AE274" s="11">
        <v>2041</v>
      </c>
      <c r="AF274" s="11">
        <v>0</v>
      </c>
      <c r="AG274" s="19">
        <f>ROUND((Z274*'Data-CostAssumptions'!$G$5)*(1+'Data-CostAssumptions'!$G$3)^(AC274-'Data-CostAssumptions'!$G$4),-3)</f>
        <v>73000</v>
      </c>
      <c r="AH274" s="19">
        <f>ROUND((Z274)*(1+'Data-CostAssumptions'!$G$3)^(AE274-'Data-CostAssumptions'!$G$4),-3)</f>
        <v>331000</v>
      </c>
    </row>
    <row r="275" spans="1:34" ht="15" customHeight="1" x14ac:dyDescent="0.2">
      <c r="A275" s="11"/>
      <c r="B275" s="11" t="s">
        <v>1211</v>
      </c>
      <c r="C275" s="13">
        <v>897</v>
      </c>
      <c r="D275" s="13" t="s">
        <v>420</v>
      </c>
      <c r="E275" s="20">
        <v>136</v>
      </c>
      <c r="F275" s="20">
        <v>192</v>
      </c>
      <c r="G275" s="20">
        <v>274</v>
      </c>
      <c r="H275" s="13" t="s">
        <v>57</v>
      </c>
      <c r="I275" s="13" t="str">
        <f t="shared" si="8"/>
        <v>SR 7/US 441 (NW 53rd St to Lakeside Dr)</v>
      </c>
      <c r="J275" s="13" t="s">
        <v>29</v>
      </c>
      <c r="K275" s="13" t="str">
        <f>VLOOKUP(J275,'Data-ProjectTypes'!A$3:B$13,2,FALSE)</f>
        <v>Program</v>
      </c>
      <c r="L275" s="21" t="s">
        <v>348</v>
      </c>
      <c r="M275" s="13" t="s">
        <v>2516</v>
      </c>
      <c r="N275" s="13" t="s">
        <v>2679</v>
      </c>
      <c r="O275" s="13" t="s">
        <v>270</v>
      </c>
      <c r="P275" s="13" t="s">
        <v>270</v>
      </c>
      <c r="Q275" s="22">
        <v>0.1</v>
      </c>
      <c r="R275" s="23">
        <v>24925</v>
      </c>
      <c r="S275" s="21"/>
      <c r="T275" s="21"/>
      <c r="U275" s="21"/>
      <c r="V275" s="24"/>
      <c r="W275" s="24"/>
      <c r="X275" s="24"/>
      <c r="Y275" s="17"/>
      <c r="Z275" s="18">
        <f>ROUND(R275*'Data-CostAssumptions'!$C$3,-3)</f>
        <v>34000</v>
      </c>
      <c r="AA275" s="11">
        <f t="shared" si="9"/>
        <v>0</v>
      </c>
      <c r="AB275" s="11">
        <v>2041</v>
      </c>
      <c r="AC275" s="11">
        <v>2041</v>
      </c>
      <c r="AD275" s="11">
        <v>2041</v>
      </c>
      <c r="AE275" s="11">
        <v>2041</v>
      </c>
      <c r="AF275" s="11">
        <v>0</v>
      </c>
      <c r="AG275" s="19">
        <f>ROUND((Z275*'Data-CostAssumptions'!$G$5)*(1+'Data-CostAssumptions'!$G$3)^(AC275-'Data-CostAssumptions'!$G$4),-3)</f>
        <v>19000</v>
      </c>
      <c r="AH275" s="19">
        <f>ROUND((Z275)*(1+'Data-CostAssumptions'!$G$3)^(AE275-'Data-CostAssumptions'!$G$4),-3)</f>
        <v>87000</v>
      </c>
    </row>
    <row r="276" spans="1:34" ht="15" customHeight="1" x14ac:dyDescent="0.2">
      <c r="A276" s="11"/>
      <c r="B276" s="11" t="s">
        <v>1211</v>
      </c>
      <c r="C276" s="13">
        <v>898</v>
      </c>
      <c r="D276" s="13" t="s">
        <v>420</v>
      </c>
      <c r="E276" s="20">
        <v>138</v>
      </c>
      <c r="F276" s="20">
        <v>192</v>
      </c>
      <c r="G276" s="20">
        <v>275</v>
      </c>
      <c r="H276" s="13" t="s">
        <v>2710</v>
      </c>
      <c r="I276" s="13" t="str">
        <f t="shared" si="8"/>
        <v>SR 816/Oakland Park Bl (Florida's Turnpike Overpass to Rock Island Rd)</v>
      </c>
      <c r="J276" s="13" t="s">
        <v>29</v>
      </c>
      <c r="K276" s="13" t="str">
        <f>VLOOKUP(J276,'Data-ProjectTypes'!A$3:B$13,2,FALSE)</f>
        <v>Program</v>
      </c>
      <c r="L276" s="21" t="s">
        <v>348</v>
      </c>
      <c r="M276" s="13" t="s">
        <v>67</v>
      </c>
      <c r="N276" s="13" t="s">
        <v>1768</v>
      </c>
      <c r="O276" s="13" t="s">
        <v>270</v>
      </c>
      <c r="P276" s="13" t="s">
        <v>270</v>
      </c>
      <c r="Q276" s="22">
        <v>0.2</v>
      </c>
      <c r="R276" s="23">
        <v>40924</v>
      </c>
      <c r="S276" s="21"/>
      <c r="T276" s="21"/>
      <c r="U276" s="21"/>
      <c r="V276" s="24"/>
      <c r="W276" s="24"/>
      <c r="X276" s="24"/>
      <c r="Y276" s="17"/>
      <c r="Z276" s="18">
        <f>ROUND(R276*'Data-CostAssumptions'!$C$3,-3)</f>
        <v>57000</v>
      </c>
      <c r="AA276" s="11">
        <f t="shared" si="9"/>
        <v>0</v>
      </c>
      <c r="AB276" s="11">
        <v>2041</v>
      </c>
      <c r="AC276" s="11">
        <v>2041</v>
      </c>
      <c r="AD276" s="11">
        <v>2041</v>
      </c>
      <c r="AE276" s="11">
        <v>2041</v>
      </c>
      <c r="AF276" s="11">
        <v>0</v>
      </c>
      <c r="AG276" s="19">
        <f>ROUND((Z276*'Data-CostAssumptions'!$G$5)*(1+'Data-CostAssumptions'!$G$3)^(AC276-'Data-CostAssumptions'!$G$4),-3)</f>
        <v>32000</v>
      </c>
      <c r="AH276" s="19">
        <f>ROUND((Z276)*(1+'Data-CostAssumptions'!$G$3)^(AE276-'Data-CostAssumptions'!$G$4),-3)</f>
        <v>146000</v>
      </c>
    </row>
    <row r="277" spans="1:34" ht="15" customHeight="1" x14ac:dyDescent="0.2">
      <c r="A277" s="11"/>
      <c r="B277" s="11" t="s">
        <v>1211</v>
      </c>
      <c r="C277" s="13">
        <v>899</v>
      </c>
      <c r="D277" s="13" t="s">
        <v>420</v>
      </c>
      <c r="E277" s="20">
        <v>139</v>
      </c>
      <c r="F277" s="20">
        <v>192</v>
      </c>
      <c r="G277" s="20">
        <v>276</v>
      </c>
      <c r="H277" s="13" t="s">
        <v>2072</v>
      </c>
      <c r="I277" s="13" t="str">
        <f t="shared" si="8"/>
        <v>NW 56th Av (NW 27th Court to Oakland Park Bl)</v>
      </c>
      <c r="J277" s="13" t="s">
        <v>29</v>
      </c>
      <c r="K277" s="13" t="str">
        <f>VLOOKUP(J277,'Data-ProjectTypes'!A$3:B$13,2,FALSE)</f>
        <v>Program</v>
      </c>
      <c r="L277" s="21" t="s">
        <v>348</v>
      </c>
      <c r="M277" s="13" t="s">
        <v>175</v>
      </c>
      <c r="N277" s="13" t="s">
        <v>1825</v>
      </c>
      <c r="O277" s="13" t="s">
        <v>281</v>
      </c>
      <c r="P277" s="13" t="s">
        <v>281</v>
      </c>
      <c r="Q277" s="22">
        <v>0.3</v>
      </c>
      <c r="R277" s="23">
        <v>60377</v>
      </c>
      <c r="S277" s="21"/>
      <c r="T277" s="21"/>
      <c r="U277" s="21"/>
      <c r="V277" s="24"/>
      <c r="W277" s="24"/>
      <c r="X277" s="24"/>
      <c r="Y277" s="17"/>
      <c r="Z277" s="18">
        <f>ROUND(R277*'Data-CostAssumptions'!$C$3,-3)</f>
        <v>84000</v>
      </c>
      <c r="AA277" s="11">
        <f t="shared" si="9"/>
        <v>0</v>
      </c>
      <c r="AB277" s="11">
        <v>2041</v>
      </c>
      <c r="AC277" s="11">
        <v>2041</v>
      </c>
      <c r="AD277" s="11">
        <v>2041</v>
      </c>
      <c r="AE277" s="11">
        <v>2041</v>
      </c>
      <c r="AF277" s="11">
        <v>0</v>
      </c>
      <c r="AG277" s="19">
        <f>ROUND((Z277*'Data-CostAssumptions'!$G$5)*(1+'Data-CostAssumptions'!$G$3)^(AC277-'Data-CostAssumptions'!$G$4),-3)</f>
        <v>47000</v>
      </c>
      <c r="AH277" s="19">
        <f>ROUND((Z277)*(1+'Data-CostAssumptions'!$G$3)^(AE277-'Data-CostAssumptions'!$G$4),-3)</f>
        <v>215000</v>
      </c>
    </row>
    <row r="278" spans="1:34" ht="15" customHeight="1" x14ac:dyDescent="0.2">
      <c r="A278" s="11"/>
      <c r="B278" s="11" t="s">
        <v>1211</v>
      </c>
      <c r="C278" s="13">
        <v>900</v>
      </c>
      <c r="D278" s="13" t="s">
        <v>420</v>
      </c>
      <c r="E278" s="20">
        <v>167</v>
      </c>
      <c r="F278" s="20">
        <v>192</v>
      </c>
      <c r="G278" s="20">
        <v>277</v>
      </c>
      <c r="H278" s="13" t="s">
        <v>1189</v>
      </c>
      <c r="I278" s="13" t="str">
        <f t="shared" si="8"/>
        <v>NW 44th St (University Dr to Pine Island Rd)</v>
      </c>
      <c r="J278" s="13" t="s">
        <v>29</v>
      </c>
      <c r="K278" s="13" t="str">
        <f>VLOOKUP(J278,'Data-ProjectTypes'!A$3:B$13,2,FALSE)</f>
        <v>Program</v>
      </c>
      <c r="L278" s="21" t="s">
        <v>348</v>
      </c>
      <c r="M278" s="13" t="s">
        <v>1804</v>
      </c>
      <c r="N278" s="13" t="s">
        <v>266</v>
      </c>
      <c r="O278" s="13" t="s">
        <v>272</v>
      </c>
      <c r="P278" s="13" t="s">
        <v>272</v>
      </c>
      <c r="Q278" s="22">
        <v>1</v>
      </c>
      <c r="R278" s="23">
        <v>232280</v>
      </c>
      <c r="S278" s="21"/>
      <c r="T278" s="21"/>
      <c r="U278" s="21"/>
      <c r="V278" s="24"/>
      <c r="W278" s="24"/>
      <c r="X278" s="24"/>
      <c r="Y278" s="17"/>
      <c r="Z278" s="18">
        <f>ROUND(R278*'Data-CostAssumptions'!$C$3,-3)</f>
        <v>321000</v>
      </c>
      <c r="AA278" s="11">
        <f t="shared" si="9"/>
        <v>0</v>
      </c>
      <c r="AB278" s="11">
        <v>2041</v>
      </c>
      <c r="AC278" s="11">
        <v>2041</v>
      </c>
      <c r="AD278" s="11">
        <v>2041</v>
      </c>
      <c r="AE278" s="11">
        <v>2041</v>
      </c>
      <c r="AF278" s="11">
        <v>0</v>
      </c>
      <c r="AG278" s="19">
        <f>ROUND((Z278*'Data-CostAssumptions'!$G$5)*(1+'Data-CostAssumptions'!$G$3)^(AC278-'Data-CostAssumptions'!$G$4),-3)</f>
        <v>181000</v>
      </c>
      <c r="AH278" s="19">
        <f>ROUND((Z278)*(1+'Data-CostAssumptions'!$G$3)^(AE278-'Data-CostAssumptions'!$G$4),-3)</f>
        <v>823000</v>
      </c>
    </row>
    <row r="279" spans="1:34" ht="15" customHeight="1" x14ac:dyDescent="0.2">
      <c r="A279" s="11"/>
      <c r="B279" s="11" t="s">
        <v>1211</v>
      </c>
      <c r="C279" s="13">
        <v>901</v>
      </c>
      <c r="D279" s="13" t="s">
        <v>420</v>
      </c>
      <c r="E279" s="20">
        <v>178</v>
      </c>
      <c r="F279" s="20">
        <v>192</v>
      </c>
      <c r="G279" s="20">
        <v>278</v>
      </c>
      <c r="H279" s="13" t="s">
        <v>1845</v>
      </c>
      <c r="I279" s="13" t="str">
        <f t="shared" si="8"/>
        <v>Davie Rd (Stirling Rd to Orange Dr)</v>
      </c>
      <c r="J279" s="13" t="s">
        <v>29</v>
      </c>
      <c r="K279" s="13" t="str">
        <f>VLOOKUP(J279,'Data-ProjectTypes'!A$3:B$13,2,FALSE)</f>
        <v>Program</v>
      </c>
      <c r="L279" s="21" t="s">
        <v>348</v>
      </c>
      <c r="M279" s="13" t="s">
        <v>177</v>
      </c>
      <c r="N279" s="13" t="s">
        <v>184</v>
      </c>
      <c r="O279" s="13" t="s">
        <v>273</v>
      </c>
      <c r="P279" s="13" t="s">
        <v>273</v>
      </c>
      <c r="Q279" s="22">
        <v>1.4</v>
      </c>
      <c r="R279" s="23">
        <v>315754</v>
      </c>
      <c r="S279" s="21" t="s">
        <v>24</v>
      </c>
      <c r="T279" s="21" t="s">
        <v>24</v>
      </c>
      <c r="U279" s="21"/>
      <c r="V279" s="24"/>
      <c r="W279" s="24"/>
      <c r="X279" s="28"/>
      <c r="Y279" s="17" t="s">
        <v>469</v>
      </c>
      <c r="Z279" s="18">
        <f>ROUND(R279*'Data-CostAssumptions'!$C$3,-3)</f>
        <v>437000</v>
      </c>
      <c r="AA279" s="11">
        <f t="shared" si="9"/>
        <v>0</v>
      </c>
      <c r="AB279" s="11">
        <v>2041</v>
      </c>
      <c r="AC279" s="11">
        <v>2041</v>
      </c>
      <c r="AD279" s="11">
        <v>2041</v>
      </c>
      <c r="AE279" s="11">
        <v>2041</v>
      </c>
      <c r="AF279" s="11">
        <v>0</v>
      </c>
      <c r="AG279" s="19">
        <f>ROUND((Z279*'Data-CostAssumptions'!$G$5)*(1+'Data-CostAssumptions'!$G$3)^(AC279-'Data-CostAssumptions'!$G$4),-3)</f>
        <v>246000</v>
      </c>
      <c r="AH279" s="19">
        <f>ROUND((Z279)*(1+'Data-CostAssumptions'!$G$3)^(AE279-'Data-CostAssumptions'!$G$4),-3)</f>
        <v>1120000</v>
      </c>
    </row>
    <row r="280" spans="1:34" ht="15" customHeight="1" x14ac:dyDescent="0.2">
      <c r="A280" s="11"/>
      <c r="B280" s="11" t="s">
        <v>1211</v>
      </c>
      <c r="C280" s="13">
        <v>902</v>
      </c>
      <c r="D280" s="13" t="s">
        <v>420</v>
      </c>
      <c r="E280" s="20">
        <v>224</v>
      </c>
      <c r="F280" s="20">
        <v>192</v>
      </c>
      <c r="G280" s="20">
        <v>279</v>
      </c>
      <c r="H280" s="13" t="s">
        <v>2128</v>
      </c>
      <c r="I280" s="13" t="str">
        <f t="shared" si="8"/>
        <v>SW 56th Av (County Line Rd to Washington St)</v>
      </c>
      <c r="J280" s="13" t="s">
        <v>29</v>
      </c>
      <c r="K280" s="13" t="str">
        <f>VLOOKUP(J280,'Data-ProjectTypes'!A$3:B$13,2,FALSE)</f>
        <v>Program</v>
      </c>
      <c r="L280" s="21" t="s">
        <v>1119</v>
      </c>
      <c r="M280" s="13" t="s">
        <v>1839</v>
      </c>
      <c r="N280" s="13" t="s">
        <v>1971</v>
      </c>
      <c r="O280" s="13" t="s">
        <v>272</v>
      </c>
      <c r="P280" s="13" t="s">
        <v>272</v>
      </c>
      <c r="Q280" s="22">
        <v>2</v>
      </c>
      <c r="R280" s="23">
        <v>473274</v>
      </c>
      <c r="S280" s="21" t="s">
        <v>1122</v>
      </c>
      <c r="T280" s="29" t="s">
        <v>1123</v>
      </c>
      <c r="U280" s="21" t="s">
        <v>1122</v>
      </c>
      <c r="V280" s="24" t="s">
        <v>1121</v>
      </c>
      <c r="W280" s="24"/>
      <c r="X280" s="24" t="s">
        <v>1117</v>
      </c>
      <c r="Y280" s="17" t="s">
        <v>1120</v>
      </c>
      <c r="Z280" s="18">
        <f>ROUND(R280*'Data-CostAssumptions'!$C$3,-3)</f>
        <v>655000</v>
      </c>
      <c r="AA280" s="11">
        <f t="shared" si="9"/>
        <v>1</v>
      </c>
      <c r="AB280" s="11">
        <v>2041</v>
      </c>
      <c r="AC280" s="11">
        <v>2041</v>
      </c>
      <c r="AD280" s="11">
        <v>2041</v>
      </c>
      <c r="AE280" s="11">
        <v>2041</v>
      </c>
      <c r="AF280" s="11">
        <v>0</v>
      </c>
      <c r="AG280" s="19">
        <f>ROUND((Z280*'Data-CostAssumptions'!$G$5)*(1+'Data-CostAssumptions'!$G$3)^(AC280-'Data-CostAssumptions'!$G$4),-3)</f>
        <v>369000</v>
      </c>
      <c r="AH280" s="19">
        <f>ROUND((Z280)*(1+'Data-CostAssumptions'!$G$3)^(AE280-'Data-CostAssumptions'!$G$4),-3)</f>
        <v>1679000</v>
      </c>
    </row>
    <row r="281" spans="1:34" ht="15" customHeight="1" x14ac:dyDescent="0.2">
      <c r="A281" s="11"/>
      <c r="B281" s="11" t="s">
        <v>1211</v>
      </c>
      <c r="C281" s="13">
        <v>903</v>
      </c>
      <c r="D281" s="13" t="s">
        <v>420</v>
      </c>
      <c r="E281" s="20">
        <v>226</v>
      </c>
      <c r="F281" s="20">
        <v>192</v>
      </c>
      <c r="G281" s="20">
        <v>280</v>
      </c>
      <c r="H281" s="13" t="s">
        <v>1876</v>
      </c>
      <c r="I281" s="13" t="str">
        <f t="shared" si="8"/>
        <v>County Line Rd/SW 41st St (SW 40th Av to University Dr)</v>
      </c>
      <c r="J281" s="13" t="s">
        <v>29</v>
      </c>
      <c r="K281" s="13" t="str">
        <f>VLOOKUP(J281,'Data-ProjectTypes'!A$3:B$13,2,FALSE)</f>
        <v>Program</v>
      </c>
      <c r="L281" s="21" t="s">
        <v>348</v>
      </c>
      <c r="M281" s="13" t="s">
        <v>2124</v>
      </c>
      <c r="N281" s="13" t="s">
        <v>1804</v>
      </c>
      <c r="O281" s="13" t="s">
        <v>272</v>
      </c>
      <c r="P281" s="13" t="s">
        <v>272</v>
      </c>
      <c r="Q281" s="22">
        <v>4</v>
      </c>
      <c r="R281" s="23">
        <v>925784</v>
      </c>
      <c r="S281" s="21" t="s">
        <v>1122</v>
      </c>
      <c r="T281" s="29" t="s">
        <v>1125</v>
      </c>
      <c r="U281" s="29" t="s">
        <v>1125</v>
      </c>
      <c r="V281" s="24"/>
      <c r="W281" s="24" t="s">
        <v>1107</v>
      </c>
      <c r="X281" s="28" t="s">
        <v>1124</v>
      </c>
      <c r="Y281" s="17" t="s">
        <v>1110</v>
      </c>
      <c r="Z281" s="18">
        <f>ROUND(R281*'Data-CostAssumptions'!$C$3,-3)</f>
        <v>1281000</v>
      </c>
      <c r="AA281" s="11">
        <f t="shared" si="9"/>
        <v>1</v>
      </c>
      <c r="AB281" s="11">
        <v>2041</v>
      </c>
      <c r="AC281" s="11">
        <v>2041</v>
      </c>
      <c r="AD281" s="11">
        <v>2041</v>
      </c>
      <c r="AE281" s="11">
        <v>2041</v>
      </c>
      <c r="AF281" s="11">
        <v>0</v>
      </c>
      <c r="AG281" s="19">
        <f>ROUND((Z281*'Data-CostAssumptions'!$G$5)*(1+'Data-CostAssumptions'!$G$3)^(AC281-'Data-CostAssumptions'!$G$4),-3)</f>
        <v>723000</v>
      </c>
      <c r="AH281" s="19">
        <f>ROUND((Z281)*(1+'Data-CostAssumptions'!$G$3)^(AE281-'Data-CostAssumptions'!$G$4),-3)</f>
        <v>3284000</v>
      </c>
    </row>
    <row r="282" spans="1:34" ht="15" customHeight="1" x14ac:dyDescent="0.2">
      <c r="A282" s="11"/>
      <c r="B282" s="11" t="s">
        <v>1211</v>
      </c>
      <c r="C282" s="13">
        <v>904</v>
      </c>
      <c r="D282" s="13" t="s">
        <v>420</v>
      </c>
      <c r="E282" s="20">
        <v>238</v>
      </c>
      <c r="F282" s="20">
        <v>192</v>
      </c>
      <c r="G282" s="20">
        <v>281</v>
      </c>
      <c r="H282" s="13" t="s">
        <v>1836</v>
      </c>
      <c r="I282" s="13" t="str">
        <f t="shared" si="8"/>
        <v>Copans Rd (Florida's Turnpike to NW 36th Av)</v>
      </c>
      <c r="J282" s="13" t="s">
        <v>29</v>
      </c>
      <c r="K282" s="13" t="str">
        <f>VLOOKUP(J282,'Data-ProjectTypes'!A$3:B$13,2,FALSE)</f>
        <v>Program</v>
      </c>
      <c r="L282" s="21" t="s">
        <v>348</v>
      </c>
      <c r="M282" s="13" t="s">
        <v>42</v>
      </c>
      <c r="N282" s="13" t="s">
        <v>2216</v>
      </c>
      <c r="O282" s="13" t="s">
        <v>273</v>
      </c>
      <c r="P282" s="13" t="s">
        <v>273</v>
      </c>
      <c r="Q282" s="22">
        <v>0.4</v>
      </c>
      <c r="R282" s="23">
        <v>87219</v>
      </c>
      <c r="S282" s="21"/>
      <c r="T282" s="21"/>
      <c r="U282" s="21"/>
      <c r="V282" s="24"/>
      <c r="W282" s="24"/>
      <c r="X282" s="24"/>
      <c r="Y282" s="17"/>
      <c r="Z282" s="18">
        <f>ROUND(R282*'Data-CostAssumptions'!$C$3,-3)</f>
        <v>121000</v>
      </c>
      <c r="AA282" s="11">
        <f t="shared" si="9"/>
        <v>0</v>
      </c>
      <c r="AB282" s="11">
        <v>2041</v>
      </c>
      <c r="AC282" s="11">
        <v>2041</v>
      </c>
      <c r="AD282" s="11">
        <v>2041</v>
      </c>
      <c r="AE282" s="11">
        <v>2041</v>
      </c>
      <c r="AF282" s="11">
        <v>0</v>
      </c>
      <c r="AG282" s="19">
        <f>ROUND((Z282*'Data-CostAssumptions'!$G$5)*(1+'Data-CostAssumptions'!$G$3)^(AC282-'Data-CostAssumptions'!$G$4),-3)</f>
        <v>68000</v>
      </c>
      <c r="AH282" s="19">
        <f>ROUND((Z282)*(1+'Data-CostAssumptions'!$G$3)^(AE282-'Data-CostAssumptions'!$G$4),-3)</f>
        <v>310000</v>
      </c>
    </row>
    <row r="283" spans="1:34" ht="15" customHeight="1" x14ac:dyDescent="0.2">
      <c r="A283" s="11"/>
      <c r="B283" s="11" t="s">
        <v>1211</v>
      </c>
      <c r="C283" s="13">
        <v>905</v>
      </c>
      <c r="D283" s="13" t="s">
        <v>420</v>
      </c>
      <c r="E283" s="20">
        <v>239</v>
      </c>
      <c r="F283" s="20">
        <v>193</v>
      </c>
      <c r="G283" s="20">
        <v>282</v>
      </c>
      <c r="H283" s="13" t="s">
        <v>2734</v>
      </c>
      <c r="I283" s="13" t="str">
        <f t="shared" si="8"/>
        <v>SR 814/Atlantic Bl (NW 31st Av to Lyons Rd)</v>
      </c>
      <c r="J283" s="13" t="s">
        <v>29</v>
      </c>
      <c r="K283" s="13" t="str">
        <f>VLOOKUP(J283,'Data-ProjectTypes'!A$3:B$13,2,FALSE)</f>
        <v>Program</v>
      </c>
      <c r="L283" s="21" t="s">
        <v>348</v>
      </c>
      <c r="M283" s="13" t="s">
        <v>2062</v>
      </c>
      <c r="N283" s="13" t="s">
        <v>1754</v>
      </c>
      <c r="O283" s="13" t="s">
        <v>270</v>
      </c>
      <c r="P283" s="13" t="s">
        <v>270</v>
      </c>
      <c r="Q283" s="22">
        <v>1.3</v>
      </c>
      <c r="R283" s="23">
        <v>292405</v>
      </c>
      <c r="S283" s="21"/>
      <c r="T283" s="21"/>
      <c r="U283" s="21"/>
      <c r="V283" s="24"/>
      <c r="W283" s="24"/>
      <c r="X283" s="24"/>
      <c r="Y283" s="17"/>
      <c r="Z283" s="18">
        <f>ROUND(R283*'Data-CostAssumptions'!$C$3,-3)</f>
        <v>405000</v>
      </c>
      <c r="AA283" s="11">
        <f t="shared" si="9"/>
        <v>0</v>
      </c>
      <c r="AB283" s="11">
        <v>2041</v>
      </c>
      <c r="AC283" s="11">
        <v>2041</v>
      </c>
      <c r="AD283" s="11">
        <v>2041</v>
      </c>
      <c r="AE283" s="11">
        <v>2041</v>
      </c>
      <c r="AF283" s="11">
        <v>0</v>
      </c>
      <c r="AG283" s="19">
        <f>ROUND((Z283*'Data-CostAssumptions'!$G$5)*(1+'Data-CostAssumptions'!$G$3)^(AC283-'Data-CostAssumptions'!$G$4),-3)</f>
        <v>228000</v>
      </c>
      <c r="AH283" s="19">
        <f>ROUND((Z283)*(1+'Data-CostAssumptions'!$G$3)^(AE283-'Data-CostAssumptions'!$G$4),-3)</f>
        <v>1038000</v>
      </c>
    </row>
    <row r="284" spans="1:34" ht="15" customHeight="1" x14ac:dyDescent="0.2">
      <c r="A284" s="11"/>
      <c r="B284" s="11" t="s">
        <v>1211</v>
      </c>
      <c r="C284" s="13">
        <v>906</v>
      </c>
      <c r="D284" s="13" t="s">
        <v>420</v>
      </c>
      <c r="E284" s="20">
        <v>250</v>
      </c>
      <c r="F284" s="20">
        <v>193</v>
      </c>
      <c r="G284" s="20">
        <v>283</v>
      </c>
      <c r="H284" s="13" t="s">
        <v>1768</v>
      </c>
      <c r="I284" s="13" t="str">
        <f t="shared" si="8"/>
        <v>Rock Island Rd (Commercial Bl to McNab Rd)</v>
      </c>
      <c r="J284" s="13" t="s">
        <v>29</v>
      </c>
      <c r="K284" s="13" t="str">
        <f>VLOOKUP(J284,'Data-ProjectTypes'!A$3:B$13,2,FALSE)</f>
        <v>Program</v>
      </c>
      <c r="L284" s="21" t="s">
        <v>348</v>
      </c>
      <c r="M284" s="13" t="s">
        <v>1813</v>
      </c>
      <c r="N284" s="13" t="s">
        <v>1854</v>
      </c>
      <c r="O284" s="13" t="s">
        <v>273</v>
      </c>
      <c r="P284" s="13" t="s">
        <v>273</v>
      </c>
      <c r="Q284" s="22">
        <v>1</v>
      </c>
      <c r="R284" s="23">
        <v>232436</v>
      </c>
      <c r="S284" s="21"/>
      <c r="T284" s="21"/>
      <c r="U284" s="21"/>
      <c r="V284" s="24"/>
      <c r="W284" s="24"/>
      <c r="X284" s="24"/>
      <c r="Y284" s="17"/>
      <c r="Z284" s="18">
        <f>ROUND(R284*'Data-CostAssumptions'!$C$3,-3)</f>
        <v>322000</v>
      </c>
      <c r="AA284" s="11">
        <f t="shared" si="9"/>
        <v>0</v>
      </c>
      <c r="AB284" s="11">
        <v>2041</v>
      </c>
      <c r="AC284" s="11">
        <v>2041</v>
      </c>
      <c r="AD284" s="11">
        <v>2041</v>
      </c>
      <c r="AE284" s="11">
        <v>2041</v>
      </c>
      <c r="AF284" s="11">
        <v>0</v>
      </c>
      <c r="AG284" s="19">
        <f>ROUND((Z284*'Data-CostAssumptions'!$G$5)*(1+'Data-CostAssumptions'!$G$3)^(AC284-'Data-CostAssumptions'!$G$4),-3)</f>
        <v>182000</v>
      </c>
      <c r="AH284" s="19">
        <f>ROUND((Z284)*(1+'Data-CostAssumptions'!$G$3)^(AE284-'Data-CostAssumptions'!$G$4),-3)</f>
        <v>826000</v>
      </c>
    </row>
    <row r="285" spans="1:34" ht="15" customHeight="1" x14ac:dyDescent="0.2">
      <c r="A285" s="11"/>
      <c r="B285" s="11" t="s">
        <v>1211</v>
      </c>
      <c r="C285" s="13">
        <v>907</v>
      </c>
      <c r="D285" s="13" t="s">
        <v>420</v>
      </c>
      <c r="E285" s="20">
        <v>251</v>
      </c>
      <c r="F285" s="20">
        <v>193</v>
      </c>
      <c r="G285" s="20">
        <v>284</v>
      </c>
      <c r="H285" s="13" t="s">
        <v>2135</v>
      </c>
      <c r="I285" s="13" t="str">
        <f t="shared" si="8"/>
        <v>SW 81st Av/NW 64th Av (Commercial Bl to McNab Rd)</v>
      </c>
      <c r="J285" s="13" t="s">
        <v>29</v>
      </c>
      <c r="K285" s="13" t="str">
        <f>VLOOKUP(J285,'Data-ProjectTypes'!A$3:B$13,2,FALSE)</f>
        <v>Program</v>
      </c>
      <c r="L285" s="21" t="s">
        <v>348</v>
      </c>
      <c r="M285" s="13" t="s">
        <v>1813</v>
      </c>
      <c r="N285" s="13" t="s">
        <v>1854</v>
      </c>
      <c r="O285" s="13" t="s">
        <v>272</v>
      </c>
      <c r="P285" s="13" t="s">
        <v>272</v>
      </c>
      <c r="Q285" s="22">
        <v>1</v>
      </c>
      <c r="R285" s="23">
        <v>230214</v>
      </c>
      <c r="S285" s="21"/>
      <c r="T285" s="21"/>
      <c r="U285" s="21"/>
      <c r="V285" s="24"/>
      <c r="W285" s="24"/>
      <c r="X285" s="24"/>
      <c r="Y285" s="17"/>
      <c r="Z285" s="18">
        <f>ROUND(R285*'Data-CostAssumptions'!$C$3,-3)</f>
        <v>319000</v>
      </c>
      <c r="AA285" s="11">
        <f t="shared" si="9"/>
        <v>0</v>
      </c>
      <c r="AB285" s="11">
        <v>2041</v>
      </c>
      <c r="AC285" s="11">
        <v>2041</v>
      </c>
      <c r="AD285" s="11">
        <v>2041</v>
      </c>
      <c r="AE285" s="11">
        <v>2041</v>
      </c>
      <c r="AF285" s="11">
        <v>0</v>
      </c>
      <c r="AG285" s="19">
        <f>ROUND((Z285*'Data-CostAssumptions'!$G$5)*(1+'Data-CostAssumptions'!$G$3)^(AC285-'Data-CostAssumptions'!$G$4),-3)</f>
        <v>180000</v>
      </c>
      <c r="AH285" s="19">
        <f>ROUND((Z285)*(1+'Data-CostAssumptions'!$G$3)^(AE285-'Data-CostAssumptions'!$G$4),-3)</f>
        <v>818000</v>
      </c>
    </row>
    <row r="286" spans="1:34" ht="15" customHeight="1" x14ac:dyDescent="0.2">
      <c r="A286" s="11"/>
      <c r="B286" s="11" t="s">
        <v>1211</v>
      </c>
      <c r="C286" s="13">
        <v>908</v>
      </c>
      <c r="D286" s="13" t="s">
        <v>420</v>
      </c>
      <c r="E286" s="20">
        <v>252</v>
      </c>
      <c r="F286" s="20">
        <v>193</v>
      </c>
      <c r="G286" s="20">
        <v>285</v>
      </c>
      <c r="H286" s="13" t="s">
        <v>2134</v>
      </c>
      <c r="I286" s="13" t="str">
        <f t="shared" si="8"/>
        <v>SW 81st Av (McNab Rd to Southgate Bl)</v>
      </c>
      <c r="J286" s="13" t="s">
        <v>29</v>
      </c>
      <c r="K286" s="13" t="str">
        <f>VLOOKUP(J286,'Data-ProjectTypes'!A$3:B$13,2,FALSE)</f>
        <v>Program</v>
      </c>
      <c r="L286" s="21" t="s">
        <v>348</v>
      </c>
      <c r="M286" s="13" t="s">
        <v>1854</v>
      </c>
      <c r="N286" s="13" t="s">
        <v>1829</v>
      </c>
      <c r="O286" s="13" t="s">
        <v>285</v>
      </c>
      <c r="P286" s="13" t="s">
        <v>285</v>
      </c>
      <c r="Q286" s="22">
        <v>1.4</v>
      </c>
      <c r="R286" s="23">
        <v>316795</v>
      </c>
      <c r="S286" s="21"/>
      <c r="T286" s="21"/>
      <c r="U286" s="21"/>
      <c r="V286" s="24"/>
      <c r="W286" s="24"/>
      <c r="X286" s="24"/>
      <c r="Y286" s="17"/>
      <c r="Z286" s="18">
        <f>ROUND(R286*'Data-CostAssumptions'!$C$3,-3)</f>
        <v>438000</v>
      </c>
      <c r="AA286" s="11">
        <f t="shared" si="9"/>
        <v>0</v>
      </c>
      <c r="AB286" s="11">
        <v>2041</v>
      </c>
      <c r="AC286" s="11">
        <v>2041</v>
      </c>
      <c r="AD286" s="11">
        <v>2041</v>
      </c>
      <c r="AE286" s="11">
        <v>2041</v>
      </c>
      <c r="AF286" s="11">
        <v>0</v>
      </c>
      <c r="AG286" s="19">
        <f>ROUND((Z286*'Data-CostAssumptions'!$G$5)*(1+'Data-CostAssumptions'!$G$3)^(AC286-'Data-CostAssumptions'!$G$4),-3)</f>
        <v>247000</v>
      </c>
      <c r="AH286" s="19">
        <f>ROUND((Z286)*(1+'Data-CostAssumptions'!$G$3)^(AE286-'Data-CostAssumptions'!$G$4),-3)</f>
        <v>1123000</v>
      </c>
    </row>
    <row r="287" spans="1:34" ht="15" customHeight="1" x14ac:dyDescent="0.2">
      <c r="A287" s="11"/>
      <c r="B287" s="11" t="s">
        <v>1211</v>
      </c>
      <c r="C287" s="13">
        <v>909</v>
      </c>
      <c r="D287" s="13" t="s">
        <v>420</v>
      </c>
      <c r="E287" s="20">
        <v>256</v>
      </c>
      <c r="F287" s="20">
        <v>193</v>
      </c>
      <c r="G287" s="20">
        <v>286</v>
      </c>
      <c r="H287" s="13" t="s">
        <v>1755</v>
      </c>
      <c r="I287" s="13" t="str">
        <f t="shared" si="8"/>
        <v>Nob Hill Rd (McNab Rd to Atlantic Bl)</v>
      </c>
      <c r="J287" s="13" t="s">
        <v>29</v>
      </c>
      <c r="K287" s="13" t="str">
        <f>VLOOKUP(J287,'Data-ProjectTypes'!A$3:B$13,2,FALSE)</f>
        <v>Program</v>
      </c>
      <c r="L287" s="21" t="s">
        <v>348</v>
      </c>
      <c r="M287" s="13" t="s">
        <v>1854</v>
      </c>
      <c r="N287" s="13" t="s">
        <v>1809</v>
      </c>
      <c r="O287" s="13" t="s">
        <v>273</v>
      </c>
      <c r="P287" s="13" t="s">
        <v>273</v>
      </c>
      <c r="Q287" s="22">
        <v>2.4</v>
      </c>
      <c r="R287" s="23">
        <v>557819</v>
      </c>
      <c r="S287" s="21" t="s">
        <v>24</v>
      </c>
      <c r="T287" s="21"/>
      <c r="U287" s="21"/>
      <c r="V287" s="24"/>
      <c r="W287" s="24"/>
      <c r="X287" s="28"/>
      <c r="Y287" s="17" t="s">
        <v>460</v>
      </c>
      <c r="Z287" s="18">
        <f>ROUND(R287*'Data-CostAssumptions'!$C$3,-3)</f>
        <v>772000</v>
      </c>
      <c r="AA287" s="11">
        <f t="shared" si="9"/>
        <v>0</v>
      </c>
      <c r="AB287" s="11">
        <v>2041</v>
      </c>
      <c r="AC287" s="11">
        <v>2041</v>
      </c>
      <c r="AD287" s="11">
        <v>2041</v>
      </c>
      <c r="AE287" s="11">
        <v>2041</v>
      </c>
      <c r="AF287" s="11">
        <v>0</v>
      </c>
      <c r="AG287" s="19">
        <f>ROUND((Z287*'Data-CostAssumptions'!$G$5)*(1+'Data-CostAssumptions'!$G$3)^(AC287-'Data-CostAssumptions'!$G$4),-3)</f>
        <v>435000</v>
      </c>
      <c r="AH287" s="19">
        <f>ROUND((Z287)*(1+'Data-CostAssumptions'!$G$3)^(AE287-'Data-CostAssumptions'!$G$4),-3)</f>
        <v>1979000</v>
      </c>
    </row>
    <row r="288" spans="1:34" ht="15" customHeight="1" x14ac:dyDescent="0.2">
      <c r="A288" s="11"/>
      <c r="B288" s="11" t="s">
        <v>1211</v>
      </c>
      <c r="C288" s="13">
        <v>910</v>
      </c>
      <c r="D288" s="13" t="s">
        <v>420</v>
      </c>
      <c r="E288" s="20">
        <v>269</v>
      </c>
      <c r="F288" s="20">
        <v>193</v>
      </c>
      <c r="G288" s="20">
        <v>287</v>
      </c>
      <c r="H288" s="13" t="s">
        <v>177</v>
      </c>
      <c r="I288" s="13" t="str">
        <f t="shared" si="8"/>
        <v>Stirling Rd (Flamingo Rd to Dykes Rd)</v>
      </c>
      <c r="J288" s="13" t="s">
        <v>29</v>
      </c>
      <c r="K288" s="13" t="str">
        <f>VLOOKUP(J288,'Data-ProjectTypes'!A$3:B$13,2,FALSE)</f>
        <v>Program</v>
      </c>
      <c r="L288" s="21" t="s">
        <v>348</v>
      </c>
      <c r="M288" s="13" t="s">
        <v>159</v>
      </c>
      <c r="N288" s="13" t="s">
        <v>1846</v>
      </c>
      <c r="O288" s="13" t="s">
        <v>272</v>
      </c>
      <c r="P288" s="13" t="s">
        <v>272</v>
      </c>
      <c r="Q288" s="22">
        <v>3</v>
      </c>
      <c r="R288" s="23">
        <v>700073</v>
      </c>
      <c r="S288" s="29" t="s">
        <v>792</v>
      </c>
      <c r="T288" s="21"/>
      <c r="U288" s="21"/>
      <c r="V288" s="24"/>
      <c r="W288" s="24" t="s">
        <v>784</v>
      </c>
      <c r="X288" s="36" t="s">
        <v>3233</v>
      </c>
      <c r="Y288" s="17" t="s">
        <v>790</v>
      </c>
      <c r="Z288" s="18">
        <f>ROUND(R288*'Data-CostAssumptions'!$C$3,-3)</f>
        <v>969000</v>
      </c>
      <c r="AA288" s="11">
        <f t="shared" si="9"/>
        <v>1</v>
      </c>
      <c r="AB288" s="11">
        <v>2041</v>
      </c>
      <c r="AC288" s="11">
        <v>2041</v>
      </c>
      <c r="AD288" s="11">
        <v>2041</v>
      </c>
      <c r="AE288" s="11">
        <v>2041</v>
      </c>
      <c r="AF288" s="11">
        <v>0</v>
      </c>
      <c r="AG288" s="19">
        <f>ROUND((Z288*'Data-CostAssumptions'!$G$5)*(1+'Data-CostAssumptions'!$G$3)^(AC288-'Data-CostAssumptions'!$G$4),-3)</f>
        <v>547000</v>
      </c>
      <c r="AH288" s="19">
        <f>ROUND((Z288)*(1+'Data-CostAssumptions'!$G$3)^(AE288-'Data-CostAssumptions'!$G$4),-3)</f>
        <v>2484000</v>
      </c>
    </row>
    <row r="289" spans="1:34" ht="15" customHeight="1" x14ac:dyDescent="0.2">
      <c r="A289" s="11"/>
      <c r="B289" s="11" t="s">
        <v>1211</v>
      </c>
      <c r="C289" s="13">
        <v>911</v>
      </c>
      <c r="D289" s="13" t="s">
        <v>420</v>
      </c>
      <c r="E289" s="20">
        <v>272</v>
      </c>
      <c r="F289" s="20">
        <v>193</v>
      </c>
      <c r="G289" s="20">
        <v>288</v>
      </c>
      <c r="H289" s="13" t="s">
        <v>1951</v>
      </c>
      <c r="I289" s="13" t="str">
        <f t="shared" si="8"/>
        <v>Sheridan St (Palm Av to Flamingo Rd)</v>
      </c>
      <c r="J289" s="13" t="s">
        <v>29</v>
      </c>
      <c r="K289" s="13" t="str">
        <f>VLOOKUP(J289,'Data-ProjectTypes'!A$3:B$13,2,FALSE)</f>
        <v>Program</v>
      </c>
      <c r="L289" s="21" t="s">
        <v>348</v>
      </c>
      <c r="M289" s="13" t="s">
        <v>2083</v>
      </c>
      <c r="N289" s="13" t="s">
        <v>159</v>
      </c>
      <c r="O289" s="13" t="s">
        <v>271</v>
      </c>
      <c r="P289" s="13" t="s">
        <v>271</v>
      </c>
      <c r="Q289" s="22">
        <v>2</v>
      </c>
      <c r="R289" s="23">
        <v>461574</v>
      </c>
      <c r="S289" s="21"/>
      <c r="T289" s="21"/>
      <c r="U289" s="21"/>
      <c r="V289" s="24"/>
      <c r="W289" s="24"/>
      <c r="X289" s="24"/>
      <c r="Y289" s="17"/>
      <c r="Z289" s="18">
        <f>ROUND(R289*'Data-CostAssumptions'!$C$3,-3)</f>
        <v>639000</v>
      </c>
      <c r="AA289" s="11">
        <f t="shared" si="9"/>
        <v>0</v>
      </c>
      <c r="AB289" s="11">
        <v>2041</v>
      </c>
      <c r="AC289" s="11">
        <v>2041</v>
      </c>
      <c r="AD289" s="11">
        <v>2041</v>
      </c>
      <c r="AE289" s="11">
        <v>2041</v>
      </c>
      <c r="AF289" s="11">
        <v>0</v>
      </c>
      <c r="AG289" s="19">
        <f>ROUND((Z289*'Data-CostAssumptions'!$G$5)*(1+'Data-CostAssumptions'!$G$3)^(AC289-'Data-CostAssumptions'!$G$4),-3)</f>
        <v>360000</v>
      </c>
      <c r="AH289" s="19">
        <f>ROUND((Z289)*(1+'Data-CostAssumptions'!$G$3)^(AE289-'Data-CostAssumptions'!$G$4),-3)</f>
        <v>1638000</v>
      </c>
    </row>
    <row r="290" spans="1:34" ht="15" customHeight="1" x14ac:dyDescent="0.2">
      <c r="A290" s="11"/>
      <c r="B290" s="11" t="s">
        <v>1211</v>
      </c>
      <c r="C290" s="13">
        <v>912</v>
      </c>
      <c r="D290" s="13" t="s">
        <v>420</v>
      </c>
      <c r="E290" s="20">
        <v>273</v>
      </c>
      <c r="F290" s="20">
        <v>193</v>
      </c>
      <c r="G290" s="20">
        <v>289</v>
      </c>
      <c r="H290" s="13" t="s">
        <v>1752</v>
      </c>
      <c r="I290" s="13" t="str">
        <f t="shared" si="8"/>
        <v>Hiatus Rd (Sheridan St to Stirling Rd)</v>
      </c>
      <c r="J290" s="13" t="s">
        <v>29</v>
      </c>
      <c r="K290" s="13" t="str">
        <f>VLOOKUP(J290,'Data-ProjectTypes'!A$3:B$13,2,FALSE)</f>
        <v>Program</v>
      </c>
      <c r="L290" s="21" t="s">
        <v>348</v>
      </c>
      <c r="M290" s="13" t="s">
        <v>1951</v>
      </c>
      <c r="N290" s="13" t="s">
        <v>177</v>
      </c>
      <c r="O290" s="13" t="s">
        <v>272</v>
      </c>
      <c r="P290" s="13" t="s">
        <v>272</v>
      </c>
      <c r="Q290" s="22">
        <v>1</v>
      </c>
      <c r="R290" s="23">
        <v>231965</v>
      </c>
      <c r="S290" s="21"/>
      <c r="T290" s="21"/>
      <c r="U290" s="21"/>
      <c r="V290" s="24"/>
      <c r="W290" s="24"/>
      <c r="X290" s="24"/>
      <c r="Y290" s="17"/>
      <c r="Z290" s="18">
        <f>ROUND(R290*'Data-CostAssumptions'!$C$3,-3)</f>
        <v>321000</v>
      </c>
      <c r="AA290" s="11">
        <f t="shared" si="9"/>
        <v>0</v>
      </c>
      <c r="AB290" s="11">
        <v>2041</v>
      </c>
      <c r="AC290" s="11">
        <v>2041</v>
      </c>
      <c r="AD290" s="11">
        <v>2041</v>
      </c>
      <c r="AE290" s="11">
        <v>2041</v>
      </c>
      <c r="AF290" s="11">
        <v>0</v>
      </c>
      <c r="AG290" s="19">
        <f>ROUND((Z290*'Data-CostAssumptions'!$G$5)*(1+'Data-CostAssumptions'!$G$3)^(AC290-'Data-CostAssumptions'!$G$4),-3)</f>
        <v>181000</v>
      </c>
      <c r="AH290" s="19">
        <f>ROUND((Z290)*(1+'Data-CostAssumptions'!$G$3)^(AE290-'Data-CostAssumptions'!$G$4),-3)</f>
        <v>823000</v>
      </c>
    </row>
    <row r="291" spans="1:34" ht="15" customHeight="1" x14ac:dyDescent="0.2">
      <c r="A291" s="11"/>
      <c r="B291" s="11" t="s">
        <v>1211</v>
      </c>
      <c r="C291" s="13">
        <v>913</v>
      </c>
      <c r="D291" s="13" t="s">
        <v>420</v>
      </c>
      <c r="E291" s="20">
        <v>275</v>
      </c>
      <c r="F291" s="20">
        <v>193</v>
      </c>
      <c r="G291" s="20">
        <v>290</v>
      </c>
      <c r="H291" s="13" t="s">
        <v>1968</v>
      </c>
      <c r="I291" s="13" t="str">
        <f t="shared" si="8"/>
        <v>Taft St (Douglas Rd to Palm Av)</v>
      </c>
      <c r="J291" s="13" t="s">
        <v>29</v>
      </c>
      <c r="K291" s="13" t="str">
        <f>VLOOKUP(J291,'Data-ProjectTypes'!A$3:B$13,2,FALSE)</f>
        <v>Program</v>
      </c>
      <c r="L291" s="21" t="s">
        <v>348</v>
      </c>
      <c r="M291" s="13" t="s">
        <v>2425</v>
      </c>
      <c r="N291" s="13" t="s">
        <v>2083</v>
      </c>
      <c r="O291" s="13" t="s">
        <v>271</v>
      </c>
      <c r="P291" s="13" t="s">
        <v>271</v>
      </c>
      <c r="Q291" s="22">
        <v>1</v>
      </c>
      <c r="R291" s="23">
        <v>229347</v>
      </c>
      <c r="S291" s="21"/>
      <c r="T291" s="21"/>
      <c r="U291" s="21"/>
      <c r="V291" s="24"/>
      <c r="W291" s="24"/>
      <c r="X291" s="24"/>
      <c r="Y291" s="17"/>
      <c r="Z291" s="18">
        <f>ROUND(R291*'Data-CostAssumptions'!$C$3,-3)</f>
        <v>317000</v>
      </c>
      <c r="AA291" s="11">
        <f t="shared" si="9"/>
        <v>0</v>
      </c>
      <c r="AB291" s="11">
        <v>2041</v>
      </c>
      <c r="AC291" s="11">
        <v>2041</v>
      </c>
      <c r="AD291" s="11">
        <v>2041</v>
      </c>
      <c r="AE291" s="11">
        <v>2041</v>
      </c>
      <c r="AF291" s="11">
        <v>0</v>
      </c>
      <c r="AG291" s="19">
        <f>ROUND((Z291*'Data-CostAssumptions'!$G$5)*(1+'Data-CostAssumptions'!$G$3)^(AC291-'Data-CostAssumptions'!$G$4),-3)</f>
        <v>179000</v>
      </c>
      <c r="AH291" s="19">
        <f>ROUND((Z291)*(1+'Data-CostAssumptions'!$G$3)^(AE291-'Data-CostAssumptions'!$G$4),-3)</f>
        <v>813000</v>
      </c>
    </row>
    <row r="292" spans="1:34" ht="15" customHeight="1" x14ac:dyDescent="0.2">
      <c r="A292" s="11"/>
      <c r="B292" s="11" t="s">
        <v>1211</v>
      </c>
      <c r="C292" s="13">
        <v>914</v>
      </c>
      <c r="D292" s="13" t="s">
        <v>420</v>
      </c>
      <c r="E292" s="20">
        <v>276</v>
      </c>
      <c r="F292" s="20">
        <v>193</v>
      </c>
      <c r="G292" s="20">
        <v>291</v>
      </c>
      <c r="H292" s="13" t="s">
        <v>1968</v>
      </c>
      <c r="I292" s="13" t="str">
        <f t="shared" si="8"/>
        <v>Taft St (Palm Av to Flamingo Rd)</v>
      </c>
      <c r="J292" s="13" t="s">
        <v>29</v>
      </c>
      <c r="K292" s="13" t="str">
        <f>VLOOKUP(J292,'Data-ProjectTypes'!A$3:B$13,2,FALSE)</f>
        <v>Program</v>
      </c>
      <c r="L292" s="21" t="s">
        <v>348</v>
      </c>
      <c r="M292" s="13" t="s">
        <v>2083</v>
      </c>
      <c r="N292" s="13" t="s">
        <v>159</v>
      </c>
      <c r="O292" s="13" t="s">
        <v>271</v>
      </c>
      <c r="P292" s="13" t="s">
        <v>271</v>
      </c>
      <c r="Q292" s="22">
        <v>2.1</v>
      </c>
      <c r="R292" s="23">
        <v>490297</v>
      </c>
      <c r="S292" s="21"/>
      <c r="T292" s="21"/>
      <c r="U292" s="21"/>
      <c r="V292" s="24"/>
      <c r="W292" s="24"/>
      <c r="X292" s="24"/>
      <c r="Y292" s="17"/>
      <c r="Z292" s="18">
        <f>ROUND(R292*'Data-CostAssumptions'!$C$3,-3)</f>
        <v>679000</v>
      </c>
      <c r="AA292" s="11">
        <f t="shared" si="9"/>
        <v>0</v>
      </c>
      <c r="AB292" s="11">
        <v>2041</v>
      </c>
      <c r="AC292" s="11">
        <v>2041</v>
      </c>
      <c r="AD292" s="11">
        <v>2041</v>
      </c>
      <c r="AE292" s="11">
        <v>2041</v>
      </c>
      <c r="AF292" s="11">
        <v>0</v>
      </c>
      <c r="AG292" s="19">
        <f>ROUND((Z292*'Data-CostAssumptions'!$G$5)*(1+'Data-CostAssumptions'!$G$3)^(AC292-'Data-CostAssumptions'!$G$4),-3)</f>
        <v>383000</v>
      </c>
      <c r="AH292" s="19">
        <f>ROUND((Z292)*(1+'Data-CostAssumptions'!$G$3)^(AE292-'Data-CostAssumptions'!$G$4),-3)</f>
        <v>1741000</v>
      </c>
    </row>
    <row r="293" spans="1:34" ht="15" customHeight="1" x14ac:dyDescent="0.2">
      <c r="A293" s="11"/>
      <c r="B293" s="11" t="s">
        <v>1211</v>
      </c>
      <c r="C293" s="13">
        <v>916</v>
      </c>
      <c r="D293" s="13" t="s">
        <v>420</v>
      </c>
      <c r="E293" s="20">
        <v>291</v>
      </c>
      <c r="F293" s="20">
        <v>193</v>
      </c>
      <c r="G293" s="20">
        <v>292</v>
      </c>
      <c r="H293" s="13" t="s">
        <v>2110</v>
      </c>
      <c r="I293" s="13" t="str">
        <f t="shared" si="8"/>
        <v>SW 172nd Av (Miramar Parkway to Pines Bl)</v>
      </c>
      <c r="J293" s="13" t="s">
        <v>29</v>
      </c>
      <c r="K293" s="13" t="str">
        <f>VLOOKUP(J293,'Data-ProjectTypes'!A$3:B$13,2,FALSE)</f>
        <v>Program</v>
      </c>
      <c r="L293" s="21" t="s">
        <v>348</v>
      </c>
      <c r="M293" s="13" t="s">
        <v>39</v>
      </c>
      <c r="N293" s="13" t="s">
        <v>1826</v>
      </c>
      <c r="O293" s="13" t="s">
        <v>272</v>
      </c>
      <c r="P293" s="13" t="s">
        <v>272</v>
      </c>
      <c r="Q293" s="22">
        <v>2</v>
      </c>
      <c r="R293" s="23">
        <v>459698</v>
      </c>
      <c r="S293" s="21" t="s">
        <v>24</v>
      </c>
      <c r="T293" s="21" t="s">
        <v>25</v>
      </c>
      <c r="U293" s="21" t="s">
        <v>25</v>
      </c>
      <c r="V293" s="24"/>
      <c r="W293" s="24"/>
      <c r="X293" s="24"/>
      <c r="Y293" s="17" t="s">
        <v>685</v>
      </c>
      <c r="Z293" s="18">
        <f>ROUND(R293*'Data-CostAssumptions'!$C$3,-3)</f>
        <v>636000</v>
      </c>
      <c r="AA293" s="11">
        <f t="shared" si="9"/>
        <v>0</v>
      </c>
      <c r="AB293" s="11">
        <v>2041</v>
      </c>
      <c r="AC293" s="11">
        <v>2041</v>
      </c>
      <c r="AD293" s="11">
        <v>2041</v>
      </c>
      <c r="AE293" s="11">
        <v>2041</v>
      </c>
      <c r="AF293" s="11">
        <v>0</v>
      </c>
      <c r="AG293" s="19">
        <f>ROUND((Z293*'Data-CostAssumptions'!$G$5)*(1+'Data-CostAssumptions'!$G$3)^(AC293-'Data-CostAssumptions'!$G$4),-3)</f>
        <v>359000</v>
      </c>
      <c r="AH293" s="19">
        <f>ROUND((Z293)*(1+'Data-CostAssumptions'!$G$3)^(AE293-'Data-CostAssumptions'!$G$4),-3)</f>
        <v>1631000</v>
      </c>
    </row>
    <row r="294" spans="1:34" ht="15" customHeight="1" x14ac:dyDescent="0.2">
      <c r="A294" s="11"/>
      <c r="B294" s="11" t="s">
        <v>1211</v>
      </c>
      <c r="C294" s="13">
        <v>917</v>
      </c>
      <c r="D294" s="13" t="s">
        <v>420</v>
      </c>
      <c r="E294" s="20">
        <v>292</v>
      </c>
      <c r="F294" s="20">
        <v>193</v>
      </c>
      <c r="G294" s="20">
        <v>293</v>
      </c>
      <c r="H294" s="13" t="s">
        <v>2110</v>
      </c>
      <c r="I294" s="13" t="str">
        <f t="shared" si="8"/>
        <v>SW 172nd Av (Pines Bl to Sheridan St)</v>
      </c>
      <c r="J294" s="13" t="s">
        <v>29</v>
      </c>
      <c r="K294" s="13" t="str">
        <f>VLOOKUP(J294,'Data-ProjectTypes'!A$3:B$13,2,FALSE)</f>
        <v>Program</v>
      </c>
      <c r="L294" s="21" t="s">
        <v>348</v>
      </c>
      <c r="M294" s="13" t="s">
        <v>1826</v>
      </c>
      <c r="N294" s="13" t="s">
        <v>1951</v>
      </c>
      <c r="O294" s="13" t="s">
        <v>272</v>
      </c>
      <c r="P294" s="13" t="s">
        <v>272</v>
      </c>
      <c r="Q294" s="22">
        <v>1.5</v>
      </c>
      <c r="R294" s="23">
        <v>349979</v>
      </c>
      <c r="S294" s="21"/>
      <c r="T294" s="21"/>
      <c r="U294" s="21"/>
      <c r="V294" s="24"/>
      <c r="W294" s="24"/>
      <c r="X294" s="24"/>
      <c r="Y294" s="17"/>
      <c r="Z294" s="18">
        <f>ROUND(R294*'Data-CostAssumptions'!$C$3,-3)</f>
        <v>484000</v>
      </c>
      <c r="AA294" s="11">
        <f t="shared" si="9"/>
        <v>0</v>
      </c>
      <c r="AB294" s="11">
        <v>2041</v>
      </c>
      <c r="AC294" s="11">
        <v>2041</v>
      </c>
      <c r="AD294" s="11">
        <v>2041</v>
      </c>
      <c r="AE294" s="11">
        <v>2041</v>
      </c>
      <c r="AF294" s="11">
        <v>0</v>
      </c>
      <c r="AG294" s="19">
        <f>ROUND((Z294*'Data-CostAssumptions'!$G$5)*(1+'Data-CostAssumptions'!$G$3)^(AC294-'Data-CostAssumptions'!$G$4),-3)</f>
        <v>273000</v>
      </c>
      <c r="AH294" s="19">
        <f>ROUND((Z294)*(1+'Data-CostAssumptions'!$G$3)^(AE294-'Data-CostAssumptions'!$G$4),-3)</f>
        <v>1241000</v>
      </c>
    </row>
    <row r="295" spans="1:34" ht="15" customHeight="1" x14ac:dyDescent="0.2">
      <c r="A295" s="11"/>
      <c r="B295" s="11" t="s">
        <v>1211</v>
      </c>
      <c r="C295" s="13">
        <v>918</v>
      </c>
      <c r="D295" s="13" t="s">
        <v>420</v>
      </c>
      <c r="E295" s="20">
        <v>295</v>
      </c>
      <c r="F295" s="20">
        <v>193</v>
      </c>
      <c r="G295" s="20">
        <v>294</v>
      </c>
      <c r="H295" s="13" t="s">
        <v>1755</v>
      </c>
      <c r="I295" s="13" t="str">
        <f t="shared" si="8"/>
        <v>Nob Hill Rd (Broward Bl to Sunrise Bl)</v>
      </c>
      <c r="J295" s="13" t="s">
        <v>29</v>
      </c>
      <c r="K295" s="13" t="str">
        <f>VLOOKUP(J295,'Data-ProjectTypes'!A$3:B$13,2,FALSE)</f>
        <v>Program</v>
      </c>
      <c r="L295" s="21" t="s">
        <v>348</v>
      </c>
      <c r="M295" s="13" t="s">
        <v>1811</v>
      </c>
      <c r="N295" s="13" t="s">
        <v>1830</v>
      </c>
      <c r="O295" s="13" t="s">
        <v>284</v>
      </c>
      <c r="P295" s="13" t="s">
        <v>284</v>
      </c>
      <c r="Q295" s="22">
        <v>1.8</v>
      </c>
      <c r="R295" s="23">
        <v>414328</v>
      </c>
      <c r="S295" s="21"/>
      <c r="T295" s="21"/>
      <c r="U295" s="21"/>
      <c r="V295" s="24"/>
      <c r="W295" s="24"/>
      <c r="X295" s="24"/>
      <c r="Y295" s="17"/>
      <c r="Z295" s="18">
        <f>ROUND(R295*'Data-CostAssumptions'!$C$3,-3)</f>
        <v>573000</v>
      </c>
      <c r="AA295" s="11">
        <f t="shared" si="9"/>
        <v>0</v>
      </c>
      <c r="AB295" s="11">
        <v>2041</v>
      </c>
      <c r="AC295" s="11">
        <v>2041</v>
      </c>
      <c r="AD295" s="11">
        <v>2041</v>
      </c>
      <c r="AE295" s="11">
        <v>2041</v>
      </c>
      <c r="AF295" s="11">
        <v>0</v>
      </c>
      <c r="AG295" s="19">
        <f>ROUND((Z295*'Data-CostAssumptions'!$G$5)*(1+'Data-CostAssumptions'!$G$3)^(AC295-'Data-CostAssumptions'!$G$4),-3)</f>
        <v>323000</v>
      </c>
      <c r="AH295" s="19">
        <f>ROUND((Z295)*(1+'Data-CostAssumptions'!$G$3)^(AE295-'Data-CostAssumptions'!$G$4),-3)</f>
        <v>1469000</v>
      </c>
    </row>
    <row r="296" spans="1:34" ht="15" customHeight="1" x14ac:dyDescent="0.2">
      <c r="A296" s="11"/>
      <c r="B296" s="11" t="s">
        <v>1211</v>
      </c>
      <c r="C296" s="13">
        <v>919</v>
      </c>
      <c r="D296" s="13" t="s">
        <v>420</v>
      </c>
      <c r="E296" s="20">
        <v>299</v>
      </c>
      <c r="F296" s="20">
        <v>193</v>
      </c>
      <c r="G296" s="20">
        <v>295</v>
      </c>
      <c r="H296" s="13" t="s">
        <v>110</v>
      </c>
      <c r="I296" s="13" t="str">
        <f t="shared" si="8"/>
        <v>SR A1A (Just south of NE 20th St to Oakland Park Bl)</v>
      </c>
      <c r="J296" s="13" t="s">
        <v>29</v>
      </c>
      <c r="K296" s="13" t="str">
        <f>VLOOKUP(J296,'Data-ProjectTypes'!A$3:B$13,2,FALSE)</f>
        <v>Program</v>
      </c>
      <c r="L296" s="21" t="s">
        <v>348</v>
      </c>
      <c r="M296" s="13" t="s">
        <v>2474</v>
      </c>
      <c r="N296" s="13" t="s">
        <v>1825</v>
      </c>
      <c r="O296" s="13" t="s">
        <v>270</v>
      </c>
      <c r="P296" s="13" t="s">
        <v>270</v>
      </c>
      <c r="Q296" s="22">
        <v>1</v>
      </c>
      <c r="R296" s="23">
        <v>231367</v>
      </c>
      <c r="S296" s="21"/>
      <c r="T296" s="21"/>
      <c r="U296" s="21"/>
      <c r="V296" s="24"/>
      <c r="W296" s="24"/>
      <c r="X296" s="24"/>
      <c r="Y296" s="17"/>
      <c r="Z296" s="18">
        <f>ROUND(R296*'Data-CostAssumptions'!$C$3,-3)</f>
        <v>320000</v>
      </c>
      <c r="AA296" s="11">
        <f t="shared" si="9"/>
        <v>0</v>
      </c>
      <c r="AB296" s="11">
        <v>2041</v>
      </c>
      <c r="AC296" s="11">
        <v>2041</v>
      </c>
      <c r="AD296" s="11">
        <v>2041</v>
      </c>
      <c r="AE296" s="11">
        <v>2041</v>
      </c>
      <c r="AF296" s="11">
        <v>0</v>
      </c>
      <c r="AG296" s="19">
        <f>ROUND((Z296*'Data-CostAssumptions'!$G$5)*(1+'Data-CostAssumptions'!$G$3)^(AC296-'Data-CostAssumptions'!$G$4),-3)</f>
        <v>181000</v>
      </c>
      <c r="AH296" s="19">
        <f>ROUND((Z296)*(1+'Data-CostAssumptions'!$G$3)^(AE296-'Data-CostAssumptions'!$G$4),-3)</f>
        <v>820000</v>
      </c>
    </row>
    <row r="297" spans="1:34" ht="15" customHeight="1" x14ac:dyDescent="0.2">
      <c r="A297" s="11"/>
      <c r="B297" s="11" t="s">
        <v>1211</v>
      </c>
      <c r="C297" s="13">
        <v>920</v>
      </c>
      <c r="D297" s="13" t="s">
        <v>420</v>
      </c>
      <c r="E297" s="20">
        <v>303</v>
      </c>
      <c r="F297" s="20">
        <v>193</v>
      </c>
      <c r="G297" s="20">
        <v>296</v>
      </c>
      <c r="H297" s="13" t="s">
        <v>1850</v>
      </c>
      <c r="I297" s="13" t="str">
        <f t="shared" si="8"/>
        <v>Johnson Rd (Lyons Rd to State Rd 7)</v>
      </c>
      <c r="J297" s="13" t="s">
        <v>29</v>
      </c>
      <c r="K297" s="13" t="str">
        <f>VLOOKUP(J297,'Data-ProjectTypes'!A$3:B$13,2,FALSE)</f>
        <v>Program</v>
      </c>
      <c r="L297" s="21" t="s">
        <v>348</v>
      </c>
      <c r="M297" s="13" t="s">
        <v>1754</v>
      </c>
      <c r="N297" s="13" t="s">
        <v>1772</v>
      </c>
      <c r="O297" s="13" t="s">
        <v>283</v>
      </c>
      <c r="P297" s="13" t="s">
        <v>283</v>
      </c>
      <c r="Q297" s="22">
        <v>1</v>
      </c>
      <c r="R297" s="23">
        <v>227023</v>
      </c>
      <c r="S297" s="21"/>
      <c r="T297" s="21"/>
      <c r="U297" s="21"/>
      <c r="V297" s="24"/>
      <c r="W297" s="24"/>
      <c r="X297" s="24"/>
      <c r="Y297" s="17"/>
      <c r="Z297" s="18">
        <f>ROUND(R297*'Data-CostAssumptions'!$C$3,-3)</f>
        <v>314000</v>
      </c>
      <c r="AA297" s="11">
        <f t="shared" si="9"/>
        <v>0</v>
      </c>
      <c r="AB297" s="11">
        <v>2041</v>
      </c>
      <c r="AC297" s="11">
        <v>2041</v>
      </c>
      <c r="AD297" s="11">
        <v>2041</v>
      </c>
      <c r="AE297" s="11">
        <v>2041</v>
      </c>
      <c r="AF297" s="11">
        <v>0</v>
      </c>
      <c r="AG297" s="19">
        <f>ROUND((Z297*'Data-CostAssumptions'!$G$5)*(1+'Data-CostAssumptions'!$G$3)^(AC297-'Data-CostAssumptions'!$G$4),-3)</f>
        <v>177000</v>
      </c>
      <c r="AH297" s="19">
        <f>ROUND((Z297)*(1+'Data-CostAssumptions'!$G$3)^(AE297-'Data-CostAssumptions'!$G$4),-3)</f>
        <v>805000</v>
      </c>
    </row>
    <row r="298" spans="1:34" ht="15" customHeight="1" x14ac:dyDescent="0.2">
      <c r="A298" s="11"/>
      <c r="B298" s="11" t="s">
        <v>1211</v>
      </c>
      <c r="C298" s="13">
        <v>921</v>
      </c>
      <c r="D298" s="13" t="s">
        <v>420</v>
      </c>
      <c r="E298" s="20">
        <v>304</v>
      </c>
      <c r="F298" s="20">
        <v>193</v>
      </c>
      <c r="G298" s="20">
        <v>297</v>
      </c>
      <c r="H298" s="13" t="s">
        <v>57</v>
      </c>
      <c r="I298" s="13" t="str">
        <f t="shared" si="8"/>
        <v>SR 7/US 441 (North County Line to Hillsboro Bl)</v>
      </c>
      <c r="J298" s="13" t="s">
        <v>29</v>
      </c>
      <c r="K298" s="13" t="str">
        <f>VLOOKUP(J298,'Data-ProjectTypes'!A$3:B$13,2,FALSE)</f>
        <v>Program</v>
      </c>
      <c r="L298" s="21" t="s">
        <v>348</v>
      </c>
      <c r="M298" s="13" t="s">
        <v>44</v>
      </c>
      <c r="N298" s="13" t="s">
        <v>1819</v>
      </c>
      <c r="O298" s="13" t="s">
        <v>270</v>
      </c>
      <c r="P298" s="13" t="s">
        <v>270</v>
      </c>
      <c r="Q298" s="22">
        <v>0.7</v>
      </c>
      <c r="R298" s="23">
        <v>164280</v>
      </c>
      <c r="S298" s="21"/>
      <c r="T298" s="21"/>
      <c r="U298" s="21"/>
      <c r="V298" s="24"/>
      <c r="W298" s="24"/>
      <c r="X298" s="24"/>
      <c r="Y298" s="17"/>
      <c r="Z298" s="18">
        <f>ROUND(R298*'Data-CostAssumptions'!$C$3,-3)</f>
        <v>227000</v>
      </c>
      <c r="AA298" s="11">
        <f t="shared" si="9"/>
        <v>0</v>
      </c>
      <c r="AB298" s="11">
        <v>2041</v>
      </c>
      <c r="AC298" s="11">
        <v>2041</v>
      </c>
      <c r="AD298" s="11">
        <v>2041</v>
      </c>
      <c r="AE298" s="11">
        <v>2041</v>
      </c>
      <c r="AF298" s="11">
        <v>0</v>
      </c>
      <c r="AG298" s="19">
        <f>ROUND((Z298*'Data-CostAssumptions'!$G$5)*(1+'Data-CostAssumptions'!$G$3)^(AC298-'Data-CostAssumptions'!$G$4),-3)</f>
        <v>128000</v>
      </c>
      <c r="AH298" s="19">
        <f>ROUND((Z298)*(1+'Data-CostAssumptions'!$G$3)^(AE298-'Data-CostAssumptions'!$G$4),-3)</f>
        <v>582000</v>
      </c>
    </row>
    <row r="299" spans="1:34" ht="15" customHeight="1" x14ac:dyDescent="0.2">
      <c r="A299" s="11"/>
      <c r="B299" s="11" t="s">
        <v>1211</v>
      </c>
      <c r="C299" s="13">
        <v>922</v>
      </c>
      <c r="D299" s="13" t="s">
        <v>420</v>
      </c>
      <c r="E299" s="20">
        <v>305</v>
      </c>
      <c r="F299" s="20">
        <v>193</v>
      </c>
      <c r="G299" s="20">
        <v>298</v>
      </c>
      <c r="H299" s="13" t="s">
        <v>2799</v>
      </c>
      <c r="I299" s="13" t="str">
        <f t="shared" si="8"/>
        <v>SR 845/Powerline Rd (Hillsboro Bl to North County Line Rd)</v>
      </c>
      <c r="J299" s="13" t="s">
        <v>29</v>
      </c>
      <c r="K299" s="13" t="str">
        <f>VLOOKUP(J299,'Data-ProjectTypes'!A$3:B$13,2,FALSE)</f>
        <v>Program</v>
      </c>
      <c r="L299" s="21" t="s">
        <v>348</v>
      </c>
      <c r="M299" s="13" t="s">
        <v>1819</v>
      </c>
      <c r="N299" s="13" t="s">
        <v>2444</v>
      </c>
      <c r="O299" s="13" t="s">
        <v>270</v>
      </c>
      <c r="P299" s="13" t="s">
        <v>270</v>
      </c>
      <c r="Q299" s="22">
        <v>0.7</v>
      </c>
      <c r="R299" s="23">
        <v>166014</v>
      </c>
      <c r="S299" s="21"/>
      <c r="T299" s="21"/>
      <c r="U299" s="21"/>
      <c r="V299" s="24"/>
      <c r="W299" s="24" t="s">
        <v>491</v>
      </c>
      <c r="X299" s="24"/>
      <c r="Y299" s="17" t="s">
        <v>492</v>
      </c>
      <c r="Z299" s="18">
        <f>ROUND(R299*'Data-CostAssumptions'!$C$3,-3)</f>
        <v>230000</v>
      </c>
      <c r="AA299" s="11">
        <f t="shared" si="9"/>
        <v>1</v>
      </c>
      <c r="AB299" s="11">
        <v>2041</v>
      </c>
      <c r="AC299" s="11">
        <v>2041</v>
      </c>
      <c r="AD299" s="11">
        <v>2041</v>
      </c>
      <c r="AE299" s="11">
        <v>2041</v>
      </c>
      <c r="AF299" s="11">
        <v>0</v>
      </c>
      <c r="AG299" s="19">
        <f>ROUND((Z299*'Data-CostAssumptions'!$G$5)*(1+'Data-CostAssumptions'!$G$3)^(AC299-'Data-CostAssumptions'!$G$4),-3)</f>
        <v>130000</v>
      </c>
      <c r="AH299" s="19">
        <f>ROUND((Z299)*(1+'Data-CostAssumptions'!$G$3)^(AE299-'Data-CostAssumptions'!$G$4),-3)</f>
        <v>590000</v>
      </c>
    </row>
    <row r="300" spans="1:34" ht="15" customHeight="1" x14ac:dyDescent="0.2">
      <c r="A300" s="11"/>
      <c r="B300" s="11" t="s">
        <v>1211</v>
      </c>
      <c r="C300" s="13">
        <v>923</v>
      </c>
      <c r="D300" s="13" t="s">
        <v>420</v>
      </c>
      <c r="E300" s="20">
        <v>316</v>
      </c>
      <c r="F300" s="20">
        <v>193</v>
      </c>
      <c r="G300" s="20">
        <v>299</v>
      </c>
      <c r="H300" s="13" t="s">
        <v>1881</v>
      </c>
      <c r="I300" s="13" t="str">
        <f t="shared" si="8"/>
        <v>Lee Wagener Bl/SW 42 St (Perimeter Rd to SW 30th Av)</v>
      </c>
      <c r="J300" s="13" t="s">
        <v>29</v>
      </c>
      <c r="K300" s="13" t="str">
        <f>VLOOKUP(J300,'Data-ProjectTypes'!A$3:B$13,2,FALSE)</f>
        <v>Program</v>
      </c>
      <c r="L300" s="21" t="s">
        <v>348</v>
      </c>
      <c r="M300" s="13" t="s">
        <v>1761</v>
      </c>
      <c r="N300" s="13" t="s">
        <v>2119</v>
      </c>
      <c r="O300" s="13" t="s">
        <v>273</v>
      </c>
      <c r="P300" s="13" t="s">
        <v>273</v>
      </c>
      <c r="Q300" s="22">
        <v>1.2</v>
      </c>
      <c r="R300" s="23">
        <v>287643</v>
      </c>
      <c r="S300" s="21" t="s">
        <v>24</v>
      </c>
      <c r="T300" s="21"/>
      <c r="U300" s="21"/>
      <c r="V300" s="24"/>
      <c r="W300" s="24" t="s">
        <v>561</v>
      </c>
      <c r="X300" s="24"/>
      <c r="Y300" s="17" t="s">
        <v>538</v>
      </c>
      <c r="Z300" s="18">
        <f>ROUND(R300*'Data-CostAssumptions'!$C$3,-3)</f>
        <v>398000</v>
      </c>
      <c r="AA300" s="11">
        <f t="shared" si="9"/>
        <v>1</v>
      </c>
      <c r="AB300" s="11">
        <v>2041</v>
      </c>
      <c r="AC300" s="11">
        <v>2041</v>
      </c>
      <c r="AD300" s="11">
        <v>2041</v>
      </c>
      <c r="AE300" s="11">
        <v>2041</v>
      </c>
      <c r="AF300" s="11">
        <v>0</v>
      </c>
      <c r="AG300" s="19">
        <f>ROUND((Z300*'Data-CostAssumptions'!$G$5)*(1+'Data-CostAssumptions'!$G$3)^(AC300-'Data-CostAssumptions'!$G$4),-3)</f>
        <v>224000</v>
      </c>
      <c r="AH300" s="19">
        <f>ROUND((Z300)*(1+'Data-CostAssumptions'!$G$3)^(AE300-'Data-CostAssumptions'!$G$4),-3)</f>
        <v>1020000</v>
      </c>
    </row>
    <row r="301" spans="1:34" ht="15" customHeight="1" x14ac:dyDescent="0.2">
      <c r="A301" s="11"/>
      <c r="B301" s="11" t="s">
        <v>1211</v>
      </c>
      <c r="C301" s="13">
        <v>924</v>
      </c>
      <c r="D301" s="13" t="s">
        <v>420</v>
      </c>
      <c r="E301" s="20">
        <v>2</v>
      </c>
      <c r="F301" s="20">
        <v>194</v>
      </c>
      <c r="G301" s="20">
        <v>300</v>
      </c>
      <c r="H301" s="13" t="s">
        <v>1854</v>
      </c>
      <c r="I301" s="13" t="str">
        <f t="shared" si="8"/>
        <v>McNab Rd (Pine Island Rd to Hiatus Rd)</v>
      </c>
      <c r="J301" s="13" t="s">
        <v>29</v>
      </c>
      <c r="K301" s="13" t="str">
        <f>VLOOKUP(J301,'Data-ProjectTypes'!A$3:B$13,2,FALSE)</f>
        <v>Program</v>
      </c>
      <c r="L301" s="21" t="s">
        <v>348</v>
      </c>
      <c r="M301" s="13" t="s">
        <v>266</v>
      </c>
      <c r="N301" s="13" t="s">
        <v>1752</v>
      </c>
      <c r="O301" s="13" t="s">
        <v>280</v>
      </c>
      <c r="P301" s="13" t="s">
        <v>280</v>
      </c>
      <c r="Q301" s="22">
        <v>1.4</v>
      </c>
      <c r="R301" s="23">
        <v>325890</v>
      </c>
      <c r="S301" s="21"/>
      <c r="T301" s="21"/>
      <c r="U301" s="21"/>
      <c r="V301" s="24"/>
      <c r="W301" s="24"/>
      <c r="X301" s="32"/>
      <c r="Y301" s="17"/>
      <c r="Z301" s="18">
        <f>ROUND(R301*'Data-CostAssumptions'!$C$3,-3)</f>
        <v>451000</v>
      </c>
      <c r="AA301" s="11">
        <f t="shared" si="9"/>
        <v>0</v>
      </c>
      <c r="AB301" s="11">
        <v>2041</v>
      </c>
      <c r="AC301" s="11">
        <v>2041</v>
      </c>
      <c r="AD301" s="11">
        <v>2041</v>
      </c>
      <c r="AE301" s="11">
        <v>2041</v>
      </c>
      <c r="AF301" s="11">
        <v>0</v>
      </c>
      <c r="AG301" s="19">
        <f>ROUND((Z301*'Data-CostAssumptions'!$G$5)*(1+'Data-CostAssumptions'!$G$3)^(AC301-'Data-CostAssumptions'!$G$4),-3)</f>
        <v>254000</v>
      </c>
      <c r="AH301" s="19">
        <f>ROUND((Z301)*(1+'Data-CostAssumptions'!$G$3)^(AE301-'Data-CostAssumptions'!$G$4),-3)</f>
        <v>1156000</v>
      </c>
    </row>
    <row r="302" spans="1:34" ht="15" customHeight="1" x14ac:dyDescent="0.2">
      <c r="A302" s="11"/>
      <c r="B302" s="11" t="s">
        <v>1211</v>
      </c>
      <c r="C302" s="13">
        <v>925</v>
      </c>
      <c r="D302" s="13" t="s">
        <v>420</v>
      </c>
      <c r="E302" s="20">
        <v>26</v>
      </c>
      <c r="F302" s="20">
        <v>194</v>
      </c>
      <c r="G302" s="20">
        <v>301</v>
      </c>
      <c r="H302" s="13" t="s">
        <v>2082</v>
      </c>
      <c r="I302" s="13" t="str">
        <f t="shared" si="8"/>
        <v>NW 9th Av/Military Trail (Copans Rd to NW 49th St/Green St)</v>
      </c>
      <c r="J302" s="13" t="s">
        <v>29</v>
      </c>
      <c r="K302" s="13" t="str">
        <f>VLOOKUP(J302,'Data-ProjectTypes'!A$3:B$13,2,FALSE)</f>
        <v>Program</v>
      </c>
      <c r="L302" s="21" t="s">
        <v>348</v>
      </c>
      <c r="M302" s="13" t="s">
        <v>1836</v>
      </c>
      <c r="N302" s="13" t="s">
        <v>2548</v>
      </c>
      <c r="O302" s="13" t="s">
        <v>273</v>
      </c>
      <c r="P302" s="13" t="s">
        <v>273</v>
      </c>
      <c r="Q302" s="22">
        <v>2.2000000000000002</v>
      </c>
      <c r="R302" s="23">
        <v>509600</v>
      </c>
      <c r="S302" s="21"/>
      <c r="T302" s="21"/>
      <c r="U302" s="21"/>
      <c r="V302" s="24"/>
      <c r="W302" s="24" t="s">
        <v>491</v>
      </c>
      <c r="X302" s="28"/>
      <c r="Y302" s="17" t="s">
        <v>492</v>
      </c>
      <c r="Z302" s="18">
        <f>ROUND(R302*'Data-CostAssumptions'!$C$3,-3)</f>
        <v>705000</v>
      </c>
      <c r="AA302" s="11">
        <f t="shared" si="9"/>
        <v>1</v>
      </c>
      <c r="AB302" s="11">
        <v>2041</v>
      </c>
      <c r="AC302" s="11">
        <v>2041</v>
      </c>
      <c r="AD302" s="11">
        <v>2041</v>
      </c>
      <c r="AE302" s="11">
        <v>2041</v>
      </c>
      <c r="AF302" s="11">
        <v>0</v>
      </c>
      <c r="AG302" s="19">
        <f>ROUND((Z302*'Data-CostAssumptions'!$G$5)*(1+'Data-CostAssumptions'!$G$3)^(AC302-'Data-CostAssumptions'!$G$4),-3)</f>
        <v>398000</v>
      </c>
      <c r="AH302" s="19">
        <f>ROUND((Z302)*(1+'Data-CostAssumptions'!$G$3)^(AE302-'Data-CostAssumptions'!$G$4),-3)</f>
        <v>1808000</v>
      </c>
    </row>
    <row r="303" spans="1:34" ht="15" customHeight="1" x14ac:dyDescent="0.2">
      <c r="A303" s="11"/>
      <c r="B303" s="11" t="s">
        <v>1211</v>
      </c>
      <c r="C303" s="13">
        <v>926</v>
      </c>
      <c r="D303" s="13" t="s">
        <v>420</v>
      </c>
      <c r="E303" s="20">
        <v>35</v>
      </c>
      <c r="F303" s="20">
        <v>194</v>
      </c>
      <c r="G303" s="20">
        <v>302</v>
      </c>
      <c r="H303" s="13" t="s">
        <v>1870</v>
      </c>
      <c r="I303" s="13" t="str">
        <f t="shared" si="8"/>
        <v>10th St (Natura Bl to Military Trail)</v>
      </c>
      <c r="J303" s="13" t="s">
        <v>29</v>
      </c>
      <c r="K303" s="13" t="str">
        <f>VLOOKUP(J303,'Data-ProjectTypes'!A$3:B$13,2,FALSE)</f>
        <v>Program</v>
      </c>
      <c r="L303" s="21" t="s">
        <v>348</v>
      </c>
      <c r="M303" s="13" t="s">
        <v>1824</v>
      </c>
      <c r="N303" s="13" t="s">
        <v>113</v>
      </c>
      <c r="O303" s="13" t="s">
        <v>270</v>
      </c>
      <c r="P303" s="13" t="s">
        <v>270</v>
      </c>
      <c r="Q303" s="22">
        <v>0.8</v>
      </c>
      <c r="R303" s="23">
        <v>196738</v>
      </c>
      <c r="S303" s="21"/>
      <c r="T303" s="21"/>
      <c r="U303" s="21"/>
      <c r="V303" s="24"/>
      <c r="W303" s="24" t="s">
        <v>491</v>
      </c>
      <c r="X303" s="24"/>
      <c r="Y303" s="17" t="s">
        <v>492</v>
      </c>
      <c r="Z303" s="18">
        <f>ROUND(R303*'Data-CostAssumptions'!$C$3,-3)</f>
        <v>272000</v>
      </c>
      <c r="AA303" s="11">
        <f t="shared" si="9"/>
        <v>1</v>
      </c>
      <c r="AB303" s="11">
        <v>2041</v>
      </c>
      <c r="AC303" s="11">
        <v>2041</v>
      </c>
      <c r="AD303" s="11">
        <v>2041</v>
      </c>
      <c r="AE303" s="11">
        <v>2041</v>
      </c>
      <c r="AF303" s="11">
        <v>0</v>
      </c>
      <c r="AG303" s="19">
        <f>ROUND((Z303*'Data-CostAssumptions'!$G$5)*(1+'Data-CostAssumptions'!$G$3)^(AC303-'Data-CostAssumptions'!$G$4),-3)</f>
        <v>153000</v>
      </c>
      <c r="AH303" s="19">
        <f>ROUND((Z303)*(1+'Data-CostAssumptions'!$G$3)^(AE303-'Data-CostAssumptions'!$G$4),-3)</f>
        <v>697000</v>
      </c>
    </row>
    <row r="304" spans="1:34" ht="15" customHeight="1" x14ac:dyDescent="0.2">
      <c r="A304" s="11"/>
      <c r="B304" s="11" t="s">
        <v>1211</v>
      </c>
      <c r="C304" s="13">
        <v>927</v>
      </c>
      <c r="D304" s="13" t="s">
        <v>420</v>
      </c>
      <c r="E304" s="20">
        <v>43</v>
      </c>
      <c r="F304" s="20">
        <v>194</v>
      </c>
      <c r="G304" s="20">
        <v>303</v>
      </c>
      <c r="H304" s="13" t="s">
        <v>2209</v>
      </c>
      <c r="I304" s="13" t="str">
        <f t="shared" si="8"/>
        <v>SR 5/ US 1 (Sample Rd to SE 15th St)</v>
      </c>
      <c r="J304" s="13" t="s">
        <v>29</v>
      </c>
      <c r="K304" s="13" t="str">
        <f>VLOOKUP(J304,'Data-ProjectTypes'!A$3:B$13,2,FALSE)</f>
        <v>Program</v>
      </c>
      <c r="L304" s="21" t="s">
        <v>348</v>
      </c>
      <c r="M304" s="13" t="s">
        <v>1864</v>
      </c>
      <c r="N304" s="13" t="s">
        <v>1939</v>
      </c>
      <c r="O304" s="13" t="s">
        <v>270</v>
      </c>
      <c r="P304" s="13" t="s">
        <v>270</v>
      </c>
      <c r="Q304" s="22">
        <v>1.5</v>
      </c>
      <c r="R304" s="23">
        <v>357652</v>
      </c>
      <c r="S304" s="21"/>
      <c r="T304" s="21"/>
      <c r="U304" s="21"/>
      <c r="V304" s="24"/>
      <c r="W304" s="24" t="s">
        <v>677</v>
      </c>
      <c r="X304" s="24" t="s">
        <v>493</v>
      </c>
      <c r="Y304" s="17" t="s">
        <v>673</v>
      </c>
      <c r="Z304" s="18">
        <f>ROUND(R304*'Data-CostAssumptions'!$C$3,-3)</f>
        <v>495000</v>
      </c>
      <c r="AA304" s="11">
        <f t="shared" si="9"/>
        <v>1</v>
      </c>
      <c r="AB304" s="11">
        <v>2041</v>
      </c>
      <c r="AC304" s="11">
        <v>2041</v>
      </c>
      <c r="AD304" s="11">
        <v>2041</v>
      </c>
      <c r="AE304" s="11">
        <v>2041</v>
      </c>
      <c r="AF304" s="11">
        <v>0</v>
      </c>
      <c r="AG304" s="19">
        <f>ROUND((Z304*'Data-CostAssumptions'!$G$5)*(1+'Data-CostAssumptions'!$G$3)^(AC304-'Data-CostAssumptions'!$G$4),-3)</f>
        <v>279000</v>
      </c>
      <c r="AH304" s="19">
        <f>ROUND((Z304)*(1+'Data-CostAssumptions'!$G$3)^(AE304-'Data-CostAssumptions'!$G$4),-3)</f>
        <v>1269000</v>
      </c>
    </row>
    <row r="305" spans="1:34" ht="15" customHeight="1" x14ac:dyDescent="0.2">
      <c r="A305" s="11"/>
      <c r="B305" s="11" t="s">
        <v>1211</v>
      </c>
      <c r="C305" s="13">
        <v>928</v>
      </c>
      <c r="D305" s="13" t="s">
        <v>420</v>
      </c>
      <c r="E305" s="20">
        <v>44</v>
      </c>
      <c r="F305" s="20">
        <v>194</v>
      </c>
      <c r="G305" s="20">
        <v>304</v>
      </c>
      <c r="H305" s="13" t="s">
        <v>1752</v>
      </c>
      <c r="I305" s="13" t="str">
        <f t="shared" si="8"/>
        <v>Hiatus Rd (Oakland Park Bl to NW 44th St)</v>
      </c>
      <c r="J305" s="13" t="s">
        <v>29</v>
      </c>
      <c r="K305" s="13" t="str">
        <f>VLOOKUP(J305,'Data-ProjectTypes'!A$3:B$13,2,FALSE)</f>
        <v>Program</v>
      </c>
      <c r="L305" s="21" t="s">
        <v>817</v>
      </c>
      <c r="M305" s="13" t="s">
        <v>1825</v>
      </c>
      <c r="N305" s="13" t="s">
        <v>1189</v>
      </c>
      <c r="O305" s="13" t="s">
        <v>278</v>
      </c>
      <c r="P305" s="13" t="s">
        <v>278</v>
      </c>
      <c r="Q305" s="22">
        <v>0.9</v>
      </c>
      <c r="R305" s="23">
        <v>200422</v>
      </c>
      <c r="S305" s="21" t="s">
        <v>24</v>
      </c>
      <c r="T305" s="21" t="s">
        <v>25</v>
      </c>
      <c r="U305" s="21" t="s">
        <v>24</v>
      </c>
      <c r="V305" s="24" t="s">
        <v>816</v>
      </c>
      <c r="W305" s="24"/>
      <c r="X305" s="24" t="s">
        <v>819</v>
      </c>
      <c r="Y305" s="17" t="s">
        <v>806</v>
      </c>
      <c r="Z305" s="18">
        <f>ROUND(R305*'Data-CostAssumptions'!$C$3,-3)</f>
        <v>277000</v>
      </c>
      <c r="AA305" s="11">
        <f t="shared" si="9"/>
        <v>1</v>
      </c>
      <c r="AB305" s="11">
        <v>2041</v>
      </c>
      <c r="AC305" s="11">
        <v>2041</v>
      </c>
      <c r="AD305" s="11">
        <v>2041</v>
      </c>
      <c r="AE305" s="11">
        <v>2041</v>
      </c>
      <c r="AF305" s="11">
        <v>0</v>
      </c>
      <c r="AG305" s="19">
        <f>ROUND((Z305*'Data-CostAssumptions'!$G$5)*(1+'Data-CostAssumptions'!$G$3)^(AC305-'Data-CostAssumptions'!$G$4),-3)</f>
        <v>156000</v>
      </c>
      <c r="AH305" s="19">
        <f>ROUND((Z305)*(1+'Data-CostAssumptions'!$G$3)^(AE305-'Data-CostAssumptions'!$G$4),-3)</f>
        <v>710000</v>
      </c>
    </row>
    <row r="306" spans="1:34" ht="15" customHeight="1" x14ac:dyDescent="0.2">
      <c r="A306" s="11"/>
      <c r="B306" s="11" t="s">
        <v>1211</v>
      </c>
      <c r="C306" s="13">
        <v>929</v>
      </c>
      <c r="D306" s="13" t="s">
        <v>420</v>
      </c>
      <c r="E306" s="20">
        <v>47</v>
      </c>
      <c r="F306" s="20">
        <v>194</v>
      </c>
      <c r="G306" s="20">
        <v>305</v>
      </c>
      <c r="H306" s="13" t="s">
        <v>1752</v>
      </c>
      <c r="I306" s="13" t="str">
        <f t="shared" si="8"/>
        <v>Hiatus Rd (Sunrise Bl to Oakland Park Bl)</v>
      </c>
      <c r="J306" s="13" t="s">
        <v>29</v>
      </c>
      <c r="K306" s="13" t="str">
        <f>VLOOKUP(J306,'Data-ProjectTypes'!A$3:B$13,2,FALSE)</f>
        <v>Program</v>
      </c>
      <c r="L306" s="21" t="s">
        <v>348</v>
      </c>
      <c r="M306" s="13" t="s">
        <v>1830</v>
      </c>
      <c r="N306" s="13" t="s">
        <v>1825</v>
      </c>
      <c r="O306" s="13" t="s">
        <v>273</v>
      </c>
      <c r="P306" s="13" t="s">
        <v>273</v>
      </c>
      <c r="Q306" s="22">
        <v>1.6</v>
      </c>
      <c r="R306" s="23">
        <v>361514</v>
      </c>
      <c r="S306" s="21"/>
      <c r="T306" s="21"/>
      <c r="U306" s="21"/>
      <c r="V306" s="24"/>
      <c r="W306" s="24"/>
      <c r="X306" s="24"/>
      <c r="Y306" s="17"/>
      <c r="Z306" s="18">
        <f>ROUND(R306*'Data-CostAssumptions'!$C$3,-3)</f>
        <v>500000</v>
      </c>
      <c r="AA306" s="11">
        <f t="shared" si="9"/>
        <v>0</v>
      </c>
      <c r="AB306" s="11">
        <v>2041</v>
      </c>
      <c r="AC306" s="11">
        <v>2041</v>
      </c>
      <c r="AD306" s="11">
        <v>2041</v>
      </c>
      <c r="AE306" s="11">
        <v>2041</v>
      </c>
      <c r="AF306" s="11">
        <v>0</v>
      </c>
      <c r="AG306" s="19">
        <f>ROUND((Z306*'Data-CostAssumptions'!$G$5)*(1+'Data-CostAssumptions'!$G$3)^(AC306-'Data-CostAssumptions'!$G$4),-3)</f>
        <v>282000</v>
      </c>
      <c r="AH306" s="19">
        <f>ROUND((Z306)*(1+'Data-CostAssumptions'!$G$3)^(AE306-'Data-CostAssumptions'!$G$4),-3)</f>
        <v>1282000</v>
      </c>
    </row>
    <row r="307" spans="1:34" ht="15" customHeight="1" x14ac:dyDescent="0.2">
      <c r="A307" s="11"/>
      <c r="B307" s="11" t="s">
        <v>1211</v>
      </c>
      <c r="C307" s="13">
        <v>930</v>
      </c>
      <c r="D307" s="13" t="s">
        <v>420</v>
      </c>
      <c r="E307" s="20">
        <v>50</v>
      </c>
      <c r="F307" s="20">
        <v>194</v>
      </c>
      <c r="G307" s="20">
        <v>306</v>
      </c>
      <c r="H307" s="13" t="s">
        <v>184</v>
      </c>
      <c r="I307" s="13" t="str">
        <f t="shared" si="8"/>
        <v>Orange Dr (Hiatus Rd to Flamingo Rd)</v>
      </c>
      <c r="J307" s="13" t="s">
        <v>29</v>
      </c>
      <c r="K307" s="13" t="str">
        <f>VLOOKUP(J307,'Data-ProjectTypes'!A$3:B$13,2,FALSE)</f>
        <v>Program</v>
      </c>
      <c r="L307" s="21" t="s">
        <v>348</v>
      </c>
      <c r="M307" s="13" t="s">
        <v>1752</v>
      </c>
      <c r="N307" s="13" t="s">
        <v>159</v>
      </c>
      <c r="O307" s="13" t="s">
        <v>279</v>
      </c>
      <c r="P307" s="13" t="s">
        <v>279</v>
      </c>
      <c r="Q307" s="22">
        <v>1</v>
      </c>
      <c r="R307" s="23">
        <v>225511</v>
      </c>
      <c r="S307" s="21" t="s">
        <v>24</v>
      </c>
      <c r="T307" s="21" t="s">
        <v>25</v>
      </c>
      <c r="U307" s="21"/>
      <c r="V307" s="24"/>
      <c r="W307" s="24"/>
      <c r="X307" s="24"/>
      <c r="Y307" s="17" t="s">
        <v>469</v>
      </c>
      <c r="Z307" s="18">
        <f>ROUND(R307*'Data-CostAssumptions'!$C$3,-3)</f>
        <v>312000</v>
      </c>
      <c r="AA307" s="11">
        <f t="shared" si="9"/>
        <v>0</v>
      </c>
      <c r="AB307" s="11">
        <v>2041</v>
      </c>
      <c r="AC307" s="11">
        <v>2041</v>
      </c>
      <c r="AD307" s="11">
        <v>2041</v>
      </c>
      <c r="AE307" s="11">
        <v>2041</v>
      </c>
      <c r="AF307" s="11">
        <v>0</v>
      </c>
      <c r="AG307" s="19">
        <f>ROUND((Z307*'Data-CostAssumptions'!$G$5)*(1+'Data-CostAssumptions'!$G$3)^(AC307-'Data-CostAssumptions'!$G$4),-3)</f>
        <v>176000</v>
      </c>
      <c r="AH307" s="19">
        <f>ROUND((Z307)*(1+'Data-CostAssumptions'!$G$3)^(AE307-'Data-CostAssumptions'!$G$4),-3)</f>
        <v>800000</v>
      </c>
    </row>
    <row r="308" spans="1:34" ht="15" customHeight="1" x14ac:dyDescent="0.2">
      <c r="A308" s="11"/>
      <c r="B308" s="11" t="s">
        <v>1211</v>
      </c>
      <c r="C308" s="13">
        <v>931</v>
      </c>
      <c r="D308" s="13" t="s">
        <v>420</v>
      </c>
      <c r="E308" s="20">
        <v>53</v>
      </c>
      <c r="F308" s="20">
        <v>194</v>
      </c>
      <c r="G308" s="20">
        <v>307</v>
      </c>
      <c r="H308" s="13" t="s">
        <v>1846</v>
      </c>
      <c r="I308" s="13" t="str">
        <f t="shared" si="8"/>
        <v>Dykes Rd (Stirling Rd to Griffin Rd)</v>
      </c>
      <c r="J308" s="13" t="s">
        <v>29</v>
      </c>
      <c r="K308" s="13" t="str">
        <f>VLOOKUP(J308,'Data-ProjectTypes'!A$3:B$13,2,FALSE)</f>
        <v>Program</v>
      </c>
      <c r="L308" s="21" t="s">
        <v>348</v>
      </c>
      <c r="M308" s="13" t="s">
        <v>177</v>
      </c>
      <c r="N308" s="13" t="s">
        <v>1750</v>
      </c>
      <c r="O308" s="13" t="s">
        <v>272</v>
      </c>
      <c r="P308" s="13" t="s">
        <v>272</v>
      </c>
      <c r="Q308" s="22">
        <v>1.3</v>
      </c>
      <c r="R308" s="23">
        <v>294994</v>
      </c>
      <c r="S308" s="29" t="s">
        <v>792</v>
      </c>
      <c r="T308" s="21"/>
      <c r="U308" s="21"/>
      <c r="V308" s="24"/>
      <c r="W308" s="24" t="s">
        <v>789</v>
      </c>
      <c r="X308" s="24"/>
      <c r="Y308" s="17" t="s">
        <v>790</v>
      </c>
      <c r="Z308" s="18">
        <f>ROUND(R308*'Data-CostAssumptions'!$C$3,-3)</f>
        <v>408000</v>
      </c>
      <c r="AA308" s="11">
        <f t="shared" si="9"/>
        <v>1</v>
      </c>
      <c r="AB308" s="11">
        <v>2041</v>
      </c>
      <c r="AC308" s="11">
        <v>2041</v>
      </c>
      <c r="AD308" s="11">
        <v>2041</v>
      </c>
      <c r="AE308" s="11">
        <v>2041</v>
      </c>
      <c r="AF308" s="11">
        <v>0</v>
      </c>
      <c r="AG308" s="19">
        <f>ROUND((Z308*'Data-CostAssumptions'!$G$5)*(1+'Data-CostAssumptions'!$G$3)^(AC308-'Data-CostAssumptions'!$G$4),-3)</f>
        <v>230000</v>
      </c>
      <c r="AH308" s="19">
        <f>ROUND((Z308)*(1+'Data-CostAssumptions'!$G$3)^(AE308-'Data-CostAssumptions'!$G$4),-3)</f>
        <v>1046000</v>
      </c>
    </row>
    <row r="309" spans="1:34" ht="15" customHeight="1" x14ac:dyDescent="0.2">
      <c r="A309" s="11"/>
      <c r="B309" s="11" t="s">
        <v>1211</v>
      </c>
      <c r="C309" s="13">
        <v>932</v>
      </c>
      <c r="D309" s="13" t="s">
        <v>420</v>
      </c>
      <c r="E309" s="20">
        <v>62</v>
      </c>
      <c r="F309" s="20">
        <v>194</v>
      </c>
      <c r="G309" s="20">
        <v>308</v>
      </c>
      <c r="H309" s="13" t="s">
        <v>2702</v>
      </c>
      <c r="I309" s="13" t="str">
        <f t="shared" si="8"/>
        <v>SR A1A/Ocean Bl (NE 40th St to Commercial Bl)</v>
      </c>
      <c r="J309" s="13" t="s">
        <v>29</v>
      </c>
      <c r="K309" s="13" t="str">
        <f>VLOOKUP(J309,'Data-ProjectTypes'!A$3:B$13,2,FALSE)</f>
        <v>Program</v>
      </c>
      <c r="L309" s="21" t="s">
        <v>348</v>
      </c>
      <c r="M309" s="13" t="s">
        <v>1893</v>
      </c>
      <c r="N309" s="13" t="s">
        <v>1813</v>
      </c>
      <c r="O309" s="13" t="s">
        <v>270</v>
      </c>
      <c r="P309" s="13" t="s">
        <v>270</v>
      </c>
      <c r="Q309" s="22">
        <v>0.9</v>
      </c>
      <c r="R309" s="23">
        <v>217523</v>
      </c>
      <c r="S309" s="21"/>
      <c r="T309" s="21"/>
      <c r="U309" s="21"/>
      <c r="V309" s="24"/>
      <c r="W309" s="24"/>
      <c r="X309" s="24"/>
      <c r="Y309" s="17"/>
      <c r="Z309" s="18">
        <f>ROUND(R309*'Data-CostAssumptions'!$C$3,-3)</f>
        <v>301000</v>
      </c>
      <c r="AA309" s="11">
        <f t="shared" si="9"/>
        <v>0</v>
      </c>
      <c r="AB309" s="11">
        <v>2041</v>
      </c>
      <c r="AC309" s="11">
        <v>2041</v>
      </c>
      <c r="AD309" s="11">
        <v>2041</v>
      </c>
      <c r="AE309" s="11">
        <v>2041</v>
      </c>
      <c r="AF309" s="11">
        <v>0</v>
      </c>
      <c r="AG309" s="19">
        <f>ROUND((Z309*'Data-CostAssumptions'!$G$5)*(1+'Data-CostAssumptions'!$G$3)^(AC309-'Data-CostAssumptions'!$G$4),-3)</f>
        <v>170000</v>
      </c>
      <c r="AH309" s="19">
        <f>ROUND((Z309)*(1+'Data-CostAssumptions'!$G$3)^(AE309-'Data-CostAssumptions'!$G$4),-3)</f>
        <v>772000</v>
      </c>
    </row>
    <row r="310" spans="1:34" ht="15" customHeight="1" x14ac:dyDescent="0.2">
      <c r="A310" s="11"/>
      <c r="B310" s="11" t="s">
        <v>1211</v>
      </c>
      <c r="C310" s="13">
        <v>933</v>
      </c>
      <c r="D310" s="13" t="s">
        <v>420</v>
      </c>
      <c r="E310" s="20">
        <v>122</v>
      </c>
      <c r="F310" s="20">
        <v>194</v>
      </c>
      <c r="G310" s="20">
        <v>309</v>
      </c>
      <c r="H310" s="13" t="s">
        <v>2799</v>
      </c>
      <c r="I310" s="13" t="str">
        <f t="shared" si="8"/>
        <v>SR 845/Powerline Rd (Prospect Rd to Commercial Bl)</v>
      </c>
      <c r="J310" s="13" t="s">
        <v>29</v>
      </c>
      <c r="K310" s="13" t="str">
        <f>VLOOKUP(J310,'Data-ProjectTypes'!A$3:B$13,2,FALSE)</f>
        <v>Program</v>
      </c>
      <c r="L310" s="21" t="s">
        <v>348</v>
      </c>
      <c r="M310" s="13" t="s">
        <v>1859</v>
      </c>
      <c r="N310" s="13" t="s">
        <v>1813</v>
      </c>
      <c r="O310" s="13" t="s">
        <v>270</v>
      </c>
      <c r="P310" s="13" t="s">
        <v>270</v>
      </c>
      <c r="Q310" s="22">
        <v>0.5</v>
      </c>
      <c r="R310" s="23">
        <v>119499</v>
      </c>
      <c r="S310" s="21"/>
      <c r="T310" s="21"/>
      <c r="U310" s="21"/>
      <c r="V310" s="24"/>
      <c r="W310" s="24" t="s">
        <v>696</v>
      </c>
      <c r="X310" s="24"/>
      <c r="Y310" s="17" t="s">
        <v>287</v>
      </c>
      <c r="Z310" s="18">
        <f>ROUND(R310*'Data-CostAssumptions'!$C$3,-3)</f>
        <v>165000</v>
      </c>
      <c r="AA310" s="11">
        <f t="shared" si="9"/>
        <v>1</v>
      </c>
      <c r="AB310" s="11">
        <v>2041</v>
      </c>
      <c r="AC310" s="11">
        <v>2041</v>
      </c>
      <c r="AD310" s="11">
        <v>2041</v>
      </c>
      <c r="AE310" s="11">
        <v>2041</v>
      </c>
      <c r="AF310" s="11">
        <v>0</v>
      </c>
      <c r="AG310" s="19">
        <f>ROUND((Z310*'Data-CostAssumptions'!$G$5)*(1+'Data-CostAssumptions'!$G$3)^(AC310-'Data-CostAssumptions'!$G$4),-3)</f>
        <v>93000</v>
      </c>
      <c r="AH310" s="19">
        <f>ROUND((Z310)*(1+'Data-CostAssumptions'!$G$3)^(AE310-'Data-CostAssumptions'!$G$4),-3)</f>
        <v>423000</v>
      </c>
    </row>
    <row r="311" spans="1:34" ht="15" customHeight="1" x14ac:dyDescent="0.2">
      <c r="A311" s="11"/>
      <c r="B311" s="11" t="s">
        <v>1211</v>
      </c>
      <c r="C311" s="13">
        <v>934</v>
      </c>
      <c r="D311" s="13" t="s">
        <v>420</v>
      </c>
      <c r="E311" s="20">
        <v>133</v>
      </c>
      <c r="F311" s="20">
        <v>194</v>
      </c>
      <c r="G311" s="20">
        <v>310</v>
      </c>
      <c r="H311" s="13" t="s">
        <v>2803</v>
      </c>
      <c r="I311" s="13" t="str">
        <f t="shared" si="8"/>
        <v>SR 870/Commercial Bl (NW 49th Av to NW 50th Av)</v>
      </c>
      <c r="J311" s="13" t="s">
        <v>29</v>
      </c>
      <c r="K311" s="13" t="str">
        <f>VLOOKUP(J311,'Data-ProjectTypes'!A$3:B$13,2,FALSE)</f>
        <v>Program</v>
      </c>
      <c r="L311" s="21" t="s">
        <v>348</v>
      </c>
      <c r="M311" s="13" t="s">
        <v>2340</v>
      </c>
      <c r="N311" s="13" t="s">
        <v>2215</v>
      </c>
      <c r="O311" s="13" t="s">
        <v>270</v>
      </c>
      <c r="P311" s="13" t="s">
        <v>270</v>
      </c>
      <c r="Q311" s="22">
        <v>0.2</v>
      </c>
      <c r="R311" s="23">
        <v>38402</v>
      </c>
      <c r="S311" s="21"/>
      <c r="T311" s="21"/>
      <c r="U311" s="21"/>
      <c r="V311" s="24"/>
      <c r="W311" s="24"/>
      <c r="X311" s="24"/>
      <c r="Y311" s="17"/>
      <c r="Z311" s="18">
        <f>ROUND(R311*'Data-CostAssumptions'!$C$3,-3)</f>
        <v>53000</v>
      </c>
      <c r="AA311" s="11">
        <f t="shared" si="9"/>
        <v>0</v>
      </c>
      <c r="AB311" s="11">
        <v>2041</v>
      </c>
      <c r="AC311" s="11">
        <v>2041</v>
      </c>
      <c r="AD311" s="11">
        <v>2041</v>
      </c>
      <c r="AE311" s="11">
        <v>2041</v>
      </c>
      <c r="AF311" s="11">
        <v>0</v>
      </c>
      <c r="AG311" s="19">
        <f>ROUND((Z311*'Data-CostAssumptions'!$G$5)*(1+'Data-CostAssumptions'!$G$3)^(AC311-'Data-CostAssumptions'!$G$4),-3)</f>
        <v>30000</v>
      </c>
      <c r="AH311" s="19">
        <f>ROUND((Z311)*(1+'Data-CostAssumptions'!$G$3)^(AE311-'Data-CostAssumptions'!$G$4),-3)</f>
        <v>136000</v>
      </c>
    </row>
    <row r="312" spans="1:34" ht="15" customHeight="1" x14ac:dyDescent="0.2">
      <c r="A312" s="11"/>
      <c r="B312" s="11" t="s">
        <v>1211</v>
      </c>
      <c r="C312" s="13">
        <v>935</v>
      </c>
      <c r="D312" s="13" t="s">
        <v>420</v>
      </c>
      <c r="E312" s="20">
        <v>164</v>
      </c>
      <c r="F312" s="20">
        <v>194</v>
      </c>
      <c r="G312" s="20">
        <v>311</v>
      </c>
      <c r="H312" s="13" t="s">
        <v>2709</v>
      </c>
      <c r="I312" s="13" t="str">
        <f t="shared" si="8"/>
        <v>SR 817/University Dr (NW 44th St to Commercial Bl)</v>
      </c>
      <c r="J312" s="13" t="s">
        <v>29</v>
      </c>
      <c r="K312" s="13" t="str">
        <f>VLOOKUP(J312,'Data-ProjectTypes'!A$3:B$13,2,FALSE)</f>
        <v>Program</v>
      </c>
      <c r="L312" s="21" t="s">
        <v>348</v>
      </c>
      <c r="M312" s="13" t="s">
        <v>1189</v>
      </c>
      <c r="N312" s="13" t="s">
        <v>1813</v>
      </c>
      <c r="O312" s="13" t="s">
        <v>270</v>
      </c>
      <c r="P312" s="13" t="s">
        <v>270</v>
      </c>
      <c r="Q312" s="22">
        <v>1</v>
      </c>
      <c r="R312" s="23">
        <v>232656</v>
      </c>
      <c r="S312" s="21"/>
      <c r="T312" s="21"/>
      <c r="U312" s="21"/>
      <c r="V312" s="24"/>
      <c r="W312" s="24"/>
      <c r="X312" s="24"/>
      <c r="Y312" s="17"/>
      <c r="Z312" s="18">
        <f>ROUND(R312*'Data-CostAssumptions'!$C$3,-3)</f>
        <v>322000</v>
      </c>
      <c r="AA312" s="11">
        <f t="shared" si="9"/>
        <v>0</v>
      </c>
      <c r="AB312" s="11">
        <v>2041</v>
      </c>
      <c r="AC312" s="11">
        <v>2041</v>
      </c>
      <c r="AD312" s="11">
        <v>2041</v>
      </c>
      <c r="AE312" s="11">
        <v>2041</v>
      </c>
      <c r="AF312" s="11">
        <v>0</v>
      </c>
      <c r="AG312" s="19">
        <f>ROUND((Z312*'Data-CostAssumptions'!$G$5)*(1+'Data-CostAssumptions'!$G$3)^(AC312-'Data-CostAssumptions'!$G$4),-3)</f>
        <v>182000</v>
      </c>
      <c r="AH312" s="19">
        <f>ROUND((Z312)*(1+'Data-CostAssumptions'!$G$3)^(AE312-'Data-CostAssumptions'!$G$4),-3)</f>
        <v>826000</v>
      </c>
    </row>
    <row r="313" spans="1:34" ht="15" customHeight="1" x14ac:dyDescent="0.2">
      <c r="A313" s="11"/>
      <c r="B313" s="11" t="s">
        <v>1211</v>
      </c>
      <c r="C313" s="13">
        <v>936</v>
      </c>
      <c r="D313" s="13" t="s">
        <v>420</v>
      </c>
      <c r="E313" s="20">
        <v>188</v>
      </c>
      <c r="F313" s="20">
        <v>194</v>
      </c>
      <c r="G313" s="20">
        <v>312</v>
      </c>
      <c r="H313" s="13" t="s">
        <v>1857</v>
      </c>
      <c r="I313" s="13" t="str">
        <f t="shared" si="8"/>
        <v>Park Rd (Sheridan St to Stirling Rd)</v>
      </c>
      <c r="J313" s="13" t="s">
        <v>29</v>
      </c>
      <c r="K313" s="13" t="str">
        <f>VLOOKUP(J313,'Data-ProjectTypes'!A$3:B$13,2,FALSE)</f>
        <v>Program</v>
      </c>
      <c r="L313" s="21" t="s">
        <v>562</v>
      </c>
      <c r="M313" s="13" t="s">
        <v>1951</v>
      </c>
      <c r="N313" s="13" t="s">
        <v>177</v>
      </c>
      <c r="O313" s="13" t="s">
        <v>282</v>
      </c>
      <c r="P313" s="13" t="s">
        <v>282</v>
      </c>
      <c r="Q313" s="22">
        <v>1</v>
      </c>
      <c r="R313" s="23">
        <v>234226</v>
      </c>
      <c r="S313" s="21" t="s">
        <v>24</v>
      </c>
      <c r="T313" s="21" t="s">
        <v>25</v>
      </c>
      <c r="U313" s="21" t="s">
        <v>24</v>
      </c>
      <c r="V313" s="24" t="s">
        <v>561</v>
      </c>
      <c r="W313" s="24"/>
      <c r="X313" s="24"/>
      <c r="Y313" s="17" t="s">
        <v>538</v>
      </c>
      <c r="Z313" s="18">
        <f>ROUND(R313*'Data-CostAssumptions'!$C$3,-3)</f>
        <v>324000</v>
      </c>
      <c r="AA313" s="11">
        <f t="shared" si="9"/>
        <v>1</v>
      </c>
      <c r="AB313" s="11">
        <v>2041</v>
      </c>
      <c r="AC313" s="11">
        <v>2041</v>
      </c>
      <c r="AD313" s="11">
        <v>2041</v>
      </c>
      <c r="AE313" s="11">
        <v>2041</v>
      </c>
      <c r="AF313" s="11">
        <v>0</v>
      </c>
      <c r="AG313" s="19">
        <f>ROUND((Z313*'Data-CostAssumptions'!$G$5)*(1+'Data-CostAssumptions'!$G$3)^(AC313-'Data-CostAssumptions'!$G$4),-3)</f>
        <v>183000</v>
      </c>
      <c r="AH313" s="19">
        <f>ROUND((Z313)*(1+'Data-CostAssumptions'!$G$3)^(AE313-'Data-CostAssumptions'!$G$4),-3)</f>
        <v>831000</v>
      </c>
    </row>
    <row r="314" spans="1:34" ht="15" customHeight="1" x14ac:dyDescent="0.2">
      <c r="A314" s="11"/>
      <c r="B314" s="11" t="s">
        <v>1211</v>
      </c>
      <c r="C314" s="13">
        <v>937</v>
      </c>
      <c r="D314" s="13" t="s">
        <v>420</v>
      </c>
      <c r="E314" s="20">
        <v>258</v>
      </c>
      <c r="F314" s="20">
        <v>194</v>
      </c>
      <c r="G314" s="20">
        <v>313</v>
      </c>
      <c r="H314" s="13" t="s">
        <v>1924</v>
      </c>
      <c r="I314" s="13" t="str">
        <f t="shared" si="8"/>
        <v>NW 50th St (University Dr to Pine Island Rd)</v>
      </c>
      <c r="J314" s="13" t="s">
        <v>29</v>
      </c>
      <c r="K314" s="13" t="str">
        <f>VLOOKUP(J314,'Data-ProjectTypes'!A$3:B$13,2,FALSE)</f>
        <v>Program</v>
      </c>
      <c r="L314" s="21" t="s">
        <v>348</v>
      </c>
      <c r="M314" s="13" t="s">
        <v>1804</v>
      </c>
      <c r="N314" s="13" t="s">
        <v>266</v>
      </c>
      <c r="O314" s="13" t="s">
        <v>281</v>
      </c>
      <c r="P314" s="13" t="s">
        <v>281</v>
      </c>
      <c r="Q314" s="22">
        <v>1</v>
      </c>
      <c r="R314" s="23">
        <v>231973</v>
      </c>
      <c r="S314" s="21"/>
      <c r="T314" s="21"/>
      <c r="U314" s="21"/>
      <c r="V314" s="24"/>
      <c r="W314" s="24"/>
      <c r="X314" s="24"/>
      <c r="Y314" s="17"/>
      <c r="Z314" s="18">
        <f>ROUND(R314*'Data-CostAssumptions'!$C$3,-3)</f>
        <v>321000</v>
      </c>
      <c r="AA314" s="11">
        <f t="shared" si="9"/>
        <v>0</v>
      </c>
      <c r="AB314" s="11">
        <v>2041</v>
      </c>
      <c r="AC314" s="11">
        <v>2041</v>
      </c>
      <c r="AD314" s="11">
        <v>2041</v>
      </c>
      <c r="AE314" s="11">
        <v>2041</v>
      </c>
      <c r="AF314" s="11">
        <v>0</v>
      </c>
      <c r="AG314" s="19">
        <f>ROUND((Z314*'Data-CostAssumptions'!$G$5)*(1+'Data-CostAssumptions'!$G$3)^(AC314-'Data-CostAssumptions'!$G$4),-3)</f>
        <v>181000</v>
      </c>
      <c r="AH314" s="19">
        <f>ROUND((Z314)*(1+'Data-CostAssumptions'!$G$3)^(AE314-'Data-CostAssumptions'!$G$4),-3)</f>
        <v>823000</v>
      </c>
    </row>
    <row r="315" spans="1:34" ht="15" customHeight="1" x14ac:dyDescent="0.2">
      <c r="A315" s="11"/>
      <c r="B315" s="11" t="s">
        <v>1211</v>
      </c>
      <c r="C315" s="13">
        <v>938</v>
      </c>
      <c r="D315" s="13" t="s">
        <v>420</v>
      </c>
      <c r="E315" s="20">
        <v>260</v>
      </c>
      <c r="F315" s="20">
        <v>194</v>
      </c>
      <c r="G315" s="20">
        <v>314</v>
      </c>
      <c r="H315" s="13" t="s">
        <v>1189</v>
      </c>
      <c r="I315" s="13" t="str">
        <f t="shared" si="8"/>
        <v>NW 44th St (Pine Island Rd to Hiatus Rd)</v>
      </c>
      <c r="J315" s="13" t="s">
        <v>29</v>
      </c>
      <c r="K315" s="13" t="str">
        <f>VLOOKUP(J315,'Data-ProjectTypes'!A$3:B$13,2,FALSE)</f>
        <v>Program</v>
      </c>
      <c r="L315" s="21" t="s">
        <v>817</v>
      </c>
      <c r="M315" s="13" t="s">
        <v>266</v>
      </c>
      <c r="N315" s="13" t="s">
        <v>1752</v>
      </c>
      <c r="O315" s="13" t="s">
        <v>278</v>
      </c>
      <c r="P315" s="13" t="s">
        <v>278</v>
      </c>
      <c r="Q315" s="22">
        <v>1.4</v>
      </c>
      <c r="R315" s="23">
        <v>330829</v>
      </c>
      <c r="S315" s="21" t="s">
        <v>24</v>
      </c>
      <c r="T315" s="21" t="s">
        <v>25</v>
      </c>
      <c r="U315" s="21" t="s">
        <v>24</v>
      </c>
      <c r="V315" s="24" t="s">
        <v>816</v>
      </c>
      <c r="W315" s="24"/>
      <c r="X315" s="24" t="s">
        <v>819</v>
      </c>
      <c r="Y315" s="17" t="s">
        <v>806</v>
      </c>
      <c r="Z315" s="18">
        <f>ROUND(R315*'Data-CostAssumptions'!$C$3,-3)</f>
        <v>458000</v>
      </c>
      <c r="AA315" s="11">
        <f t="shared" si="9"/>
        <v>1</v>
      </c>
      <c r="AB315" s="11">
        <v>2041</v>
      </c>
      <c r="AC315" s="11">
        <v>2041</v>
      </c>
      <c r="AD315" s="11">
        <v>2041</v>
      </c>
      <c r="AE315" s="11">
        <v>2041</v>
      </c>
      <c r="AF315" s="11">
        <v>0</v>
      </c>
      <c r="AG315" s="19">
        <f>ROUND((Z315*'Data-CostAssumptions'!$G$5)*(1+'Data-CostAssumptions'!$G$3)^(AC315-'Data-CostAssumptions'!$G$4),-3)</f>
        <v>258000</v>
      </c>
      <c r="AH315" s="19">
        <f>ROUND((Z315)*(1+'Data-CostAssumptions'!$G$3)^(AE315-'Data-CostAssumptions'!$G$4),-3)</f>
        <v>1174000</v>
      </c>
    </row>
    <row r="316" spans="1:34" ht="15" customHeight="1" x14ac:dyDescent="0.2">
      <c r="A316" s="11"/>
      <c r="B316" s="11" t="s">
        <v>1211</v>
      </c>
      <c r="C316" s="13">
        <v>939</v>
      </c>
      <c r="D316" s="13" t="s">
        <v>420</v>
      </c>
      <c r="E316" s="20">
        <v>261</v>
      </c>
      <c r="F316" s="20">
        <v>194</v>
      </c>
      <c r="G316" s="20">
        <v>315</v>
      </c>
      <c r="H316" s="13" t="s">
        <v>1752</v>
      </c>
      <c r="I316" s="13" t="str">
        <f t="shared" si="8"/>
        <v>Hiatus Rd (Just south of NW 67th St to McNab Rd)</v>
      </c>
      <c r="J316" s="13" t="s">
        <v>29</v>
      </c>
      <c r="K316" s="13" t="str">
        <f>VLOOKUP(J316,'Data-ProjectTypes'!A$3:B$13,2,FALSE)</f>
        <v>Program</v>
      </c>
      <c r="L316" s="21" t="s">
        <v>348</v>
      </c>
      <c r="M316" s="13" t="s">
        <v>2491</v>
      </c>
      <c r="N316" s="13" t="s">
        <v>1854</v>
      </c>
      <c r="O316" s="13" t="s">
        <v>280</v>
      </c>
      <c r="P316" s="13" t="s">
        <v>280</v>
      </c>
      <c r="Q316" s="22">
        <v>0.4</v>
      </c>
      <c r="R316" s="23">
        <v>88734</v>
      </c>
      <c r="S316" s="21"/>
      <c r="T316" s="21"/>
      <c r="U316" s="21"/>
      <c r="V316" s="24"/>
      <c r="W316" s="24"/>
      <c r="X316" s="24"/>
      <c r="Y316" s="17"/>
      <c r="Z316" s="18">
        <f>ROUND(R316*'Data-CostAssumptions'!$C$3,-3)</f>
        <v>123000</v>
      </c>
      <c r="AA316" s="11">
        <f t="shared" si="9"/>
        <v>0</v>
      </c>
      <c r="AB316" s="11">
        <v>2041</v>
      </c>
      <c r="AC316" s="11">
        <v>2041</v>
      </c>
      <c r="AD316" s="11">
        <v>2041</v>
      </c>
      <c r="AE316" s="11">
        <v>2041</v>
      </c>
      <c r="AF316" s="11">
        <v>0</v>
      </c>
      <c r="AG316" s="19">
        <f>ROUND((Z316*'Data-CostAssumptions'!$G$5)*(1+'Data-CostAssumptions'!$G$3)^(AC316-'Data-CostAssumptions'!$G$4),-3)</f>
        <v>69000</v>
      </c>
      <c r="AH316" s="19">
        <f>ROUND((Z316)*(1+'Data-CostAssumptions'!$G$3)^(AE316-'Data-CostAssumptions'!$G$4),-3)</f>
        <v>315000</v>
      </c>
    </row>
    <row r="317" spans="1:34" ht="15" customHeight="1" x14ac:dyDescent="0.2">
      <c r="A317" s="11"/>
      <c r="B317" s="11" t="s">
        <v>1211</v>
      </c>
      <c r="C317" s="13">
        <v>940</v>
      </c>
      <c r="D317" s="13" t="s">
        <v>420</v>
      </c>
      <c r="E317" s="20">
        <v>262</v>
      </c>
      <c r="F317" s="20">
        <v>194</v>
      </c>
      <c r="G317" s="20">
        <v>316</v>
      </c>
      <c r="H317" s="13" t="s">
        <v>1752</v>
      </c>
      <c r="I317" s="13" t="str">
        <f t="shared" si="8"/>
        <v>Hiatus Rd (NW 44th St to Commercial Bl)</v>
      </c>
      <c r="J317" s="13" t="s">
        <v>29</v>
      </c>
      <c r="K317" s="13" t="str">
        <f>VLOOKUP(J317,'Data-ProjectTypes'!A$3:B$13,2,FALSE)</f>
        <v>Program</v>
      </c>
      <c r="L317" s="21" t="s">
        <v>817</v>
      </c>
      <c r="M317" s="13" t="s">
        <v>1189</v>
      </c>
      <c r="N317" s="13" t="s">
        <v>1813</v>
      </c>
      <c r="O317" s="13" t="s">
        <v>278</v>
      </c>
      <c r="P317" s="13" t="s">
        <v>278</v>
      </c>
      <c r="Q317" s="22">
        <v>1.1000000000000001</v>
      </c>
      <c r="R317" s="23">
        <v>248052</v>
      </c>
      <c r="S317" s="21" t="s">
        <v>24</v>
      </c>
      <c r="T317" s="21" t="s">
        <v>24</v>
      </c>
      <c r="U317" s="21" t="s">
        <v>24</v>
      </c>
      <c r="V317" s="24" t="s">
        <v>816</v>
      </c>
      <c r="W317" s="24"/>
      <c r="X317" s="28" t="s">
        <v>819</v>
      </c>
      <c r="Y317" s="17" t="s">
        <v>806</v>
      </c>
      <c r="Z317" s="18">
        <f>ROUND(R317*'Data-CostAssumptions'!$C$3,-3)</f>
        <v>343000</v>
      </c>
      <c r="AA317" s="11">
        <f t="shared" si="9"/>
        <v>1</v>
      </c>
      <c r="AB317" s="11">
        <v>2041</v>
      </c>
      <c r="AC317" s="11">
        <v>2041</v>
      </c>
      <c r="AD317" s="11">
        <v>2041</v>
      </c>
      <c r="AE317" s="11">
        <v>2041</v>
      </c>
      <c r="AF317" s="11">
        <v>0</v>
      </c>
      <c r="AG317" s="19">
        <f>ROUND((Z317*'Data-CostAssumptions'!$G$5)*(1+'Data-CostAssumptions'!$G$3)^(AC317-'Data-CostAssumptions'!$G$4),-3)</f>
        <v>193000</v>
      </c>
      <c r="AH317" s="19">
        <f>ROUND((Z317)*(1+'Data-CostAssumptions'!$G$3)^(AE317-'Data-CostAssumptions'!$G$4),-3)</f>
        <v>879000</v>
      </c>
    </row>
    <row r="318" spans="1:34" ht="15" customHeight="1" x14ac:dyDescent="0.2">
      <c r="A318" s="11"/>
      <c r="B318" s="11" t="s">
        <v>1211</v>
      </c>
      <c r="C318" s="13">
        <v>941</v>
      </c>
      <c r="D318" s="13" t="s">
        <v>420</v>
      </c>
      <c r="E318" s="20">
        <v>270</v>
      </c>
      <c r="F318" s="20">
        <v>194</v>
      </c>
      <c r="G318" s="20">
        <v>317</v>
      </c>
      <c r="H318" s="13" t="s">
        <v>2107</v>
      </c>
      <c r="I318" s="13" t="str">
        <f t="shared" si="8"/>
        <v>SW 160th Av (Sheridan St to Stirling Rd)</v>
      </c>
      <c r="J318" s="13" t="s">
        <v>29</v>
      </c>
      <c r="K318" s="13" t="str">
        <f>VLOOKUP(J318,'Data-ProjectTypes'!A$3:B$13,2,FALSE)</f>
        <v>Program</v>
      </c>
      <c r="L318" s="21" t="s">
        <v>348</v>
      </c>
      <c r="M318" s="13" t="s">
        <v>1951</v>
      </c>
      <c r="N318" s="13" t="s">
        <v>177</v>
      </c>
      <c r="O318" s="13" t="s">
        <v>272</v>
      </c>
      <c r="P318" s="13" t="s">
        <v>272</v>
      </c>
      <c r="Q318" s="22">
        <v>1</v>
      </c>
      <c r="R318" s="23">
        <v>233220</v>
      </c>
      <c r="S318" s="29" t="s">
        <v>792</v>
      </c>
      <c r="T318" s="21"/>
      <c r="U318" s="21"/>
      <c r="V318" s="24"/>
      <c r="W318" s="24" t="s">
        <v>793</v>
      </c>
      <c r="X318" s="36" t="s">
        <v>3234</v>
      </c>
      <c r="Y318" s="17" t="s">
        <v>790</v>
      </c>
      <c r="Z318" s="18">
        <f>ROUND(R318*'Data-CostAssumptions'!$C$3,-3)</f>
        <v>323000</v>
      </c>
      <c r="AA318" s="11">
        <f t="shared" si="9"/>
        <v>1</v>
      </c>
      <c r="AB318" s="11">
        <v>2041</v>
      </c>
      <c r="AC318" s="11">
        <v>2041</v>
      </c>
      <c r="AD318" s="11">
        <v>2041</v>
      </c>
      <c r="AE318" s="11">
        <v>2041</v>
      </c>
      <c r="AF318" s="11">
        <v>0</v>
      </c>
      <c r="AG318" s="19">
        <f>ROUND((Z318*'Data-CostAssumptions'!$G$5)*(1+'Data-CostAssumptions'!$G$3)^(AC318-'Data-CostAssumptions'!$G$4),-3)</f>
        <v>182000</v>
      </c>
      <c r="AH318" s="19">
        <f>ROUND((Z318)*(1+'Data-CostAssumptions'!$G$3)^(AE318-'Data-CostAssumptions'!$G$4),-3)</f>
        <v>828000</v>
      </c>
    </row>
    <row r="319" spans="1:34" ht="15" customHeight="1" x14ac:dyDescent="0.2">
      <c r="A319" s="11"/>
      <c r="B319" s="11" t="s">
        <v>1211</v>
      </c>
      <c r="C319" s="13">
        <v>942</v>
      </c>
      <c r="D319" s="13" t="s">
        <v>420</v>
      </c>
      <c r="E319" s="20">
        <v>274</v>
      </c>
      <c r="F319" s="20">
        <v>194</v>
      </c>
      <c r="G319" s="20">
        <v>318</v>
      </c>
      <c r="H319" s="13" t="s">
        <v>1951</v>
      </c>
      <c r="I319" s="13" t="str">
        <f t="shared" si="8"/>
        <v>Sheridan St (Douglas Rd to Palm Av)</v>
      </c>
      <c r="J319" s="13" t="s">
        <v>29</v>
      </c>
      <c r="K319" s="13" t="str">
        <f>VLOOKUP(J319,'Data-ProjectTypes'!A$3:B$13,2,FALSE)</f>
        <v>Program</v>
      </c>
      <c r="L319" s="21" t="s">
        <v>348</v>
      </c>
      <c r="M319" s="13" t="s">
        <v>2425</v>
      </c>
      <c r="N319" s="13" t="s">
        <v>2083</v>
      </c>
      <c r="O319" s="13" t="s">
        <v>273</v>
      </c>
      <c r="P319" s="13" t="s">
        <v>273</v>
      </c>
      <c r="Q319" s="22">
        <v>1</v>
      </c>
      <c r="R319" s="23">
        <v>230195</v>
      </c>
      <c r="S319" s="21"/>
      <c r="T319" s="21"/>
      <c r="U319" s="21"/>
      <c r="V319" s="24"/>
      <c r="W319" s="24"/>
      <c r="X319" s="24"/>
      <c r="Y319" s="17"/>
      <c r="Z319" s="18">
        <f>ROUND(R319*'Data-CostAssumptions'!$C$3,-3)</f>
        <v>319000</v>
      </c>
      <c r="AA319" s="11">
        <f t="shared" si="9"/>
        <v>0</v>
      </c>
      <c r="AB319" s="11">
        <v>2041</v>
      </c>
      <c r="AC319" s="11">
        <v>2041</v>
      </c>
      <c r="AD319" s="11">
        <v>2041</v>
      </c>
      <c r="AE319" s="11">
        <v>2041</v>
      </c>
      <c r="AF319" s="11">
        <v>0</v>
      </c>
      <c r="AG319" s="19">
        <f>ROUND((Z319*'Data-CostAssumptions'!$G$5)*(1+'Data-CostAssumptions'!$G$3)^(AC319-'Data-CostAssumptions'!$G$4),-3)</f>
        <v>180000</v>
      </c>
      <c r="AH319" s="19">
        <f>ROUND((Z319)*(1+'Data-CostAssumptions'!$G$3)^(AE319-'Data-CostAssumptions'!$G$4),-3)</f>
        <v>818000</v>
      </c>
    </row>
    <row r="320" spans="1:34" ht="15" customHeight="1" x14ac:dyDescent="0.2">
      <c r="A320" s="11"/>
      <c r="B320" s="11" t="s">
        <v>1211</v>
      </c>
      <c r="C320" s="13">
        <v>943</v>
      </c>
      <c r="D320" s="13" t="s">
        <v>420</v>
      </c>
      <c r="E320" s="20">
        <v>281</v>
      </c>
      <c r="F320" s="20">
        <v>195</v>
      </c>
      <c r="G320" s="20">
        <v>319</v>
      </c>
      <c r="H320" s="13" t="s">
        <v>2083</v>
      </c>
      <c r="I320" s="13" t="str">
        <f t="shared" si="8"/>
        <v>Palm Av (Sheridan St to NW 29th Court)</v>
      </c>
      <c r="J320" s="13" t="s">
        <v>29</v>
      </c>
      <c r="K320" s="13" t="str">
        <f>VLOOKUP(J320,'Data-ProjectTypes'!A$3:B$13,2,FALSE)</f>
        <v>Program</v>
      </c>
      <c r="L320" s="21" t="s">
        <v>348</v>
      </c>
      <c r="M320" s="13" t="s">
        <v>1951</v>
      </c>
      <c r="N320" s="13" t="s">
        <v>130</v>
      </c>
      <c r="O320" s="13" t="s">
        <v>273</v>
      </c>
      <c r="P320" s="13" t="s">
        <v>273</v>
      </c>
      <c r="Q320" s="22">
        <v>0.2</v>
      </c>
      <c r="R320" s="23">
        <v>41695</v>
      </c>
      <c r="S320" s="21"/>
      <c r="T320" s="21"/>
      <c r="U320" s="21"/>
      <c r="V320" s="24"/>
      <c r="W320" s="24"/>
      <c r="X320" s="24"/>
      <c r="Y320" s="17"/>
      <c r="Z320" s="18">
        <f>ROUND(R320*'Data-CostAssumptions'!$C$3,-3)</f>
        <v>58000</v>
      </c>
      <c r="AA320" s="11">
        <f t="shared" si="9"/>
        <v>0</v>
      </c>
      <c r="AB320" s="11">
        <v>2041</v>
      </c>
      <c r="AC320" s="11">
        <v>2041</v>
      </c>
      <c r="AD320" s="11">
        <v>2041</v>
      </c>
      <c r="AE320" s="11">
        <v>2041</v>
      </c>
      <c r="AF320" s="11">
        <v>0</v>
      </c>
      <c r="AG320" s="19">
        <f>ROUND((Z320*'Data-CostAssumptions'!$G$5)*(1+'Data-CostAssumptions'!$G$3)^(AC320-'Data-CostAssumptions'!$G$4),-3)</f>
        <v>33000</v>
      </c>
      <c r="AH320" s="19">
        <f>ROUND((Z320)*(1+'Data-CostAssumptions'!$G$3)^(AE320-'Data-CostAssumptions'!$G$4),-3)</f>
        <v>149000</v>
      </c>
    </row>
    <row r="321" spans="1:34" ht="15" customHeight="1" x14ac:dyDescent="0.2">
      <c r="A321" s="11"/>
      <c r="B321" s="11" t="s">
        <v>1211</v>
      </c>
      <c r="C321" s="13">
        <v>944</v>
      </c>
      <c r="D321" s="13" t="s">
        <v>420</v>
      </c>
      <c r="E321" s="20">
        <v>283</v>
      </c>
      <c r="F321" s="20">
        <v>195</v>
      </c>
      <c r="G321" s="20">
        <v>320</v>
      </c>
      <c r="H321" s="13" t="s">
        <v>184</v>
      </c>
      <c r="I321" s="13" t="str">
        <f t="shared" si="8"/>
        <v>Orange Dr (Nob Hill Rd to Hiatus Rd)</v>
      </c>
      <c r="J321" s="13" t="s">
        <v>29</v>
      </c>
      <c r="K321" s="13" t="str">
        <f>VLOOKUP(J321,'Data-ProjectTypes'!A$3:B$13,2,FALSE)</f>
        <v>Program</v>
      </c>
      <c r="L321" s="21" t="s">
        <v>348</v>
      </c>
      <c r="M321" s="13" t="s">
        <v>1755</v>
      </c>
      <c r="N321" s="13" t="s">
        <v>1752</v>
      </c>
      <c r="O321" s="13" t="s">
        <v>279</v>
      </c>
      <c r="P321" s="13" t="s">
        <v>279</v>
      </c>
      <c r="Q321" s="22">
        <v>1.1000000000000001</v>
      </c>
      <c r="R321" s="23">
        <v>252540</v>
      </c>
      <c r="S321" s="21" t="s">
        <v>24</v>
      </c>
      <c r="T321" s="21" t="s">
        <v>25</v>
      </c>
      <c r="U321" s="21"/>
      <c r="V321" s="24"/>
      <c r="W321" s="24"/>
      <c r="X321" s="24"/>
      <c r="Y321" s="17" t="s">
        <v>469</v>
      </c>
      <c r="Z321" s="18">
        <f>ROUND(R321*'Data-CostAssumptions'!$C$3,-3)</f>
        <v>350000</v>
      </c>
      <c r="AA321" s="11">
        <f t="shared" si="9"/>
        <v>0</v>
      </c>
      <c r="AB321" s="11">
        <v>2041</v>
      </c>
      <c r="AC321" s="11">
        <v>2041</v>
      </c>
      <c r="AD321" s="11">
        <v>2041</v>
      </c>
      <c r="AE321" s="11">
        <v>2041</v>
      </c>
      <c r="AF321" s="11">
        <v>0</v>
      </c>
      <c r="AG321" s="19">
        <f>ROUND((Z321*'Data-CostAssumptions'!$G$5)*(1+'Data-CostAssumptions'!$G$3)^(AC321-'Data-CostAssumptions'!$G$4),-3)</f>
        <v>197000</v>
      </c>
      <c r="AH321" s="19">
        <f>ROUND((Z321)*(1+'Data-CostAssumptions'!$G$3)^(AE321-'Data-CostAssumptions'!$G$4),-3)</f>
        <v>897000</v>
      </c>
    </row>
    <row r="322" spans="1:34" ht="15" customHeight="1" x14ac:dyDescent="0.2">
      <c r="A322" s="11"/>
      <c r="B322" s="11" t="s">
        <v>1211</v>
      </c>
      <c r="C322" s="13">
        <v>946</v>
      </c>
      <c r="D322" s="13" t="s">
        <v>420</v>
      </c>
      <c r="E322" s="20">
        <v>298</v>
      </c>
      <c r="F322" s="20">
        <v>195</v>
      </c>
      <c r="G322" s="20">
        <v>321</v>
      </c>
      <c r="H322" s="13" t="s">
        <v>1887</v>
      </c>
      <c r="I322" s="13" t="str">
        <f t="shared" ref="I322:I385" si="10">IF(M322="@",H322&amp;" ("&amp;M322&amp;"  "&amp;N322&amp;")",H322&amp;" ("&amp;M322&amp;" to "&amp;N322&amp;")")</f>
        <v>NE 26th St (Bayview Dr to US 1/Federal Hwy)</v>
      </c>
      <c r="J322" s="13" t="s">
        <v>29</v>
      </c>
      <c r="K322" s="13" t="str">
        <f>VLOOKUP(J322,'Data-ProjectTypes'!A$3:B$13,2,FALSE)</f>
        <v>Program</v>
      </c>
      <c r="L322" s="21" t="s">
        <v>348</v>
      </c>
      <c r="M322" s="13" t="s">
        <v>1781</v>
      </c>
      <c r="N322" s="13" t="s">
        <v>2594</v>
      </c>
      <c r="O322" s="13" t="s">
        <v>276</v>
      </c>
      <c r="P322" s="13" t="s">
        <v>276</v>
      </c>
      <c r="Q322" s="22">
        <v>0.5</v>
      </c>
      <c r="R322" s="23">
        <v>114942</v>
      </c>
      <c r="S322" s="21"/>
      <c r="T322" s="21"/>
      <c r="U322" s="21"/>
      <c r="V322" s="24"/>
      <c r="W322" s="24"/>
      <c r="X322" s="24"/>
      <c r="Y322" s="17"/>
      <c r="Z322" s="18">
        <f>ROUND(R322*'Data-CostAssumptions'!$C$3,-3)</f>
        <v>159000</v>
      </c>
      <c r="AA322" s="11">
        <f t="shared" si="9"/>
        <v>0</v>
      </c>
      <c r="AB322" s="11">
        <v>2041</v>
      </c>
      <c r="AC322" s="11">
        <v>2041</v>
      </c>
      <c r="AD322" s="11">
        <v>2041</v>
      </c>
      <c r="AE322" s="11">
        <v>2041</v>
      </c>
      <c r="AF322" s="11">
        <v>0</v>
      </c>
      <c r="AG322" s="19">
        <f>ROUND((Z322*'Data-CostAssumptions'!$G$5)*(1+'Data-CostAssumptions'!$G$3)^(AC322-'Data-CostAssumptions'!$G$4),-3)</f>
        <v>90000</v>
      </c>
      <c r="AH322" s="19">
        <f>ROUND((Z322)*(1+'Data-CostAssumptions'!$G$3)^(AE322-'Data-CostAssumptions'!$G$4),-3)</f>
        <v>408000</v>
      </c>
    </row>
    <row r="323" spans="1:34" ht="15" customHeight="1" x14ac:dyDescent="0.2">
      <c r="A323" s="11"/>
      <c r="B323" s="11" t="s">
        <v>1211</v>
      </c>
      <c r="C323" s="13">
        <v>947</v>
      </c>
      <c r="D323" s="13" t="s">
        <v>420</v>
      </c>
      <c r="E323" s="20">
        <v>309</v>
      </c>
      <c r="F323" s="20">
        <v>195</v>
      </c>
      <c r="G323" s="20">
        <v>322</v>
      </c>
      <c r="H323" s="13" t="s">
        <v>2028</v>
      </c>
      <c r="I323" s="13" t="str">
        <f t="shared" si="10"/>
        <v>NE 21st Av/NE 2nd St/NE 20th Av (Hillsboro Bl to NE 7th St)</v>
      </c>
      <c r="J323" s="13" t="s">
        <v>29</v>
      </c>
      <c r="K323" s="13" t="str">
        <f>VLOOKUP(J323,'Data-ProjectTypes'!A$3:B$13,2,FALSE)</f>
        <v>Program</v>
      </c>
      <c r="L323" s="21" t="s">
        <v>348</v>
      </c>
      <c r="M323" s="13" t="s">
        <v>1819</v>
      </c>
      <c r="N323" s="13" t="s">
        <v>2510</v>
      </c>
      <c r="O323" s="13" t="s">
        <v>270</v>
      </c>
      <c r="P323" s="13" t="s">
        <v>270</v>
      </c>
      <c r="Q323" s="22">
        <v>0.5</v>
      </c>
      <c r="R323" s="23">
        <v>127429</v>
      </c>
      <c r="S323" s="21"/>
      <c r="T323" s="21"/>
      <c r="U323" s="21"/>
      <c r="V323" s="24"/>
      <c r="W323" s="24" t="s">
        <v>491</v>
      </c>
      <c r="X323" s="24"/>
      <c r="Y323" s="17" t="s">
        <v>492</v>
      </c>
      <c r="Z323" s="18">
        <f>ROUND(R323*'Data-CostAssumptions'!$C$3,-3)</f>
        <v>176000</v>
      </c>
      <c r="AA323" s="11">
        <f t="shared" ref="AA323:AA386" si="11">IF(V323="",IF(W323="",0,1),1)</f>
        <v>1</v>
      </c>
      <c r="AB323" s="11">
        <v>2041</v>
      </c>
      <c r="AC323" s="11">
        <v>2041</v>
      </c>
      <c r="AD323" s="11">
        <v>2041</v>
      </c>
      <c r="AE323" s="11">
        <v>2041</v>
      </c>
      <c r="AF323" s="11">
        <v>0</v>
      </c>
      <c r="AG323" s="19">
        <f>ROUND((Z323*'Data-CostAssumptions'!$G$5)*(1+'Data-CostAssumptions'!$G$3)^(AC323-'Data-CostAssumptions'!$G$4),-3)</f>
        <v>99000</v>
      </c>
      <c r="AH323" s="19">
        <f>ROUND((Z323)*(1+'Data-CostAssumptions'!$G$3)^(AE323-'Data-CostAssumptions'!$G$4),-3)</f>
        <v>451000</v>
      </c>
    </row>
    <row r="324" spans="1:34" ht="15" customHeight="1" x14ac:dyDescent="0.2">
      <c r="A324" s="11"/>
      <c r="B324" s="11" t="s">
        <v>1211</v>
      </c>
      <c r="C324" s="13">
        <v>948</v>
      </c>
      <c r="D324" s="13" t="s">
        <v>420</v>
      </c>
      <c r="E324" s="20">
        <v>311</v>
      </c>
      <c r="F324" s="20">
        <v>195</v>
      </c>
      <c r="G324" s="20">
        <v>323</v>
      </c>
      <c r="H324" s="13" t="s">
        <v>236</v>
      </c>
      <c r="I324" s="13" t="str">
        <f t="shared" si="10"/>
        <v>NW 48th ST/ NW 49th Court (Military Trail to West end of NW 48th ST)</v>
      </c>
      <c r="J324" s="13" t="s">
        <v>29</v>
      </c>
      <c r="K324" s="13" t="str">
        <f>VLOOKUP(J324,'Data-ProjectTypes'!A$3:B$13,2,FALSE)</f>
        <v>Program</v>
      </c>
      <c r="L324" s="21" t="s">
        <v>348</v>
      </c>
      <c r="M324" s="13" t="s">
        <v>113</v>
      </c>
      <c r="N324" s="13" t="s">
        <v>235</v>
      </c>
      <c r="O324" s="13" t="s">
        <v>273</v>
      </c>
      <c r="P324" s="13" t="s">
        <v>273</v>
      </c>
      <c r="Q324" s="22">
        <v>2</v>
      </c>
      <c r="R324" s="23">
        <v>465790</v>
      </c>
      <c r="S324" s="21"/>
      <c r="T324" s="21"/>
      <c r="U324" s="21"/>
      <c r="V324" s="24"/>
      <c r="W324" s="24" t="s">
        <v>491</v>
      </c>
      <c r="X324" s="24" t="s">
        <v>499</v>
      </c>
      <c r="Y324" s="17" t="s">
        <v>492</v>
      </c>
      <c r="Z324" s="18">
        <f>ROUND(R324*'Data-CostAssumptions'!$C$3,-3)</f>
        <v>645000</v>
      </c>
      <c r="AA324" s="11">
        <f t="shared" si="11"/>
        <v>1</v>
      </c>
      <c r="AB324" s="11">
        <v>2041</v>
      </c>
      <c r="AC324" s="11">
        <v>2041</v>
      </c>
      <c r="AD324" s="11">
        <v>2041</v>
      </c>
      <c r="AE324" s="11">
        <v>2041</v>
      </c>
      <c r="AF324" s="11">
        <v>0</v>
      </c>
      <c r="AG324" s="19">
        <f>ROUND((Z324*'Data-CostAssumptions'!$G$5)*(1+'Data-CostAssumptions'!$G$3)^(AC324-'Data-CostAssumptions'!$G$4),-3)</f>
        <v>364000</v>
      </c>
      <c r="AH324" s="19">
        <f>ROUND((Z324)*(1+'Data-CostAssumptions'!$G$3)^(AE324-'Data-CostAssumptions'!$G$4),-3)</f>
        <v>1654000</v>
      </c>
    </row>
    <row r="325" spans="1:34" ht="15" customHeight="1" x14ac:dyDescent="0.2">
      <c r="A325" s="11"/>
      <c r="B325" s="11" t="s">
        <v>1211</v>
      </c>
      <c r="C325" s="13">
        <v>949</v>
      </c>
      <c r="D325" s="13" t="s">
        <v>420</v>
      </c>
      <c r="E325" s="20">
        <v>334</v>
      </c>
      <c r="F325" s="20">
        <v>195</v>
      </c>
      <c r="G325" s="20">
        <v>324</v>
      </c>
      <c r="H325" s="13" t="s">
        <v>1906</v>
      </c>
      <c r="I325" s="13" t="str">
        <f t="shared" si="10"/>
        <v>NW 120th Way-NW 44th St Connector (Hiatus Rd to Oakland Park Bl)</v>
      </c>
      <c r="J325" s="13" t="s">
        <v>29</v>
      </c>
      <c r="K325" s="13" t="str">
        <f>VLOOKUP(J325,'Data-ProjectTypes'!A$3:B$13,2,FALSE)</f>
        <v>Program</v>
      </c>
      <c r="L325" s="21" t="s">
        <v>817</v>
      </c>
      <c r="M325" s="13" t="s">
        <v>1752</v>
      </c>
      <c r="N325" s="13" t="s">
        <v>1825</v>
      </c>
      <c r="O325" s="13" t="s">
        <v>278</v>
      </c>
      <c r="P325" s="13" t="s">
        <v>278</v>
      </c>
      <c r="Q325" s="22">
        <v>1.7</v>
      </c>
      <c r="R325" s="23">
        <v>400134</v>
      </c>
      <c r="S325" s="21" t="s">
        <v>24</v>
      </c>
      <c r="T325" s="21" t="s">
        <v>24</v>
      </c>
      <c r="U325" s="21" t="s">
        <v>24</v>
      </c>
      <c r="V325" s="24" t="s">
        <v>816</v>
      </c>
      <c r="W325" s="24"/>
      <c r="X325" s="24" t="s">
        <v>819</v>
      </c>
      <c r="Y325" s="17" t="s">
        <v>806</v>
      </c>
      <c r="Z325" s="18">
        <f>ROUND(R325*'Data-CostAssumptions'!$C$3,-3)</f>
        <v>554000</v>
      </c>
      <c r="AA325" s="11">
        <f t="shared" si="11"/>
        <v>1</v>
      </c>
      <c r="AB325" s="11">
        <v>2041</v>
      </c>
      <c r="AC325" s="11">
        <v>2041</v>
      </c>
      <c r="AD325" s="11">
        <v>2041</v>
      </c>
      <c r="AE325" s="11">
        <v>2041</v>
      </c>
      <c r="AF325" s="11">
        <v>0</v>
      </c>
      <c r="AG325" s="19">
        <f>ROUND((Z325*'Data-CostAssumptions'!$G$5)*(1+'Data-CostAssumptions'!$G$3)^(AC325-'Data-CostAssumptions'!$G$4),-3)</f>
        <v>312000</v>
      </c>
      <c r="AH325" s="19">
        <f>ROUND((Z325)*(1+'Data-CostAssumptions'!$G$3)^(AE325-'Data-CostAssumptions'!$G$4),-3)</f>
        <v>1420000</v>
      </c>
    </row>
    <row r="326" spans="1:34" ht="15" customHeight="1" x14ac:dyDescent="0.2">
      <c r="A326" s="11"/>
      <c r="B326" s="11" t="s">
        <v>1211</v>
      </c>
      <c r="C326" s="13">
        <v>950</v>
      </c>
      <c r="D326" s="13" t="s">
        <v>420</v>
      </c>
      <c r="E326" s="20">
        <v>25</v>
      </c>
      <c r="F326" s="20">
        <v>195</v>
      </c>
      <c r="G326" s="20">
        <v>325</v>
      </c>
      <c r="H326" s="13" t="s">
        <v>1836</v>
      </c>
      <c r="I326" s="13" t="str">
        <f t="shared" si="10"/>
        <v>Copans Rd (Andrews Av Extension to SR 845 / Powerline Rd)</v>
      </c>
      <c r="J326" s="13" t="s">
        <v>29</v>
      </c>
      <c r="K326" s="13" t="str">
        <f>VLOOKUP(J326,'Data-ProjectTypes'!A$3:B$13,2,FALSE)</f>
        <v>Program</v>
      </c>
      <c r="L326" s="21" t="s">
        <v>348</v>
      </c>
      <c r="M326" s="13" t="s">
        <v>2015</v>
      </c>
      <c r="N326" s="13" t="s">
        <v>2210</v>
      </c>
      <c r="O326" s="13" t="s">
        <v>273</v>
      </c>
      <c r="P326" s="13" t="s">
        <v>273</v>
      </c>
      <c r="Q326" s="22">
        <v>0.7</v>
      </c>
      <c r="R326" s="23">
        <v>161906</v>
      </c>
      <c r="S326" s="21"/>
      <c r="T326" s="21"/>
      <c r="U326" s="21"/>
      <c r="V326" s="24"/>
      <c r="W326" s="24"/>
      <c r="X326" s="24"/>
      <c r="Y326" s="17"/>
      <c r="Z326" s="18">
        <f>ROUND(R326*'Data-CostAssumptions'!$C$3,-3)</f>
        <v>224000</v>
      </c>
      <c r="AA326" s="11">
        <f t="shared" si="11"/>
        <v>0</v>
      </c>
      <c r="AB326" s="11">
        <v>2041</v>
      </c>
      <c r="AC326" s="11">
        <v>2041</v>
      </c>
      <c r="AD326" s="11">
        <v>2041</v>
      </c>
      <c r="AE326" s="11">
        <v>2041</v>
      </c>
      <c r="AF326" s="11">
        <v>0</v>
      </c>
      <c r="AG326" s="19">
        <f>ROUND((Z326*'Data-CostAssumptions'!$G$5)*(1+'Data-CostAssumptions'!$G$3)^(AC326-'Data-CostAssumptions'!$G$4),-3)</f>
        <v>126000</v>
      </c>
      <c r="AH326" s="19">
        <f>ROUND((Z326)*(1+'Data-CostAssumptions'!$G$3)^(AE326-'Data-CostAssumptions'!$G$4),-3)</f>
        <v>574000</v>
      </c>
    </row>
    <row r="327" spans="1:34" ht="15" customHeight="1" x14ac:dyDescent="0.2">
      <c r="A327" s="11"/>
      <c r="B327" s="11" t="s">
        <v>1211</v>
      </c>
      <c r="C327" s="13">
        <v>951</v>
      </c>
      <c r="D327" s="13" t="s">
        <v>420</v>
      </c>
      <c r="E327" s="20">
        <v>34</v>
      </c>
      <c r="F327" s="20">
        <v>195</v>
      </c>
      <c r="G327" s="20">
        <v>326</v>
      </c>
      <c r="H327" s="13" t="s">
        <v>1954</v>
      </c>
      <c r="I327" s="13" t="str">
        <f t="shared" si="10"/>
        <v>SW 10th St (Military Trail to Waterways Bl)</v>
      </c>
      <c r="J327" s="13" t="s">
        <v>29</v>
      </c>
      <c r="K327" s="13" t="str">
        <f>VLOOKUP(J327,'Data-ProjectTypes'!A$3:B$13,2,FALSE)</f>
        <v>Program</v>
      </c>
      <c r="L327" s="21" t="s">
        <v>348</v>
      </c>
      <c r="M327" s="13" t="s">
        <v>113</v>
      </c>
      <c r="N327" s="13" t="s">
        <v>2286</v>
      </c>
      <c r="O327" s="13" t="s">
        <v>270</v>
      </c>
      <c r="P327" s="13" t="s">
        <v>270</v>
      </c>
      <c r="Q327" s="22">
        <v>2</v>
      </c>
      <c r="R327" s="23">
        <v>461166</v>
      </c>
      <c r="S327" s="21"/>
      <c r="T327" s="21"/>
      <c r="U327" s="21"/>
      <c r="V327" s="24"/>
      <c r="W327" s="24"/>
      <c r="X327" s="24"/>
      <c r="Y327" s="17"/>
      <c r="Z327" s="18">
        <f>ROUND(R327*'Data-CostAssumptions'!$C$3,-3)</f>
        <v>638000</v>
      </c>
      <c r="AA327" s="11">
        <f t="shared" si="11"/>
        <v>0</v>
      </c>
      <c r="AB327" s="11">
        <v>2041</v>
      </c>
      <c r="AC327" s="11">
        <v>2041</v>
      </c>
      <c r="AD327" s="11">
        <v>2041</v>
      </c>
      <c r="AE327" s="11">
        <v>2041</v>
      </c>
      <c r="AF327" s="11">
        <v>0</v>
      </c>
      <c r="AG327" s="19">
        <f>ROUND((Z327*'Data-CostAssumptions'!$G$5)*(1+'Data-CostAssumptions'!$G$3)^(AC327-'Data-CostAssumptions'!$G$4),-3)</f>
        <v>360000</v>
      </c>
      <c r="AH327" s="19">
        <f>ROUND((Z327)*(1+'Data-CostAssumptions'!$G$3)^(AE327-'Data-CostAssumptions'!$G$4),-3)</f>
        <v>1636000</v>
      </c>
    </row>
    <row r="328" spans="1:34" ht="15" customHeight="1" x14ac:dyDescent="0.2">
      <c r="A328" s="11"/>
      <c r="B328" s="11" t="s">
        <v>1211</v>
      </c>
      <c r="C328" s="13">
        <v>952</v>
      </c>
      <c r="D328" s="13" t="s">
        <v>420</v>
      </c>
      <c r="E328" s="20">
        <v>254</v>
      </c>
      <c r="F328" s="20">
        <v>195</v>
      </c>
      <c r="G328" s="20">
        <v>327</v>
      </c>
      <c r="H328" s="13" t="s">
        <v>1786</v>
      </c>
      <c r="I328" s="13" t="str">
        <f t="shared" si="10"/>
        <v>Coral Ridge Dr (Atlantic Bl to Royal Palm Bl)</v>
      </c>
      <c r="J328" s="13" t="s">
        <v>29</v>
      </c>
      <c r="K328" s="13" t="str">
        <f>VLOOKUP(J328,'Data-ProjectTypes'!A$3:B$13,2,FALSE)</f>
        <v>Program</v>
      </c>
      <c r="L328" s="21" t="s">
        <v>348</v>
      </c>
      <c r="M328" s="13" t="s">
        <v>1809</v>
      </c>
      <c r="N328" s="13" t="s">
        <v>1827</v>
      </c>
      <c r="O328" s="13" t="s">
        <v>273</v>
      </c>
      <c r="P328" s="13" t="s">
        <v>273</v>
      </c>
      <c r="Q328" s="22">
        <v>1.4</v>
      </c>
      <c r="R328" s="23">
        <v>322356</v>
      </c>
      <c r="S328" s="21" t="s">
        <v>24</v>
      </c>
      <c r="T328" s="21"/>
      <c r="U328" s="21"/>
      <c r="V328" s="24"/>
      <c r="W328" s="24"/>
      <c r="X328" s="24"/>
      <c r="Y328" s="17" t="s">
        <v>460</v>
      </c>
      <c r="Z328" s="18">
        <f>ROUND(R328*'Data-CostAssumptions'!$C$3,-3)</f>
        <v>446000</v>
      </c>
      <c r="AA328" s="11">
        <f t="shared" si="11"/>
        <v>0</v>
      </c>
      <c r="AB328" s="11">
        <v>2041</v>
      </c>
      <c r="AC328" s="11">
        <v>2041</v>
      </c>
      <c r="AD328" s="11">
        <v>2041</v>
      </c>
      <c r="AE328" s="11">
        <v>2041</v>
      </c>
      <c r="AF328" s="11">
        <v>0</v>
      </c>
      <c r="AG328" s="19">
        <f>ROUND((Z328*'Data-CostAssumptions'!$G$5)*(1+'Data-CostAssumptions'!$G$3)^(AC328-'Data-CostAssumptions'!$G$4),-3)</f>
        <v>252000</v>
      </c>
      <c r="AH328" s="19">
        <f>ROUND((Z328)*(1+'Data-CostAssumptions'!$G$3)^(AE328-'Data-CostAssumptions'!$G$4),-3)</f>
        <v>1144000</v>
      </c>
    </row>
    <row r="329" spans="1:34" ht="15" customHeight="1" x14ac:dyDescent="0.2">
      <c r="A329" s="11"/>
      <c r="B329" s="11" t="s">
        <v>1211</v>
      </c>
      <c r="C329" s="13">
        <v>953</v>
      </c>
      <c r="D329" s="13" t="s">
        <v>420</v>
      </c>
      <c r="E329" s="20">
        <v>257</v>
      </c>
      <c r="F329" s="20">
        <v>195</v>
      </c>
      <c r="G329" s="20">
        <v>328</v>
      </c>
      <c r="H329" s="13" t="s">
        <v>266</v>
      </c>
      <c r="I329" s="13" t="str">
        <f t="shared" si="10"/>
        <v>Pine Island Rd (NW 44th St to McNab Rd)</v>
      </c>
      <c r="J329" s="13" t="s">
        <v>29</v>
      </c>
      <c r="K329" s="13" t="str">
        <f>VLOOKUP(J329,'Data-ProjectTypes'!A$3:B$13,2,FALSE)</f>
        <v>Program</v>
      </c>
      <c r="L329" s="21" t="s">
        <v>348</v>
      </c>
      <c r="M329" s="13" t="s">
        <v>1189</v>
      </c>
      <c r="N329" s="13" t="s">
        <v>1854</v>
      </c>
      <c r="O329" s="13" t="s">
        <v>273</v>
      </c>
      <c r="P329" s="13" t="s">
        <v>273</v>
      </c>
      <c r="Q329" s="22">
        <v>2</v>
      </c>
      <c r="R329" s="23">
        <v>464753</v>
      </c>
      <c r="S329" s="21"/>
      <c r="T329" s="21"/>
      <c r="U329" s="21"/>
      <c r="V329" s="24"/>
      <c r="W329" s="24"/>
      <c r="X329" s="24"/>
      <c r="Y329" s="17"/>
      <c r="Z329" s="18">
        <f>ROUND(R329*'Data-CostAssumptions'!$C$3,-3)</f>
        <v>643000</v>
      </c>
      <c r="AA329" s="11">
        <f t="shared" si="11"/>
        <v>0</v>
      </c>
      <c r="AB329" s="11">
        <v>2041</v>
      </c>
      <c r="AC329" s="11">
        <v>2041</v>
      </c>
      <c r="AD329" s="11">
        <v>2041</v>
      </c>
      <c r="AE329" s="11">
        <v>2041</v>
      </c>
      <c r="AF329" s="11">
        <v>0</v>
      </c>
      <c r="AG329" s="19">
        <f>ROUND((Z329*'Data-CostAssumptions'!$G$5)*(1+'Data-CostAssumptions'!$G$3)^(AC329-'Data-CostAssumptions'!$G$4),-3)</f>
        <v>363000</v>
      </c>
      <c r="AH329" s="19">
        <f>ROUND((Z329)*(1+'Data-CostAssumptions'!$G$3)^(AE329-'Data-CostAssumptions'!$G$4),-3)</f>
        <v>1649000</v>
      </c>
    </row>
    <row r="330" spans="1:34" ht="15" customHeight="1" x14ac:dyDescent="0.2">
      <c r="A330" s="11"/>
      <c r="B330" s="11" t="s">
        <v>1211</v>
      </c>
      <c r="C330" s="13">
        <v>954</v>
      </c>
      <c r="D330" s="13" t="s">
        <v>420</v>
      </c>
      <c r="E330" s="20">
        <v>286</v>
      </c>
      <c r="F330" s="20">
        <v>195</v>
      </c>
      <c r="G330" s="20">
        <v>329</v>
      </c>
      <c r="H330" s="13" t="s">
        <v>1863</v>
      </c>
      <c r="I330" s="13" t="str">
        <f t="shared" si="10"/>
        <v>Saddle Club Rd (Weston Rd to Just west of Lakeview Dr)</v>
      </c>
      <c r="J330" s="13" t="s">
        <v>29</v>
      </c>
      <c r="K330" s="13" t="str">
        <f>VLOOKUP(J330,'Data-ProjectTypes'!A$3:B$13,2,FALSE)</f>
        <v>Program</v>
      </c>
      <c r="L330" s="21" t="s">
        <v>837</v>
      </c>
      <c r="M330" s="13" t="s">
        <v>1779</v>
      </c>
      <c r="N330" s="13" t="s">
        <v>2673</v>
      </c>
      <c r="O330" s="13" t="s">
        <v>272</v>
      </c>
      <c r="P330" s="13" t="s">
        <v>272</v>
      </c>
      <c r="Q330" s="22">
        <v>1.7</v>
      </c>
      <c r="R330" s="23">
        <v>388392</v>
      </c>
      <c r="S330" s="21" t="s">
        <v>24</v>
      </c>
      <c r="T330" s="21" t="s">
        <v>25</v>
      </c>
      <c r="U330" s="21" t="s">
        <v>24</v>
      </c>
      <c r="V330" s="24" t="s">
        <v>836</v>
      </c>
      <c r="W330" s="24"/>
      <c r="X330" s="24"/>
      <c r="Y330" s="17" t="s">
        <v>831</v>
      </c>
      <c r="Z330" s="18">
        <f>ROUND(R330*'Data-CostAssumptions'!$C$3,-3)</f>
        <v>538000</v>
      </c>
      <c r="AA330" s="11">
        <f t="shared" si="11"/>
        <v>1</v>
      </c>
      <c r="AB330" s="11">
        <v>2041</v>
      </c>
      <c r="AC330" s="11">
        <v>2041</v>
      </c>
      <c r="AD330" s="11">
        <v>2041</v>
      </c>
      <c r="AE330" s="11">
        <v>2041</v>
      </c>
      <c r="AF330" s="11">
        <v>0</v>
      </c>
      <c r="AG330" s="19">
        <f>ROUND((Z330*'Data-CostAssumptions'!$G$5)*(1+'Data-CostAssumptions'!$G$3)^(AC330-'Data-CostAssumptions'!$G$4),-3)</f>
        <v>303000</v>
      </c>
      <c r="AH330" s="19">
        <f>ROUND((Z330)*(1+'Data-CostAssumptions'!$G$3)^(AE330-'Data-CostAssumptions'!$G$4),-3)</f>
        <v>1379000</v>
      </c>
    </row>
    <row r="331" spans="1:34" ht="15" customHeight="1" x14ac:dyDescent="0.2">
      <c r="A331" s="11"/>
      <c r="B331" s="11" t="s">
        <v>1211</v>
      </c>
      <c r="C331" s="13">
        <v>955</v>
      </c>
      <c r="D331" s="13" t="s">
        <v>420</v>
      </c>
      <c r="E331" s="20">
        <v>287</v>
      </c>
      <c r="F331" s="20">
        <v>195</v>
      </c>
      <c r="G331" s="20">
        <v>330</v>
      </c>
      <c r="H331" s="13" t="s">
        <v>1810</v>
      </c>
      <c r="I331" s="13" t="str">
        <f t="shared" si="10"/>
        <v>Bonaventure Bl (Saddle Club Rd to State Rd 84)</v>
      </c>
      <c r="J331" s="13" t="s">
        <v>29</v>
      </c>
      <c r="K331" s="13" t="str">
        <f>VLOOKUP(J331,'Data-ProjectTypes'!A$3:B$13,2,FALSE)</f>
        <v>Program</v>
      </c>
      <c r="L331" s="21" t="s">
        <v>837</v>
      </c>
      <c r="M331" s="13" t="s">
        <v>1863</v>
      </c>
      <c r="N331" s="13" t="s">
        <v>1774</v>
      </c>
      <c r="O331" s="13" t="s">
        <v>277</v>
      </c>
      <c r="P331" s="13" t="s">
        <v>277</v>
      </c>
      <c r="Q331" s="22">
        <v>1</v>
      </c>
      <c r="R331" s="23">
        <v>234628</v>
      </c>
      <c r="S331" s="21" t="s">
        <v>24</v>
      </c>
      <c r="T331" s="21" t="s">
        <v>25</v>
      </c>
      <c r="U331" s="21" t="s">
        <v>24</v>
      </c>
      <c r="V331" s="24" t="s">
        <v>838</v>
      </c>
      <c r="W331" s="24"/>
      <c r="X331" s="24"/>
      <c r="Y331" s="17" t="s">
        <v>831</v>
      </c>
      <c r="Z331" s="18">
        <f>ROUND(R331*'Data-CostAssumptions'!$C$3,-3)</f>
        <v>325000</v>
      </c>
      <c r="AA331" s="11">
        <f t="shared" si="11"/>
        <v>1</v>
      </c>
      <c r="AB331" s="11">
        <v>2041</v>
      </c>
      <c r="AC331" s="11">
        <v>2041</v>
      </c>
      <c r="AD331" s="11">
        <v>2041</v>
      </c>
      <c r="AE331" s="11">
        <v>2041</v>
      </c>
      <c r="AF331" s="11">
        <v>0</v>
      </c>
      <c r="AG331" s="19">
        <f>ROUND((Z331*'Data-CostAssumptions'!$G$5)*(1+'Data-CostAssumptions'!$G$3)^(AC331-'Data-CostAssumptions'!$G$4),-3)</f>
        <v>183000</v>
      </c>
      <c r="AH331" s="19">
        <f>ROUND((Z331)*(1+'Data-CostAssumptions'!$G$3)^(AE331-'Data-CostAssumptions'!$G$4),-3)</f>
        <v>833000</v>
      </c>
    </row>
    <row r="332" spans="1:34" ht="15" customHeight="1" x14ac:dyDescent="0.2">
      <c r="A332" s="11"/>
      <c r="B332" s="11" t="s">
        <v>1211</v>
      </c>
      <c r="C332" s="13">
        <v>957</v>
      </c>
      <c r="D332" s="13" t="s">
        <v>420</v>
      </c>
      <c r="E332" s="20">
        <v>263</v>
      </c>
      <c r="F332" s="20">
        <v>195</v>
      </c>
      <c r="G332" s="20">
        <v>331</v>
      </c>
      <c r="H332" s="13" t="s">
        <v>2124</v>
      </c>
      <c r="I332" s="13" t="str">
        <f t="shared" si="10"/>
        <v>SW 40th Av (County Line Rd to Hallandale Beach Bl)</v>
      </c>
      <c r="J332" s="13" t="s">
        <v>29</v>
      </c>
      <c r="K332" s="13" t="str">
        <f>VLOOKUP(J332,'Data-ProjectTypes'!A$3:B$13,2,FALSE)</f>
        <v>Program</v>
      </c>
      <c r="L332" s="21" t="s">
        <v>348</v>
      </c>
      <c r="M332" s="13" t="s">
        <v>1839</v>
      </c>
      <c r="N332" s="13" t="s">
        <v>1818</v>
      </c>
      <c r="O332" s="13" t="s">
        <v>272</v>
      </c>
      <c r="P332" s="13" t="s">
        <v>272</v>
      </c>
      <c r="Q332" s="22">
        <v>0.8</v>
      </c>
      <c r="R332" s="23">
        <v>176167</v>
      </c>
      <c r="S332" s="21" t="s">
        <v>24</v>
      </c>
      <c r="T332" s="21" t="s">
        <v>684</v>
      </c>
      <c r="U332" s="21" t="s">
        <v>684</v>
      </c>
      <c r="V332" s="24"/>
      <c r="W332" s="24" t="s">
        <v>1107</v>
      </c>
      <c r="X332" s="24" t="s">
        <v>1126</v>
      </c>
      <c r="Y332" s="12" t="s">
        <v>1113</v>
      </c>
      <c r="Z332" s="18">
        <f>ROUND(R332*'Data-CostAssumptions'!$C$3,-3)</f>
        <v>244000</v>
      </c>
      <c r="AA332" s="11">
        <f t="shared" si="11"/>
        <v>1</v>
      </c>
      <c r="AB332" s="11">
        <v>2041</v>
      </c>
      <c r="AC332" s="11">
        <v>2041</v>
      </c>
      <c r="AD332" s="11">
        <v>2041</v>
      </c>
      <c r="AE332" s="11">
        <v>2041</v>
      </c>
      <c r="AF332" s="11">
        <v>0</v>
      </c>
      <c r="AG332" s="19">
        <f>ROUND((Z332*'Data-CostAssumptions'!$G$5)*(1+'Data-CostAssumptions'!$G$3)^(AC332-'Data-CostAssumptions'!$G$4),-3)</f>
        <v>138000</v>
      </c>
      <c r="AH332" s="19">
        <f>ROUND((Z332)*(1+'Data-CostAssumptions'!$G$3)^(AE332-'Data-CostAssumptions'!$G$4),-3)</f>
        <v>626000</v>
      </c>
    </row>
    <row r="333" spans="1:34" ht="15" customHeight="1" x14ac:dyDescent="0.2">
      <c r="A333" s="11"/>
      <c r="B333" s="11" t="s">
        <v>1213</v>
      </c>
      <c r="C333" s="13">
        <v>691</v>
      </c>
      <c r="D333" s="13" t="s">
        <v>420</v>
      </c>
      <c r="E333" s="20">
        <v>38</v>
      </c>
      <c r="F333" s="20">
        <v>180</v>
      </c>
      <c r="G333" s="20">
        <v>332</v>
      </c>
      <c r="H333" s="13" t="s">
        <v>1939</v>
      </c>
      <c r="I333" s="13" t="str">
        <f t="shared" si="10"/>
        <v>SE 15th St (US 1/Federal Hwy to SW 11th Av)</v>
      </c>
      <c r="J333" s="13" t="s">
        <v>29</v>
      </c>
      <c r="K333" s="13" t="str">
        <f>VLOOKUP(J333,'Data-ProjectTypes'!A$3:B$13,2,FALSE)</f>
        <v>Program</v>
      </c>
      <c r="L333" s="21" t="s">
        <v>348</v>
      </c>
      <c r="M333" s="13" t="s">
        <v>2594</v>
      </c>
      <c r="N333" s="13" t="s">
        <v>2261</v>
      </c>
      <c r="O333" s="13" t="s">
        <v>289</v>
      </c>
      <c r="P333" s="13" t="s">
        <v>289</v>
      </c>
      <c r="Q333" s="22">
        <v>1.6</v>
      </c>
      <c r="R333" s="23">
        <v>368198</v>
      </c>
      <c r="S333" s="21" t="s">
        <v>25</v>
      </c>
      <c r="T333" s="21"/>
      <c r="U333" s="21"/>
      <c r="V333" s="24"/>
      <c r="W333" s="24" t="s">
        <v>491</v>
      </c>
      <c r="X333" s="24" t="s">
        <v>498</v>
      </c>
      <c r="Y333" s="17" t="s">
        <v>492</v>
      </c>
      <c r="Z333" s="18">
        <f>ROUND(R333*'Data-CostAssumptions'!$C$3,-3)</f>
        <v>510000</v>
      </c>
      <c r="AA333" s="11">
        <f t="shared" si="11"/>
        <v>1</v>
      </c>
      <c r="AB333" s="11">
        <v>2041</v>
      </c>
      <c r="AC333" s="11">
        <v>2041</v>
      </c>
      <c r="AD333" s="11">
        <v>2041</v>
      </c>
      <c r="AE333" s="11">
        <v>2041</v>
      </c>
      <c r="AF333" s="11">
        <v>0</v>
      </c>
      <c r="AG333" s="19">
        <f>ROUND((Z333*'Data-CostAssumptions'!$G$5)*(1+'Data-CostAssumptions'!$G$3)^(AC333-'Data-CostAssumptions'!$G$4),-3)</f>
        <v>288000</v>
      </c>
      <c r="AH333" s="19">
        <f>ROUND((Z333)*(1+'Data-CostAssumptions'!$G$3)^(AE333-'Data-CostAssumptions'!$G$4),-3)</f>
        <v>1308000</v>
      </c>
    </row>
    <row r="334" spans="1:34" ht="15" customHeight="1" x14ac:dyDescent="0.2">
      <c r="A334" s="11"/>
      <c r="B334" s="11" t="s">
        <v>1213</v>
      </c>
      <c r="C334" s="13">
        <v>945</v>
      </c>
      <c r="D334" s="13" t="s">
        <v>420</v>
      </c>
      <c r="E334" s="20">
        <v>293</v>
      </c>
      <c r="F334" s="20">
        <v>195</v>
      </c>
      <c r="G334" s="20">
        <v>333</v>
      </c>
      <c r="H334" s="13" t="s">
        <v>2110</v>
      </c>
      <c r="I334" s="13" t="str">
        <f t="shared" si="10"/>
        <v>SW 172nd Av (Sheridan St to Griffin Rd)</v>
      </c>
      <c r="J334" s="13" t="s">
        <v>29</v>
      </c>
      <c r="K334" s="13" t="str">
        <f>VLOOKUP(J334,'Data-ProjectTypes'!A$3:B$13,2,FALSE)</f>
        <v>Program</v>
      </c>
      <c r="L334" s="21" t="s">
        <v>348</v>
      </c>
      <c r="M334" s="13" t="s">
        <v>1951</v>
      </c>
      <c r="N334" s="13" t="s">
        <v>1750</v>
      </c>
      <c r="O334" s="13" t="s">
        <v>272</v>
      </c>
      <c r="P334" s="13" t="s">
        <v>272</v>
      </c>
      <c r="Q334" s="22">
        <v>2.2999999999999998</v>
      </c>
      <c r="R334" s="23">
        <v>526200</v>
      </c>
      <c r="S334" s="21" t="s">
        <v>25</v>
      </c>
      <c r="T334" s="21" t="s">
        <v>684</v>
      </c>
      <c r="U334" s="21" t="s">
        <v>684</v>
      </c>
      <c r="V334" s="24"/>
      <c r="W334" s="24" t="s">
        <v>784</v>
      </c>
      <c r="X334" s="36" t="s">
        <v>3235</v>
      </c>
      <c r="Y334" s="17" t="s">
        <v>794</v>
      </c>
      <c r="Z334" s="18">
        <f>ROUND(R334*'Data-CostAssumptions'!$C$8,-3)</f>
        <v>526000</v>
      </c>
      <c r="AA334" s="11">
        <f t="shared" si="11"/>
        <v>1</v>
      </c>
      <c r="AB334" s="11">
        <v>2041</v>
      </c>
      <c r="AC334" s="11">
        <v>2041</v>
      </c>
      <c r="AD334" s="11">
        <v>2041</v>
      </c>
      <c r="AE334" s="11">
        <v>2041</v>
      </c>
      <c r="AF334" s="11">
        <v>0</v>
      </c>
      <c r="AG334" s="19">
        <f>ROUND((Z334*'Data-CostAssumptions'!$G$5)*(1+'Data-CostAssumptions'!$G$3)^(AC334-'Data-CostAssumptions'!$G$4),-3)</f>
        <v>297000</v>
      </c>
      <c r="AH334" s="19">
        <f>ROUND((Z334)*(1+'Data-CostAssumptions'!$G$3)^(AE334-'Data-CostAssumptions'!$G$4),-3)</f>
        <v>1349000</v>
      </c>
    </row>
    <row r="335" spans="1:34" ht="15" customHeight="1" x14ac:dyDescent="0.2">
      <c r="A335" s="11"/>
      <c r="B335" s="11" t="s">
        <v>1213</v>
      </c>
      <c r="C335" s="13">
        <v>915</v>
      </c>
      <c r="D335" s="13" t="s">
        <v>420</v>
      </c>
      <c r="E335" s="20">
        <v>285</v>
      </c>
      <c r="F335" s="20">
        <v>193</v>
      </c>
      <c r="G335" s="20">
        <v>334</v>
      </c>
      <c r="H335" s="13" t="s">
        <v>1779</v>
      </c>
      <c r="I335" s="13" t="str">
        <f t="shared" si="10"/>
        <v>Weston Rd (Indian Trace to State Rd 84)</v>
      </c>
      <c r="J335" s="13" t="s">
        <v>29</v>
      </c>
      <c r="K335" s="13" t="str">
        <f>VLOOKUP(J335,'Data-ProjectTypes'!A$3:B$13,2,FALSE)</f>
        <v>Program</v>
      </c>
      <c r="L335" s="21" t="s">
        <v>348</v>
      </c>
      <c r="M335" s="13" t="s">
        <v>33</v>
      </c>
      <c r="N335" s="13" t="s">
        <v>1774</v>
      </c>
      <c r="O335" s="13" t="s">
        <v>272</v>
      </c>
      <c r="P335" s="13" t="s">
        <v>272</v>
      </c>
      <c r="Q335" s="22">
        <v>1.7</v>
      </c>
      <c r="R335" s="23">
        <v>397199</v>
      </c>
      <c r="S335" s="21" t="s">
        <v>350</v>
      </c>
      <c r="T335" s="21" t="s">
        <v>684</v>
      </c>
      <c r="U335" s="21" t="s">
        <v>684</v>
      </c>
      <c r="V335" s="24"/>
      <c r="W335" s="24"/>
      <c r="X335" s="24"/>
      <c r="Y335" s="17" t="s">
        <v>831</v>
      </c>
      <c r="Z335" s="18">
        <f>ROUND(R335/1.384,-3)</f>
        <v>287000</v>
      </c>
      <c r="AA335" s="11">
        <f t="shared" si="11"/>
        <v>0</v>
      </c>
      <c r="AB335" s="11">
        <v>2041</v>
      </c>
      <c r="AC335" s="11">
        <v>2041</v>
      </c>
      <c r="AD335" s="11">
        <v>2041</v>
      </c>
      <c r="AE335" s="11">
        <v>2041</v>
      </c>
      <c r="AF335" s="11">
        <v>0</v>
      </c>
      <c r="AG335" s="19">
        <f>ROUND((Z335*'Data-CostAssumptions'!$G$5)*(1+'Data-CostAssumptions'!$G$3)^(AC335-'Data-CostAssumptions'!$G$4),-3)</f>
        <v>162000</v>
      </c>
      <c r="AH335" s="19">
        <f>ROUND((Z335)*(1+'Data-CostAssumptions'!$G$3)^(AE335-'Data-CostAssumptions'!$G$4),-3)</f>
        <v>736000</v>
      </c>
    </row>
    <row r="336" spans="1:34" ht="15" customHeight="1" x14ac:dyDescent="0.2">
      <c r="A336" s="11"/>
      <c r="B336" s="11" t="s">
        <v>1211</v>
      </c>
      <c r="C336" s="11">
        <v>1026</v>
      </c>
      <c r="D336" s="13" t="s">
        <v>420</v>
      </c>
      <c r="E336" s="14"/>
      <c r="F336" s="14">
        <v>204</v>
      </c>
      <c r="G336" s="20">
        <v>335</v>
      </c>
      <c r="H336" s="13" t="s">
        <v>372</v>
      </c>
      <c r="I336" s="13" t="str">
        <f t="shared" si="10"/>
        <v>Aggregate Terminal and Rail Yard ( to )</v>
      </c>
      <c r="J336" s="13" t="s">
        <v>1201</v>
      </c>
      <c r="K336" s="13" t="str">
        <f>VLOOKUP(J336,'Data-ProjectTypes'!A$3:B$13,2,FALSE)</f>
        <v>Program</v>
      </c>
      <c r="L336" s="11" t="s">
        <v>392</v>
      </c>
      <c r="M336" s="11"/>
      <c r="N336" s="11"/>
      <c r="O336" s="11" t="s">
        <v>270</v>
      </c>
      <c r="P336" s="11" t="s">
        <v>270</v>
      </c>
      <c r="Q336" s="15"/>
      <c r="R336" s="16">
        <v>48866788</v>
      </c>
      <c r="S336" s="11"/>
      <c r="T336" s="11"/>
      <c r="U336" s="11"/>
      <c r="V336" s="11"/>
      <c r="W336" s="11"/>
      <c r="X336" s="11"/>
      <c r="Y336" s="17"/>
      <c r="Z336" s="18">
        <f>ROUND(R336*'Data-CostAssumptions'!$C$3,-3)</f>
        <v>67632000</v>
      </c>
      <c r="AA336" s="11">
        <f t="shared" si="11"/>
        <v>0</v>
      </c>
      <c r="AB336" s="11">
        <v>2041</v>
      </c>
      <c r="AC336" s="11">
        <v>2041</v>
      </c>
      <c r="AD336" s="11">
        <v>2041</v>
      </c>
      <c r="AE336" s="11">
        <v>2041</v>
      </c>
      <c r="AF336" s="11">
        <v>0</v>
      </c>
      <c r="AG336" s="19">
        <f>ROUND((Z336*'Data-CostAssumptions'!$G$5)*(1+'Data-CostAssumptions'!$G$3)^(AC336-'Data-CostAssumptions'!$G$4),-3)</f>
        <v>38149000</v>
      </c>
      <c r="AH336" s="19">
        <f>ROUND((Z336)*(1+'Data-CostAssumptions'!$G$3)^(AE336-'Data-CostAssumptions'!$G$4),-3)</f>
        <v>173405000</v>
      </c>
    </row>
    <row r="337" spans="1:34" ht="15" customHeight="1" x14ac:dyDescent="0.2">
      <c r="A337" s="11"/>
      <c r="B337" s="11" t="s">
        <v>1211</v>
      </c>
      <c r="C337" s="11">
        <v>1050</v>
      </c>
      <c r="D337" s="13" t="s">
        <v>420</v>
      </c>
      <c r="E337" s="14"/>
      <c r="F337" s="14">
        <v>206</v>
      </c>
      <c r="G337" s="20">
        <v>336</v>
      </c>
      <c r="H337" s="13" t="s">
        <v>2881</v>
      </c>
      <c r="I337" s="13" t="str">
        <f t="shared" si="10"/>
        <v>FEC Real-Time Train Locations ( to )</v>
      </c>
      <c r="J337" s="13" t="s">
        <v>1201</v>
      </c>
      <c r="K337" s="13" t="str">
        <f>VLOOKUP(J337,'Data-ProjectTypes'!A$3:B$13,2,FALSE)</f>
        <v>Program</v>
      </c>
      <c r="L337" s="11" t="s">
        <v>396</v>
      </c>
      <c r="M337" s="11"/>
      <c r="N337" s="11"/>
      <c r="O337" s="11" t="s">
        <v>270</v>
      </c>
      <c r="P337" s="11" t="s">
        <v>270</v>
      </c>
      <c r="Q337" s="15"/>
      <c r="R337" s="16">
        <v>2800000</v>
      </c>
      <c r="S337" s="11"/>
      <c r="T337" s="11"/>
      <c r="U337" s="11"/>
      <c r="V337" s="11"/>
      <c r="W337" s="11"/>
      <c r="X337" s="11"/>
      <c r="Y337" s="17"/>
      <c r="Z337" s="18">
        <f>ROUND(R337*'Data-CostAssumptions'!$C$3,-3)</f>
        <v>3875000</v>
      </c>
      <c r="AA337" s="11">
        <f t="shared" si="11"/>
        <v>0</v>
      </c>
      <c r="AB337" s="11">
        <v>2041</v>
      </c>
      <c r="AC337" s="11">
        <v>2041</v>
      </c>
      <c r="AD337" s="11">
        <v>2041</v>
      </c>
      <c r="AE337" s="11">
        <v>2041</v>
      </c>
      <c r="AF337" s="11">
        <v>0</v>
      </c>
      <c r="AG337" s="19">
        <f>ROUND((Z337*'Data-CostAssumptions'!$G$5)*(1+'Data-CostAssumptions'!$G$3)^(AC337-'Data-CostAssumptions'!$G$4),-3)</f>
        <v>2186000</v>
      </c>
      <c r="AH337" s="19">
        <f>ROUND((Z337)*(1+'Data-CostAssumptions'!$G$3)^(AE337-'Data-CostAssumptions'!$G$4),-3)</f>
        <v>9935000</v>
      </c>
    </row>
    <row r="338" spans="1:34" ht="15" customHeight="1" x14ac:dyDescent="0.2">
      <c r="A338" s="11"/>
      <c r="B338" s="11" t="s">
        <v>1211</v>
      </c>
      <c r="C338" s="13">
        <v>1053</v>
      </c>
      <c r="D338" s="13" t="s">
        <v>420</v>
      </c>
      <c r="E338" s="20">
        <v>30</v>
      </c>
      <c r="F338" s="20">
        <v>206</v>
      </c>
      <c r="G338" s="20">
        <v>337</v>
      </c>
      <c r="H338" s="13" t="s">
        <v>197</v>
      </c>
      <c r="I338" s="13" t="str">
        <f t="shared" si="10"/>
        <v>Southport rail connector (FEC mainline to Southport)</v>
      </c>
      <c r="J338" s="13" t="s">
        <v>1201</v>
      </c>
      <c r="K338" s="13" t="str">
        <f>VLOOKUP(J338,'Data-ProjectTypes'!A$3:B$13,2,FALSE)</f>
        <v>Program</v>
      </c>
      <c r="L338" s="21" t="s">
        <v>338</v>
      </c>
      <c r="M338" s="13" t="s">
        <v>195</v>
      </c>
      <c r="N338" s="13" t="s">
        <v>196</v>
      </c>
      <c r="O338" s="13" t="s">
        <v>270</v>
      </c>
      <c r="P338" s="13" t="s">
        <v>270</v>
      </c>
      <c r="Q338" s="22"/>
      <c r="R338" s="23">
        <v>3714179</v>
      </c>
      <c r="S338" s="21" t="s">
        <v>24</v>
      </c>
      <c r="T338" s="21"/>
      <c r="U338" s="21"/>
      <c r="V338" s="24"/>
      <c r="W338" s="24" t="s">
        <v>552</v>
      </c>
      <c r="X338" s="24"/>
      <c r="Y338" s="17" t="s">
        <v>538</v>
      </c>
      <c r="Z338" s="18">
        <f>ROUND(R338*'Data-CostAssumptions'!$C$4,-3)</f>
        <v>3714000</v>
      </c>
      <c r="AA338" s="11">
        <f t="shared" si="11"/>
        <v>1</v>
      </c>
      <c r="AB338" s="11">
        <v>2041</v>
      </c>
      <c r="AC338" s="11">
        <v>2041</v>
      </c>
      <c r="AD338" s="11">
        <v>2041</v>
      </c>
      <c r="AE338" s="11">
        <v>2041</v>
      </c>
      <c r="AF338" s="11">
        <v>0</v>
      </c>
      <c r="AG338" s="19">
        <f>ROUND((Z338*'Data-CostAssumptions'!$G$5)*(1+'Data-CostAssumptions'!$G$3)^(AC338-'Data-CostAssumptions'!$G$4),-3)</f>
        <v>2095000</v>
      </c>
      <c r="AH338" s="19">
        <f>ROUND((Z338)*(1+'Data-CostAssumptions'!$G$3)^(AE338-'Data-CostAssumptions'!$G$4),-3)</f>
        <v>9523000</v>
      </c>
    </row>
    <row r="339" spans="1:34" ht="15" customHeight="1" x14ac:dyDescent="0.2">
      <c r="A339" s="11"/>
      <c r="B339" s="11" t="s">
        <v>1211</v>
      </c>
      <c r="C339" s="13">
        <v>10110</v>
      </c>
      <c r="D339" s="13" t="s">
        <v>420</v>
      </c>
      <c r="E339" s="20" t="s">
        <v>298</v>
      </c>
      <c r="F339" s="20">
        <v>147</v>
      </c>
      <c r="G339" s="20">
        <v>338</v>
      </c>
      <c r="H339" s="13" t="s">
        <v>204</v>
      </c>
      <c r="I339" s="13" t="str">
        <f t="shared" si="10"/>
        <v>Barrier Island North (Hillsboro Inlet to North County Line)</v>
      </c>
      <c r="J339" s="13" t="s">
        <v>366</v>
      </c>
      <c r="K339" s="13" t="str">
        <f>VLOOKUP(J339,'Data-ProjectTypes'!A$3:B$13,2,FALSE)</f>
        <v>Program</v>
      </c>
      <c r="L339" s="21" t="s">
        <v>348</v>
      </c>
      <c r="M339" s="13" t="s">
        <v>99</v>
      </c>
      <c r="N339" s="13" t="s">
        <v>44</v>
      </c>
      <c r="O339" s="13" t="s">
        <v>270</v>
      </c>
      <c r="P339" s="13" t="s">
        <v>270</v>
      </c>
      <c r="Q339" s="22">
        <v>4.0999999999999996</v>
      </c>
      <c r="R339" s="23">
        <v>4095000</v>
      </c>
      <c r="S339" s="21"/>
      <c r="T339" s="21"/>
      <c r="U339" s="21"/>
      <c r="V339" s="24"/>
      <c r="W339" s="24" t="s">
        <v>491</v>
      </c>
      <c r="X339" s="24"/>
      <c r="Y339" s="17" t="s">
        <v>492</v>
      </c>
      <c r="Z339" s="18">
        <f>ROUND(R339*'Data-CostAssumptions'!$C$3,-3)</f>
        <v>5667000</v>
      </c>
      <c r="AA339" s="11">
        <f t="shared" si="11"/>
        <v>1</v>
      </c>
      <c r="AB339" s="11">
        <v>2041</v>
      </c>
      <c r="AC339" s="11">
        <v>2041</v>
      </c>
      <c r="AD339" s="11">
        <v>2041</v>
      </c>
      <c r="AE339" s="11">
        <v>2041</v>
      </c>
      <c r="AF339" s="11">
        <v>0</v>
      </c>
      <c r="AG339" s="19">
        <f>ROUND((Z339*'Data-CostAssumptions'!$G$5)*(1+'Data-CostAssumptions'!$G$3)^(AC339-'Data-CostAssumptions'!$G$4),-3)</f>
        <v>3197000</v>
      </c>
      <c r="AH339" s="19">
        <f>ROUND((Z339)*(1+'Data-CostAssumptions'!$G$3)^(AE339-'Data-CostAssumptions'!$G$4),-3)</f>
        <v>14530000</v>
      </c>
    </row>
    <row r="340" spans="1:34" ht="15" customHeight="1" x14ac:dyDescent="0.2">
      <c r="A340" s="11"/>
      <c r="B340" s="11" t="s">
        <v>1211</v>
      </c>
      <c r="C340" s="13">
        <v>10111</v>
      </c>
      <c r="D340" s="13" t="s">
        <v>420</v>
      </c>
      <c r="E340" s="20" t="s">
        <v>298</v>
      </c>
      <c r="F340" s="20">
        <v>147</v>
      </c>
      <c r="G340" s="20">
        <v>339</v>
      </c>
      <c r="H340" s="13" t="s">
        <v>187</v>
      </c>
      <c r="I340" s="13" t="str">
        <f t="shared" si="10"/>
        <v>Barrier Island South (South County Line to Dania County Bl)</v>
      </c>
      <c r="J340" s="13" t="s">
        <v>366</v>
      </c>
      <c r="K340" s="13" t="str">
        <f>VLOOKUP(J340,'Data-ProjectTypes'!A$3:B$13,2,FALSE)</f>
        <v>Program</v>
      </c>
      <c r="L340" s="21" t="s">
        <v>348</v>
      </c>
      <c r="M340" s="13" t="s">
        <v>155</v>
      </c>
      <c r="N340" s="13" t="s">
        <v>2292</v>
      </c>
      <c r="O340" s="13" t="s">
        <v>270</v>
      </c>
      <c r="P340" s="13" t="s">
        <v>270</v>
      </c>
      <c r="Q340" s="22">
        <v>5.4</v>
      </c>
      <c r="R340" s="23">
        <v>5399500</v>
      </c>
      <c r="S340" s="21" t="s">
        <v>24</v>
      </c>
      <c r="T340" s="21" t="s">
        <v>25</v>
      </c>
      <c r="U340" s="21"/>
      <c r="V340" s="24"/>
      <c r="W340" s="24" t="s">
        <v>582</v>
      </c>
      <c r="X340" s="24"/>
      <c r="Y340" s="17" t="s">
        <v>556</v>
      </c>
      <c r="Z340" s="18">
        <f>ROUND(R340*'Data-CostAssumptions'!$C$3,-3)</f>
        <v>7473000</v>
      </c>
      <c r="AA340" s="11">
        <f t="shared" si="11"/>
        <v>1</v>
      </c>
      <c r="AB340" s="11">
        <v>2041</v>
      </c>
      <c r="AC340" s="11">
        <v>2041</v>
      </c>
      <c r="AD340" s="11">
        <v>2041</v>
      </c>
      <c r="AE340" s="11">
        <v>2041</v>
      </c>
      <c r="AF340" s="11">
        <v>0</v>
      </c>
      <c r="AG340" s="19">
        <f>ROUND((Z340*'Data-CostAssumptions'!$G$5)*(1+'Data-CostAssumptions'!$G$3)^(AC340-'Data-CostAssumptions'!$G$4),-3)</f>
        <v>4215000</v>
      </c>
      <c r="AH340" s="19">
        <f>ROUND((Z340)*(1+'Data-CostAssumptions'!$G$3)^(AE340-'Data-CostAssumptions'!$G$4),-3)</f>
        <v>19160000</v>
      </c>
    </row>
    <row r="341" spans="1:34" ht="15" customHeight="1" x14ac:dyDescent="0.2">
      <c r="A341" s="11"/>
      <c r="B341" s="11" t="s">
        <v>1211</v>
      </c>
      <c r="C341" s="13">
        <v>10112</v>
      </c>
      <c r="D341" s="13" t="s">
        <v>420</v>
      </c>
      <c r="E341" s="20" t="s">
        <v>298</v>
      </c>
      <c r="F341" s="20">
        <v>147</v>
      </c>
      <c r="G341" s="20">
        <v>340</v>
      </c>
      <c r="H341" s="13" t="s">
        <v>187</v>
      </c>
      <c r="I341" s="13" t="str">
        <f t="shared" si="10"/>
        <v>Barrier Island South (SR A1A to US 1)</v>
      </c>
      <c r="J341" s="13" t="s">
        <v>366</v>
      </c>
      <c r="K341" s="13" t="str">
        <f>VLOOKUP(J341,'Data-ProjectTypes'!A$3:B$13,2,FALSE)</f>
        <v>Program</v>
      </c>
      <c r="L341" s="21" t="s">
        <v>348</v>
      </c>
      <c r="M341" s="13" t="s">
        <v>110</v>
      </c>
      <c r="N341" s="13" t="s">
        <v>98</v>
      </c>
      <c r="O341" s="13" t="s">
        <v>270</v>
      </c>
      <c r="P341" s="13" t="s">
        <v>270</v>
      </c>
      <c r="Q341" s="22">
        <v>1.8</v>
      </c>
      <c r="R341" s="23">
        <v>1827900</v>
      </c>
      <c r="S341" s="21" t="s">
        <v>24</v>
      </c>
      <c r="T341" s="21"/>
      <c r="U341" s="21"/>
      <c r="V341" s="24"/>
      <c r="W341" s="24"/>
      <c r="X341" s="24"/>
      <c r="Y341" s="17" t="s">
        <v>538</v>
      </c>
      <c r="Z341" s="18">
        <f>ROUND(R341*'Data-CostAssumptions'!$C$3,-3)</f>
        <v>2530000</v>
      </c>
      <c r="AA341" s="11">
        <f t="shared" si="11"/>
        <v>0</v>
      </c>
      <c r="AB341" s="11">
        <v>2041</v>
      </c>
      <c r="AC341" s="11">
        <v>2041</v>
      </c>
      <c r="AD341" s="11">
        <v>2041</v>
      </c>
      <c r="AE341" s="11">
        <v>2041</v>
      </c>
      <c r="AF341" s="11">
        <v>0</v>
      </c>
      <c r="AG341" s="19">
        <f>ROUND((Z341*'Data-CostAssumptions'!$G$5)*(1+'Data-CostAssumptions'!$G$3)^(AC341-'Data-CostAssumptions'!$G$4),-3)</f>
        <v>1427000</v>
      </c>
      <c r="AH341" s="19">
        <f>ROUND((Z341)*(1+'Data-CostAssumptions'!$G$3)^(AE341-'Data-CostAssumptions'!$G$4),-3)</f>
        <v>6487000</v>
      </c>
    </row>
    <row r="342" spans="1:34" ht="15" customHeight="1" x14ac:dyDescent="0.2">
      <c r="A342" s="11"/>
      <c r="B342" s="11" t="s">
        <v>1211</v>
      </c>
      <c r="C342" s="13">
        <v>10113</v>
      </c>
      <c r="D342" s="13" t="s">
        <v>420</v>
      </c>
      <c r="E342" s="20" t="s">
        <v>298</v>
      </c>
      <c r="F342" s="20">
        <v>147</v>
      </c>
      <c r="G342" s="20">
        <v>341</v>
      </c>
      <c r="H342" s="13" t="s">
        <v>267</v>
      </c>
      <c r="I342" s="13" t="str">
        <f t="shared" si="10"/>
        <v>Brian Picollo (Pine Island Rd to Flamingo Rd)</v>
      </c>
      <c r="J342" s="13" t="s">
        <v>366</v>
      </c>
      <c r="K342" s="13" t="str">
        <f>VLOOKUP(J342,'Data-ProjectTypes'!A$3:B$13,2,FALSE)</f>
        <v>Program</v>
      </c>
      <c r="L342" s="21" t="s">
        <v>348</v>
      </c>
      <c r="M342" s="13" t="s">
        <v>266</v>
      </c>
      <c r="N342" s="13" t="s">
        <v>159</v>
      </c>
      <c r="O342" s="13" t="s">
        <v>273</v>
      </c>
      <c r="P342" s="13" t="s">
        <v>273</v>
      </c>
      <c r="Q342" s="22">
        <v>3.3</v>
      </c>
      <c r="R342" s="23">
        <v>3248100</v>
      </c>
      <c r="S342" s="21"/>
      <c r="T342" s="21"/>
      <c r="U342" s="21"/>
      <c r="V342" s="24"/>
      <c r="W342" s="24"/>
      <c r="X342" s="28"/>
      <c r="Y342" s="17"/>
      <c r="Z342" s="18">
        <f>ROUND(R342*'Data-CostAssumptions'!$C$3,-3)</f>
        <v>4495000</v>
      </c>
      <c r="AA342" s="11">
        <f t="shared" si="11"/>
        <v>0</v>
      </c>
      <c r="AB342" s="11">
        <v>2041</v>
      </c>
      <c r="AC342" s="11">
        <v>2041</v>
      </c>
      <c r="AD342" s="11">
        <v>2041</v>
      </c>
      <c r="AE342" s="11">
        <v>2041</v>
      </c>
      <c r="AF342" s="11">
        <v>0</v>
      </c>
      <c r="AG342" s="19">
        <f>ROUND((Z342*'Data-CostAssumptions'!$G$5)*(1+'Data-CostAssumptions'!$G$3)^(AC342-'Data-CostAssumptions'!$G$4),-3)</f>
        <v>2535000</v>
      </c>
      <c r="AH342" s="19">
        <f>ROUND((Z342)*(1+'Data-CostAssumptions'!$G$3)^(AE342-'Data-CostAssumptions'!$G$4),-3)</f>
        <v>11525000</v>
      </c>
    </row>
    <row r="343" spans="1:34" ht="15" customHeight="1" x14ac:dyDescent="0.2">
      <c r="A343" s="11"/>
      <c r="B343" s="11" t="s">
        <v>1211</v>
      </c>
      <c r="C343" s="13">
        <v>10141</v>
      </c>
      <c r="D343" s="13" t="s">
        <v>420</v>
      </c>
      <c r="E343" s="20" t="s">
        <v>298</v>
      </c>
      <c r="F343" s="20">
        <v>148</v>
      </c>
      <c r="G343" s="20">
        <v>342</v>
      </c>
      <c r="H343" s="13" t="s">
        <v>32</v>
      </c>
      <c r="I343" s="13" t="str">
        <f t="shared" si="10"/>
        <v>C-11 West (US 27 to I-75)</v>
      </c>
      <c r="J343" s="13" t="s">
        <v>366</v>
      </c>
      <c r="K343" s="13" t="str">
        <f>VLOOKUP(J343,'Data-ProjectTypes'!A$3:B$13,2,FALSE)</f>
        <v>Program</v>
      </c>
      <c r="L343" s="21" t="s">
        <v>348</v>
      </c>
      <c r="M343" s="13" t="s">
        <v>30</v>
      </c>
      <c r="N343" s="13" t="s">
        <v>31</v>
      </c>
      <c r="O343" s="13" t="s">
        <v>272</v>
      </c>
      <c r="P343" s="13" t="s">
        <v>272</v>
      </c>
      <c r="Q343" s="22">
        <v>5.0999999999999996</v>
      </c>
      <c r="R343" s="23">
        <v>5046500</v>
      </c>
      <c r="S343" s="29" t="s">
        <v>835</v>
      </c>
      <c r="T343" s="21"/>
      <c r="U343" s="21"/>
      <c r="V343" s="24"/>
      <c r="W343" s="24"/>
      <c r="X343" s="24"/>
      <c r="Y343" s="17" t="s">
        <v>841</v>
      </c>
      <c r="Z343" s="18">
        <f>ROUND(R343*'Data-CostAssumptions'!$C$3,-3)</f>
        <v>6984000</v>
      </c>
      <c r="AA343" s="11">
        <f t="shared" si="11"/>
        <v>0</v>
      </c>
      <c r="AB343" s="11">
        <v>2041</v>
      </c>
      <c r="AC343" s="11">
        <v>2041</v>
      </c>
      <c r="AD343" s="11">
        <v>2041</v>
      </c>
      <c r="AE343" s="11">
        <v>2041</v>
      </c>
      <c r="AF343" s="11">
        <v>0</v>
      </c>
      <c r="AG343" s="19">
        <f>ROUND((Z343*'Data-CostAssumptions'!$G$5)*(1+'Data-CostAssumptions'!$G$3)^(AC343-'Data-CostAssumptions'!$G$4),-3)</f>
        <v>3939000</v>
      </c>
      <c r="AH343" s="19">
        <f>ROUND((Z343)*(1+'Data-CostAssumptions'!$G$3)^(AE343-'Data-CostAssumptions'!$G$4),-3)</f>
        <v>17907000</v>
      </c>
    </row>
    <row r="344" spans="1:34" ht="15" customHeight="1" x14ac:dyDescent="0.2">
      <c r="A344" s="11"/>
      <c r="B344" s="11" t="s">
        <v>1211</v>
      </c>
      <c r="C344" s="13">
        <v>10114</v>
      </c>
      <c r="D344" s="13" t="s">
        <v>420</v>
      </c>
      <c r="E344" s="20" t="s">
        <v>298</v>
      </c>
      <c r="F344" s="20">
        <v>147</v>
      </c>
      <c r="G344" s="20">
        <v>343</v>
      </c>
      <c r="H344" s="13" t="s">
        <v>118</v>
      </c>
      <c r="I344" s="13" t="str">
        <f t="shared" si="10"/>
        <v>C-12 East (Delevoe Park to SR 7)</v>
      </c>
      <c r="J344" s="13" t="s">
        <v>366</v>
      </c>
      <c r="K344" s="13" t="str">
        <f>VLOOKUP(J344,'Data-ProjectTypes'!A$3:B$13,2,FALSE)</f>
        <v>Program</v>
      </c>
      <c r="L344" s="21" t="s">
        <v>348</v>
      </c>
      <c r="M344" s="13" t="s">
        <v>117</v>
      </c>
      <c r="N344" s="13" t="s">
        <v>53</v>
      </c>
      <c r="O344" s="13" t="s">
        <v>270</v>
      </c>
      <c r="P344" s="13" t="s">
        <v>270</v>
      </c>
      <c r="Q344" s="22">
        <v>2</v>
      </c>
      <c r="R344" s="23">
        <v>1989000</v>
      </c>
      <c r="S344" s="21"/>
      <c r="T344" s="21"/>
      <c r="U344" s="21"/>
      <c r="V344" s="24"/>
      <c r="W344" s="24"/>
      <c r="X344" s="24"/>
      <c r="Y344" s="17"/>
      <c r="Z344" s="18">
        <f>ROUND(R344*'Data-CostAssumptions'!$C$3,-3)</f>
        <v>2753000</v>
      </c>
      <c r="AA344" s="11">
        <f t="shared" si="11"/>
        <v>0</v>
      </c>
      <c r="AB344" s="11">
        <v>2041</v>
      </c>
      <c r="AC344" s="11">
        <v>2041</v>
      </c>
      <c r="AD344" s="11">
        <v>2041</v>
      </c>
      <c r="AE344" s="11">
        <v>2041</v>
      </c>
      <c r="AF344" s="11">
        <v>0</v>
      </c>
      <c r="AG344" s="19">
        <f>ROUND((Z344*'Data-CostAssumptions'!$G$5)*(1+'Data-CostAssumptions'!$G$3)^(AC344-'Data-CostAssumptions'!$G$4),-3)</f>
        <v>1553000</v>
      </c>
      <c r="AH344" s="19">
        <f>ROUND((Z344)*(1+'Data-CostAssumptions'!$G$3)^(AE344-'Data-CostAssumptions'!$G$4),-3)</f>
        <v>7059000</v>
      </c>
    </row>
    <row r="345" spans="1:34" ht="15" customHeight="1" x14ac:dyDescent="0.2">
      <c r="A345" s="11"/>
      <c r="B345" s="11" t="s">
        <v>1211</v>
      </c>
      <c r="C345" s="13">
        <v>10115</v>
      </c>
      <c r="D345" s="13" t="s">
        <v>420</v>
      </c>
      <c r="E345" s="20" t="s">
        <v>298</v>
      </c>
      <c r="F345" s="20">
        <v>147</v>
      </c>
      <c r="G345" s="20">
        <v>344</v>
      </c>
      <c r="H345" s="13" t="s">
        <v>116</v>
      </c>
      <c r="I345" s="13" t="str">
        <f t="shared" si="10"/>
        <v>C-12 West (SR 7 to C-42 Canal)</v>
      </c>
      <c r="J345" s="13" t="s">
        <v>366</v>
      </c>
      <c r="K345" s="13" t="str">
        <f>VLOOKUP(J345,'Data-ProjectTypes'!A$3:B$13,2,FALSE)</f>
        <v>Program</v>
      </c>
      <c r="L345" s="21" t="s">
        <v>348</v>
      </c>
      <c r="M345" s="13" t="s">
        <v>53</v>
      </c>
      <c r="N345" s="13" t="s">
        <v>82</v>
      </c>
      <c r="O345" s="13" t="s">
        <v>284</v>
      </c>
      <c r="P345" s="13" t="s">
        <v>284</v>
      </c>
      <c r="Q345" s="22">
        <v>5</v>
      </c>
      <c r="R345" s="23">
        <v>5006300</v>
      </c>
      <c r="S345" s="21"/>
      <c r="T345" s="21"/>
      <c r="U345" s="21"/>
      <c r="V345" s="24"/>
      <c r="W345" s="24"/>
      <c r="X345" s="24"/>
      <c r="Y345" s="17"/>
      <c r="Z345" s="18">
        <f>ROUND(R345*'Data-CostAssumptions'!$C$3,-3)</f>
        <v>6929000</v>
      </c>
      <c r="AA345" s="11">
        <f t="shared" si="11"/>
        <v>0</v>
      </c>
      <c r="AB345" s="11">
        <v>2041</v>
      </c>
      <c r="AC345" s="11">
        <v>2041</v>
      </c>
      <c r="AD345" s="11">
        <v>2041</v>
      </c>
      <c r="AE345" s="11">
        <v>2041</v>
      </c>
      <c r="AF345" s="11">
        <v>0</v>
      </c>
      <c r="AG345" s="19">
        <f>ROUND((Z345*'Data-CostAssumptions'!$G$5)*(1+'Data-CostAssumptions'!$G$3)^(AC345-'Data-CostAssumptions'!$G$4),-3)</f>
        <v>3908000</v>
      </c>
      <c r="AH345" s="19">
        <f>ROUND((Z345)*(1+'Data-CostAssumptions'!$G$3)^(AE345-'Data-CostAssumptions'!$G$4),-3)</f>
        <v>17766000</v>
      </c>
    </row>
    <row r="346" spans="1:34" ht="15" customHeight="1" x14ac:dyDescent="0.2">
      <c r="A346" s="11"/>
      <c r="B346" s="11" t="s">
        <v>1211</v>
      </c>
      <c r="C346" s="13">
        <v>10116</v>
      </c>
      <c r="D346" s="13" t="s">
        <v>420</v>
      </c>
      <c r="E346" s="20" t="s">
        <v>298</v>
      </c>
      <c r="F346" s="20">
        <v>147</v>
      </c>
      <c r="G346" s="20">
        <v>345</v>
      </c>
      <c r="H346" s="13" t="s">
        <v>141</v>
      </c>
      <c r="I346" s="13" t="str">
        <f t="shared" si="10"/>
        <v>C-13 East (NW 21st Av to NW 31st Av)</v>
      </c>
      <c r="J346" s="13" t="s">
        <v>366</v>
      </c>
      <c r="K346" s="13" t="str">
        <f>VLOOKUP(J346,'Data-ProjectTypes'!A$3:B$13,2,FALSE)</f>
        <v>Program</v>
      </c>
      <c r="L346" s="21" t="s">
        <v>348</v>
      </c>
      <c r="M346" s="13" t="s">
        <v>2057</v>
      </c>
      <c r="N346" s="13" t="s">
        <v>2062</v>
      </c>
      <c r="O346" s="13" t="s">
        <v>273</v>
      </c>
      <c r="P346" s="13" t="s">
        <v>273</v>
      </c>
      <c r="Q346" s="22">
        <v>1</v>
      </c>
      <c r="R346" s="23">
        <v>983500</v>
      </c>
      <c r="S346" s="21"/>
      <c r="T346" s="21"/>
      <c r="U346" s="21"/>
      <c r="V346" s="24"/>
      <c r="W346" s="24" t="s">
        <v>716</v>
      </c>
      <c r="X346" s="24"/>
      <c r="Y346" s="17" t="s">
        <v>717</v>
      </c>
      <c r="Z346" s="18">
        <f>ROUND(R346*'Data-CostAssumptions'!$C$3,-3)</f>
        <v>1361000</v>
      </c>
      <c r="AA346" s="11">
        <f t="shared" si="11"/>
        <v>1</v>
      </c>
      <c r="AB346" s="11">
        <v>2041</v>
      </c>
      <c r="AC346" s="11">
        <v>2041</v>
      </c>
      <c r="AD346" s="11">
        <v>2041</v>
      </c>
      <c r="AE346" s="11">
        <v>2041</v>
      </c>
      <c r="AF346" s="11">
        <v>0</v>
      </c>
      <c r="AG346" s="19">
        <f>ROUND((Z346*'Data-CostAssumptions'!$G$5)*(1+'Data-CostAssumptions'!$G$3)^(AC346-'Data-CostAssumptions'!$G$4),-3)</f>
        <v>768000</v>
      </c>
      <c r="AH346" s="19">
        <f>ROUND((Z346)*(1+'Data-CostAssumptions'!$G$3)^(AE346-'Data-CostAssumptions'!$G$4),-3)</f>
        <v>3490000</v>
      </c>
    </row>
    <row r="347" spans="1:34" ht="15" customHeight="1" x14ac:dyDescent="0.2">
      <c r="A347" s="11"/>
      <c r="B347" s="11" t="s">
        <v>1211</v>
      </c>
      <c r="C347" s="13">
        <v>10117</v>
      </c>
      <c r="D347" s="13" t="s">
        <v>420</v>
      </c>
      <c r="E347" s="20" t="s">
        <v>298</v>
      </c>
      <c r="F347" s="20">
        <v>147</v>
      </c>
      <c r="G347" s="20">
        <v>346</v>
      </c>
      <c r="H347" s="13" t="s">
        <v>83</v>
      </c>
      <c r="I347" s="13" t="str">
        <f t="shared" si="10"/>
        <v>C-13 West (Florida's Turnpike to C-42 Canal)</v>
      </c>
      <c r="J347" s="13" t="s">
        <v>366</v>
      </c>
      <c r="K347" s="13" t="str">
        <f>VLOOKUP(J347,'Data-ProjectTypes'!A$3:B$13,2,FALSE)</f>
        <v>Program</v>
      </c>
      <c r="L347" s="21" t="s">
        <v>348</v>
      </c>
      <c r="M347" s="13" t="s">
        <v>42</v>
      </c>
      <c r="N347" s="13" t="s">
        <v>82</v>
      </c>
      <c r="O347" s="13" t="s">
        <v>272</v>
      </c>
      <c r="P347" s="13" t="s">
        <v>272</v>
      </c>
      <c r="Q347" s="22">
        <v>4.9000000000000004</v>
      </c>
      <c r="R347" s="23">
        <v>4903200</v>
      </c>
      <c r="S347" s="21"/>
      <c r="T347" s="21"/>
      <c r="U347" s="21"/>
      <c r="V347" s="24"/>
      <c r="W347" s="24"/>
      <c r="X347" s="24"/>
      <c r="Y347" s="17"/>
      <c r="Z347" s="18">
        <f>ROUND(R347*'Data-CostAssumptions'!$C$3,-3)</f>
        <v>6786000</v>
      </c>
      <c r="AA347" s="11">
        <f t="shared" si="11"/>
        <v>0</v>
      </c>
      <c r="AB347" s="11">
        <v>2041</v>
      </c>
      <c r="AC347" s="11">
        <v>2041</v>
      </c>
      <c r="AD347" s="11">
        <v>2041</v>
      </c>
      <c r="AE347" s="11">
        <v>2041</v>
      </c>
      <c r="AF347" s="11">
        <v>0</v>
      </c>
      <c r="AG347" s="19">
        <f>ROUND((Z347*'Data-CostAssumptions'!$G$5)*(1+'Data-CostAssumptions'!$G$3)^(AC347-'Data-CostAssumptions'!$G$4),-3)</f>
        <v>3828000</v>
      </c>
      <c r="AH347" s="19">
        <f>ROUND((Z347)*(1+'Data-CostAssumptions'!$G$3)^(AE347-'Data-CostAssumptions'!$G$4),-3)</f>
        <v>17399000</v>
      </c>
    </row>
    <row r="348" spans="1:34" ht="15" customHeight="1" x14ac:dyDescent="0.2">
      <c r="A348" s="11"/>
      <c r="B348" s="11" t="s">
        <v>1211</v>
      </c>
      <c r="C348" s="13">
        <v>10118</v>
      </c>
      <c r="D348" s="13" t="s">
        <v>420</v>
      </c>
      <c r="E348" s="20" t="s">
        <v>298</v>
      </c>
      <c r="F348" s="20">
        <v>147</v>
      </c>
      <c r="G348" s="20">
        <v>347</v>
      </c>
      <c r="H348" s="13" t="s">
        <v>158</v>
      </c>
      <c r="I348" s="13" t="str">
        <f t="shared" si="10"/>
        <v>C-9 (Flamingo Rd to Conservation Levee)</v>
      </c>
      <c r="J348" s="13" t="s">
        <v>366</v>
      </c>
      <c r="K348" s="13" t="str">
        <f>VLOOKUP(J348,'Data-ProjectTypes'!A$3:B$13,2,FALSE)</f>
        <v>Program</v>
      </c>
      <c r="L348" s="21" t="s">
        <v>348</v>
      </c>
      <c r="M348" s="13" t="s">
        <v>159</v>
      </c>
      <c r="N348" s="13" t="s">
        <v>137</v>
      </c>
      <c r="O348" s="13" t="s">
        <v>274</v>
      </c>
      <c r="P348" s="13" t="s">
        <v>274</v>
      </c>
      <c r="Q348" s="22">
        <v>8.6</v>
      </c>
      <c r="R348" s="23">
        <v>8610000</v>
      </c>
      <c r="S348" s="21" t="s">
        <v>24</v>
      </c>
      <c r="T348" s="21" t="s">
        <v>684</v>
      </c>
      <c r="U348" s="21" t="s">
        <v>684</v>
      </c>
      <c r="V348" s="24"/>
      <c r="W348" s="24"/>
      <c r="X348" s="24"/>
      <c r="Y348" s="17" t="s">
        <v>685</v>
      </c>
      <c r="Z348" s="18">
        <f>ROUND(R348*'Data-CostAssumptions'!$C$3,-3)</f>
        <v>11916000</v>
      </c>
      <c r="AA348" s="11">
        <f t="shared" si="11"/>
        <v>0</v>
      </c>
      <c r="AB348" s="11">
        <v>2041</v>
      </c>
      <c r="AC348" s="11">
        <v>2041</v>
      </c>
      <c r="AD348" s="11">
        <v>2041</v>
      </c>
      <c r="AE348" s="11">
        <v>2041</v>
      </c>
      <c r="AF348" s="11">
        <v>0</v>
      </c>
      <c r="AG348" s="19">
        <f>ROUND((Z348*'Data-CostAssumptions'!$G$5)*(1+'Data-CostAssumptions'!$G$3)^(AC348-'Data-CostAssumptions'!$G$4),-3)</f>
        <v>6721000</v>
      </c>
      <c r="AH348" s="19">
        <f>ROUND((Z348)*(1+'Data-CostAssumptions'!$G$3)^(AE348-'Data-CostAssumptions'!$G$4),-3)</f>
        <v>30552000</v>
      </c>
    </row>
    <row r="349" spans="1:34" ht="15" customHeight="1" x14ac:dyDescent="0.2">
      <c r="A349" s="11"/>
      <c r="B349" s="11" t="s">
        <v>1211</v>
      </c>
      <c r="C349" s="13">
        <v>10119</v>
      </c>
      <c r="D349" s="13" t="s">
        <v>420</v>
      </c>
      <c r="E349" s="20" t="s">
        <v>298</v>
      </c>
      <c r="F349" s="20">
        <v>147</v>
      </c>
      <c r="G349" s="20">
        <v>348</v>
      </c>
      <c r="H349" s="13" t="s">
        <v>158</v>
      </c>
      <c r="I349" s="13" t="str">
        <f t="shared" si="10"/>
        <v>C-9 (Red Rd to Flamingo Rd.)</v>
      </c>
      <c r="J349" s="13" t="s">
        <v>366</v>
      </c>
      <c r="K349" s="13" t="str">
        <f>VLOOKUP(J349,'Data-ProjectTypes'!A$3:B$13,2,FALSE)</f>
        <v>Program</v>
      </c>
      <c r="L349" s="21" t="s">
        <v>348</v>
      </c>
      <c r="M349" s="13" t="s">
        <v>156</v>
      </c>
      <c r="N349" s="13" t="s">
        <v>157</v>
      </c>
      <c r="O349" s="13" t="s">
        <v>270</v>
      </c>
      <c r="P349" s="13" t="s">
        <v>270</v>
      </c>
      <c r="Q349" s="22">
        <v>1</v>
      </c>
      <c r="R349" s="23">
        <v>985700</v>
      </c>
      <c r="S349" s="21" t="s">
        <v>24</v>
      </c>
      <c r="T349" s="21" t="s">
        <v>684</v>
      </c>
      <c r="U349" s="21" t="s">
        <v>684</v>
      </c>
      <c r="V349" s="24"/>
      <c r="W349" s="24"/>
      <c r="X349" s="24"/>
      <c r="Y349" s="17" t="s">
        <v>685</v>
      </c>
      <c r="Z349" s="18">
        <f>ROUND(R349*'Data-CostAssumptions'!$C$3,-3)</f>
        <v>1364000</v>
      </c>
      <c r="AA349" s="11">
        <f t="shared" si="11"/>
        <v>0</v>
      </c>
      <c r="AB349" s="11">
        <v>2041</v>
      </c>
      <c r="AC349" s="11">
        <v>2041</v>
      </c>
      <c r="AD349" s="11">
        <v>2041</v>
      </c>
      <c r="AE349" s="11">
        <v>2041</v>
      </c>
      <c r="AF349" s="11">
        <v>0</v>
      </c>
      <c r="AG349" s="19">
        <f>ROUND((Z349*'Data-CostAssumptions'!$G$5)*(1+'Data-CostAssumptions'!$G$3)^(AC349-'Data-CostAssumptions'!$G$4),-3)</f>
        <v>769000</v>
      </c>
      <c r="AH349" s="19">
        <f>ROUND((Z349)*(1+'Data-CostAssumptions'!$G$3)^(AE349-'Data-CostAssumptions'!$G$4),-3)</f>
        <v>3497000</v>
      </c>
    </row>
    <row r="350" spans="1:34" ht="15" customHeight="1" x14ac:dyDescent="0.2">
      <c r="A350" s="11"/>
      <c r="B350" s="11" t="s">
        <v>1211</v>
      </c>
      <c r="C350" s="13">
        <v>10142</v>
      </c>
      <c r="D350" s="13" t="s">
        <v>420</v>
      </c>
      <c r="E350" s="20" t="s">
        <v>298</v>
      </c>
      <c r="F350" s="20">
        <v>148</v>
      </c>
      <c r="G350" s="20">
        <v>349</v>
      </c>
      <c r="H350" s="13" t="s">
        <v>134</v>
      </c>
      <c r="I350" s="13" t="str">
        <f t="shared" si="10"/>
        <v>CSX Trail (Hallandale Beach Bl to Griffin Rd)</v>
      </c>
      <c r="J350" s="13" t="s">
        <v>366</v>
      </c>
      <c r="K350" s="13" t="str">
        <f>VLOOKUP(J350,'Data-ProjectTypes'!A$3:B$13,2,FALSE)</f>
        <v>Program</v>
      </c>
      <c r="L350" s="21" t="s">
        <v>348</v>
      </c>
      <c r="M350" s="13" t="s">
        <v>1818</v>
      </c>
      <c r="N350" s="13" t="s">
        <v>1750</v>
      </c>
      <c r="O350" s="13" t="s">
        <v>270</v>
      </c>
      <c r="P350" s="13" t="s">
        <v>270</v>
      </c>
      <c r="Q350" s="22">
        <v>6.1</v>
      </c>
      <c r="R350" s="23">
        <v>6082400</v>
      </c>
      <c r="S350" s="21" t="s">
        <v>24</v>
      </c>
      <c r="T350" s="21"/>
      <c r="U350" s="21"/>
      <c r="V350" s="24"/>
      <c r="W350" s="24" t="s">
        <v>586</v>
      </c>
      <c r="X350" s="24"/>
      <c r="Y350" s="17" t="s">
        <v>538</v>
      </c>
      <c r="Z350" s="18">
        <f>ROUND(R350*'Data-CostAssumptions'!$C$3,-3)</f>
        <v>8418000</v>
      </c>
      <c r="AA350" s="11">
        <f t="shared" si="11"/>
        <v>1</v>
      </c>
      <c r="AB350" s="11">
        <v>2041</v>
      </c>
      <c r="AC350" s="11">
        <v>2041</v>
      </c>
      <c r="AD350" s="11">
        <v>2041</v>
      </c>
      <c r="AE350" s="11">
        <v>2041</v>
      </c>
      <c r="AF350" s="11">
        <v>0</v>
      </c>
      <c r="AG350" s="19">
        <f>ROUND((Z350*'Data-CostAssumptions'!$G$5)*(1+'Data-CostAssumptions'!$G$3)^(AC350-'Data-CostAssumptions'!$G$4),-3)</f>
        <v>4748000</v>
      </c>
      <c r="AH350" s="19">
        <f>ROUND((Z350)*(1+'Data-CostAssumptions'!$G$3)^(AE350-'Data-CostAssumptions'!$G$4),-3)</f>
        <v>21583000</v>
      </c>
    </row>
    <row r="351" spans="1:34" ht="15" customHeight="1" x14ac:dyDescent="0.2">
      <c r="A351" s="11"/>
      <c r="B351" s="11" t="s">
        <v>1211</v>
      </c>
      <c r="C351" s="13">
        <v>10168</v>
      </c>
      <c r="D351" s="13" t="s">
        <v>420</v>
      </c>
      <c r="E351" s="20" t="s">
        <v>298</v>
      </c>
      <c r="F351" s="20">
        <v>149</v>
      </c>
      <c r="G351" s="20">
        <v>350</v>
      </c>
      <c r="H351" s="13" t="s">
        <v>47</v>
      </c>
      <c r="I351" s="13" t="str">
        <f t="shared" si="10"/>
        <v>Cypress Creek Connector (North Dixie Hwy to NW 31st Av)</v>
      </c>
      <c r="J351" s="13" t="s">
        <v>366</v>
      </c>
      <c r="K351" s="13" t="str">
        <f>VLOOKUP(J351,'Data-ProjectTypes'!A$3:B$13,2,FALSE)</f>
        <v>Program</v>
      </c>
      <c r="L351" s="21" t="s">
        <v>348</v>
      </c>
      <c r="M351" s="13" t="s">
        <v>2596</v>
      </c>
      <c r="N351" s="13" t="s">
        <v>2062</v>
      </c>
      <c r="O351" s="13" t="s">
        <v>270</v>
      </c>
      <c r="P351" s="13" t="s">
        <v>270</v>
      </c>
      <c r="Q351" s="22">
        <v>2.7</v>
      </c>
      <c r="R351" s="23">
        <v>2727000</v>
      </c>
      <c r="S351" s="21"/>
      <c r="T351" s="21"/>
      <c r="U351" s="21"/>
      <c r="V351" s="24"/>
      <c r="W351" s="24"/>
      <c r="X351" s="32"/>
      <c r="Y351" s="17"/>
      <c r="Z351" s="18">
        <f>ROUND(R351*'Data-CostAssumptions'!$C$3,-3)</f>
        <v>3774000</v>
      </c>
      <c r="AA351" s="11">
        <f t="shared" si="11"/>
        <v>0</v>
      </c>
      <c r="AB351" s="11">
        <v>2041</v>
      </c>
      <c r="AC351" s="11">
        <v>2041</v>
      </c>
      <c r="AD351" s="11">
        <v>2041</v>
      </c>
      <c r="AE351" s="11">
        <v>2041</v>
      </c>
      <c r="AF351" s="11">
        <v>0</v>
      </c>
      <c r="AG351" s="19">
        <f>ROUND((Z351*'Data-CostAssumptions'!$G$5)*(1+'Data-CostAssumptions'!$G$3)^(AC351-'Data-CostAssumptions'!$G$4),-3)</f>
        <v>2129000</v>
      </c>
      <c r="AH351" s="19">
        <f>ROUND((Z351)*(1+'Data-CostAssumptions'!$G$3)^(AE351-'Data-CostAssumptions'!$G$4),-3)</f>
        <v>9676000</v>
      </c>
    </row>
    <row r="352" spans="1:34" ht="15" customHeight="1" x14ac:dyDescent="0.2">
      <c r="A352" s="11"/>
      <c r="B352" s="11" t="s">
        <v>1211</v>
      </c>
      <c r="C352" s="13">
        <v>10169</v>
      </c>
      <c r="D352" s="13" t="s">
        <v>420</v>
      </c>
      <c r="E352" s="20" t="s">
        <v>298</v>
      </c>
      <c r="F352" s="20">
        <v>149</v>
      </c>
      <c r="G352" s="20">
        <v>351</v>
      </c>
      <c r="H352" s="13" t="s">
        <v>47</v>
      </c>
      <c r="I352" s="13" t="str">
        <f t="shared" si="10"/>
        <v>Cypress Creek Connector (NW 31st Av to Palm Aire Canal)</v>
      </c>
      <c r="J352" s="13" t="s">
        <v>366</v>
      </c>
      <c r="K352" s="13" t="str">
        <f>VLOOKUP(J352,'Data-ProjectTypes'!A$3:B$13,2,FALSE)</f>
        <v>Program</v>
      </c>
      <c r="L352" s="21" t="s">
        <v>348</v>
      </c>
      <c r="M352" s="13" t="s">
        <v>2062</v>
      </c>
      <c r="N352" s="13" t="s">
        <v>46</v>
      </c>
      <c r="O352" s="13" t="s">
        <v>270</v>
      </c>
      <c r="P352" s="13" t="s">
        <v>270</v>
      </c>
      <c r="Q352" s="22">
        <v>0.8</v>
      </c>
      <c r="R352" s="23">
        <v>808500</v>
      </c>
      <c r="S352" s="21"/>
      <c r="T352" s="21"/>
      <c r="U352" s="21"/>
      <c r="V352" s="24"/>
      <c r="W352" s="24"/>
      <c r="X352" s="24"/>
      <c r="Y352" s="17"/>
      <c r="Z352" s="18">
        <f>ROUND(R352*'Data-CostAssumptions'!$C$3,-3)</f>
        <v>1119000</v>
      </c>
      <c r="AA352" s="11">
        <f t="shared" si="11"/>
        <v>0</v>
      </c>
      <c r="AB352" s="11">
        <v>2041</v>
      </c>
      <c r="AC352" s="11">
        <v>2041</v>
      </c>
      <c r="AD352" s="11">
        <v>2041</v>
      </c>
      <c r="AE352" s="11">
        <v>2041</v>
      </c>
      <c r="AF352" s="11">
        <v>0</v>
      </c>
      <c r="AG352" s="19">
        <f>ROUND((Z352*'Data-CostAssumptions'!$G$5)*(1+'Data-CostAssumptions'!$G$3)^(AC352-'Data-CostAssumptions'!$G$4),-3)</f>
        <v>631000</v>
      </c>
      <c r="AH352" s="19">
        <f>ROUND((Z352)*(1+'Data-CostAssumptions'!$G$3)^(AE352-'Data-CostAssumptions'!$G$4),-3)</f>
        <v>2869000</v>
      </c>
    </row>
    <row r="353" spans="1:34" ht="15" customHeight="1" x14ac:dyDescent="0.2">
      <c r="A353" s="11"/>
      <c r="B353" s="11" t="s">
        <v>1211</v>
      </c>
      <c r="C353" s="13">
        <v>10143</v>
      </c>
      <c r="D353" s="13" t="s">
        <v>420</v>
      </c>
      <c r="E353" s="20" t="s">
        <v>298</v>
      </c>
      <c r="F353" s="20">
        <v>148</v>
      </c>
      <c r="G353" s="20">
        <v>352</v>
      </c>
      <c r="H353" s="13" t="s">
        <v>103</v>
      </c>
      <c r="I353" s="13" t="str">
        <f t="shared" si="10"/>
        <v>Cypress Creek Connector Palm Aire (Existing Path to Atlantic Bl)</v>
      </c>
      <c r="J353" s="13" t="s">
        <v>366</v>
      </c>
      <c r="K353" s="13" t="str">
        <f>VLOOKUP(J353,'Data-ProjectTypes'!A$3:B$13,2,FALSE)</f>
        <v>Program</v>
      </c>
      <c r="L353" s="21" t="s">
        <v>348</v>
      </c>
      <c r="M353" s="13" t="s">
        <v>102</v>
      </c>
      <c r="N353" s="13" t="s">
        <v>1809</v>
      </c>
      <c r="O353" s="13" t="s">
        <v>270</v>
      </c>
      <c r="P353" s="13" t="s">
        <v>270</v>
      </c>
      <c r="Q353" s="22">
        <v>0.2</v>
      </c>
      <c r="R353" s="23">
        <v>241300</v>
      </c>
      <c r="S353" s="21"/>
      <c r="T353" s="21"/>
      <c r="U353" s="21"/>
      <c r="V353" s="24"/>
      <c r="W353" s="24"/>
      <c r="X353" s="24"/>
      <c r="Y353" s="17"/>
      <c r="Z353" s="18">
        <f>ROUND(R353*'Data-CostAssumptions'!$C$3,-3)</f>
        <v>334000</v>
      </c>
      <c r="AA353" s="11">
        <f t="shared" si="11"/>
        <v>0</v>
      </c>
      <c r="AB353" s="11">
        <v>2041</v>
      </c>
      <c r="AC353" s="11">
        <v>2041</v>
      </c>
      <c r="AD353" s="11">
        <v>2041</v>
      </c>
      <c r="AE353" s="11">
        <v>2041</v>
      </c>
      <c r="AF353" s="11">
        <v>0</v>
      </c>
      <c r="AG353" s="19">
        <f>ROUND((Z353*'Data-CostAssumptions'!$G$5)*(1+'Data-CostAssumptions'!$G$3)^(AC353-'Data-CostAssumptions'!$G$4),-3)</f>
        <v>188000</v>
      </c>
      <c r="AH353" s="19">
        <f>ROUND((Z353)*(1+'Data-CostAssumptions'!$G$3)^(AE353-'Data-CostAssumptions'!$G$4),-3)</f>
        <v>856000</v>
      </c>
    </row>
    <row r="354" spans="1:34" ht="15" customHeight="1" x14ac:dyDescent="0.2">
      <c r="A354" s="11"/>
      <c r="B354" s="11" t="s">
        <v>1211</v>
      </c>
      <c r="C354" s="13">
        <v>10144</v>
      </c>
      <c r="D354" s="13" t="s">
        <v>420</v>
      </c>
      <c r="E354" s="20" t="s">
        <v>298</v>
      </c>
      <c r="F354" s="20">
        <v>148</v>
      </c>
      <c r="G354" s="20">
        <v>353</v>
      </c>
      <c r="H354" s="13" t="s">
        <v>51</v>
      </c>
      <c r="I354" s="13" t="str">
        <f t="shared" si="10"/>
        <v>Cypress Creek North Spur (Sample Rd to C-14 Canal)</v>
      </c>
      <c r="J354" s="13" t="s">
        <v>366</v>
      </c>
      <c r="K354" s="13" t="str">
        <f>VLOOKUP(J354,'Data-ProjectTypes'!A$3:B$13,2,FALSE)</f>
        <v>Program</v>
      </c>
      <c r="L354" s="21" t="s">
        <v>348</v>
      </c>
      <c r="M354" s="13" t="s">
        <v>1864</v>
      </c>
      <c r="N354" s="13" t="s">
        <v>50</v>
      </c>
      <c r="O354" s="13" t="s">
        <v>272</v>
      </c>
      <c r="P354" s="13" t="s">
        <v>272</v>
      </c>
      <c r="Q354" s="22">
        <v>2.9</v>
      </c>
      <c r="R354" s="23">
        <v>2886900</v>
      </c>
      <c r="S354" s="21" t="s">
        <v>24</v>
      </c>
      <c r="T354" s="21"/>
      <c r="U354" s="21"/>
      <c r="V354" s="24"/>
      <c r="W354" s="24"/>
      <c r="X354" s="24"/>
      <c r="Y354" s="17" t="s">
        <v>460</v>
      </c>
      <c r="Z354" s="18">
        <f>ROUND(R354*'Data-CostAssumptions'!$C$3,-3)</f>
        <v>3995000</v>
      </c>
      <c r="AA354" s="11">
        <f t="shared" si="11"/>
        <v>0</v>
      </c>
      <c r="AB354" s="11">
        <v>2041</v>
      </c>
      <c r="AC354" s="11">
        <v>2041</v>
      </c>
      <c r="AD354" s="11">
        <v>2041</v>
      </c>
      <c r="AE354" s="11">
        <v>2041</v>
      </c>
      <c r="AF354" s="11">
        <v>0</v>
      </c>
      <c r="AG354" s="19">
        <f>ROUND((Z354*'Data-CostAssumptions'!$G$5)*(1+'Data-CostAssumptions'!$G$3)^(AC354-'Data-CostAssumptions'!$G$4),-3)</f>
        <v>2253000</v>
      </c>
      <c r="AH354" s="19">
        <f>ROUND((Z354)*(1+'Data-CostAssumptions'!$G$3)^(AE354-'Data-CostAssumptions'!$G$4),-3)</f>
        <v>10243000</v>
      </c>
    </row>
    <row r="355" spans="1:34" ht="15" customHeight="1" x14ac:dyDescent="0.2">
      <c r="A355" s="11"/>
      <c r="B355" s="11" t="s">
        <v>1211</v>
      </c>
      <c r="C355" s="13">
        <v>10145</v>
      </c>
      <c r="D355" s="13" t="s">
        <v>420</v>
      </c>
      <c r="E355" s="20" t="s">
        <v>298</v>
      </c>
      <c r="F355" s="20">
        <v>148</v>
      </c>
      <c r="G355" s="20">
        <v>354</v>
      </c>
      <c r="H355" s="13" t="s">
        <v>73</v>
      </c>
      <c r="I355" s="13" t="str">
        <f t="shared" si="10"/>
        <v>Cypress Creek South Spur (Southgate Bl to McNab Rd)</v>
      </c>
      <c r="J355" s="13" t="s">
        <v>366</v>
      </c>
      <c r="K355" s="13" t="str">
        <f>VLOOKUP(J355,'Data-ProjectTypes'!A$3:B$13,2,FALSE)</f>
        <v>Program</v>
      </c>
      <c r="L355" s="21" t="s">
        <v>348</v>
      </c>
      <c r="M355" s="13" t="s">
        <v>1829</v>
      </c>
      <c r="N355" s="13" t="s">
        <v>1854</v>
      </c>
      <c r="O355" s="13" t="s">
        <v>272</v>
      </c>
      <c r="P355" s="13" t="s">
        <v>272</v>
      </c>
      <c r="Q355" s="22">
        <v>1.4</v>
      </c>
      <c r="R355" s="23">
        <v>1403300</v>
      </c>
      <c r="S355" s="21"/>
      <c r="T355" s="21"/>
      <c r="U355" s="21"/>
      <c r="V355" s="24"/>
      <c r="W355" s="24"/>
      <c r="X355" s="24"/>
      <c r="Y355" s="17"/>
      <c r="Z355" s="18">
        <f>ROUND(R355*'Data-CostAssumptions'!$C$3,-3)</f>
        <v>1942000</v>
      </c>
      <c r="AA355" s="11">
        <f t="shared" si="11"/>
        <v>0</v>
      </c>
      <c r="AB355" s="11">
        <v>2041</v>
      </c>
      <c r="AC355" s="11">
        <v>2041</v>
      </c>
      <c r="AD355" s="11">
        <v>2041</v>
      </c>
      <c r="AE355" s="11">
        <v>2041</v>
      </c>
      <c r="AF355" s="11">
        <v>0</v>
      </c>
      <c r="AG355" s="19">
        <f>ROUND((Z355*'Data-CostAssumptions'!$G$5)*(1+'Data-CostAssumptions'!$G$3)^(AC355-'Data-CostAssumptions'!$G$4),-3)</f>
        <v>1095000</v>
      </c>
      <c r="AH355" s="19">
        <f>ROUND((Z355)*(1+'Data-CostAssumptions'!$G$3)^(AE355-'Data-CostAssumptions'!$G$4),-3)</f>
        <v>4979000</v>
      </c>
    </row>
    <row r="356" spans="1:34" ht="15" customHeight="1" x14ac:dyDescent="0.2">
      <c r="A356" s="11"/>
      <c r="B356" s="11" t="s">
        <v>1211</v>
      </c>
      <c r="C356" s="13">
        <v>10120</v>
      </c>
      <c r="D356" s="13" t="s">
        <v>420</v>
      </c>
      <c r="E356" s="20" t="s">
        <v>298</v>
      </c>
      <c r="F356" s="20">
        <v>147</v>
      </c>
      <c r="G356" s="20">
        <v>355</v>
      </c>
      <c r="H356" s="13" t="s">
        <v>2688</v>
      </c>
      <c r="I356" s="13" t="str">
        <f t="shared" si="10"/>
        <v>Dixie Hwy - Central (Commercial Bl to Atlantic Bl)</v>
      </c>
      <c r="J356" s="13" t="s">
        <v>366</v>
      </c>
      <c r="K356" s="13" t="str">
        <f>VLOOKUP(J356,'Data-ProjectTypes'!A$3:B$13,2,FALSE)</f>
        <v>Program</v>
      </c>
      <c r="L356" s="21" t="s">
        <v>348</v>
      </c>
      <c r="M356" s="13" t="s">
        <v>1813</v>
      </c>
      <c r="N356" s="13" t="s">
        <v>1809</v>
      </c>
      <c r="O356" s="13" t="s">
        <v>270</v>
      </c>
      <c r="P356" s="13" t="s">
        <v>270</v>
      </c>
      <c r="Q356" s="22">
        <v>3</v>
      </c>
      <c r="R356" s="23">
        <v>3029400</v>
      </c>
      <c r="S356" s="21"/>
      <c r="T356" s="21"/>
      <c r="U356" s="21"/>
      <c r="V356" s="24"/>
      <c r="W356" s="24" t="s">
        <v>715</v>
      </c>
      <c r="X356" s="24"/>
      <c r="Y356" s="17" t="s">
        <v>717</v>
      </c>
      <c r="Z356" s="18">
        <f>ROUND(R356*'Data-CostAssumptions'!$C$3,-3)</f>
        <v>4193000</v>
      </c>
      <c r="AA356" s="11">
        <f t="shared" si="11"/>
        <v>1</v>
      </c>
      <c r="AB356" s="11">
        <v>2041</v>
      </c>
      <c r="AC356" s="11">
        <v>2041</v>
      </c>
      <c r="AD356" s="11">
        <v>2041</v>
      </c>
      <c r="AE356" s="11">
        <v>2041</v>
      </c>
      <c r="AF356" s="11">
        <v>0</v>
      </c>
      <c r="AG356" s="19">
        <f>ROUND((Z356*'Data-CostAssumptions'!$G$5)*(1+'Data-CostAssumptions'!$G$3)^(AC356-'Data-CostAssumptions'!$G$4),-3)</f>
        <v>2365000</v>
      </c>
      <c r="AH356" s="19">
        <f>ROUND((Z356)*(1+'Data-CostAssumptions'!$G$3)^(AE356-'Data-CostAssumptions'!$G$4),-3)</f>
        <v>10751000</v>
      </c>
    </row>
    <row r="357" spans="1:34" ht="15" customHeight="1" x14ac:dyDescent="0.2">
      <c r="A357" s="11"/>
      <c r="B357" s="11" t="s">
        <v>1211</v>
      </c>
      <c r="C357" s="13">
        <v>10121</v>
      </c>
      <c r="D357" s="13" t="s">
        <v>420</v>
      </c>
      <c r="E357" s="20" t="s">
        <v>298</v>
      </c>
      <c r="F357" s="20">
        <v>147</v>
      </c>
      <c r="G357" s="20">
        <v>356</v>
      </c>
      <c r="H357" s="13" t="s">
        <v>2688</v>
      </c>
      <c r="I357" s="13" t="str">
        <f t="shared" si="10"/>
        <v>Dixie Hwy - Central (Sunrise Bl to Commercial Bl)</v>
      </c>
      <c r="J357" s="13" t="s">
        <v>366</v>
      </c>
      <c r="K357" s="13" t="str">
        <f>VLOOKUP(J357,'Data-ProjectTypes'!A$3:B$13,2,FALSE)</f>
        <v>Program</v>
      </c>
      <c r="L357" s="26" t="s">
        <v>842</v>
      </c>
      <c r="M357" s="13" t="s">
        <v>1830</v>
      </c>
      <c r="N357" s="13" t="s">
        <v>1813</v>
      </c>
      <c r="O357" s="13" t="s">
        <v>270</v>
      </c>
      <c r="P357" s="13" t="s">
        <v>270</v>
      </c>
      <c r="Q357" s="22">
        <v>3.9</v>
      </c>
      <c r="R357" s="23">
        <v>4352158.0839918926</v>
      </c>
      <c r="S357" s="21"/>
      <c r="T357" s="21"/>
      <c r="U357" s="21" t="s">
        <v>24</v>
      </c>
      <c r="V357" s="24"/>
      <c r="W357" s="24" t="s">
        <v>850</v>
      </c>
      <c r="X357" s="24"/>
      <c r="Y357" s="17" t="s">
        <v>849</v>
      </c>
      <c r="Z357" s="18">
        <f>ROUND(R357*'Data-CostAssumptions'!$C$3,-3)</f>
        <v>6023000</v>
      </c>
      <c r="AA357" s="11">
        <f t="shared" si="11"/>
        <v>1</v>
      </c>
      <c r="AB357" s="11">
        <v>2041</v>
      </c>
      <c r="AC357" s="11">
        <v>2041</v>
      </c>
      <c r="AD357" s="11">
        <v>2041</v>
      </c>
      <c r="AE357" s="11">
        <v>2041</v>
      </c>
      <c r="AF357" s="11">
        <v>0</v>
      </c>
      <c r="AG357" s="19">
        <f>ROUND((Z357*'Data-CostAssumptions'!$G$5)*(1+'Data-CostAssumptions'!$G$3)^(AC357-'Data-CostAssumptions'!$G$4),-3)</f>
        <v>3397000</v>
      </c>
      <c r="AH357" s="19">
        <f>ROUND((Z357)*(1+'Data-CostAssumptions'!$G$3)^(AE357-'Data-CostAssumptions'!$G$4),-3)</f>
        <v>15443000</v>
      </c>
    </row>
    <row r="358" spans="1:34" ht="15" customHeight="1" x14ac:dyDescent="0.2">
      <c r="A358" s="11"/>
      <c r="B358" s="11" t="s">
        <v>1211</v>
      </c>
      <c r="C358" s="13">
        <v>10122</v>
      </c>
      <c r="D358" s="13" t="s">
        <v>420</v>
      </c>
      <c r="E358" s="20" t="s">
        <v>298</v>
      </c>
      <c r="F358" s="20">
        <v>147</v>
      </c>
      <c r="G358" s="20">
        <v>357</v>
      </c>
      <c r="H358" s="13" t="s">
        <v>2688</v>
      </c>
      <c r="I358" s="13" t="str">
        <f t="shared" si="10"/>
        <v>Dixie Hwy - Central (Eller Dr to Sunrise Bl)</v>
      </c>
      <c r="J358" s="13" t="s">
        <v>366</v>
      </c>
      <c r="K358" s="13" t="str">
        <f>VLOOKUP(J358,'Data-ProjectTypes'!A$3:B$13,2,FALSE)</f>
        <v>Program</v>
      </c>
      <c r="L358" s="21" t="s">
        <v>348</v>
      </c>
      <c r="M358" s="13" t="s">
        <v>1789</v>
      </c>
      <c r="N358" s="13" t="s">
        <v>1830</v>
      </c>
      <c r="O358" s="13" t="s">
        <v>273</v>
      </c>
      <c r="P358" s="13" t="s">
        <v>273</v>
      </c>
      <c r="Q358" s="22">
        <v>3.8</v>
      </c>
      <c r="R358" s="23">
        <v>3810300</v>
      </c>
      <c r="S358" s="21"/>
      <c r="T358" s="21"/>
      <c r="U358" s="21"/>
      <c r="V358" s="24"/>
      <c r="W358" s="24"/>
      <c r="X358" s="28"/>
      <c r="Y358" s="17"/>
      <c r="Z358" s="18">
        <f>ROUND(R358*'Data-CostAssumptions'!$C$3,-3)</f>
        <v>5273000</v>
      </c>
      <c r="AA358" s="11">
        <f t="shared" si="11"/>
        <v>0</v>
      </c>
      <c r="AB358" s="11">
        <v>2041</v>
      </c>
      <c r="AC358" s="11">
        <v>2041</v>
      </c>
      <c r="AD358" s="11">
        <v>2041</v>
      </c>
      <c r="AE358" s="11">
        <v>2041</v>
      </c>
      <c r="AF358" s="11">
        <v>0</v>
      </c>
      <c r="AG358" s="19">
        <f>ROUND((Z358*'Data-CostAssumptions'!$G$5)*(1+'Data-CostAssumptions'!$G$3)^(AC358-'Data-CostAssumptions'!$G$4),-3)</f>
        <v>2974000</v>
      </c>
      <c r="AH358" s="19">
        <f>ROUND((Z358)*(1+'Data-CostAssumptions'!$G$3)^(AE358-'Data-CostAssumptions'!$G$4),-3)</f>
        <v>13520000</v>
      </c>
    </row>
    <row r="359" spans="1:34" ht="15" customHeight="1" x14ac:dyDescent="0.2">
      <c r="A359" s="11"/>
      <c r="B359" s="11" t="s">
        <v>1211</v>
      </c>
      <c r="C359" s="13">
        <v>10123</v>
      </c>
      <c r="D359" s="13" t="s">
        <v>420</v>
      </c>
      <c r="E359" s="20" t="s">
        <v>298</v>
      </c>
      <c r="F359" s="20">
        <v>147</v>
      </c>
      <c r="G359" s="20">
        <v>358</v>
      </c>
      <c r="H359" s="13" t="s">
        <v>2689</v>
      </c>
      <c r="I359" s="13" t="str">
        <f t="shared" si="10"/>
        <v>Dixie Hwy - North (Atlantic Bl to Pioneer Park)</v>
      </c>
      <c r="J359" s="13" t="s">
        <v>366</v>
      </c>
      <c r="K359" s="13" t="str">
        <f>VLOOKUP(J359,'Data-ProjectTypes'!A$3:B$13,2,FALSE)</f>
        <v>Program</v>
      </c>
      <c r="L359" s="21" t="s">
        <v>348</v>
      </c>
      <c r="M359" s="13" t="s">
        <v>1809</v>
      </c>
      <c r="N359" s="13" t="s">
        <v>104</v>
      </c>
      <c r="O359" s="13" t="s">
        <v>270</v>
      </c>
      <c r="P359" s="13" t="s">
        <v>270</v>
      </c>
      <c r="Q359" s="22">
        <v>6.6</v>
      </c>
      <c r="R359" s="23">
        <v>6586400</v>
      </c>
      <c r="S359" s="21"/>
      <c r="T359" s="21"/>
      <c r="U359" s="21"/>
      <c r="V359" s="24"/>
      <c r="W359" s="24" t="s">
        <v>491</v>
      </c>
      <c r="X359" s="24"/>
      <c r="Y359" s="17" t="s">
        <v>492</v>
      </c>
      <c r="Z359" s="18">
        <f>ROUND(R359*'Data-CostAssumptions'!$C$3,-3)</f>
        <v>9116000</v>
      </c>
      <c r="AA359" s="11">
        <f t="shared" si="11"/>
        <v>1</v>
      </c>
      <c r="AB359" s="11">
        <v>2041</v>
      </c>
      <c r="AC359" s="11">
        <v>2041</v>
      </c>
      <c r="AD359" s="11">
        <v>2041</v>
      </c>
      <c r="AE359" s="11">
        <v>2041</v>
      </c>
      <c r="AF359" s="11">
        <v>0</v>
      </c>
      <c r="AG359" s="19">
        <f>ROUND((Z359*'Data-CostAssumptions'!$G$5)*(1+'Data-CostAssumptions'!$G$3)^(AC359-'Data-CostAssumptions'!$G$4),-3)</f>
        <v>5142000</v>
      </c>
      <c r="AH359" s="19">
        <f>ROUND((Z359)*(1+'Data-CostAssumptions'!$G$3)^(AE359-'Data-CostAssumptions'!$G$4),-3)</f>
        <v>23373000</v>
      </c>
    </row>
    <row r="360" spans="1:34" ht="15" customHeight="1" x14ac:dyDescent="0.2">
      <c r="A360" s="11"/>
      <c r="B360" s="11" t="s">
        <v>1211</v>
      </c>
      <c r="C360" s="13">
        <v>10124</v>
      </c>
      <c r="D360" s="13" t="s">
        <v>420</v>
      </c>
      <c r="E360" s="20" t="s">
        <v>298</v>
      </c>
      <c r="F360" s="20">
        <v>147</v>
      </c>
      <c r="G360" s="20">
        <v>359</v>
      </c>
      <c r="H360" s="13" t="s">
        <v>2690</v>
      </c>
      <c r="I360" s="13" t="str">
        <f t="shared" si="10"/>
        <v>Dixie Hwy - South (Bluestone Park to Dania Beach Bl)</v>
      </c>
      <c r="J360" s="13" t="s">
        <v>366</v>
      </c>
      <c r="K360" s="13" t="str">
        <f>VLOOKUP(J360,'Data-ProjectTypes'!A$3:B$13,2,FALSE)</f>
        <v>Program</v>
      </c>
      <c r="L360" s="21" t="s">
        <v>348</v>
      </c>
      <c r="M360" s="13" t="s">
        <v>186</v>
      </c>
      <c r="N360" s="13" t="s">
        <v>1815</v>
      </c>
      <c r="O360" s="13" t="s">
        <v>273</v>
      </c>
      <c r="P360" s="13" t="s">
        <v>273</v>
      </c>
      <c r="Q360" s="22">
        <v>5.6</v>
      </c>
      <c r="R360" s="23">
        <v>5554300</v>
      </c>
      <c r="S360" s="21" t="s">
        <v>24</v>
      </c>
      <c r="T360" s="21" t="s">
        <v>25</v>
      </c>
      <c r="U360" s="21"/>
      <c r="V360" s="24"/>
      <c r="W360" s="24" t="s">
        <v>583</v>
      </c>
      <c r="X360" s="24"/>
      <c r="Y360" s="17" t="s">
        <v>556</v>
      </c>
      <c r="Z360" s="18">
        <f>ROUND(R360*'Data-CostAssumptions'!$C$3,-3)</f>
        <v>7687000</v>
      </c>
      <c r="AA360" s="11">
        <f t="shared" si="11"/>
        <v>1</v>
      </c>
      <c r="AB360" s="11">
        <v>2041</v>
      </c>
      <c r="AC360" s="11">
        <v>2041</v>
      </c>
      <c r="AD360" s="11">
        <v>2041</v>
      </c>
      <c r="AE360" s="11">
        <v>2041</v>
      </c>
      <c r="AF360" s="11">
        <v>0</v>
      </c>
      <c r="AG360" s="19">
        <f>ROUND((Z360*'Data-CostAssumptions'!$G$5)*(1+'Data-CostAssumptions'!$G$3)^(AC360-'Data-CostAssumptions'!$G$4),-3)</f>
        <v>4336000</v>
      </c>
      <c r="AH360" s="19">
        <f>ROUND((Z360)*(1+'Data-CostAssumptions'!$G$3)^(AE360-'Data-CostAssumptions'!$G$4),-3)</f>
        <v>19709000</v>
      </c>
    </row>
    <row r="361" spans="1:34" ht="15" customHeight="1" x14ac:dyDescent="0.2">
      <c r="A361" s="11"/>
      <c r="B361" s="11" t="s">
        <v>1211</v>
      </c>
      <c r="C361" s="13">
        <v>10125</v>
      </c>
      <c r="D361" s="13" t="s">
        <v>420</v>
      </c>
      <c r="E361" s="20" t="s">
        <v>298</v>
      </c>
      <c r="F361" s="20">
        <v>147</v>
      </c>
      <c r="G361" s="20">
        <v>360</v>
      </c>
      <c r="H361" s="13" t="s">
        <v>2690</v>
      </c>
      <c r="I361" s="13" t="str">
        <f t="shared" si="10"/>
        <v>Dixie Hwy - South (Dania Beach Bl to Eller Dr)</v>
      </c>
      <c r="J361" s="13" t="s">
        <v>366</v>
      </c>
      <c r="K361" s="13" t="str">
        <f>VLOOKUP(J361,'Data-ProjectTypes'!A$3:B$13,2,FALSE)</f>
        <v>Program</v>
      </c>
      <c r="L361" s="21" t="s">
        <v>348</v>
      </c>
      <c r="M361" s="13" t="s">
        <v>1815</v>
      </c>
      <c r="N361" s="13" t="s">
        <v>1789</v>
      </c>
      <c r="O361" s="13" t="s">
        <v>272</v>
      </c>
      <c r="P361" s="13" t="s">
        <v>272</v>
      </c>
      <c r="Q361" s="22">
        <v>3.1</v>
      </c>
      <c r="R361" s="23">
        <v>3087300</v>
      </c>
      <c r="S361" s="21"/>
      <c r="T361" s="21"/>
      <c r="U361" s="21"/>
      <c r="V361" s="24"/>
      <c r="W361" s="24"/>
      <c r="X361" s="24"/>
      <c r="Y361" s="17"/>
      <c r="Z361" s="18">
        <f>ROUND(R361*'Data-CostAssumptions'!$C$3,-3)</f>
        <v>4273000</v>
      </c>
      <c r="AA361" s="11">
        <f t="shared" si="11"/>
        <v>0</v>
      </c>
      <c r="AB361" s="11">
        <v>2041</v>
      </c>
      <c r="AC361" s="11">
        <v>2041</v>
      </c>
      <c r="AD361" s="11">
        <v>2041</v>
      </c>
      <c r="AE361" s="11">
        <v>2041</v>
      </c>
      <c r="AF361" s="11">
        <v>0</v>
      </c>
      <c r="AG361" s="19">
        <f>ROUND((Z361*'Data-CostAssumptions'!$G$5)*(1+'Data-CostAssumptions'!$G$3)^(AC361-'Data-CostAssumptions'!$G$4),-3)</f>
        <v>2410000</v>
      </c>
      <c r="AH361" s="19">
        <f>ROUND((Z361)*(1+'Data-CostAssumptions'!$G$3)^(AE361-'Data-CostAssumptions'!$G$4),-3)</f>
        <v>10956000</v>
      </c>
    </row>
    <row r="362" spans="1:34" ht="15" customHeight="1" x14ac:dyDescent="0.2">
      <c r="A362" s="11"/>
      <c r="B362" s="11" t="s">
        <v>1211</v>
      </c>
      <c r="C362" s="13">
        <v>10126</v>
      </c>
      <c r="D362" s="13" t="s">
        <v>420</v>
      </c>
      <c r="E362" s="20" t="s">
        <v>298</v>
      </c>
      <c r="F362" s="20">
        <v>147</v>
      </c>
      <c r="G362" s="20">
        <v>361</v>
      </c>
      <c r="H362" s="13" t="s">
        <v>56</v>
      </c>
      <c r="I362" s="13" t="str">
        <f t="shared" si="10"/>
        <v>FPL North Central (New River Greenway to Sunrise Bl)</v>
      </c>
      <c r="J362" s="13" t="s">
        <v>366</v>
      </c>
      <c r="K362" s="13" t="str">
        <f>VLOOKUP(J362,'Data-ProjectTypes'!A$3:B$13,2,FALSE)</f>
        <v>Program</v>
      </c>
      <c r="L362" s="21" t="s">
        <v>348</v>
      </c>
      <c r="M362" s="13" t="s">
        <v>55</v>
      </c>
      <c r="N362" s="13" t="s">
        <v>1830</v>
      </c>
      <c r="O362" s="13" t="s">
        <v>273</v>
      </c>
      <c r="P362" s="13" t="s">
        <v>273</v>
      </c>
      <c r="Q362" s="22">
        <v>3.3</v>
      </c>
      <c r="R362" s="23">
        <v>3265400</v>
      </c>
      <c r="S362" s="21"/>
      <c r="T362" s="21"/>
      <c r="U362" s="21"/>
      <c r="V362" s="24"/>
      <c r="W362" s="24"/>
      <c r="X362" s="24"/>
      <c r="Y362" s="17"/>
      <c r="Z362" s="18">
        <f>ROUND(R362*'Data-CostAssumptions'!$C$3,-3)</f>
        <v>4519000</v>
      </c>
      <c r="AA362" s="11">
        <f t="shared" si="11"/>
        <v>0</v>
      </c>
      <c r="AB362" s="11">
        <v>2041</v>
      </c>
      <c r="AC362" s="11">
        <v>2041</v>
      </c>
      <c r="AD362" s="11">
        <v>2041</v>
      </c>
      <c r="AE362" s="11">
        <v>2041</v>
      </c>
      <c r="AF362" s="11">
        <v>0</v>
      </c>
      <c r="AG362" s="19">
        <f>ROUND((Z362*'Data-CostAssumptions'!$G$5)*(1+'Data-CostAssumptions'!$G$3)^(AC362-'Data-CostAssumptions'!$G$4),-3)</f>
        <v>2549000</v>
      </c>
      <c r="AH362" s="19">
        <f>ROUND((Z362)*(1+'Data-CostAssumptions'!$G$3)^(AE362-'Data-CostAssumptions'!$G$4),-3)</f>
        <v>11586000</v>
      </c>
    </row>
    <row r="363" spans="1:34" ht="15" customHeight="1" x14ac:dyDescent="0.2">
      <c r="A363" s="11"/>
      <c r="B363" s="11" t="s">
        <v>1211</v>
      </c>
      <c r="C363" s="13">
        <v>10170</v>
      </c>
      <c r="D363" s="13" t="s">
        <v>420</v>
      </c>
      <c r="E363" s="20" t="s">
        <v>298</v>
      </c>
      <c r="F363" s="20">
        <v>149</v>
      </c>
      <c r="G363" s="20">
        <v>362</v>
      </c>
      <c r="H363" s="13" t="s">
        <v>181</v>
      </c>
      <c r="I363" s="13" t="str">
        <f t="shared" si="10"/>
        <v>FPL South Central (Griffin Rd to New River)</v>
      </c>
      <c r="J363" s="13" t="s">
        <v>366</v>
      </c>
      <c r="K363" s="13" t="str">
        <f>VLOOKUP(J363,'Data-ProjectTypes'!A$3:B$13,2,FALSE)</f>
        <v>Program</v>
      </c>
      <c r="L363" s="21" t="s">
        <v>348</v>
      </c>
      <c r="M363" s="13" t="s">
        <v>1750</v>
      </c>
      <c r="N363" s="13" t="s">
        <v>180</v>
      </c>
      <c r="O363" s="13" t="s">
        <v>270</v>
      </c>
      <c r="P363" s="13" t="s">
        <v>270</v>
      </c>
      <c r="Q363" s="22">
        <v>2.7</v>
      </c>
      <c r="R363" s="23">
        <v>2945346.139904724</v>
      </c>
      <c r="S363" s="21" t="s">
        <v>24</v>
      </c>
      <c r="T363" s="21"/>
      <c r="U363" s="21"/>
      <c r="V363" s="24"/>
      <c r="W363" s="24" t="s">
        <v>586</v>
      </c>
      <c r="X363" s="24"/>
      <c r="Y363" s="17" t="s">
        <v>547</v>
      </c>
      <c r="Z363" s="18">
        <f>ROUND(R363*'Data-CostAssumptions'!$C$3,-3)</f>
        <v>4076000</v>
      </c>
      <c r="AA363" s="11">
        <f t="shared" si="11"/>
        <v>1</v>
      </c>
      <c r="AB363" s="11">
        <v>2041</v>
      </c>
      <c r="AC363" s="11">
        <v>2041</v>
      </c>
      <c r="AD363" s="11">
        <v>2041</v>
      </c>
      <c r="AE363" s="11">
        <v>2041</v>
      </c>
      <c r="AF363" s="11">
        <v>0</v>
      </c>
      <c r="AG363" s="19">
        <f>ROUND((Z363*'Data-CostAssumptions'!$G$5)*(1+'Data-CostAssumptions'!$G$3)^(AC363-'Data-CostAssumptions'!$G$4),-3)</f>
        <v>2299000</v>
      </c>
      <c r="AH363" s="19">
        <f>ROUND((Z363)*(1+'Data-CostAssumptions'!$G$3)^(AE363-'Data-CostAssumptions'!$G$4),-3)</f>
        <v>10451000</v>
      </c>
    </row>
    <row r="364" spans="1:34" ht="15" customHeight="1" x14ac:dyDescent="0.2">
      <c r="A364" s="11"/>
      <c r="B364" s="11" t="s">
        <v>1211</v>
      </c>
      <c r="C364" s="13">
        <v>10171</v>
      </c>
      <c r="D364" s="13" t="s">
        <v>420</v>
      </c>
      <c r="E364" s="20" t="s">
        <v>298</v>
      </c>
      <c r="F364" s="20">
        <v>149</v>
      </c>
      <c r="G364" s="20">
        <v>363</v>
      </c>
      <c r="H364" s="13" t="s">
        <v>181</v>
      </c>
      <c r="I364" s="13" t="str">
        <f t="shared" si="10"/>
        <v>FPL South Central (SW 42nd Av to Orange Dr)</v>
      </c>
      <c r="J364" s="13" t="s">
        <v>366</v>
      </c>
      <c r="K364" s="13" t="str">
        <f>VLOOKUP(J364,'Data-ProjectTypes'!A$3:B$13,2,FALSE)</f>
        <v>Program</v>
      </c>
      <c r="L364" s="21" t="s">
        <v>348</v>
      </c>
      <c r="M364" s="13" t="s">
        <v>2347</v>
      </c>
      <c r="N364" s="13" t="s">
        <v>184</v>
      </c>
      <c r="O364" s="13" t="s">
        <v>270</v>
      </c>
      <c r="P364" s="13" t="s">
        <v>270</v>
      </c>
      <c r="Q364" s="22">
        <v>1</v>
      </c>
      <c r="R364" s="23">
        <v>976400</v>
      </c>
      <c r="S364" s="21" t="s">
        <v>24</v>
      </c>
      <c r="T364" s="21"/>
      <c r="U364" s="21"/>
      <c r="V364" s="24"/>
      <c r="W364" s="24"/>
      <c r="X364" s="24"/>
      <c r="Y364" s="17" t="s">
        <v>469</v>
      </c>
      <c r="Z364" s="18">
        <f>ROUND(R364*'Data-CostAssumptions'!$C$3,-3)</f>
        <v>1351000</v>
      </c>
      <c r="AA364" s="11">
        <f t="shared" si="11"/>
        <v>0</v>
      </c>
      <c r="AB364" s="11">
        <v>2041</v>
      </c>
      <c r="AC364" s="11">
        <v>2041</v>
      </c>
      <c r="AD364" s="11">
        <v>2041</v>
      </c>
      <c r="AE364" s="11">
        <v>2041</v>
      </c>
      <c r="AF364" s="11">
        <v>0</v>
      </c>
      <c r="AG364" s="19">
        <f>ROUND((Z364*'Data-CostAssumptions'!$G$5)*(1+'Data-CostAssumptions'!$G$3)^(AC364-'Data-CostAssumptions'!$G$4),-3)</f>
        <v>762000</v>
      </c>
      <c r="AH364" s="19">
        <f>ROUND((Z364)*(1+'Data-CostAssumptions'!$G$3)^(AE364-'Data-CostAssumptions'!$G$4),-3)</f>
        <v>3464000</v>
      </c>
    </row>
    <row r="365" spans="1:34" ht="15" customHeight="1" x14ac:dyDescent="0.2">
      <c r="A365" s="11"/>
      <c r="B365" s="11" t="s">
        <v>1213</v>
      </c>
      <c r="C365" s="13">
        <v>560</v>
      </c>
      <c r="D365" s="13" t="s">
        <v>420</v>
      </c>
      <c r="E365" s="20">
        <v>188</v>
      </c>
      <c r="F365" s="20">
        <v>172</v>
      </c>
      <c r="G365" s="20">
        <v>364</v>
      </c>
      <c r="H365" s="13" t="s">
        <v>1848</v>
      </c>
      <c r="I365" s="13" t="str">
        <f t="shared" si="10"/>
        <v>Hancock Rd (Sheridan St to Stirling Rd)</v>
      </c>
      <c r="J365" s="13" t="s">
        <v>366</v>
      </c>
      <c r="K365" s="13" t="str">
        <f>VLOOKUP(J365,'Data-ProjectTypes'!A$3:B$13,2,FALSE)</f>
        <v>Program</v>
      </c>
      <c r="L365" s="21" t="s">
        <v>788</v>
      </c>
      <c r="M365" s="13" t="s">
        <v>1951</v>
      </c>
      <c r="N365" s="13" t="s">
        <v>177</v>
      </c>
      <c r="O365" s="13" t="s">
        <v>294</v>
      </c>
      <c r="P365" s="13" t="s">
        <v>294</v>
      </c>
      <c r="Q365" s="22">
        <v>1</v>
      </c>
      <c r="R365" s="23">
        <v>358285</v>
      </c>
      <c r="S365" s="21" t="s">
        <v>25</v>
      </c>
      <c r="T365" s="21" t="s">
        <v>25</v>
      </c>
      <c r="U365" s="21" t="s">
        <v>24</v>
      </c>
      <c r="V365" s="24" t="s">
        <v>784</v>
      </c>
      <c r="W365" s="24"/>
      <c r="X365" s="37" t="s">
        <v>3236</v>
      </c>
      <c r="Y365" s="17" t="s">
        <v>783</v>
      </c>
      <c r="Z365" s="18">
        <f>ROUND(R365*'Data-CostAssumptions'!$C$3,-3)</f>
        <v>496000</v>
      </c>
      <c r="AA365" s="11">
        <f t="shared" si="11"/>
        <v>1</v>
      </c>
      <c r="AB365" s="11">
        <v>2041</v>
      </c>
      <c r="AC365" s="11">
        <v>2041</v>
      </c>
      <c r="AD365" s="11">
        <v>2041</v>
      </c>
      <c r="AE365" s="11">
        <v>2041</v>
      </c>
      <c r="AF365" s="11">
        <v>0</v>
      </c>
      <c r="AG365" s="19">
        <f>ROUND((Z365*'Data-CostAssumptions'!$G$5)*(1+'Data-CostAssumptions'!$G$3)^(AC365-'Data-CostAssumptions'!$G$4),-3)</f>
        <v>280000</v>
      </c>
      <c r="AH365" s="19">
        <f>ROUND((Z365)*(1+'Data-CostAssumptions'!$G$3)^(AE365-'Data-CostAssumptions'!$G$4),-3)</f>
        <v>1272000</v>
      </c>
    </row>
    <row r="366" spans="1:34" ht="15" customHeight="1" x14ac:dyDescent="0.2">
      <c r="A366" s="11"/>
      <c r="B366" s="11" t="s">
        <v>1213</v>
      </c>
      <c r="C366" s="13">
        <v>598</v>
      </c>
      <c r="D366" s="13" t="s">
        <v>420</v>
      </c>
      <c r="E366" s="20">
        <v>187</v>
      </c>
      <c r="F366" s="20">
        <v>175</v>
      </c>
      <c r="G366" s="20">
        <v>365</v>
      </c>
      <c r="H366" s="13" t="s">
        <v>1848</v>
      </c>
      <c r="I366" s="13" t="str">
        <f t="shared" si="10"/>
        <v>Hancock Rd (Stirling Rd to Griffin Rd)</v>
      </c>
      <c r="J366" s="13" t="s">
        <v>366</v>
      </c>
      <c r="K366" s="13" t="str">
        <f>VLOOKUP(J366,'Data-ProjectTypes'!A$3:B$13,2,FALSE)</f>
        <v>Program</v>
      </c>
      <c r="L366" s="21" t="s">
        <v>788</v>
      </c>
      <c r="M366" s="13" t="s">
        <v>177</v>
      </c>
      <c r="N366" s="13" t="s">
        <v>1750</v>
      </c>
      <c r="O366" s="13" t="s">
        <v>294</v>
      </c>
      <c r="P366" s="13" t="s">
        <v>294</v>
      </c>
      <c r="Q366" s="22">
        <v>1.3</v>
      </c>
      <c r="R366" s="23">
        <v>462872</v>
      </c>
      <c r="S366" s="21" t="s">
        <v>25</v>
      </c>
      <c r="T366" s="21" t="s">
        <v>25</v>
      </c>
      <c r="U366" s="21" t="s">
        <v>24</v>
      </c>
      <c r="V366" s="24" t="s">
        <v>784</v>
      </c>
      <c r="W366" s="24"/>
      <c r="X366" s="37" t="s">
        <v>3236</v>
      </c>
      <c r="Y366" s="17" t="s">
        <v>783</v>
      </c>
      <c r="Z366" s="18">
        <f>ROUND(R366*'Data-CostAssumptions'!$C$3,-3)</f>
        <v>641000</v>
      </c>
      <c r="AA366" s="11">
        <f t="shared" si="11"/>
        <v>1</v>
      </c>
      <c r="AB366" s="11">
        <v>2041</v>
      </c>
      <c r="AC366" s="11">
        <v>2041</v>
      </c>
      <c r="AD366" s="11">
        <v>2041</v>
      </c>
      <c r="AE366" s="11">
        <v>2041</v>
      </c>
      <c r="AF366" s="11">
        <v>0</v>
      </c>
      <c r="AG366" s="19">
        <f>ROUND((Z366*'Data-CostAssumptions'!$G$5)*(1+'Data-CostAssumptions'!$G$3)^(AC366-'Data-CostAssumptions'!$G$4),-3)</f>
        <v>362000</v>
      </c>
      <c r="AH366" s="19">
        <f>ROUND((Z366)*(1+'Data-CostAssumptions'!$G$3)^(AE366-'Data-CostAssumptions'!$G$4),-3)</f>
        <v>1643000</v>
      </c>
    </row>
    <row r="367" spans="1:34" ht="15" customHeight="1" x14ac:dyDescent="0.2">
      <c r="A367" s="11"/>
      <c r="B367" s="11" t="s">
        <v>1211</v>
      </c>
      <c r="C367" s="13">
        <v>10146</v>
      </c>
      <c r="D367" s="13" t="s">
        <v>420</v>
      </c>
      <c r="E367" s="20" t="s">
        <v>298</v>
      </c>
      <c r="F367" s="20">
        <v>148</v>
      </c>
      <c r="G367" s="20">
        <v>366</v>
      </c>
      <c r="H367" s="13" t="s">
        <v>268</v>
      </c>
      <c r="I367" s="13" t="str">
        <f t="shared" si="10"/>
        <v>Hillsboro Canal Central (SR 845 / Powerline Rd to SR 7)</v>
      </c>
      <c r="J367" s="13" t="s">
        <v>366</v>
      </c>
      <c r="K367" s="13" t="str">
        <f>VLOOKUP(J367,'Data-ProjectTypes'!A$3:B$13,2,FALSE)</f>
        <v>Program</v>
      </c>
      <c r="L367" s="21" t="s">
        <v>348</v>
      </c>
      <c r="M367" s="13" t="s">
        <v>2210</v>
      </c>
      <c r="N367" s="13" t="s">
        <v>53</v>
      </c>
      <c r="O367" s="13" t="s">
        <v>270</v>
      </c>
      <c r="P367" s="13" t="s">
        <v>270</v>
      </c>
      <c r="Q367" s="22">
        <v>4.0999999999999996</v>
      </c>
      <c r="R367" s="23">
        <v>4086400</v>
      </c>
      <c r="S367" s="21"/>
      <c r="T367" s="21"/>
      <c r="U367" s="21"/>
      <c r="V367" s="24"/>
      <c r="W367" s="24"/>
      <c r="X367" s="24"/>
      <c r="Y367" s="17"/>
      <c r="Z367" s="18">
        <f>ROUND(R367*'Data-CostAssumptions'!$C$3,-3)</f>
        <v>5656000</v>
      </c>
      <c r="AA367" s="11">
        <f t="shared" si="11"/>
        <v>0</v>
      </c>
      <c r="AB367" s="11">
        <v>2041</v>
      </c>
      <c r="AC367" s="11">
        <v>2041</v>
      </c>
      <c r="AD367" s="11">
        <v>2041</v>
      </c>
      <c r="AE367" s="11">
        <v>2041</v>
      </c>
      <c r="AF367" s="11">
        <v>0</v>
      </c>
      <c r="AG367" s="19">
        <f>ROUND((Z367*'Data-CostAssumptions'!$G$5)*(1+'Data-CostAssumptions'!$G$3)^(AC367-'Data-CostAssumptions'!$G$4),-3)</f>
        <v>3190000</v>
      </c>
      <c r="AH367" s="19">
        <f>ROUND((Z367)*(1+'Data-CostAssumptions'!$G$3)^(AE367-'Data-CostAssumptions'!$G$4),-3)</f>
        <v>14502000</v>
      </c>
    </row>
    <row r="368" spans="1:34" ht="15" customHeight="1" x14ac:dyDescent="0.2">
      <c r="A368" s="11"/>
      <c r="B368" s="11" t="s">
        <v>1211</v>
      </c>
      <c r="C368" s="13">
        <v>10147</v>
      </c>
      <c r="D368" s="13" t="s">
        <v>420</v>
      </c>
      <c r="E368" s="20" t="s">
        <v>298</v>
      </c>
      <c r="F368" s="20">
        <v>148</v>
      </c>
      <c r="G368" s="20">
        <v>367</v>
      </c>
      <c r="H368" s="13" t="s">
        <v>226</v>
      </c>
      <c r="I368" s="13" t="str">
        <f t="shared" si="10"/>
        <v>Hillsboro Canal East (Pioneer Park to Powerline Rd)</v>
      </c>
      <c r="J368" s="13" t="s">
        <v>366</v>
      </c>
      <c r="K368" s="13" t="str">
        <f>VLOOKUP(J368,'Data-ProjectTypes'!A$3:B$13,2,FALSE)</f>
        <v>Program</v>
      </c>
      <c r="L368" s="21" t="s">
        <v>348</v>
      </c>
      <c r="M368" s="13" t="s">
        <v>104</v>
      </c>
      <c r="N368" s="13" t="s">
        <v>1858</v>
      </c>
      <c r="O368" s="13" t="s">
        <v>270</v>
      </c>
      <c r="P368" s="13" t="s">
        <v>270</v>
      </c>
      <c r="Q368" s="22">
        <v>3.7</v>
      </c>
      <c r="R368" s="23">
        <v>4120743.440220187</v>
      </c>
      <c r="S368" s="21"/>
      <c r="T368" s="21"/>
      <c r="U368" s="21"/>
      <c r="V368" s="24"/>
      <c r="W368" s="24"/>
      <c r="X368" s="24" t="s">
        <v>504</v>
      </c>
      <c r="Y368" s="17" t="s">
        <v>492</v>
      </c>
      <c r="Z368" s="18">
        <f>ROUND(R368*'Data-CostAssumptions'!$C$3,-3)</f>
        <v>5703000</v>
      </c>
      <c r="AA368" s="11">
        <f t="shared" si="11"/>
        <v>0</v>
      </c>
      <c r="AB368" s="11">
        <v>2041</v>
      </c>
      <c r="AC368" s="11">
        <v>2041</v>
      </c>
      <c r="AD368" s="11">
        <v>2041</v>
      </c>
      <c r="AE368" s="11">
        <v>2041</v>
      </c>
      <c r="AF368" s="11">
        <v>0</v>
      </c>
      <c r="AG368" s="19">
        <f>ROUND((Z368*'Data-CostAssumptions'!$G$5)*(1+'Data-CostAssumptions'!$G$3)^(AC368-'Data-CostAssumptions'!$G$4),-3)</f>
        <v>3217000</v>
      </c>
      <c r="AH368" s="19">
        <f>ROUND((Z368)*(1+'Data-CostAssumptions'!$G$3)^(AE368-'Data-CostAssumptions'!$G$4),-3)</f>
        <v>14622000</v>
      </c>
    </row>
    <row r="369" spans="1:34" ht="15" customHeight="1" x14ac:dyDescent="0.2">
      <c r="A369" s="11"/>
      <c r="B369" s="11" t="s">
        <v>1211</v>
      </c>
      <c r="C369" s="13">
        <v>10127</v>
      </c>
      <c r="D369" s="13" t="s">
        <v>420</v>
      </c>
      <c r="E369" s="20" t="s">
        <v>298</v>
      </c>
      <c r="F369" s="20">
        <v>147</v>
      </c>
      <c r="G369" s="20">
        <v>368</v>
      </c>
      <c r="H369" s="13" t="s">
        <v>54</v>
      </c>
      <c r="I369" s="13" t="str">
        <f t="shared" si="10"/>
        <v>Hillsboro Canal West (Loxahatchee Wildlife Refuge to SR 7)</v>
      </c>
      <c r="J369" s="13" t="s">
        <v>366</v>
      </c>
      <c r="K369" s="13" t="str">
        <f>VLOOKUP(J369,'Data-ProjectTypes'!A$3:B$13,2,FALSE)</f>
        <v>Program</v>
      </c>
      <c r="L369" s="21" t="s">
        <v>348</v>
      </c>
      <c r="M369" s="13" t="s">
        <v>52</v>
      </c>
      <c r="N369" s="13" t="s">
        <v>53</v>
      </c>
      <c r="O369" s="13" t="s">
        <v>272</v>
      </c>
      <c r="P369" s="13" t="s">
        <v>272</v>
      </c>
      <c r="Q369" s="22">
        <v>4.9000000000000004</v>
      </c>
      <c r="R369" s="23">
        <v>4875500</v>
      </c>
      <c r="S369" s="21"/>
      <c r="T369" s="21"/>
      <c r="U369" s="21"/>
      <c r="V369" s="24"/>
      <c r="W369" s="24"/>
      <c r="X369" s="24"/>
      <c r="Y369" s="17"/>
      <c r="Z369" s="18">
        <f>ROUND(R369*'Data-CostAssumptions'!$C$3,-3)</f>
        <v>6748000</v>
      </c>
      <c r="AA369" s="11">
        <f t="shared" si="11"/>
        <v>0</v>
      </c>
      <c r="AB369" s="11">
        <v>2041</v>
      </c>
      <c r="AC369" s="11">
        <v>2041</v>
      </c>
      <c r="AD369" s="11">
        <v>2041</v>
      </c>
      <c r="AE369" s="11">
        <v>2041</v>
      </c>
      <c r="AF369" s="11">
        <v>0</v>
      </c>
      <c r="AG369" s="19">
        <f>ROUND((Z369*'Data-CostAssumptions'!$G$5)*(1+'Data-CostAssumptions'!$G$3)^(AC369-'Data-CostAssumptions'!$G$4),-3)</f>
        <v>3806000</v>
      </c>
      <c r="AH369" s="19">
        <f>ROUND((Z369)*(1+'Data-CostAssumptions'!$G$3)^(AE369-'Data-CostAssumptions'!$G$4),-3)</f>
        <v>17302000</v>
      </c>
    </row>
    <row r="370" spans="1:34" ht="15" customHeight="1" x14ac:dyDescent="0.2">
      <c r="A370" s="11"/>
      <c r="B370" s="11" t="s">
        <v>1213</v>
      </c>
      <c r="C370" s="13">
        <v>559</v>
      </c>
      <c r="D370" s="13" t="s">
        <v>420</v>
      </c>
      <c r="E370" s="20">
        <v>185</v>
      </c>
      <c r="F370" s="20">
        <v>172</v>
      </c>
      <c r="G370" s="20">
        <v>369</v>
      </c>
      <c r="H370" s="13" t="s">
        <v>96</v>
      </c>
      <c r="I370" s="13" t="str">
        <f t="shared" si="10"/>
        <v>Holatee trail (Sheridan St to Stirling Rd)</v>
      </c>
      <c r="J370" s="13" t="s">
        <v>366</v>
      </c>
      <c r="K370" s="13" t="str">
        <f>VLOOKUP(J370,'Data-ProjectTypes'!A$3:B$13,2,FALSE)</f>
        <v>Program</v>
      </c>
      <c r="L370" s="21" t="s">
        <v>788</v>
      </c>
      <c r="M370" s="13" t="s">
        <v>1951</v>
      </c>
      <c r="N370" s="13" t="s">
        <v>177</v>
      </c>
      <c r="O370" s="13" t="s">
        <v>294</v>
      </c>
      <c r="P370" s="13" t="s">
        <v>294</v>
      </c>
      <c r="Q370" s="22">
        <v>1</v>
      </c>
      <c r="R370" s="23">
        <v>358283</v>
      </c>
      <c r="S370" s="21" t="s">
        <v>25</v>
      </c>
      <c r="T370" s="21" t="s">
        <v>25</v>
      </c>
      <c r="U370" s="21" t="s">
        <v>24</v>
      </c>
      <c r="V370" s="24" t="s">
        <v>784</v>
      </c>
      <c r="W370" s="24"/>
      <c r="X370" s="37" t="s">
        <v>3236</v>
      </c>
      <c r="Y370" s="17" t="s">
        <v>783</v>
      </c>
      <c r="Z370" s="18">
        <f>ROUND(R370*'Data-CostAssumptions'!$C$3,-3)</f>
        <v>496000</v>
      </c>
      <c r="AA370" s="11">
        <f t="shared" si="11"/>
        <v>1</v>
      </c>
      <c r="AB370" s="11">
        <v>2041</v>
      </c>
      <c r="AC370" s="11">
        <v>2041</v>
      </c>
      <c r="AD370" s="11">
        <v>2041</v>
      </c>
      <c r="AE370" s="11">
        <v>2041</v>
      </c>
      <c r="AF370" s="11">
        <v>0</v>
      </c>
      <c r="AG370" s="19">
        <f>ROUND((Z370*'Data-CostAssumptions'!$G$5)*(1+'Data-CostAssumptions'!$G$3)^(AC370-'Data-CostAssumptions'!$G$4),-3)</f>
        <v>280000</v>
      </c>
      <c r="AH370" s="19">
        <f>ROUND((Z370)*(1+'Data-CostAssumptions'!$G$3)^(AE370-'Data-CostAssumptions'!$G$4),-3)</f>
        <v>1272000</v>
      </c>
    </row>
    <row r="371" spans="1:34" ht="15" customHeight="1" x14ac:dyDescent="0.2">
      <c r="A371" s="11"/>
      <c r="B371" s="11" t="s">
        <v>1211</v>
      </c>
      <c r="C371" s="13">
        <v>10151</v>
      </c>
      <c r="D371" s="13" t="s">
        <v>420</v>
      </c>
      <c r="E371" s="20" t="s">
        <v>298</v>
      </c>
      <c r="F371" s="20">
        <v>149</v>
      </c>
      <c r="G371" s="20">
        <v>370</v>
      </c>
      <c r="H371" s="13" t="s">
        <v>1823</v>
      </c>
      <c r="I371" s="13" t="str">
        <f t="shared" si="10"/>
        <v>Las Olas Bl (SR A1A to US 1)</v>
      </c>
      <c r="J371" s="13" t="s">
        <v>366</v>
      </c>
      <c r="K371" s="13" t="str">
        <f>VLOOKUP(J371,'Data-ProjectTypes'!A$3:B$13,2,FALSE)</f>
        <v>Program</v>
      </c>
      <c r="L371" s="21" t="s">
        <v>348</v>
      </c>
      <c r="M371" s="13" t="s">
        <v>110</v>
      </c>
      <c r="N371" s="13" t="s">
        <v>98</v>
      </c>
      <c r="O371" s="13" t="s">
        <v>270</v>
      </c>
      <c r="P371" s="13" t="s">
        <v>270</v>
      </c>
      <c r="Q371" s="22">
        <v>2.2000000000000002</v>
      </c>
      <c r="R371" s="23">
        <v>2243700</v>
      </c>
      <c r="S371" s="21"/>
      <c r="T371" s="21"/>
      <c r="U371" s="21"/>
      <c r="V371" s="24"/>
      <c r="W371" s="24"/>
      <c r="X371" s="24"/>
      <c r="Y371" s="17"/>
      <c r="Z371" s="18">
        <f>ROUND(R371*'Data-CostAssumptions'!$C$3,-3)</f>
        <v>3105000</v>
      </c>
      <c r="AA371" s="11">
        <f t="shared" si="11"/>
        <v>0</v>
      </c>
      <c r="AB371" s="11">
        <v>2041</v>
      </c>
      <c r="AC371" s="11">
        <v>2041</v>
      </c>
      <c r="AD371" s="11">
        <v>2041</v>
      </c>
      <c r="AE371" s="11">
        <v>2041</v>
      </c>
      <c r="AF371" s="11">
        <v>0</v>
      </c>
      <c r="AG371" s="19">
        <f>ROUND((Z371*'Data-CostAssumptions'!$G$5)*(1+'Data-CostAssumptions'!$G$3)^(AC371-'Data-CostAssumptions'!$G$4),-3)</f>
        <v>1751000</v>
      </c>
      <c r="AH371" s="19">
        <f>ROUND((Z371)*(1+'Data-CostAssumptions'!$G$3)^(AE371-'Data-CostAssumptions'!$G$4),-3)</f>
        <v>7961000</v>
      </c>
    </row>
    <row r="372" spans="1:34" ht="15" customHeight="1" x14ac:dyDescent="0.2">
      <c r="A372" s="11"/>
      <c r="B372" s="11" t="s">
        <v>316</v>
      </c>
      <c r="C372" s="13">
        <v>10152</v>
      </c>
      <c r="D372" s="13" t="s">
        <v>420</v>
      </c>
      <c r="E372" s="20" t="s">
        <v>298</v>
      </c>
      <c r="F372" s="20">
        <v>149</v>
      </c>
      <c r="G372" s="20">
        <v>371</v>
      </c>
      <c r="H372" s="13" t="s">
        <v>1977</v>
      </c>
      <c r="I372" s="13" t="str">
        <f t="shared" si="10"/>
        <v>Miramar Pkwy (Florida's Turnpike to Flamingo Rd)</v>
      </c>
      <c r="J372" s="13" t="s">
        <v>366</v>
      </c>
      <c r="K372" s="13" t="str">
        <f>VLOOKUP(J372,'Data-ProjectTypes'!A$3:B$13,2,FALSE)</f>
        <v>Program</v>
      </c>
      <c r="L372" s="21" t="s">
        <v>2701</v>
      </c>
      <c r="M372" s="13" t="s">
        <v>42</v>
      </c>
      <c r="N372" s="13" t="s">
        <v>159</v>
      </c>
      <c r="O372" s="13" t="s">
        <v>274</v>
      </c>
      <c r="P372" s="13" t="s">
        <v>274</v>
      </c>
      <c r="Q372" s="22">
        <v>5.0999999999999996</v>
      </c>
      <c r="R372" s="23">
        <v>5067500</v>
      </c>
      <c r="S372" s="21" t="s">
        <v>24</v>
      </c>
      <c r="T372" s="21" t="s">
        <v>25</v>
      </c>
      <c r="U372" s="21" t="s">
        <v>24</v>
      </c>
      <c r="V372" s="24"/>
      <c r="W372" s="24"/>
      <c r="X372" s="24"/>
      <c r="Y372" s="17" t="s">
        <v>685</v>
      </c>
      <c r="Z372" s="18">
        <f>ROUND(R372*'Data-CostAssumptions'!$C$3,-3)</f>
        <v>7013000</v>
      </c>
      <c r="AA372" s="11">
        <f t="shared" si="11"/>
        <v>0</v>
      </c>
      <c r="AB372" s="11">
        <v>2041</v>
      </c>
      <c r="AC372" s="11">
        <v>2041</v>
      </c>
      <c r="AD372" s="11">
        <v>2041</v>
      </c>
      <c r="AE372" s="11">
        <v>2041</v>
      </c>
      <c r="AF372" s="11">
        <v>0</v>
      </c>
      <c r="AG372" s="19">
        <f>ROUND((Z372*'Data-CostAssumptions'!$G$5)*(1+'Data-CostAssumptions'!$G$3)^(AC372-'Data-CostAssumptions'!$G$4),-3)</f>
        <v>3956000</v>
      </c>
      <c r="AH372" s="19">
        <f>ROUND((Z372)*(1+'Data-CostAssumptions'!$G$3)^(AE372-'Data-CostAssumptions'!$G$4),-3)</f>
        <v>17981000</v>
      </c>
    </row>
    <row r="373" spans="1:34" ht="15" customHeight="1" x14ac:dyDescent="0.2">
      <c r="A373" s="11"/>
      <c r="B373" s="11" t="s">
        <v>1213</v>
      </c>
      <c r="C373" s="13">
        <v>10153</v>
      </c>
      <c r="D373" s="13" t="s">
        <v>420</v>
      </c>
      <c r="E373" s="20" t="s">
        <v>298</v>
      </c>
      <c r="F373" s="20">
        <v>149</v>
      </c>
      <c r="G373" s="20">
        <v>372</v>
      </c>
      <c r="H373" s="13" t="s">
        <v>1977</v>
      </c>
      <c r="I373" s="13" t="str">
        <f t="shared" si="10"/>
        <v>Miramar Pkwy (Flamingo Rd to SW 172nd Av)</v>
      </c>
      <c r="J373" s="13" t="s">
        <v>366</v>
      </c>
      <c r="K373" s="13" t="str">
        <f>VLOOKUP(J373,'Data-ProjectTypes'!A$3:B$13,2,FALSE)</f>
        <v>Program</v>
      </c>
      <c r="L373" s="21" t="s">
        <v>694</v>
      </c>
      <c r="M373" s="13" t="s">
        <v>159</v>
      </c>
      <c r="N373" s="13" t="s">
        <v>2110</v>
      </c>
      <c r="O373" s="13" t="s">
        <v>274</v>
      </c>
      <c r="P373" s="13" t="s">
        <v>274</v>
      </c>
      <c r="Q373" s="22">
        <v>4</v>
      </c>
      <c r="R373" s="23">
        <v>4015700</v>
      </c>
      <c r="S373" s="21" t="s">
        <v>25</v>
      </c>
      <c r="T373" s="21" t="s">
        <v>684</v>
      </c>
      <c r="U373" s="21" t="s">
        <v>24</v>
      </c>
      <c r="V373" s="24"/>
      <c r="W373" s="24"/>
      <c r="X373" s="24"/>
      <c r="Y373" s="17" t="s">
        <v>685</v>
      </c>
      <c r="Z373" s="18">
        <f>ROUND(R373*'Data-CostAssumptions'!$C$3,-3)</f>
        <v>5558000</v>
      </c>
      <c r="AA373" s="11">
        <f t="shared" si="11"/>
        <v>0</v>
      </c>
      <c r="AB373" s="11">
        <v>2041</v>
      </c>
      <c r="AC373" s="11">
        <v>2041</v>
      </c>
      <c r="AD373" s="11">
        <v>2041</v>
      </c>
      <c r="AE373" s="11">
        <v>2041</v>
      </c>
      <c r="AF373" s="11">
        <v>0</v>
      </c>
      <c r="AG373" s="19">
        <f>ROUND((Z373*'Data-CostAssumptions'!$G$5)*(1+'Data-CostAssumptions'!$G$3)^(AC373-'Data-CostAssumptions'!$G$4),-3)</f>
        <v>3135000</v>
      </c>
      <c r="AH373" s="19">
        <f>ROUND((Z373)*(1+'Data-CostAssumptions'!$G$3)^(AE373-'Data-CostAssumptions'!$G$4),-3)</f>
        <v>14250000</v>
      </c>
    </row>
    <row r="374" spans="1:34" ht="15" customHeight="1" x14ac:dyDescent="0.2">
      <c r="A374" s="11"/>
      <c r="B374" s="11" t="s">
        <v>1211</v>
      </c>
      <c r="C374" s="13">
        <v>10154</v>
      </c>
      <c r="D374" s="13" t="s">
        <v>420</v>
      </c>
      <c r="E374" s="20" t="s">
        <v>298</v>
      </c>
      <c r="F374" s="20">
        <v>149</v>
      </c>
      <c r="G374" s="20">
        <v>373</v>
      </c>
      <c r="H374" s="13" t="s">
        <v>241</v>
      </c>
      <c r="I374" s="13" t="str">
        <f t="shared" si="10"/>
        <v>Nob Hill Trail (New River to Griffin Rd)</v>
      </c>
      <c r="J374" s="13" t="s">
        <v>366</v>
      </c>
      <c r="K374" s="13" t="str">
        <f>VLOOKUP(J374,'Data-ProjectTypes'!A$3:B$13,2,FALSE)</f>
        <v>Program</v>
      </c>
      <c r="L374" s="21" t="s">
        <v>348</v>
      </c>
      <c r="M374" s="13" t="s">
        <v>180</v>
      </c>
      <c r="N374" s="13" t="s">
        <v>1750</v>
      </c>
      <c r="O374" s="13" t="s">
        <v>273</v>
      </c>
      <c r="P374" s="13" t="s">
        <v>273</v>
      </c>
      <c r="Q374" s="22">
        <v>3</v>
      </c>
      <c r="R374" s="23">
        <v>3025800</v>
      </c>
      <c r="S374" s="21" t="s">
        <v>24</v>
      </c>
      <c r="T374" s="21" t="s">
        <v>25</v>
      </c>
      <c r="U374" s="21"/>
      <c r="V374" s="24"/>
      <c r="W374" s="24"/>
      <c r="X374" s="24"/>
      <c r="Y374" s="17" t="s">
        <v>469</v>
      </c>
      <c r="Z374" s="18">
        <f>ROUND(R374*'Data-CostAssumptions'!$C$3,-3)</f>
        <v>4188000</v>
      </c>
      <c r="AA374" s="11">
        <f t="shared" si="11"/>
        <v>0</v>
      </c>
      <c r="AB374" s="11">
        <v>2041</v>
      </c>
      <c r="AC374" s="11">
        <v>2041</v>
      </c>
      <c r="AD374" s="11">
        <v>2041</v>
      </c>
      <c r="AE374" s="11">
        <v>2041</v>
      </c>
      <c r="AF374" s="11">
        <v>0</v>
      </c>
      <c r="AG374" s="19">
        <f>ROUND((Z374*'Data-CostAssumptions'!$G$5)*(1+'Data-CostAssumptions'!$G$3)^(AC374-'Data-CostAssumptions'!$G$4),-3)</f>
        <v>2362000</v>
      </c>
      <c r="AH374" s="19">
        <f>ROUND((Z374)*(1+'Data-CostAssumptions'!$G$3)^(AE374-'Data-CostAssumptions'!$G$4),-3)</f>
        <v>10738000</v>
      </c>
    </row>
    <row r="375" spans="1:34" ht="15" customHeight="1" x14ac:dyDescent="0.2">
      <c r="A375" s="11"/>
      <c r="B375" s="11" t="s">
        <v>1211</v>
      </c>
      <c r="C375" s="13">
        <v>10172</v>
      </c>
      <c r="D375" s="13" t="s">
        <v>420</v>
      </c>
      <c r="E375" s="20" t="s">
        <v>298</v>
      </c>
      <c r="F375" s="20">
        <v>150</v>
      </c>
      <c r="G375" s="20">
        <v>374</v>
      </c>
      <c r="H375" s="13" t="s">
        <v>1926</v>
      </c>
      <c r="I375" s="13" t="str">
        <f t="shared" si="10"/>
        <v>NW 5th St (East Acre Dr to University Dr)</v>
      </c>
      <c r="J375" s="13" t="s">
        <v>366</v>
      </c>
      <c r="K375" s="13" t="str">
        <f>VLOOKUP(J375,'Data-ProjectTypes'!A$3:B$13,2,FALSE)</f>
        <v>Program</v>
      </c>
      <c r="L375" s="21" t="s">
        <v>348</v>
      </c>
      <c r="M375" s="13" t="s">
        <v>2667</v>
      </c>
      <c r="N375" s="13" t="s">
        <v>1804</v>
      </c>
      <c r="O375" s="13" t="s">
        <v>284</v>
      </c>
      <c r="P375" s="13" t="s">
        <v>284</v>
      </c>
      <c r="Q375" s="22">
        <v>2.4</v>
      </c>
      <c r="R375" s="23">
        <v>2360100</v>
      </c>
      <c r="S375" s="21"/>
      <c r="T375" s="21"/>
      <c r="U375" s="21"/>
      <c r="V375" s="24"/>
      <c r="W375" s="24"/>
      <c r="X375" s="24"/>
      <c r="Y375" s="17"/>
      <c r="Z375" s="18">
        <f>ROUND(R375*'Data-CostAssumptions'!$C$3,-3)</f>
        <v>3266000</v>
      </c>
      <c r="AA375" s="11">
        <f t="shared" si="11"/>
        <v>0</v>
      </c>
      <c r="AB375" s="11">
        <v>2041</v>
      </c>
      <c r="AC375" s="11">
        <v>2041</v>
      </c>
      <c r="AD375" s="11">
        <v>2041</v>
      </c>
      <c r="AE375" s="11">
        <v>2041</v>
      </c>
      <c r="AF375" s="11">
        <v>0</v>
      </c>
      <c r="AG375" s="19">
        <f>ROUND((Z375*'Data-CostAssumptions'!$G$5)*(1+'Data-CostAssumptions'!$G$3)^(AC375-'Data-CostAssumptions'!$G$4),-3)</f>
        <v>1842000</v>
      </c>
      <c r="AH375" s="19">
        <f>ROUND((Z375)*(1+'Data-CostAssumptions'!$G$3)^(AE375-'Data-CostAssumptions'!$G$4),-3)</f>
        <v>8374000</v>
      </c>
    </row>
    <row r="376" spans="1:34" ht="15" customHeight="1" x14ac:dyDescent="0.2">
      <c r="A376" s="11"/>
      <c r="B376" s="11" t="s">
        <v>1211</v>
      </c>
      <c r="C376" s="13">
        <v>10158</v>
      </c>
      <c r="D376" s="13" t="s">
        <v>420</v>
      </c>
      <c r="E376" s="20" t="s">
        <v>298</v>
      </c>
      <c r="F376" s="20">
        <v>149</v>
      </c>
      <c r="G376" s="20">
        <v>375</v>
      </c>
      <c r="H376" s="13" t="s">
        <v>2877</v>
      </c>
      <c r="I376" s="13" t="str">
        <f t="shared" si="10"/>
        <v>PEV (SE 17th St to US 1)</v>
      </c>
      <c r="J376" s="13" t="s">
        <v>366</v>
      </c>
      <c r="K376" s="13" t="str">
        <f>VLOOKUP(J376,'Data-ProjectTypes'!A$3:B$13,2,FALSE)</f>
        <v>Program</v>
      </c>
      <c r="L376" s="21" t="s">
        <v>348</v>
      </c>
      <c r="M376" s="13" t="s">
        <v>182</v>
      </c>
      <c r="N376" s="13" t="s">
        <v>98</v>
      </c>
      <c r="O376" s="13" t="s">
        <v>272</v>
      </c>
      <c r="P376" s="13" t="s">
        <v>272</v>
      </c>
      <c r="Q376" s="22">
        <v>4.0999999999999996</v>
      </c>
      <c r="R376" s="23">
        <v>4077300</v>
      </c>
      <c r="S376" s="21" t="s">
        <v>350</v>
      </c>
      <c r="T376" s="21" t="s">
        <v>25</v>
      </c>
      <c r="U376" s="21"/>
      <c r="V376" s="24" t="s">
        <v>586</v>
      </c>
      <c r="W376" s="24"/>
      <c r="X376" s="24" t="s">
        <v>588</v>
      </c>
      <c r="Y376" s="17" t="s">
        <v>538</v>
      </c>
      <c r="Z376" s="18">
        <f>ROUND(R376*'Data-CostAssumptions'!$C$3,-3)</f>
        <v>5643000</v>
      </c>
      <c r="AA376" s="11">
        <f t="shared" si="11"/>
        <v>1</v>
      </c>
      <c r="AB376" s="11">
        <v>2041</v>
      </c>
      <c r="AC376" s="11">
        <v>2041</v>
      </c>
      <c r="AD376" s="11">
        <v>2041</v>
      </c>
      <c r="AE376" s="11">
        <v>2041</v>
      </c>
      <c r="AF376" s="11">
        <v>0</v>
      </c>
      <c r="AG376" s="19">
        <f>ROUND((Z376*'Data-CostAssumptions'!$G$5)*(1+'Data-CostAssumptions'!$G$3)^(AC376-'Data-CostAssumptions'!$G$4),-3)</f>
        <v>3183000</v>
      </c>
      <c r="AH376" s="19">
        <f>ROUND((Z376)*(1+'Data-CostAssumptions'!$G$3)^(AE376-'Data-CostAssumptions'!$G$4),-3)</f>
        <v>14468000</v>
      </c>
    </row>
    <row r="377" spans="1:34" ht="15" customHeight="1" x14ac:dyDescent="0.2">
      <c r="A377" s="11"/>
      <c r="B377" s="11" t="s">
        <v>1211</v>
      </c>
      <c r="C377" s="13">
        <v>10173</v>
      </c>
      <c r="D377" s="13" t="s">
        <v>420</v>
      </c>
      <c r="E377" s="20" t="s">
        <v>298</v>
      </c>
      <c r="F377" s="20">
        <v>150</v>
      </c>
      <c r="G377" s="20">
        <v>376</v>
      </c>
      <c r="H377" s="13" t="s">
        <v>2876</v>
      </c>
      <c r="I377" s="13" t="str">
        <f t="shared" si="10"/>
        <v>PEV Connector (US 1 to Oakridge Av)</v>
      </c>
      <c r="J377" s="13" t="s">
        <v>366</v>
      </c>
      <c r="K377" s="13" t="str">
        <f>VLOOKUP(J377,'Data-ProjectTypes'!A$3:B$13,2,FALSE)</f>
        <v>Program</v>
      </c>
      <c r="L377" s="21" t="s">
        <v>348</v>
      </c>
      <c r="M377" s="13" t="s">
        <v>98</v>
      </c>
      <c r="N377" s="13" t="s">
        <v>2255</v>
      </c>
      <c r="O377" s="13" t="s">
        <v>273</v>
      </c>
      <c r="P377" s="13" t="s">
        <v>273</v>
      </c>
      <c r="Q377" s="22">
        <v>3.4</v>
      </c>
      <c r="R377" s="23">
        <v>3358900</v>
      </c>
      <c r="S377" s="21" t="s">
        <v>24</v>
      </c>
      <c r="T377" s="21"/>
      <c r="U377" s="21"/>
      <c r="V377" s="24"/>
      <c r="W377" s="24" t="s">
        <v>586</v>
      </c>
      <c r="X377" s="28"/>
      <c r="Y377" s="17" t="s">
        <v>538</v>
      </c>
      <c r="Z377" s="18">
        <f>ROUND(R377*'Data-CostAssumptions'!$C$3,-3)</f>
        <v>4649000</v>
      </c>
      <c r="AA377" s="11">
        <f t="shared" si="11"/>
        <v>1</v>
      </c>
      <c r="AB377" s="11">
        <v>2041</v>
      </c>
      <c r="AC377" s="11">
        <v>2041</v>
      </c>
      <c r="AD377" s="11">
        <v>2041</v>
      </c>
      <c r="AE377" s="11">
        <v>2041</v>
      </c>
      <c r="AF377" s="11">
        <v>0</v>
      </c>
      <c r="AG377" s="19">
        <f>ROUND((Z377*'Data-CostAssumptions'!$G$5)*(1+'Data-CostAssumptions'!$G$3)^(AC377-'Data-CostAssumptions'!$G$4),-3)</f>
        <v>2622000</v>
      </c>
      <c r="AH377" s="19">
        <f>ROUND((Z377)*(1+'Data-CostAssumptions'!$G$3)^(AE377-'Data-CostAssumptions'!$G$4),-3)</f>
        <v>11920000</v>
      </c>
    </row>
    <row r="378" spans="1:34" ht="15" customHeight="1" x14ac:dyDescent="0.2">
      <c r="A378" s="11"/>
      <c r="B378" s="11" t="s">
        <v>1211</v>
      </c>
      <c r="C378" s="13">
        <v>10129</v>
      </c>
      <c r="D378" s="13" t="s">
        <v>420</v>
      </c>
      <c r="E378" s="20" t="s">
        <v>298</v>
      </c>
      <c r="F378" s="20">
        <v>147</v>
      </c>
      <c r="G378" s="20">
        <v>377</v>
      </c>
      <c r="H378" s="13" t="s">
        <v>185</v>
      </c>
      <c r="I378" s="13" t="str">
        <f t="shared" si="10"/>
        <v>Pond Apple (SR 84 to Orange Dr)</v>
      </c>
      <c r="J378" s="13" t="s">
        <v>366</v>
      </c>
      <c r="K378" s="13" t="str">
        <f>VLOOKUP(J378,'Data-ProjectTypes'!A$3:B$13,2,FALSE)</f>
        <v>Program</v>
      </c>
      <c r="L378" s="21" t="s">
        <v>348</v>
      </c>
      <c r="M378" s="13" t="s">
        <v>45</v>
      </c>
      <c r="N378" s="13" t="s">
        <v>184</v>
      </c>
      <c r="O378" s="13" t="s">
        <v>272</v>
      </c>
      <c r="P378" s="13" t="s">
        <v>272</v>
      </c>
      <c r="Q378" s="22">
        <v>2.8</v>
      </c>
      <c r="R378" s="23">
        <v>2791500</v>
      </c>
      <c r="S378" s="21" t="s">
        <v>24</v>
      </c>
      <c r="T378" s="21"/>
      <c r="U378" s="21"/>
      <c r="V378" s="24"/>
      <c r="W378" s="24"/>
      <c r="X378" s="24"/>
      <c r="Y378" s="17" t="s">
        <v>469</v>
      </c>
      <c r="Z378" s="18">
        <f>ROUND(R378*'Data-CostAssumptions'!$C$3,-3)</f>
        <v>3863000</v>
      </c>
      <c r="AA378" s="11">
        <f t="shared" si="11"/>
        <v>0</v>
      </c>
      <c r="AB378" s="11">
        <v>2041</v>
      </c>
      <c r="AC378" s="11">
        <v>2041</v>
      </c>
      <c r="AD378" s="11">
        <v>2041</v>
      </c>
      <c r="AE378" s="11">
        <v>2041</v>
      </c>
      <c r="AF378" s="11">
        <v>0</v>
      </c>
      <c r="AG378" s="19">
        <f>ROUND((Z378*'Data-CostAssumptions'!$G$5)*(1+'Data-CostAssumptions'!$G$3)^(AC378-'Data-CostAssumptions'!$G$4),-3)</f>
        <v>2179000</v>
      </c>
      <c r="AH378" s="19">
        <f>ROUND((Z378)*(1+'Data-CostAssumptions'!$G$3)^(AE378-'Data-CostAssumptions'!$G$4),-3)</f>
        <v>9905000</v>
      </c>
    </row>
    <row r="379" spans="1:34" ht="15" customHeight="1" x14ac:dyDescent="0.2">
      <c r="A379" s="11"/>
      <c r="B379" s="11" t="s">
        <v>1211</v>
      </c>
      <c r="C379" s="13">
        <v>10128</v>
      </c>
      <c r="D379" s="13" t="s">
        <v>420</v>
      </c>
      <c r="E379" s="20" t="s">
        <v>298</v>
      </c>
      <c r="F379" s="20">
        <v>147</v>
      </c>
      <c r="G379" s="20">
        <v>378</v>
      </c>
      <c r="H379" s="13" t="s">
        <v>245</v>
      </c>
      <c r="I379" s="13" t="str">
        <f t="shared" si="10"/>
        <v>Pond Apple - Waldrep Connector (Florida's Turnpike to Stirling Rd)</v>
      </c>
      <c r="J379" s="13" t="s">
        <v>366</v>
      </c>
      <c r="K379" s="13" t="str">
        <f>VLOOKUP(J379,'Data-ProjectTypes'!A$3:B$13,2,FALSE)</f>
        <v>Program</v>
      </c>
      <c r="L379" s="21" t="s">
        <v>348</v>
      </c>
      <c r="M379" s="13" t="s">
        <v>42</v>
      </c>
      <c r="N379" s="13" t="s">
        <v>177</v>
      </c>
      <c r="O379" s="13" t="s">
        <v>273</v>
      </c>
      <c r="P379" s="13" t="s">
        <v>273</v>
      </c>
      <c r="Q379" s="22">
        <v>3.1</v>
      </c>
      <c r="R379" s="23">
        <v>3067400</v>
      </c>
      <c r="S379" s="21" t="s">
        <v>24</v>
      </c>
      <c r="T379" s="21" t="s">
        <v>584</v>
      </c>
      <c r="U379" s="21"/>
      <c r="V379" s="24" t="s">
        <v>585</v>
      </c>
      <c r="W379" s="24"/>
      <c r="X379" s="24"/>
      <c r="Y379" s="17" t="s">
        <v>538</v>
      </c>
      <c r="Z379" s="18">
        <f>ROUND(R379*'Data-CostAssumptions'!$C$3,-3)</f>
        <v>4245000</v>
      </c>
      <c r="AA379" s="11">
        <f t="shared" si="11"/>
        <v>1</v>
      </c>
      <c r="AB379" s="11">
        <v>2041</v>
      </c>
      <c r="AC379" s="11">
        <v>2041</v>
      </c>
      <c r="AD379" s="11">
        <v>2041</v>
      </c>
      <c r="AE379" s="11">
        <v>2041</v>
      </c>
      <c r="AF379" s="11">
        <v>0</v>
      </c>
      <c r="AG379" s="19">
        <f>ROUND((Z379*'Data-CostAssumptions'!$G$5)*(1+'Data-CostAssumptions'!$G$3)^(AC379-'Data-CostAssumptions'!$G$4),-3)</f>
        <v>2394000</v>
      </c>
      <c r="AH379" s="19">
        <f>ROUND((Z379)*(1+'Data-CostAssumptions'!$G$3)^(AE379-'Data-CostAssumptions'!$G$4),-3)</f>
        <v>10884000</v>
      </c>
    </row>
    <row r="380" spans="1:34" ht="15" customHeight="1" x14ac:dyDescent="0.2">
      <c r="A380" s="11"/>
      <c r="B380" s="11" t="s">
        <v>1211</v>
      </c>
      <c r="C380" s="13">
        <v>10130</v>
      </c>
      <c r="D380" s="13" t="s">
        <v>420</v>
      </c>
      <c r="E380" s="20" t="s">
        <v>298</v>
      </c>
      <c r="F380" s="20">
        <v>148</v>
      </c>
      <c r="G380" s="20">
        <v>379</v>
      </c>
      <c r="H380" s="13" t="s">
        <v>244</v>
      </c>
      <c r="I380" s="13" t="str">
        <f t="shared" si="10"/>
        <v>Pond Apple Connector (FPL ROW 0.5 South to Orange Dr)</v>
      </c>
      <c r="J380" s="13" t="s">
        <v>366</v>
      </c>
      <c r="K380" s="13" t="str">
        <f>VLOOKUP(J380,'Data-ProjectTypes'!A$3:B$13,2,FALSE)</f>
        <v>Program</v>
      </c>
      <c r="L380" s="21" t="s">
        <v>348</v>
      </c>
      <c r="M380" s="13" t="s">
        <v>243</v>
      </c>
      <c r="N380" s="13" t="s">
        <v>184</v>
      </c>
      <c r="O380" s="13" t="s">
        <v>270</v>
      </c>
      <c r="P380" s="13" t="s">
        <v>270</v>
      </c>
      <c r="Q380" s="22">
        <v>0.81</v>
      </c>
      <c r="R380" s="23">
        <v>809100</v>
      </c>
      <c r="S380" s="21" t="s">
        <v>24</v>
      </c>
      <c r="T380" s="21"/>
      <c r="U380" s="21"/>
      <c r="V380" s="24"/>
      <c r="W380" s="24"/>
      <c r="X380" s="24"/>
      <c r="Y380" s="17" t="s">
        <v>469</v>
      </c>
      <c r="Z380" s="18">
        <f>ROUND(R380*'Data-CostAssumptions'!$C$3,-3)</f>
        <v>1120000</v>
      </c>
      <c r="AA380" s="11">
        <f t="shared" si="11"/>
        <v>0</v>
      </c>
      <c r="AB380" s="11">
        <v>2041</v>
      </c>
      <c r="AC380" s="11">
        <v>2041</v>
      </c>
      <c r="AD380" s="11">
        <v>2041</v>
      </c>
      <c r="AE380" s="11">
        <v>2041</v>
      </c>
      <c r="AF380" s="11">
        <v>0</v>
      </c>
      <c r="AG380" s="19">
        <f>ROUND((Z380*'Data-CostAssumptions'!$G$5)*(1+'Data-CostAssumptions'!$G$3)^(AC380-'Data-CostAssumptions'!$G$4),-3)</f>
        <v>632000</v>
      </c>
      <c r="AH380" s="19">
        <f>ROUND((Z380)*(1+'Data-CostAssumptions'!$G$3)^(AE380-'Data-CostAssumptions'!$G$4),-3)</f>
        <v>2872000</v>
      </c>
    </row>
    <row r="381" spans="1:34" ht="15" customHeight="1" x14ac:dyDescent="0.2">
      <c r="A381" s="11"/>
      <c r="B381" s="11" t="s">
        <v>1211</v>
      </c>
      <c r="C381" s="13">
        <v>10159</v>
      </c>
      <c r="D381" s="13" t="s">
        <v>420</v>
      </c>
      <c r="E381" s="20" t="s">
        <v>298</v>
      </c>
      <c r="F381" s="20">
        <v>149</v>
      </c>
      <c r="G381" s="20">
        <v>380</v>
      </c>
      <c r="H381" s="13" t="s">
        <v>1799</v>
      </c>
      <c r="I381" s="13" t="str">
        <f t="shared" si="10"/>
        <v>Riverside Dr (Lox Rd to Holmberg Rd)</v>
      </c>
      <c r="J381" s="13" t="s">
        <v>366</v>
      </c>
      <c r="K381" s="13" t="str">
        <f>VLOOKUP(J381,'Data-ProjectTypes'!A$3:B$13,2,FALSE)</f>
        <v>Program</v>
      </c>
      <c r="L381" s="21" t="s">
        <v>348</v>
      </c>
      <c r="M381" s="13" t="s">
        <v>138</v>
      </c>
      <c r="N381" s="13" t="s">
        <v>2404</v>
      </c>
      <c r="O381" s="13" t="s">
        <v>272</v>
      </c>
      <c r="P381" s="13" t="s">
        <v>272</v>
      </c>
      <c r="Q381" s="22">
        <v>1.7</v>
      </c>
      <c r="R381" s="23">
        <v>1696000</v>
      </c>
      <c r="S381" s="21"/>
      <c r="T381" s="21"/>
      <c r="U381" s="21"/>
      <c r="V381" s="24"/>
      <c r="W381" s="24"/>
      <c r="X381" s="24"/>
      <c r="Y381" s="17"/>
      <c r="Z381" s="18">
        <f>ROUND(R381*'Data-CostAssumptions'!$C$3,-3)</f>
        <v>2347000</v>
      </c>
      <c r="AA381" s="11">
        <f t="shared" si="11"/>
        <v>0</v>
      </c>
      <c r="AB381" s="11">
        <v>2041</v>
      </c>
      <c r="AC381" s="11">
        <v>2041</v>
      </c>
      <c r="AD381" s="11">
        <v>2041</v>
      </c>
      <c r="AE381" s="11">
        <v>2041</v>
      </c>
      <c r="AF381" s="11">
        <v>0</v>
      </c>
      <c r="AG381" s="19">
        <f>ROUND((Z381*'Data-CostAssumptions'!$G$5)*(1+'Data-CostAssumptions'!$G$3)^(AC381-'Data-CostAssumptions'!$G$4),-3)</f>
        <v>1324000</v>
      </c>
      <c r="AH381" s="19">
        <f>ROUND((Z381)*(1+'Data-CostAssumptions'!$G$3)^(AE381-'Data-CostAssumptions'!$G$4),-3)</f>
        <v>6018000</v>
      </c>
    </row>
    <row r="382" spans="1:34" ht="15" customHeight="1" x14ac:dyDescent="0.2">
      <c r="A382" s="11"/>
      <c r="B382" s="11" t="s">
        <v>1211</v>
      </c>
      <c r="C382" s="13">
        <v>10131</v>
      </c>
      <c r="D382" s="13" t="s">
        <v>420</v>
      </c>
      <c r="E382" s="20" t="s">
        <v>298</v>
      </c>
      <c r="F382" s="20">
        <v>148</v>
      </c>
      <c r="G382" s="20">
        <v>381</v>
      </c>
      <c r="H382" s="13" t="s">
        <v>76</v>
      </c>
      <c r="I382" s="13" t="str">
        <f t="shared" si="10"/>
        <v>Rock Island Central (Commercial Bl to Southgate Rd)</v>
      </c>
      <c r="J382" s="13" t="s">
        <v>366</v>
      </c>
      <c r="K382" s="13" t="str">
        <f>VLOOKUP(J382,'Data-ProjectTypes'!A$3:B$13,2,FALSE)</f>
        <v>Program</v>
      </c>
      <c r="L382" s="21" t="s">
        <v>348</v>
      </c>
      <c r="M382" s="13" t="s">
        <v>1813</v>
      </c>
      <c r="N382" s="13" t="s">
        <v>75</v>
      </c>
      <c r="O382" s="13" t="s">
        <v>272</v>
      </c>
      <c r="P382" s="13" t="s">
        <v>272</v>
      </c>
      <c r="Q382" s="22">
        <v>2.5</v>
      </c>
      <c r="R382" s="23">
        <v>2477400</v>
      </c>
      <c r="S382" s="21"/>
      <c r="T382" s="21"/>
      <c r="U382" s="21"/>
      <c r="V382" s="24"/>
      <c r="W382" s="24"/>
      <c r="X382" s="24"/>
      <c r="Y382" s="17"/>
      <c r="Z382" s="18">
        <f>ROUND(R382*'Data-CostAssumptions'!$C$3,-3)</f>
        <v>3429000</v>
      </c>
      <c r="AA382" s="11">
        <f t="shared" si="11"/>
        <v>0</v>
      </c>
      <c r="AB382" s="11">
        <v>2041</v>
      </c>
      <c r="AC382" s="11">
        <v>2041</v>
      </c>
      <c r="AD382" s="11">
        <v>2041</v>
      </c>
      <c r="AE382" s="11">
        <v>2041</v>
      </c>
      <c r="AF382" s="11">
        <v>0</v>
      </c>
      <c r="AG382" s="19">
        <f>ROUND((Z382*'Data-CostAssumptions'!$G$5)*(1+'Data-CostAssumptions'!$G$3)^(AC382-'Data-CostAssumptions'!$G$4),-3)</f>
        <v>1934000</v>
      </c>
      <c r="AH382" s="19">
        <f>ROUND((Z382)*(1+'Data-CostAssumptions'!$G$3)^(AE382-'Data-CostAssumptions'!$G$4),-3)</f>
        <v>8792000</v>
      </c>
    </row>
    <row r="383" spans="1:34" ht="15" customHeight="1" x14ac:dyDescent="0.2">
      <c r="A383" s="11"/>
      <c r="B383" s="11" t="s">
        <v>1211</v>
      </c>
      <c r="C383" s="13">
        <v>10132</v>
      </c>
      <c r="D383" s="13" t="s">
        <v>420</v>
      </c>
      <c r="E383" s="20" t="s">
        <v>298</v>
      </c>
      <c r="F383" s="20">
        <v>148</v>
      </c>
      <c r="G383" s="20">
        <v>382</v>
      </c>
      <c r="H383" s="13" t="s">
        <v>139</v>
      </c>
      <c r="I383" s="13" t="str">
        <f t="shared" si="10"/>
        <v>Rock Island North (Southgate Rd to Lox Rd)</v>
      </c>
      <c r="J383" s="13" t="s">
        <v>366</v>
      </c>
      <c r="K383" s="13" t="str">
        <f>VLOOKUP(J383,'Data-ProjectTypes'!A$3:B$13,2,FALSE)</f>
        <v>Program</v>
      </c>
      <c r="L383" s="21" t="s">
        <v>348</v>
      </c>
      <c r="M383" s="13" t="s">
        <v>75</v>
      </c>
      <c r="N383" s="13" t="s">
        <v>138</v>
      </c>
      <c r="O383" s="13" t="s">
        <v>272</v>
      </c>
      <c r="P383" s="13" t="s">
        <v>272</v>
      </c>
      <c r="Q383" s="22">
        <v>7.4</v>
      </c>
      <c r="R383" s="23">
        <v>7407400</v>
      </c>
      <c r="S383" s="21" t="s">
        <v>24</v>
      </c>
      <c r="T383" s="21"/>
      <c r="U383" s="21"/>
      <c r="V383" s="24"/>
      <c r="W383" s="24"/>
      <c r="X383" s="24"/>
      <c r="Y383" s="17" t="s">
        <v>460</v>
      </c>
      <c r="Z383" s="18">
        <f>ROUND(R383*'Data-CostAssumptions'!$C$3,-3)</f>
        <v>10252000</v>
      </c>
      <c r="AA383" s="11">
        <f t="shared" si="11"/>
        <v>0</v>
      </c>
      <c r="AB383" s="11">
        <v>2041</v>
      </c>
      <c r="AC383" s="11">
        <v>2041</v>
      </c>
      <c r="AD383" s="11">
        <v>2041</v>
      </c>
      <c r="AE383" s="11">
        <v>2041</v>
      </c>
      <c r="AF383" s="11">
        <v>0</v>
      </c>
      <c r="AG383" s="19">
        <f>ROUND((Z383*'Data-CostAssumptions'!$G$5)*(1+'Data-CostAssumptions'!$G$3)^(AC383-'Data-CostAssumptions'!$G$4),-3)</f>
        <v>5783000</v>
      </c>
      <c r="AH383" s="19">
        <f>ROUND((Z383)*(1+'Data-CostAssumptions'!$G$3)^(AE383-'Data-CostAssumptions'!$G$4),-3)</f>
        <v>26286000</v>
      </c>
    </row>
    <row r="384" spans="1:34" ht="15" customHeight="1" x14ac:dyDescent="0.2">
      <c r="A384" s="11"/>
      <c r="B384" s="11" t="s">
        <v>1211</v>
      </c>
      <c r="C384" s="13">
        <v>10133</v>
      </c>
      <c r="D384" s="13" t="s">
        <v>420</v>
      </c>
      <c r="E384" s="20" t="s">
        <v>298</v>
      </c>
      <c r="F384" s="20">
        <v>148</v>
      </c>
      <c r="G384" s="20">
        <v>383</v>
      </c>
      <c r="H384" s="13" t="s">
        <v>74</v>
      </c>
      <c r="I384" s="13" t="str">
        <f t="shared" si="10"/>
        <v>Rock Island South (Sunrise Bl to Commercial Bl)</v>
      </c>
      <c r="J384" s="13" t="s">
        <v>366</v>
      </c>
      <c r="K384" s="13" t="str">
        <f>VLOOKUP(J384,'Data-ProjectTypes'!A$3:B$13,2,FALSE)</f>
        <v>Program</v>
      </c>
      <c r="L384" s="21" t="s">
        <v>348</v>
      </c>
      <c r="M384" s="13" t="s">
        <v>1830</v>
      </c>
      <c r="N384" s="13" t="s">
        <v>1813</v>
      </c>
      <c r="O384" s="13" t="s">
        <v>272</v>
      </c>
      <c r="P384" s="13" t="s">
        <v>272</v>
      </c>
      <c r="Q384" s="22">
        <v>4.2</v>
      </c>
      <c r="R384" s="23">
        <v>4184600</v>
      </c>
      <c r="S384" s="21"/>
      <c r="T384" s="21"/>
      <c r="U384" s="21"/>
      <c r="V384" s="24"/>
      <c r="W384" s="24"/>
      <c r="X384" s="24"/>
      <c r="Y384" s="17"/>
      <c r="Z384" s="18">
        <f>ROUND(R384*'Data-CostAssumptions'!$C$3,-3)</f>
        <v>5791000</v>
      </c>
      <c r="AA384" s="11">
        <f t="shared" si="11"/>
        <v>0</v>
      </c>
      <c r="AB384" s="11">
        <v>2041</v>
      </c>
      <c r="AC384" s="11">
        <v>2041</v>
      </c>
      <c r="AD384" s="11">
        <v>2041</v>
      </c>
      <c r="AE384" s="11">
        <v>2041</v>
      </c>
      <c r="AF384" s="11">
        <v>0</v>
      </c>
      <c r="AG384" s="19">
        <f>ROUND((Z384*'Data-CostAssumptions'!$G$5)*(1+'Data-CostAssumptions'!$G$3)^(AC384-'Data-CostAssumptions'!$G$4),-3)</f>
        <v>3267000</v>
      </c>
      <c r="AH384" s="19">
        <f>ROUND((Z384)*(1+'Data-CostAssumptions'!$G$3)^(AE384-'Data-CostAssumptions'!$G$4),-3)</f>
        <v>14848000</v>
      </c>
    </row>
    <row r="385" spans="1:34" ht="15" customHeight="1" x14ac:dyDescent="0.2">
      <c r="A385" s="11"/>
      <c r="B385" s="11" t="s">
        <v>1211</v>
      </c>
      <c r="C385" s="13">
        <v>10161</v>
      </c>
      <c r="D385" s="13" t="s">
        <v>420</v>
      </c>
      <c r="E385" s="20" t="s">
        <v>298</v>
      </c>
      <c r="F385" s="20">
        <v>149</v>
      </c>
      <c r="G385" s="20">
        <v>384</v>
      </c>
      <c r="H385" s="13" t="s">
        <v>1951</v>
      </c>
      <c r="I385" s="13" t="str">
        <f t="shared" si="10"/>
        <v>Sheridan St (Pine Island Rd to Flamingo Rd)</v>
      </c>
      <c r="J385" s="13" t="s">
        <v>366</v>
      </c>
      <c r="K385" s="13" t="str">
        <f>VLOOKUP(J385,'Data-ProjectTypes'!A$3:B$13,2,FALSE)</f>
        <v>Program</v>
      </c>
      <c r="L385" s="21" t="s">
        <v>348</v>
      </c>
      <c r="M385" s="13" t="s">
        <v>266</v>
      </c>
      <c r="N385" s="13" t="s">
        <v>159</v>
      </c>
      <c r="O385" s="13" t="s">
        <v>273</v>
      </c>
      <c r="P385" s="13" t="s">
        <v>273</v>
      </c>
      <c r="Q385" s="22">
        <v>2.9</v>
      </c>
      <c r="R385" s="23">
        <v>2903500</v>
      </c>
      <c r="S385" s="21"/>
      <c r="T385" s="21"/>
      <c r="U385" s="21"/>
      <c r="V385" s="24"/>
      <c r="W385" s="24"/>
      <c r="X385" s="24"/>
      <c r="Y385" s="17"/>
      <c r="Z385" s="18">
        <f>ROUND(R385*'Data-CostAssumptions'!$C$3,-3)</f>
        <v>4018000</v>
      </c>
      <c r="AA385" s="11">
        <f t="shared" si="11"/>
        <v>0</v>
      </c>
      <c r="AB385" s="11">
        <v>2041</v>
      </c>
      <c r="AC385" s="11">
        <v>2041</v>
      </c>
      <c r="AD385" s="11">
        <v>2041</v>
      </c>
      <c r="AE385" s="11">
        <v>2041</v>
      </c>
      <c r="AF385" s="11">
        <v>0</v>
      </c>
      <c r="AG385" s="19">
        <f>ROUND((Z385*'Data-CostAssumptions'!$G$5)*(1+'Data-CostAssumptions'!$G$3)^(AC385-'Data-CostAssumptions'!$G$4),-3)</f>
        <v>2266000</v>
      </c>
      <c r="AH385" s="19">
        <f>ROUND((Z385)*(1+'Data-CostAssumptions'!$G$3)^(AE385-'Data-CostAssumptions'!$G$4),-3)</f>
        <v>10302000</v>
      </c>
    </row>
    <row r="386" spans="1:34" ht="15" customHeight="1" x14ac:dyDescent="0.2">
      <c r="A386" s="11"/>
      <c r="B386" s="11" t="s">
        <v>1211</v>
      </c>
      <c r="C386" s="13">
        <v>10162</v>
      </c>
      <c r="D386" s="13" t="s">
        <v>420</v>
      </c>
      <c r="E386" s="20" t="s">
        <v>298</v>
      </c>
      <c r="F386" s="20">
        <v>149</v>
      </c>
      <c r="G386" s="20">
        <v>385</v>
      </c>
      <c r="H386" s="13" t="s">
        <v>1951</v>
      </c>
      <c r="I386" s="13" t="str">
        <f t="shared" ref="I386:I449" si="12">IF(M386="@",H386&amp;" ("&amp;M386&amp;"  "&amp;N386&amp;")",H386&amp;" ("&amp;M386&amp;" to "&amp;N386&amp;")")</f>
        <v>Sheridan St (Flamingo Rd to US 27)</v>
      </c>
      <c r="J386" s="13" t="s">
        <v>366</v>
      </c>
      <c r="K386" s="13" t="str">
        <f>VLOOKUP(J386,'Data-ProjectTypes'!A$3:B$13,2,FALSE)</f>
        <v>Program</v>
      </c>
      <c r="L386" s="21" t="s">
        <v>348</v>
      </c>
      <c r="M386" s="13" t="s">
        <v>159</v>
      </c>
      <c r="N386" s="13" t="s">
        <v>30</v>
      </c>
      <c r="O386" s="13" t="s">
        <v>273</v>
      </c>
      <c r="P386" s="13" t="s">
        <v>273</v>
      </c>
      <c r="Q386" s="22">
        <v>7.5</v>
      </c>
      <c r="R386" s="23">
        <v>7499700</v>
      </c>
      <c r="S386" s="21" t="s">
        <v>24</v>
      </c>
      <c r="T386" s="21" t="s">
        <v>25</v>
      </c>
      <c r="U386" s="21"/>
      <c r="V386" s="24"/>
      <c r="W386" s="24"/>
      <c r="X386" s="24"/>
      <c r="Y386" s="17" t="s">
        <v>469</v>
      </c>
      <c r="Z386" s="18">
        <f>ROUND(R386*'Data-CostAssumptions'!$C$3,-3)</f>
        <v>10380000</v>
      </c>
      <c r="AA386" s="11">
        <f t="shared" si="11"/>
        <v>0</v>
      </c>
      <c r="AB386" s="11">
        <v>2041</v>
      </c>
      <c r="AC386" s="11">
        <v>2041</v>
      </c>
      <c r="AD386" s="11">
        <v>2041</v>
      </c>
      <c r="AE386" s="11">
        <v>2041</v>
      </c>
      <c r="AF386" s="11">
        <v>0</v>
      </c>
      <c r="AG386" s="19">
        <f>ROUND((Z386*'Data-CostAssumptions'!$G$5)*(1+'Data-CostAssumptions'!$G$3)^(AC386-'Data-CostAssumptions'!$G$4),-3)</f>
        <v>5855000</v>
      </c>
      <c r="AH386" s="19">
        <f>ROUND((Z386)*(1+'Data-CostAssumptions'!$G$3)^(AE386-'Data-CostAssumptions'!$G$4),-3)</f>
        <v>26614000</v>
      </c>
    </row>
    <row r="387" spans="1:34" ht="15" customHeight="1" x14ac:dyDescent="0.2">
      <c r="A387" s="11"/>
      <c r="B387" s="11" t="s">
        <v>1211</v>
      </c>
      <c r="C387" s="13">
        <v>10163</v>
      </c>
      <c r="D387" s="13" t="s">
        <v>420</v>
      </c>
      <c r="E387" s="20" t="s">
        <v>298</v>
      </c>
      <c r="F387" s="20">
        <v>149</v>
      </c>
      <c r="G387" s="20">
        <v>386</v>
      </c>
      <c r="H387" s="13" t="s">
        <v>140</v>
      </c>
      <c r="I387" s="13" t="str">
        <f t="shared" si="12"/>
        <v>Snook Creek (I-95 to Powerline Rd)</v>
      </c>
      <c r="J387" s="13" t="s">
        <v>366</v>
      </c>
      <c r="K387" s="13" t="str">
        <f>VLOOKUP(J387,'Data-ProjectTypes'!A$3:B$13,2,FALSE)</f>
        <v>Program</v>
      </c>
      <c r="L387" s="21" t="s">
        <v>348</v>
      </c>
      <c r="M387" s="13" t="s">
        <v>41</v>
      </c>
      <c r="N387" s="13" t="s">
        <v>1858</v>
      </c>
      <c r="O387" s="13" t="s">
        <v>270</v>
      </c>
      <c r="P387" s="13" t="s">
        <v>270</v>
      </c>
      <c r="Q387" s="22">
        <v>0.5</v>
      </c>
      <c r="R387" s="23">
        <v>511200</v>
      </c>
      <c r="S387" s="21"/>
      <c r="T387" s="21"/>
      <c r="U387" s="21"/>
      <c r="V387" s="24"/>
      <c r="W387" s="24" t="s">
        <v>716</v>
      </c>
      <c r="X387" s="24"/>
      <c r="Y387" s="17" t="s">
        <v>717</v>
      </c>
      <c r="Z387" s="18">
        <f>ROUND(R387*'Data-CostAssumptions'!$C$3,-3)</f>
        <v>708000</v>
      </c>
      <c r="AA387" s="11">
        <f t="shared" ref="AA387:AA450" si="13">IF(V387="",IF(W387="",0,1),1)</f>
        <v>1</v>
      </c>
      <c r="AB387" s="11">
        <v>2041</v>
      </c>
      <c r="AC387" s="11">
        <v>2041</v>
      </c>
      <c r="AD387" s="11">
        <v>2041</v>
      </c>
      <c r="AE387" s="11">
        <v>2041</v>
      </c>
      <c r="AF387" s="11">
        <v>0</v>
      </c>
      <c r="AG387" s="19">
        <f>ROUND((Z387*'Data-CostAssumptions'!$G$5)*(1+'Data-CostAssumptions'!$G$3)^(AC387-'Data-CostAssumptions'!$G$4),-3)</f>
        <v>399000</v>
      </c>
      <c r="AH387" s="19">
        <f>ROUND((Z387)*(1+'Data-CostAssumptions'!$G$3)^(AE387-'Data-CostAssumptions'!$G$4),-3)</f>
        <v>1815000</v>
      </c>
    </row>
    <row r="388" spans="1:34" ht="15" customHeight="1" x14ac:dyDescent="0.2">
      <c r="A388" s="11"/>
      <c r="B388" s="11" t="s">
        <v>1211</v>
      </c>
      <c r="C388" s="13">
        <v>10164</v>
      </c>
      <c r="D388" s="13" t="s">
        <v>420</v>
      </c>
      <c r="E388" s="20" t="s">
        <v>298</v>
      </c>
      <c r="F388" s="20">
        <v>149</v>
      </c>
      <c r="G388" s="20">
        <v>387</v>
      </c>
      <c r="H388" s="13" t="s">
        <v>1981</v>
      </c>
      <c r="I388" s="13" t="str">
        <f t="shared" si="12"/>
        <v>Snook Creek Pkwy (I-95 to Powerline Rd)</v>
      </c>
      <c r="J388" s="13" t="s">
        <v>366</v>
      </c>
      <c r="K388" s="13" t="str">
        <f>VLOOKUP(J388,'Data-ProjectTypes'!A$3:B$13,2,FALSE)</f>
        <v>Program</v>
      </c>
      <c r="L388" s="21" t="s">
        <v>348</v>
      </c>
      <c r="M388" s="13" t="s">
        <v>41</v>
      </c>
      <c r="N388" s="13" t="s">
        <v>1858</v>
      </c>
      <c r="O388" s="13" t="s">
        <v>273</v>
      </c>
      <c r="P388" s="13" t="s">
        <v>273</v>
      </c>
      <c r="Q388" s="22">
        <v>1</v>
      </c>
      <c r="R388" s="23">
        <v>1044400</v>
      </c>
      <c r="S388" s="21"/>
      <c r="T388" s="21"/>
      <c r="U388" s="21"/>
      <c r="V388" s="24"/>
      <c r="W388" s="24"/>
      <c r="X388" s="24"/>
      <c r="Y388" s="17"/>
      <c r="Z388" s="18">
        <f>ROUND(R388*'Data-CostAssumptions'!$C$3,-3)</f>
        <v>1445000</v>
      </c>
      <c r="AA388" s="11">
        <f t="shared" si="13"/>
        <v>0</v>
      </c>
      <c r="AB388" s="11">
        <v>2041</v>
      </c>
      <c r="AC388" s="11">
        <v>2041</v>
      </c>
      <c r="AD388" s="11">
        <v>2041</v>
      </c>
      <c r="AE388" s="11">
        <v>2041</v>
      </c>
      <c r="AF388" s="11">
        <v>0</v>
      </c>
      <c r="AG388" s="19">
        <f>ROUND((Z388*'Data-CostAssumptions'!$G$5)*(1+'Data-CostAssumptions'!$G$3)^(AC388-'Data-CostAssumptions'!$G$4),-3)</f>
        <v>815000</v>
      </c>
      <c r="AH388" s="19">
        <f>ROUND((Z388)*(1+'Data-CostAssumptions'!$G$3)^(AE388-'Data-CostAssumptions'!$G$4),-3)</f>
        <v>3705000</v>
      </c>
    </row>
    <row r="389" spans="1:34" ht="15" customHeight="1" x14ac:dyDescent="0.2">
      <c r="A389" s="11"/>
      <c r="B389" s="11" t="s">
        <v>1211</v>
      </c>
      <c r="C389" s="13">
        <v>10148</v>
      </c>
      <c r="D389" s="13" t="s">
        <v>420</v>
      </c>
      <c r="E389" s="20" t="s">
        <v>298</v>
      </c>
      <c r="F389" s="20">
        <v>149</v>
      </c>
      <c r="G389" s="20">
        <v>388</v>
      </c>
      <c r="H389" s="13" t="s">
        <v>2813</v>
      </c>
      <c r="I389" s="13" t="str">
        <f t="shared" si="12"/>
        <v>SR 820/Hollywood Bl (SR 7 to Florida's Turnpike)</v>
      </c>
      <c r="J389" s="13" t="s">
        <v>366</v>
      </c>
      <c r="K389" s="13" t="str">
        <f>VLOOKUP(J389,'Data-ProjectTypes'!A$3:B$13,2,FALSE)</f>
        <v>Program</v>
      </c>
      <c r="L389" s="21" t="s">
        <v>348</v>
      </c>
      <c r="M389" s="13" t="s">
        <v>53</v>
      </c>
      <c r="N389" s="13" t="s">
        <v>42</v>
      </c>
      <c r="O389" s="13" t="s">
        <v>270</v>
      </c>
      <c r="P389" s="13" t="s">
        <v>270</v>
      </c>
      <c r="Q389" s="22">
        <v>0.4</v>
      </c>
      <c r="R389" s="23">
        <v>377300</v>
      </c>
      <c r="S389" s="21" t="s">
        <v>24</v>
      </c>
      <c r="T389" s="21"/>
      <c r="U389" s="21"/>
      <c r="V389" s="24"/>
      <c r="W389" s="24" t="s">
        <v>586</v>
      </c>
      <c r="X389" s="24"/>
      <c r="Y389" s="17" t="s">
        <v>538</v>
      </c>
      <c r="Z389" s="18">
        <f>ROUND(R389*'Data-CostAssumptions'!$C$8,-3)</f>
        <v>377000</v>
      </c>
      <c r="AA389" s="11">
        <f t="shared" si="13"/>
        <v>1</v>
      </c>
      <c r="AB389" s="11">
        <v>2041</v>
      </c>
      <c r="AC389" s="11">
        <v>2041</v>
      </c>
      <c r="AD389" s="11">
        <v>2041</v>
      </c>
      <c r="AE389" s="11">
        <v>2041</v>
      </c>
      <c r="AF389" s="11">
        <v>0</v>
      </c>
      <c r="AG389" s="19">
        <f>ROUND((Z389*'Data-CostAssumptions'!$G$5)*(1+'Data-CostAssumptions'!$G$3)^(AC389-'Data-CostAssumptions'!$G$4),-3)</f>
        <v>213000</v>
      </c>
      <c r="AH389" s="19">
        <f>ROUND((Z389)*(1+'Data-CostAssumptions'!$G$3)^(AE389-'Data-CostAssumptions'!$G$4),-3)</f>
        <v>967000</v>
      </c>
    </row>
    <row r="390" spans="1:34" ht="15" customHeight="1" x14ac:dyDescent="0.2">
      <c r="A390" s="11"/>
      <c r="B390" s="11" t="s">
        <v>1211</v>
      </c>
      <c r="C390" s="13">
        <v>10149</v>
      </c>
      <c r="D390" s="13" t="s">
        <v>420</v>
      </c>
      <c r="E390" s="20" t="s">
        <v>298</v>
      </c>
      <c r="F390" s="20">
        <v>149</v>
      </c>
      <c r="G390" s="20">
        <v>389</v>
      </c>
      <c r="H390" s="13" t="s">
        <v>2813</v>
      </c>
      <c r="I390" s="13" t="str">
        <f t="shared" si="12"/>
        <v>SR 820/Hollywood Bl (US 1 to SR 7)</v>
      </c>
      <c r="J390" s="13" t="s">
        <v>366</v>
      </c>
      <c r="K390" s="13" t="str">
        <f>VLOOKUP(J390,'Data-ProjectTypes'!A$3:B$13,2,FALSE)</f>
        <v>Program</v>
      </c>
      <c r="L390" s="21" t="s">
        <v>348</v>
      </c>
      <c r="M390" s="13" t="s">
        <v>98</v>
      </c>
      <c r="N390" s="13" t="s">
        <v>53</v>
      </c>
      <c r="O390" s="13" t="s">
        <v>270</v>
      </c>
      <c r="P390" s="13" t="s">
        <v>270</v>
      </c>
      <c r="Q390" s="22">
        <v>4.5999999999999996</v>
      </c>
      <c r="R390" s="23">
        <v>4624900</v>
      </c>
      <c r="S390" s="21" t="s">
        <v>24</v>
      </c>
      <c r="T390" s="21"/>
      <c r="U390" s="21"/>
      <c r="V390" s="24"/>
      <c r="W390" s="24" t="s">
        <v>586</v>
      </c>
      <c r="X390" s="24"/>
      <c r="Y390" s="17" t="s">
        <v>538</v>
      </c>
      <c r="Z390" s="18">
        <f>ROUND(R390*'Data-CostAssumptions'!$C$8,-3)</f>
        <v>4625000</v>
      </c>
      <c r="AA390" s="11">
        <f t="shared" si="13"/>
        <v>1</v>
      </c>
      <c r="AB390" s="11">
        <v>2041</v>
      </c>
      <c r="AC390" s="11">
        <v>2041</v>
      </c>
      <c r="AD390" s="11">
        <v>2041</v>
      </c>
      <c r="AE390" s="11">
        <v>2041</v>
      </c>
      <c r="AF390" s="11">
        <v>0</v>
      </c>
      <c r="AG390" s="19">
        <f>ROUND((Z390*'Data-CostAssumptions'!$G$5)*(1+'Data-CostAssumptions'!$G$3)^(AC390-'Data-CostAssumptions'!$G$4),-3)</f>
        <v>2609000</v>
      </c>
      <c r="AH390" s="19">
        <f>ROUND((Z390)*(1+'Data-CostAssumptions'!$G$3)^(AE390-'Data-CostAssumptions'!$G$4),-3)</f>
        <v>11858000</v>
      </c>
    </row>
    <row r="391" spans="1:34" ht="15" customHeight="1" x14ac:dyDescent="0.2">
      <c r="A391" s="11"/>
      <c r="B391" s="11" t="s">
        <v>1213</v>
      </c>
      <c r="C391" s="13">
        <v>10150</v>
      </c>
      <c r="D391" s="13" t="s">
        <v>420</v>
      </c>
      <c r="E391" s="20" t="s">
        <v>298</v>
      </c>
      <c r="F391" s="20">
        <v>149</v>
      </c>
      <c r="G391" s="20">
        <v>390</v>
      </c>
      <c r="H391" s="13" t="s">
        <v>2813</v>
      </c>
      <c r="I391" s="13" t="str">
        <f t="shared" si="12"/>
        <v>SR 820/Hollywood Bl (SR A1A to US 1)</v>
      </c>
      <c r="J391" s="13" t="s">
        <v>366</v>
      </c>
      <c r="K391" s="13" t="str">
        <f>VLOOKUP(J391,'Data-ProjectTypes'!A$3:B$13,2,FALSE)</f>
        <v>Program</v>
      </c>
      <c r="L391" s="21" t="s">
        <v>348</v>
      </c>
      <c r="M391" s="13" t="s">
        <v>110</v>
      </c>
      <c r="N391" s="13" t="s">
        <v>98</v>
      </c>
      <c r="O391" s="13" t="s">
        <v>270</v>
      </c>
      <c r="P391" s="13" t="s">
        <v>270</v>
      </c>
      <c r="Q391" s="22">
        <v>1.5</v>
      </c>
      <c r="R391" s="23">
        <v>1445800</v>
      </c>
      <c r="S391" s="21" t="s">
        <v>350</v>
      </c>
      <c r="T391" s="21"/>
      <c r="U391" s="21"/>
      <c r="V391" s="24"/>
      <c r="W391" s="24" t="s">
        <v>586</v>
      </c>
      <c r="X391" s="24" t="s">
        <v>587</v>
      </c>
      <c r="Y391" s="17" t="s">
        <v>538</v>
      </c>
      <c r="Z391" s="18">
        <f>ROUND(R391*'Data-CostAssumptions'!$C$8,-3)</f>
        <v>1446000</v>
      </c>
      <c r="AA391" s="11">
        <f t="shared" si="13"/>
        <v>1</v>
      </c>
      <c r="AB391" s="11">
        <v>2041</v>
      </c>
      <c r="AC391" s="11">
        <v>2041</v>
      </c>
      <c r="AD391" s="11">
        <v>2041</v>
      </c>
      <c r="AE391" s="11">
        <v>2041</v>
      </c>
      <c r="AF391" s="11">
        <v>0</v>
      </c>
      <c r="AG391" s="19">
        <f>ROUND((Z391*'Data-CostAssumptions'!$G$5)*(1+'Data-CostAssumptions'!$G$3)^(AC391-'Data-CostAssumptions'!$G$4),-3)</f>
        <v>816000</v>
      </c>
      <c r="AH391" s="19">
        <f>ROUND((Z391)*(1+'Data-CostAssumptions'!$G$3)^(AE391-'Data-CostAssumptions'!$G$4),-3)</f>
        <v>3707000</v>
      </c>
    </row>
    <row r="392" spans="1:34" ht="15" customHeight="1" x14ac:dyDescent="0.2">
      <c r="A392" s="11"/>
      <c r="B392" s="11" t="s">
        <v>1211</v>
      </c>
      <c r="C392" s="13">
        <v>10155</v>
      </c>
      <c r="D392" s="13" t="s">
        <v>420</v>
      </c>
      <c r="E392" s="20" t="s">
        <v>298</v>
      </c>
      <c r="F392" s="20">
        <v>149</v>
      </c>
      <c r="G392" s="20">
        <v>391</v>
      </c>
      <c r="H392" s="13" t="s">
        <v>2722</v>
      </c>
      <c r="I392" s="13" t="str">
        <f t="shared" si="12"/>
        <v>SR 820/Pines Bl East (University Dr to Flamingo Rd)</v>
      </c>
      <c r="J392" s="13" t="s">
        <v>366</v>
      </c>
      <c r="K392" s="13" t="str">
        <f>VLOOKUP(J392,'Data-ProjectTypes'!A$3:B$13,2,FALSE)</f>
        <v>Program</v>
      </c>
      <c r="L392" s="21" t="s">
        <v>348</v>
      </c>
      <c r="M392" s="13" t="s">
        <v>1804</v>
      </c>
      <c r="N392" s="13" t="s">
        <v>159</v>
      </c>
      <c r="O392" s="13" t="s">
        <v>270</v>
      </c>
      <c r="P392" s="13" t="s">
        <v>270</v>
      </c>
      <c r="Q392" s="22">
        <v>4</v>
      </c>
      <c r="R392" s="23">
        <v>3971900</v>
      </c>
      <c r="S392" s="21"/>
      <c r="T392" s="21"/>
      <c r="U392" s="21"/>
      <c r="V392" s="24"/>
      <c r="W392" s="24"/>
      <c r="X392" s="24"/>
      <c r="Y392" s="17"/>
      <c r="Z392" s="18">
        <f>ROUND(R392*'Data-CostAssumptions'!$C$8,-3)</f>
        <v>3972000</v>
      </c>
      <c r="AA392" s="11">
        <f t="shared" si="13"/>
        <v>0</v>
      </c>
      <c r="AB392" s="11">
        <v>2041</v>
      </c>
      <c r="AC392" s="11">
        <v>2041</v>
      </c>
      <c r="AD392" s="11">
        <v>2041</v>
      </c>
      <c r="AE392" s="11">
        <v>2041</v>
      </c>
      <c r="AF392" s="11">
        <v>0</v>
      </c>
      <c r="AG392" s="19">
        <f>ROUND((Z392*'Data-CostAssumptions'!$G$5)*(1+'Data-CostAssumptions'!$G$3)^(AC392-'Data-CostAssumptions'!$G$4),-3)</f>
        <v>2240000</v>
      </c>
      <c r="AH392" s="19">
        <f>ROUND((Z392)*(1+'Data-CostAssumptions'!$G$3)^(AE392-'Data-CostAssumptions'!$G$4),-3)</f>
        <v>10184000</v>
      </c>
    </row>
    <row r="393" spans="1:34" ht="15" customHeight="1" x14ac:dyDescent="0.2">
      <c r="A393" s="11"/>
      <c r="B393" s="11" t="s">
        <v>1211</v>
      </c>
      <c r="C393" s="13">
        <v>10156</v>
      </c>
      <c r="D393" s="13" t="s">
        <v>420</v>
      </c>
      <c r="E393" s="20" t="s">
        <v>298</v>
      </c>
      <c r="F393" s="20">
        <v>149</v>
      </c>
      <c r="G393" s="20">
        <v>392</v>
      </c>
      <c r="H393" s="13" t="s">
        <v>2722</v>
      </c>
      <c r="I393" s="13" t="str">
        <f t="shared" si="12"/>
        <v>SR 820/Pines Bl East (SR 7 to University Dr)</v>
      </c>
      <c r="J393" s="13" t="s">
        <v>366</v>
      </c>
      <c r="K393" s="13" t="str">
        <f>VLOOKUP(J393,'Data-ProjectTypes'!A$3:B$13,2,FALSE)</f>
        <v>Program</v>
      </c>
      <c r="L393" s="21" t="s">
        <v>348</v>
      </c>
      <c r="M393" s="13" t="s">
        <v>53</v>
      </c>
      <c r="N393" s="13" t="s">
        <v>1804</v>
      </c>
      <c r="O393" s="13" t="s">
        <v>270</v>
      </c>
      <c r="P393" s="13" t="s">
        <v>270</v>
      </c>
      <c r="Q393" s="22">
        <v>2.1</v>
      </c>
      <c r="R393" s="23">
        <v>2141200</v>
      </c>
      <c r="S393" s="21"/>
      <c r="T393" s="21"/>
      <c r="U393" s="21"/>
      <c r="V393" s="24"/>
      <c r="W393" s="24"/>
      <c r="X393" s="24"/>
      <c r="Y393" s="17"/>
      <c r="Z393" s="18">
        <f>ROUND(R393*'Data-CostAssumptions'!$C$8,-3)</f>
        <v>2141000</v>
      </c>
      <c r="AA393" s="11">
        <f t="shared" si="13"/>
        <v>0</v>
      </c>
      <c r="AB393" s="11">
        <v>2041</v>
      </c>
      <c r="AC393" s="11">
        <v>2041</v>
      </c>
      <c r="AD393" s="11">
        <v>2041</v>
      </c>
      <c r="AE393" s="11">
        <v>2041</v>
      </c>
      <c r="AF393" s="11">
        <v>0</v>
      </c>
      <c r="AG393" s="19">
        <f>ROUND((Z393*'Data-CostAssumptions'!$G$5)*(1+'Data-CostAssumptions'!$G$3)^(AC393-'Data-CostAssumptions'!$G$4),-3)</f>
        <v>1208000</v>
      </c>
      <c r="AH393" s="19">
        <f>ROUND((Z393)*(1+'Data-CostAssumptions'!$G$3)^(AE393-'Data-CostAssumptions'!$G$4),-3)</f>
        <v>5489000</v>
      </c>
    </row>
    <row r="394" spans="1:34" ht="15" customHeight="1" x14ac:dyDescent="0.2">
      <c r="A394" s="11"/>
      <c r="B394" s="11" t="s">
        <v>1211</v>
      </c>
      <c r="C394" s="13">
        <v>10157</v>
      </c>
      <c r="D394" s="13" t="s">
        <v>420</v>
      </c>
      <c r="E394" s="20" t="s">
        <v>298</v>
      </c>
      <c r="F394" s="20">
        <v>149</v>
      </c>
      <c r="G394" s="20">
        <v>393</v>
      </c>
      <c r="H394" s="13" t="s">
        <v>2723</v>
      </c>
      <c r="I394" s="13" t="str">
        <f t="shared" si="12"/>
        <v>SR 820/Pines Bl West (Flamingo Rd to US 27)</v>
      </c>
      <c r="J394" s="13" t="s">
        <v>366</v>
      </c>
      <c r="K394" s="13" t="str">
        <f>VLOOKUP(J394,'Data-ProjectTypes'!A$3:B$13,2,FALSE)</f>
        <v>Program</v>
      </c>
      <c r="L394" s="21" t="s">
        <v>348</v>
      </c>
      <c r="M394" s="13" t="s">
        <v>159</v>
      </c>
      <c r="N394" s="13" t="s">
        <v>30</v>
      </c>
      <c r="O394" s="13" t="s">
        <v>270</v>
      </c>
      <c r="P394" s="13" t="s">
        <v>270</v>
      </c>
      <c r="Q394" s="22">
        <v>7.5</v>
      </c>
      <c r="R394" s="23">
        <v>7522300</v>
      </c>
      <c r="S394" s="21"/>
      <c r="T394" s="21"/>
      <c r="U394" s="21"/>
      <c r="V394" s="24"/>
      <c r="W394" s="24"/>
      <c r="X394" s="24"/>
      <c r="Y394" s="17"/>
      <c r="Z394" s="18">
        <f>ROUND(R394*'Data-CostAssumptions'!$C$8,-3)</f>
        <v>7522000</v>
      </c>
      <c r="AA394" s="11">
        <f t="shared" si="13"/>
        <v>0</v>
      </c>
      <c r="AB394" s="11">
        <v>2041</v>
      </c>
      <c r="AC394" s="11">
        <v>2041</v>
      </c>
      <c r="AD394" s="11">
        <v>2041</v>
      </c>
      <c r="AE394" s="11">
        <v>2041</v>
      </c>
      <c r="AF394" s="11">
        <v>0</v>
      </c>
      <c r="AG394" s="19">
        <f>ROUND((Z394*'Data-CostAssumptions'!$G$5)*(1+'Data-CostAssumptions'!$G$3)^(AC394-'Data-CostAssumptions'!$G$4),-3)</f>
        <v>4243000</v>
      </c>
      <c r="AH394" s="19">
        <f>ROUND((Z394)*(1+'Data-CostAssumptions'!$G$3)^(AE394-'Data-CostAssumptions'!$G$4),-3)</f>
        <v>19286000</v>
      </c>
    </row>
    <row r="395" spans="1:34" ht="15" customHeight="1" x14ac:dyDescent="0.2">
      <c r="A395" s="11"/>
      <c r="B395" s="11" t="s">
        <v>1211</v>
      </c>
      <c r="C395" s="13">
        <v>10160</v>
      </c>
      <c r="D395" s="13" t="s">
        <v>420</v>
      </c>
      <c r="E395" s="20" t="s">
        <v>298</v>
      </c>
      <c r="F395" s="20">
        <v>149</v>
      </c>
      <c r="G395" s="20">
        <v>394</v>
      </c>
      <c r="H395" s="13" t="s">
        <v>2790</v>
      </c>
      <c r="I395" s="13" t="str">
        <f t="shared" si="12"/>
        <v>SR 822/Sheridan St East (SR A1A to US 1)</v>
      </c>
      <c r="J395" s="13" t="s">
        <v>366</v>
      </c>
      <c r="K395" s="13" t="str">
        <f>VLOOKUP(J395,'Data-ProjectTypes'!A$3:B$13,2,FALSE)</f>
        <v>Program</v>
      </c>
      <c r="L395" s="21" t="s">
        <v>348</v>
      </c>
      <c r="M395" s="13" t="s">
        <v>110</v>
      </c>
      <c r="N395" s="13" t="s">
        <v>98</v>
      </c>
      <c r="O395" s="13" t="s">
        <v>270</v>
      </c>
      <c r="P395" s="13" t="s">
        <v>270</v>
      </c>
      <c r="Q395" s="22">
        <v>1.7</v>
      </c>
      <c r="R395" s="23">
        <v>1719800</v>
      </c>
      <c r="S395" s="21" t="s">
        <v>24</v>
      </c>
      <c r="T395" s="21"/>
      <c r="U395" s="21"/>
      <c r="V395" s="24"/>
      <c r="W395" s="24" t="s">
        <v>586</v>
      </c>
      <c r="X395" s="24"/>
      <c r="Y395" s="17" t="s">
        <v>538</v>
      </c>
      <c r="Z395" s="18">
        <f>ROUND(R395*'Data-CostAssumptions'!$C$8,-3)</f>
        <v>1720000</v>
      </c>
      <c r="AA395" s="11">
        <f t="shared" si="13"/>
        <v>1</v>
      </c>
      <c r="AB395" s="11">
        <v>2041</v>
      </c>
      <c r="AC395" s="11">
        <v>2041</v>
      </c>
      <c r="AD395" s="11">
        <v>2041</v>
      </c>
      <c r="AE395" s="11">
        <v>2041</v>
      </c>
      <c r="AF395" s="11">
        <v>0</v>
      </c>
      <c r="AG395" s="19">
        <f>ROUND((Z395*'Data-CostAssumptions'!$G$5)*(1+'Data-CostAssumptions'!$G$3)^(AC395-'Data-CostAssumptions'!$G$4),-3)</f>
        <v>970000</v>
      </c>
      <c r="AH395" s="19">
        <f>ROUND((Z395)*(1+'Data-CostAssumptions'!$G$3)^(AE395-'Data-CostAssumptions'!$G$4),-3)</f>
        <v>4410000</v>
      </c>
    </row>
    <row r="396" spans="1:34" ht="15" customHeight="1" x14ac:dyDescent="0.2">
      <c r="A396" s="11"/>
      <c r="B396" s="11" t="s">
        <v>1213</v>
      </c>
      <c r="C396" s="13">
        <v>10175</v>
      </c>
      <c r="D396" s="13" t="s">
        <v>420</v>
      </c>
      <c r="E396" s="20" t="s">
        <v>298</v>
      </c>
      <c r="F396" s="20">
        <v>150</v>
      </c>
      <c r="G396" s="20">
        <v>395</v>
      </c>
      <c r="H396" s="13" t="s">
        <v>2732</v>
      </c>
      <c r="I396" s="13" t="str">
        <f t="shared" si="12"/>
        <v>SR 91/Florida's Turnpike (Sunrise Bl to Oakland Park Bl)</v>
      </c>
      <c r="J396" s="13" t="s">
        <v>366</v>
      </c>
      <c r="K396" s="13" t="str">
        <f>VLOOKUP(J396,'Data-ProjectTypes'!A$3:B$13,2,FALSE)</f>
        <v>Program</v>
      </c>
      <c r="L396" s="21" t="s">
        <v>348</v>
      </c>
      <c r="M396" s="13" t="s">
        <v>1830</v>
      </c>
      <c r="N396" s="13" t="s">
        <v>1825</v>
      </c>
      <c r="O396" s="13" t="s">
        <v>270</v>
      </c>
      <c r="P396" s="13" t="s">
        <v>270</v>
      </c>
      <c r="Q396" s="22">
        <v>2.6</v>
      </c>
      <c r="R396" s="23">
        <v>2557800</v>
      </c>
      <c r="S396" s="21"/>
      <c r="T396" s="21"/>
      <c r="U396" s="21"/>
      <c r="V396" s="24"/>
      <c r="W396" s="24"/>
      <c r="X396" s="28"/>
      <c r="Y396" s="17"/>
      <c r="Z396" s="18">
        <f>ROUND(R396*'Data-CostAssumptions'!$C$8,-3)</f>
        <v>2558000</v>
      </c>
      <c r="AA396" s="11">
        <f t="shared" si="13"/>
        <v>0</v>
      </c>
      <c r="AB396" s="11">
        <v>2041</v>
      </c>
      <c r="AC396" s="11">
        <v>2041</v>
      </c>
      <c r="AD396" s="11">
        <v>2041</v>
      </c>
      <c r="AE396" s="11">
        <v>2041</v>
      </c>
      <c r="AF396" s="11">
        <v>0</v>
      </c>
      <c r="AG396" s="19">
        <f>ROUND((Z396*'Data-CostAssumptions'!$G$5)*(1+'Data-CostAssumptions'!$G$3)^(AC396-'Data-CostAssumptions'!$G$4),-3)</f>
        <v>1443000</v>
      </c>
      <c r="AH396" s="19">
        <f>ROUND((Z396)*(1+'Data-CostAssumptions'!$G$3)^(AE396-'Data-CostAssumptions'!$G$4),-3)</f>
        <v>6559000</v>
      </c>
    </row>
    <row r="397" spans="1:34" ht="15" customHeight="1" x14ac:dyDescent="0.2">
      <c r="A397" s="11"/>
      <c r="B397" s="11" t="s">
        <v>1213</v>
      </c>
      <c r="C397" s="13">
        <v>10176</v>
      </c>
      <c r="D397" s="13" t="s">
        <v>420</v>
      </c>
      <c r="E397" s="20" t="s">
        <v>298</v>
      </c>
      <c r="F397" s="20">
        <v>150</v>
      </c>
      <c r="G397" s="20">
        <v>396</v>
      </c>
      <c r="H397" s="13" t="s">
        <v>2732</v>
      </c>
      <c r="I397" s="13" t="str">
        <f t="shared" si="12"/>
        <v>SR 91/Florida's Turnpike (SR 84 to Sunrise Bl)</v>
      </c>
      <c r="J397" s="13" t="s">
        <v>366</v>
      </c>
      <c r="K397" s="13" t="str">
        <f>VLOOKUP(J397,'Data-ProjectTypes'!A$3:B$13,2,FALSE)</f>
        <v>Program</v>
      </c>
      <c r="L397" s="21" t="s">
        <v>348</v>
      </c>
      <c r="M397" s="13" t="s">
        <v>45</v>
      </c>
      <c r="N397" s="13" t="s">
        <v>1830</v>
      </c>
      <c r="O397" s="13" t="s">
        <v>270</v>
      </c>
      <c r="P397" s="13" t="s">
        <v>270</v>
      </c>
      <c r="Q397" s="22">
        <v>3.1</v>
      </c>
      <c r="R397" s="23">
        <v>3054500</v>
      </c>
      <c r="S397" s="21"/>
      <c r="T397" s="21"/>
      <c r="U397" s="21"/>
      <c r="V397" s="24"/>
      <c r="W397" s="24"/>
      <c r="X397" s="24"/>
      <c r="Y397" s="17"/>
      <c r="Z397" s="18">
        <f>ROUND(R397*'Data-CostAssumptions'!$C$8,-3)</f>
        <v>3055000</v>
      </c>
      <c r="AA397" s="11">
        <f t="shared" si="13"/>
        <v>0</v>
      </c>
      <c r="AB397" s="11">
        <v>2041</v>
      </c>
      <c r="AC397" s="11">
        <v>2041</v>
      </c>
      <c r="AD397" s="11">
        <v>2041</v>
      </c>
      <c r="AE397" s="11">
        <v>2041</v>
      </c>
      <c r="AF397" s="11">
        <v>0</v>
      </c>
      <c r="AG397" s="19">
        <f>ROUND((Z397*'Data-CostAssumptions'!$G$5)*(1+'Data-CostAssumptions'!$G$3)^(AC397-'Data-CostAssumptions'!$G$4),-3)</f>
        <v>1723000</v>
      </c>
      <c r="AH397" s="19">
        <f>ROUND((Z397)*(1+'Data-CostAssumptions'!$G$3)^(AE397-'Data-CostAssumptions'!$G$4),-3)</f>
        <v>7833000</v>
      </c>
    </row>
    <row r="398" spans="1:34" ht="15" customHeight="1" x14ac:dyDescent="0.2">
      <c r="A398" s="11"/>
      <c r="B398" s="11" t="s">
        <v>1213</v>
      </c>
      <c r="C398" s="13">
        <v>10177</v>
      </c>
      <c r="D398" s="13" t="s">
        <v>420</v>
      </c>
      <c r="E398" s="20" t="s">
        <v>298</v>
      </c>
      <c r="F398" s="20">
        <v>150</v>
      </c>
      <c r="G398" s="20">
        <v>397</v>
      </c>
      <c r="H398" s="13" t="s">
        <v>2732</v>
      </c>
      <c r="I398" s="13" t="str">
        <f t="shared" si="12"/>
        <v>SR 91/Florida's Turnpike (Oakland Park Bl to Martin Luther King Bl)</v>
      </c>
      <c r="J398" s="13" t="s">
        <v>366</v>
      </c>
      <c r="K398" s="13" t="str">
        <f>VLOOKUP(J398,'Data-ProjectTypes'!A$3:B$13,2,FALSE)</f>
        <v>Program</v>
      </c>
      <c r="L398" s="21" t="s">
        <v>348</v>
      </c>
      <c r="M398" s="13" t="s">
        <v>1825</v>
      </c>
      <c r="N398" s="13" t="s">
        <v>2295</v>
      </c>
      <c r="O398" s="13" t="s">
        <v>270</v>
      </c>
      <c r="P398" s="13" t="s">
        <v>270</v>
      </c>
      <c r="Q398" s="22">
        <v>4.8</v>
      </c>
      <c r="R398" s="23">
        <v>4776100</v>
      </c>
      <c r="S398" s="21"/>
      <c r="T398" s="21"/>
      <c r="U398" s="21"/>
      <c r="V398" s="24"/>
      <c r="W398" s="24"/>
      <c r="X398" s="24"/>
      <c r="Y398" s="17"/>
      <c r="Z398" s="18">
        <f>ROUND(R398*'Data-CostAssumptions'!$C$8,-3)</f>
        <v>4776000</v>
      </c>
      <c r="AA398" s="11">
        <f t="shared" si="13"/>
        <v>0</v>
      </c>
      <c r="AB398" s="11">
        <v>2041</v>
      </c>
      <c r="AC398" s="11">
        <v>2041</v>
      </c>
      <c r="AD398" s="11">
        <v>2041</v>
      </c>
      <c r="AE398" s="11">
        <v>2041</v>
      </c>
      <c r="AF398" s="11">
        <v>0</v>
      </c>
      <c r="AG398" s="19">
        <f>ROUND((Z398*'Data-CostAssumptions'!$G$5)*(1+'Data-CostAssumptions'!$G$3)^(AC398-'Data-CostAssumptions'!$G$4),-3)</f>
        <v>2694000</v>
      </c>
      <c r="AH398" s="19">
        <f>ROUND((Z398)*(1+'Data-CostAssumptions'!$G$3)^(AE398-'Data-CostAssumptions'!$G$4),-3)</f>
        <v>12245000</v>
      </c>
    </row>
    <row r="399" spans="1:34" ht="15" customHeight="1" x14ac:dyDescent="0.2">
      <c r="A399" s="11"/>
      <c r="B399" s="11" t="s">
        <v>1213</v>
      </c>
      <c r="C399" s="13">
        <v>10178</v>
      </c>
      <c r="D399" s="13" t="s">
        <v>420</v>
      </c>
      <c r="E399" s="20" t="s">
        <v>298</v>
      </c>
      <c r="F399" s="20">
        <v>150</v>
      </c>
      <c r="G399" s="20">
        <v>398</v>
      </c>
      <c r="H399" s="13" t="s">
        <v>2732</v>
      </c>
      <c r="I399" s="13" t="str">
        <f t="shared" si="12"/>
        <v>SR 91/Florida's Turnpike (Martin Luther King Bl to North County Line)</v>
      </c>
      <c r="J399" s="13" t="s">
        <v>366</v>
      </c>
      <c r="K399" s="13" t="str">
        <f>VLOOKUP(J399,'Data-ProjectTypes'!A$3:B$13,2,FALSE)</f>
        <v>Program</v>
      </c>
      <c r="L399" s="21" t="s">
        <v>348</v>
      </c>
      <c r="M399" s="13" t="s">
        <v>2295</v>
      </c>
      <c r="N399" s="13" t="s">
        <v>44</v>
      </c>
      <c r="O399" s="13" t="s">
        <v>270</v>
      </c>
      <c r="P399" s="13" t="s">
        <v>270</v>
      </c>
      <c r="Q399" s="22">
        <v>7.4</v>
      </c>
      <c r="R399" s="23">
        <v>7418900</v>
      </c>
      <c r="S399" s="21"/>
      <c r="T399" s="21"/>
      <c r="U399" s="21"/>
      <c r="V399" s="24"/>
      <c r="W399" s="24"/>
      <c r="X399" s="24"/>
      <c r="Y399" s="17"/>
      <c r="Z399" s="18">
        <f>ROUND(R399*'Data-CostAssumptions'!$C$8,-3)</f>
        <v>7419000</v>
      </c>
      <c r="AA399" s="11">
        <f t="shared" si="13"/>
        <v>0</v>
      </c>
      <c r="AB399" s="11">
        <v>2041</v>
      </c>
      <c r="AC399" s="11">
        <v>2041</v>
      </c>
      <c r="AD399" s="11">
        <v>2041</v>
      </c>
      <c r="AE399" s="11">
        <v>2041</v>
      </c>
      <c r="AF399" s="11">
        <v>0</v>
      </c>
      <c r="AG399" s="19">
        <f>ROUND((Z399*'Data-CostAssumptions'!$G$5)*(1+'Data-CostAssumptions'!$G$3)^(AC399-'Data-CostAssumptions'!$G$4),-3)</f>
        <v>4185000</v>
      </c>
      <c r="AH399" s="19">
        <f>ROUND((Z399)*(1+'Data-CostAssumptions'!$G$3)^(AE399-'Data-CostAssumptions'!$G$4),-3)</f>
        <v>19022000</v>
      </c>
    </row>
    <row r="400" spans="1:34" ht="15" customHeight="1" x14ac:dyDescent="0.2">
      <c r="A400" s="11"/>
      <c r="B400" s="11" t="s">
        <v>1211</v>
      </c>
      <c r="C400" s="13">
        <v>10001</v>
      </c>
      <c r="D400" s="13" t="s">
        <v>420</v>
      </c>
      <c r="E400" s="20" t="s">
        <v>298</v>
      </c>
      <c r="F400" s="20">
        <v>147</v>
      </c>
      <c r="G400" s="20">
        <v>399</v>
      </c>
      <c r="H400" s="13" t="s">
        <v>101</v>
      </c>
      <c r="I400" s="13" t="str">
        <f t="shared" si="12"/>
        <v>SR A1A Greenway name (US 1 to Hillsboro Inlet)</v>
      </c>
      <c r="J400" s="13" t="s">
        <v>366</v>
      </c>
      <c r="K400" s="13" t="str">
        <f>VLOOKUP(J400,'Data-ProjectTypes'!A$3:B$13,2,FALSE)</f>
        <v>Program</v>
      </c>
      <c r="L400" s="21" t="s">
        <v>100</v>
      </c>
      <c r="M400" s="13" t="s">
        <v>98</v>
      </c>
      <c r="N400" s="13" t="s">
        <v>99</v>
      </c>
      <c r="O400" s="13" t="s">
        <v>270</v>
      </c>
      <c r="P400" s="13" t="s">
        <v>270</v>
      </c>
      <c r="Q400" s="22">
        <v>13.2</v>
      </c>
      <c r="R400" s="23">
        <v>14326275.935594905</v>
      </c>
      <c r="S400" s="21"/>
      <c r="T400" s="21"/>
      <c r="U400" s="21"/>
      <c r="V400" s="24"/>
      <c r="W400" s="24"/>
      <c r="X400" s="24"/>
      <c r="Y400" s="17"/>
      <c r="Z400" s="18">
        <f>ROUND(R400*'Data-CostAssumptions'!$C$8,-3)</f>
        <v>14326000</v>
      </c>
      <c r="AA400" s="11">
        <f t="shared" si="13"/>
        <v>0</v>
      </c>
      <c r="AB400" s="11">
        <v>2041</v>
      </c>
      <c r="AC400" s="11">
        <v>2041</v>
      </c>
      <c r="AD400" s="11">
        <v>2041</v>
      </c>
      <c r="AE400" s="11">
        <v>2041</v>
      </c>
      <c r="AF400" s="11">
        <v>0</v>
      </c>
      <c r="AG400" s="19">
        <f>ROUND((Z400*'Data-CostAssumptions'!$G$5)*(1+'Data-CostAssumptions'!$G$3)^(AC400-'Data-CostAssumptions'!$G$4),-3)</f>
        <v>8081000</v>
      </c>
      <c r="AH400" s="19">
        <f>ROUND((Z400)*(1+'Data-CostAssumptions'!$G$3)^(AE400-'Data-CostAssumptions'!$G$4),-3)</f>
        <v>36731000</v>
      </c>
    </row>
    <row r="401" spans="1:39" ht="15" customHeight="1" x14ac:dyDescent="0.2">
      <c r="A401" s="11"/>
      <c r="B401" s="11" t="s">
        <v>1211</v>
      </c>
      <c r="C401" s="13">
        <v>10174</v>
      </c>
      <c r="D401" s="13" t="s">
        <v>420</v>
      </c>
      <c r="E401" s="20" t="s">
        <v>298</v>
      </c>
      <c r="F401" s="20">
        <v>150</v>
      </c>
      <c r="G401" s="20">
        <v>400</v>
      </c>
      <c r="H401" s="13" t="s">
        <v>81</v>
      </c>
      <c r="I401" s="13" t="str">
        <f t="shared" si="12"/>
        <v>Sunset Strip (Hiatus Rd to Sunrise Bl)</v>
      </c>
      <c r="J401" s="13" t="s">
        <v>366</v>
      </c>
      <c r="K401" s="13" t="str">
        <f>VLOOKUP(J401,'Data-ProjectTypes'!A$3:B$13,2,FALSE)</f>
        <v>Program</v>
      </c>
      <c r="L401" s="21" t="s">
        <v>348</v>
      </c>
      <c r="M401" s="13" t="s">
        <v>1752</v>
      </c>
      <c r="N401" s="13" t="s">
        <v>1830</v>
      </c>
      <c r="O401" s="13" t="s">
        <v>272</v>
      </c>
      <c r="P401" s="13" t="s">
        <v>272</v>
      </c>
      <c r="Q401" s="22">
        <v>5.5</v>
      </c>
      <c r="R401" s="23">
        <v>5453700</v>
      </c>
      <c r="S401" s="21"/>
      <c r="T401" s="21"/>
      <c r="U401" s="21"/>
      <c r="V401" s="24"/>
      <c r="W401" s="24" t="s">
        <v>820</v>
      </c>
      <c r="X401" s="24"/>
      <c r="Y401" s="17" t="s">
        <v>806</v>
      </c>
      <c r="Z401" s="18">
        <f>ROUND(R401*'Data-CostAssumptions'!$C$8,-3)</f>
        <v>5454000</v>
      </c>
      <c r="AA401" s="11">
        <f t="shared" si="13"/>
        <v>1</v>
      </c>
      <c r="AB401" s="11">
        <v>2041</v>
      </c>
      <c r="AC401" s="11">
        <v>2041</v>
      </c>
      <c r="AD401" s="11">
        <v>2041</v>
      </c>
      <c r="AE401" s="11">
        <v>2041</v>
      </c>
      <c r="AF401" s="11">
        <v>0</v>
      </c>
      <c r="AG401" s="19">
        <f>ROUND((Z401*'Data-CostAssumptions'!$G$5)*(1+'Data-CostAssumptions'!$G$3)^(AC401-'Data-CostAssumptions'!$G$4),-3)</f>
        <v>3076000</v>
      </c>
      <c r="AH401" s="19">
        <f>ROUND((Z401)*(1+'Data-CostAssumptions'!$G$3)^(AE401-'Data-CostAssumptions'!$G$4),-3)</f>
        <v>13984000</v>
      </c>
    </row>
    <row r="402" spans="1:39" ht="15" customHeight="1" x14ac:dyDescent="0.2">
      <c r="A402" s="11"/>
      <c r="B402" s="11" t="s">
        <v>1213</v>
      </c>
      <c r="C402" s="13">
        <v>10165</v>
      </c>
      <c r="D402" s="13" t="s">
        <v>420</v>
      </c>
      <c r="E402" s="20" t="s">
        <v>298</v>
      </c>
      <c r="F402" s="20">
        <v>149</v>
      </c>
      <c r="G402" s="20">
        <v>401</v>
      </c>
      <c r="H402" s="13" t="s">
        <v>2110</v>
      </c>
      <c r="I402" s="13" t="str">
        <f t="shared" si="12"/>
        <v>SW 172nd Av (Griffin Rd to Miramar Parkway)</v>
      </c>
      <c r="J402" s="13" t="s">
        <v>366</v>
      </c>
      <c r="K402" s="13" t="str">
        <f>VLOOKUP(J402,'Data-ProjectTypes'!A$3:B$13,2,FALSE)</f>
        <v>Program</v>
      </c>
      <c r="L402" s="21" t="s">
        <v>695</v>
      </c>
      <c r="M402" s="13" t="s">
        <v>1750</v>
      </c>
      <c r="N402" s="13" t="s">
        <v>39</v>
      </c>
      <c r="O402" s="13" t="s">
        <v>272</v>
      </c>
      <c r="P402" s="13" t="s">
        <v>272</v>
      </c>
      <c r="Q402" s="22">
        <v>5.8</v>
      </c>
      <c r="R402" s="23">
        <v>5816200</v>
      </c>
      <c r="S402" s="29" t="s">
        <v>797</v>
      </c>
      <c r="T402" s="21" t="s">
        <v>684</v>
      </c>
      <c r="U402" s="21" t="s">
        <v>24</v>
      </c>
      <c r="V402" s="24"/>
      <c r="W402" s="24" t="s">
        <v>789</v>
      </c>
      <c r="X402" s="37" t="s">
        <v>3237</v>
      </c>
      <c r="Y402" s="17" t="s">
        <v>796</v>
      </c>
      <c r="Z402" s="18">
        <f>ROUND(R402*'Data-CostAssumptions'!$C$8,-3)</f>
        <v>5816000</v>
      </c>
      <c r="AA402" s="11">
        <f t="shared" si="13"/>
        <v>1</v>
      </c>
      <c r="AB402" s="11">
        <v>2041</v>
      </c>
      <c r="AC402" s="11">
        <v>2041</v>
      </c>
      <c r="AD402" s="11">
        <v>2041</v>
      </c>
      <c r="AE402" s="11">
        <v>2041</v>
      </c>
      <c r="AF402" s="11">
        <v>0</v>
      </c>
      <c r="AG402" s="19">
        <f>ROUND((Z402*'Data-CostAssumptions'!$G$5)*(1+'Data-CostAssumptions'!$G$3)^(AC402-'Data-CostAssumptions'!$G$4),-3)</f>
        <v>3281000</v>
      </c>
      <c r="AH402" s="19">
        <f>ROUND((Z402)*(1+'Data-CostAssumptions'!$G$3)^(AE402-'Data-CostAssumptions'!$G$4),-3)</f>
        <v>14912000</v>
      </c>
    </row>
    <row r="403" spans="1:39" ht="15" customHeight="1" x14ac:dyDescent="0.2">
      <c r="A403" s="11"/>
      <c r="B403" s="11" t="s">
        <v>1211</v>
      </c>
      <c r="C403" s="13">
        <v>10166</v>
      </c>
      <c r="D403" s="13" t="s">
        <v>420</v>
      </c>
      <c r="E403" s="20" t="s">
        <v>298</v>
      </c>
      <c r="F403" s="20">
        <v>149</v>
      </c>
      <c r="G403" s="20">
        <v>402</v>
      </c>
      <c r="H403" s="13" t="s">
        <v>2122</v>
      </c>
      <c r="I403" s="13" t="str">
        <f t="shared" si="12"/>
        <v>SW 39th Av (Davie Bl to Broward Bl)</v>
      </c>
      <c r="J403" s="13" t="s">
        <v>366</v>
      </c>
      <c r="K403" s="13" t="str">
        <f>VLOOKUP(J403,'Data-ProjectTypes'!A$3:B$13,2,FALSE)</f>
        <v>Program</v>
      </c>
      <c r="L403" s="21" t="s">
        <v>348</v>
      </c>
      <c r="M403" s="13" t="s">
        <v>1816</v>
      </c>
      <c r="N403" s="13" t="s">
        <v>1811</v>
      </c>
      <c r="O403" s="13" t="s">
        <v>270</v>
      </c>
      <c r="P403" s="13" t="s">
        <v>270</v>
      </c>
      <c r="Q403" s="22">
        <v>1.2</v>
      </c>
      <c r="R403" s="23">
        <v>1151000</v>
      </c>
      <c r="S403" s="21"/>
      <c r="T403" s="21"/>
      <c r="U403" s="21"/>
      <c r="V403" s="24"/>
      <c r="W403" s="24"/>
      <c r="X403" s="24"/>
      <c r="Y403" s="17"/>
      <c r="Z403" s="18">
        <f>ROUND(R403*'Data-CostAssumptions'!$C$8,-3)</f>
        <v>1151000</v>
      </c>
      <c r="AA403" s="11">
        <f t="shared" si="13"/>
        <v>0</v>
      </c>
      <c r="AB403" s="11">
        <v>2041</v>
      </c>
      <c r="AC403" s="11">
        <v>2041</v>
      </c>
      <c r="AD403" s="11">
        <v>2041</v>
      </c>
      <c r="AE403" s="11">
        <v>2041</v>
      </c>
      <c r="AF403" s="11">
        <v>0</v>
      </c>
      <c r="AG403" s="19">
        <f>ROUND((Z403*'Data-CostAssumptions'!$G$5)*(1+'Data-CostAssumptions'!$G$3)^(AC403-'Data-CostAssumptions'!$G$4),-3)</f>
        <v>649000</v>
      </c>
      <c r="AH403" s="19">
        <f>ROUND((Z403)*(1+'Data-CostAssumptions'!$G$3)^(AE403-'Data-CostAssumptions'!$G$4),-3)</f>
        <v>2951000</v>
      </c>
    </row>
    <row r="404" spans="1:39" ht="15" customHeight="1" x14ac:dyDescent="0.2">
      <c r="A404" s="11"/>
      <c r="B404" s="11" t="s">
        <v>1211</v>
      </c>
      <c r="C404" s="13">
        <v>10134</v>
      </c>
      <c r="D404" s="13" t="s">
        <v>420</v>
      </c>
      <c r="E404" s="20" t="s">
        <v>298</v>
      </c>
      <c r="F404" s="20">
        <v>148</v>
      </c>
      <c r="G404" s="20">
        <v>403</v>
      </c>
      <c r="H404" s="13" t="s">
        <v>260</v>
      </c>
      <c r="I404" s="13" t="str">
        <f t="shared" si="12"/>
        <v>Tradewinds (Tradewinds Park to SR 7)</v>
      </c>
      <c r="J404" s="13" t="s">
        <v>366</v>
      </c>
      <c r="K404" s="13" t="str">
        <f>VLOOKUP(J404,'Data-ProjectTypes'!A$3:B$13,2,FALSE)</f>
        <v>Program</v>
      </c>
      <c r="L404" s="21" t="s">
        <v>348</v>
      </c>
      <c r="M404" s="13" t="s">
        <v>259</v>
      </c>
      <c r="N404" s="13" t="s">
        <v>53</v>
      </c>
      <c r="O404" s="13" t="s">
        <v>272</v>
      </c>
      <c r="P404" s="13" t="s">
        <v>272</v>
      </c>
      <c r="Q404" s="22">
        <v>3</v>
      </c>
      <c r="R404" s="23">
        <v>3028100</v>
      </c>
      <c r="S404" s="21" t="s">
        <v>24</v>
      </c>
      <c r="T404" s="21"/>
      <c r="U404" s="21"/>
      <c r="V404" s="24"/>
      <c r="W404" s="24"/>
      <c r="X404" s="24"/>
      <c r="Y404" s="17" t="s">
        <v>460</v>
      </c>
      <c r="Z404" s="18">
        <f>ROUND(R404*'Data-CostAssumptions'!$C$8,-3)</f>
        <v>3028000</v>
      </c>
      <c r="AA404" s="11">
        <f t="shared" si="13"/>
        <v>0</v>
      </c>
      <c r="AB404" s="11">
        <v>2041</v>
      </c>
      <c r="AC404" s="11">
        <v>2041</v>
      </c>
      <c r="AD404" s="11">
        <v>2041</v>
      </c>
      <c r="AE404" s="11">
        <v>2041</v>
      </c>
      <c r="AF404" s="11">
        <v>0</v>
      </c>
      <c r="AG404" s="19">
        <f>ROUND((Z404*'Data-CostAssumptions'!$G$5)*(1+'Data-CostAssumptions'!$G$3)^(AC404-'Data-CostAssumptions'!$G$4),-3)</f>
        <v>1708000</v>
      </c>
      <c r="AH404" s="19">
        <f>ROUND((Z404)*(1+'Data-CostAssumptions'!$G$3)^(AE404-'Data-CostAssumptions'!$G$4),-3)</f>
        <v>7764000</v>
      </c>
    </row>
    <row r="405" spans="1:39" ht="15" customHeight="1" x14ac:dyDescent="0.2">
      <c r="A405" s="11"/>
      <c r="B405" s="11" t="s">
        <v>1211</v>
      </c>
      <c r="C405" s="13">
        <v>10135</v>
      </c>
      <c r="D405" s="13" t="s">
        <v>420</v>
      </c>
      <c r="E405" s="20" t="s">
        <v>298</v>
      </c>
      <c r="F405" s="20">
        <v>148</v>
      </c>
      <c r="G405" s="20">
        <v>404</v>
      </c>
      <c r="H405" s="13" t="s">
        <v>242</v>
      </c>
      <c r="I405" s="13" t="str">
        <f t="shared" si="12"/>
        <v>Vista View (New River Greenway to Griffin Rd)</v>
      </c>
      <c r="J405" s="13" t="s">
        <v>366</v>
      </c>
      <c r="K405" s="13" t="str">
        <f>VLOOKUP(J405,'Data-ProjectTypes'!A$3:B$13,2,FALSE)</f>
        <v>Program</v>
      </c>
      <c r="L405" s="21" t="s">
        <v>348</v>
      </c>
      <c r="M405" s="13" t="s">
        <v>55</v>
      </c>
      <c r="N405" s="13" t="s">
        <v>1750</v>
      </c>
      <c r="O405" s="13" t="s">
        <v>272</v>
      </c>
      <c r="P405" s="13" t="s">
        <v>272</v>
      </c>
      <c r="Q405" s="22">
        <v>4.2</v>
      </c>
      <c r="R405" s="23">
        <v>4213800</v>
      </c>
      <c r="S405" s="21" t="s">
        <v>24</v>
      </c>
      <c r="T405" s="21"/>
      <c r="U405" s="21"/>
      <c r="V405" s="24"/>
      <c r="W405" s="24"/>
      <c r="X405" s="24"/>
      <c r="Y405" s="17" t="s">
        <v>469</v>
      </c>
      <c r="Z405" s="18">
        <f>ROUND(R405*'Data-CostAssumptions'!$C$8,-3)</f>
        <v>4214000</v>
      </c>
      <c r="AA405" s="11">
        <f t="shared" si="13"/>
        <v>0</v>
      </c>
      <c r="AB405" s="11">
        <v>2041</v>
      </c>
      <c r="AC405" s="11">
        <v>2041</v>
      </c>
      <c r="AD405" s="11">
        <v>2041</v>
      </c>
      <c r="AE405" s="11">
        <v>2041</v>
      </c>
      <c r="AF405" s="11">
        <v>0</v>
      </c>
      <c r="AG405" s="19">
        <f>ROUND((Z405*'Data-CostAssumptions'!$G$5)*(1+'Data-CostAssumptions'!$G$3)^(AC405-'Data-CostAssumptions'!$G$4),-3)</f>
        <v>2377000</v>
      </c>
      <c r="AH405" s="19">
        <f>ROUND((Z405)*(1+'Data-CostAssumptions'!$G$3)^(AE405-'Data-CostAssumptions'!$G$4),-3)</f>
        <v>10804000</v>
      </c>
    </row>
    <row r="406" spans="1:39" ht="15" customHeight="1" x14ac:dyDescent="0.2">
      <c r="A406" s="11"/>
      <c r="B406" s="11" t="s">
        <v>1211</v>
      </c>
      <c r="C406" s="13">
        <v>10136</v>
      </c>
      <c r="D406" s="13" t="s">
        <v>420</v>
      </c>
      <c r="E406" s="20" t="s">
        <v>298</v>
      </c>
      <c r="F406" s="20">
        <v>148</v>
      </c>
      <c r="G406" s="20">
        <v>405</v>
      </c>
      <c r="H406" s="13" t="s">
        <v>129</v>
      </c>
      <c r="I406" s="13" t="str">
        <f t="shared" si="12"/>
        <v>Waldrep to C-9 Connector (South County Line to Miramar Parkway)</v>
      </c>
      <c r="J406" s="13" t="s">
        <v>366</v>
      </c>
      <c r="K406" s="13" t="str">
        <f>VLOOKUP(J406,'Data-ProjectTypes'!A$3:B$13,2,FALSE)</f>
        <v>Program</v>
      </c>
      <c r="L406" s="21" t="s">
        <v>348</v>
      </c>
      <c r="M406" s="13" t="s">
        <v>155</v>
      </c>
      <c r="N406" s="13" t="s">
        <v>39</v>
      </c>
      <c r="O406" s="13" t="s">
        <v>274</v>
      </c>
      <c r="P406" s="13" t="s">
        <v>274</v>
      </c>
      <c r="Q406" s="22">
        <v>1.9</v>
      </c>
      <c r="R406" s="23">
        <v>1923400</v>
      </c>
      <c r="S406" s="21" t="s">
        <v>24</v>
      </c>
      <c r="T406" s="21" t="s">
        <v>684</v>
      </c>
      <c r="U406" s="21" t="s">
        <v>684</v>
      </c>
      <c r="V406" s="24"/>
      <c r="W406" s="24"/>
      <c r="X406" s="24"/>
      <c r="Y406" s="17" t="s">
        <v>685</v>
      </c>
      <c r="Z406" s="18">
        <f>ROUND(R406*'Data-CostAssumptions'!$C$8,-3)</f>
        <v>1923000</v>
      </c>
      <c r="AA406" s="11">
        <f t="shared" si="13"/>
        <v>0</v>
      </c>
      <c r="AB406" s="11">
        <v>2041</v>
      </c>
      <c r="AC406" s="11">
        <v>2041</v>
      </c>
      <c r="AD406" s="11">
        <v>2041</v>
      </c>
      <c r="AE406" s="11">
        <v>2041</v>
      </c>
      <c r="AF406" s="11">
        <v>0</v>
      </c>
      <c r="AG406" s="19">
        <f>ROUND((Z406*'Data-CostAssumptions'!$G$5)*(1+'Data-CostAssumptions'!$G$3)^(AC406-'Data-CostAssumptions'!$G$4),-3)</f>
        <v>1085000</v>
      </c>
      <c r="AH406" s="19">
        <f>ROUND((Z406)*(1+'Data-CostAssumptions'!$G$3)^(AE406-'Data-CostAssumptions'!$G$4),-3)</f>
        <v>4930000</v>
      </c>
    </row>
    <row r="407" spans="1:39" ht="15" customHeight="1" x14ac:dyDescent="0.2">
      <c r="A407" s="11"/>
      <c r="B407" s="11" t="s">
        <v>1211</v>
      </c>
      <c r="C407" s="13">
        <v>10137</v>
      </c>
      <c r="D407" s="13" t="s">
        <v>420</v>
      </c>
      <c r="E407" s="20" t="s">
        <v>298</v>
      </c>
      <c r="F407" s="20">
        <v>148</v>
      </c>
      <c r="G407" s="20">
        <v>406</v>
      </c>
      <c r="H407" s="13" t="s">
        <v>129</v>
      </c>
      <c r="I407" s="13" t="str">
        <f t="shared" si="12"/>
        <v>Waldrep to C-9 Connector (Miramar Parkway to Pines Bl)</v>
      </c>
      <c r="J407" s="13" t="s">
        <v>366</v>
      </c>
      <c r="K407" s="13" t="str">
        <f>VLOOKUP(J407,'Data-ProjectTypes'!A$3:B$13,2,FALSE)</f>
        <v>Program</v>
      </c>
      <c r="L407" s="21" t="s">
        <v>348</v>
      </c>
      <c r="M407" s="13" t="s">
        <v>39</v>
      </c>
      <c r="N407" s="13" t="s">
        <v>1826</v>
      </c>
      <c r="O407" s="13" t="s">
        <v>272</v>
      </c>
      <c r="P407" s="13" t="s">
        <v>272</v>
      </c>
      <c r="Q407" s="22">
        <v>2.5</v>
      </c>
      <c r="R407" s="23">
        <v>2463000</v>
      </c>
      <c r="S407" s="21" t="s">
        <v>24</v>
      </c>
      <c r="T407" s="21" t="s">
        <v>684</v>
      </c>
      <c r="U407" s="21" t="s">
        <v>684</v>
      </c>
      <c r="V407" s="24"/>
      <c r="W407" s="24"/>
      <c r="X407" s="24"/>
      <c r="Y407" s="17" t="s">
        <v>685</v>
      </c>
      <c r="Z407" s="18">
        <f>ROUND(R407*'Data-CostAssumptions'!$C$8,-3)</f>
        <v>2463000</v>
      </c>
      <c r="AA407" s="11">
        <f t="shared" si="13"/>
        <v>0</v>
      </c>
      <c r="AB407" s="11">
        <v>2041</v>
      </c>
      <c r="AC407" s="11">
        <v>2041</v>
      </c>
      <c r="AD407" s="11">
        <v>2041</v>
      </c>
      <c r="AE407" s="11">
        <v>2041</v>
      </c>
      <c r="AF407" s="11">
        <v>0</v>
      </c>
      <c r="AG407" s="19">
        <f>ROUND((Z407*'Data-CostAssumptions'!$G$5)*(1+'Data-CostAssumptions'!$G$3)^(AC407-'Data-CostAssumptions'!$G$4),-3)</f>
        <v>1389000</v>
      </c>
      <c r="AH407" s="19">
        <f>ROUND((Z407)*(1+'Data-CostAssumptions'!$G$3)^(AE407-'Data-CostAssumptions'!$G$4),-3)</f>
        <v>6315000</v>
      </c>
    </row>
    <row r="408" spans="1:39" ht="15" customHeight="1" x14ac:dyDescent="0.2">
      <c r="A408" s="11"/>
      <c r="B408" s="11" t="s">
        <v>1211</v>
      </c>
      <c r="C408" s="13">
        <v>10138</v>
      </c>
      <c r="D408" s="13" t="s">
        <v>420</v>
      </c>
      <c r="E408" s="20" t="s">
        <v>298</v>
      </c>
      <c r="F408" s="20">
        <v>148</v>
      </c>
      <c r="G408" s="20">
        <v>407</v>
      </c>
      <c r="H408" s="13" t="s">
        <v>129</v>
      </c>
      <c r="I408" s="13" t="str">
        <f t="shared" si="12"/>
        <v>Waldrep to C-9 Connector (Pines Bl to Sheridan)</v>
      </c>
      <c r="J408" s="13" t="s">
        <v>366</v>
      </c>
      <c r="K408" s="13" t="str">
        <f>VLOOKUP(J408,'Data-ProjectTypes'!A$3:B$13,2,FALSE)</f>
        <v>Program</v>
      </c>
      <c r="L408" s="21" t="s">
        <v>348</v>
      </c>
      <c r="M408" s="13" t="s">
        <v>1826</v>
      </c>
      <c r="N408" s="13" t="s">
        <v>128</v>
      </c>
      <c r="O408" s="13" t="s">
        <v>272</v>
      </c>
      <c r="P408" s="13" t="s">
        <v>272</v>
      </c>
      <c r="Q408" s="22">
        <v>1.8</v>
      </c>
      <c r="R408" s="23">
        <v>1775800</v>
      </c>
      <c r="S408" s="21"/>
      <c r="T408" s="21"/>
      <c r="U408" s="21"/>
      <c r="V408" s="24"/>
      <c r="W408" s="24"/>
      <c r="X408" s="24"/>
      <c r="Y408" s="17"/>
      <c r="Z408" s="18">
        <f>ROUND(R408*'Data-CostAssumptions'!$C$8,-3)</f>
        <v>1776000</v>
      </c>
      <c r="AA408" s="11">
        <f t="shared" si="13"/>
        <v>0</v>
      </c>
      <c r="AB408" s="11">
        <v>2041</v>
      </c>
      <c r="AC408" s="11">
        <v>2041</v>
      </c>
      <c r="AD408" s="11">
        <v>2041</v>
      </c>
      <c r="AE408" s="11">
        <v>2041</v>
      </c>
      <c r="AF408" s="11">
        <v>0</v>
      </c>
      <c r="AG408" s="19">
        <f>ROUND((Z408*'Data-CostAssumptions'!$G$5)*(1+'Data-CostAssumptions'!$G$3)^(AC408-'Data-CostAssumptions'!$G$4),-3)</f>
        <v>1002000</v>
      </c>
      <c r="AH408" s="19">
        <f>ROUND((Z408)*(1+'Data-CostAssumptions'!$G$3)^(AE408-'Data-CostAssumptions'!$G$4),-3)</f>
        <v>4554000</v>
      </c>
    </row>
    <row r="409" spans="1:39" ht="15" customHeight="1" x14ac:dyDescent="0.2">
      <c r="A409" s="11"/>
      <c r="B409" s="11" t="s">
        <v>1211</v>
      </c>
      <c r="C409" s="13">
        <v>10139</v>
      </c>
      <c r="D409" s="13" t="s">
        <v>420</v>
      </c>
      <c r="E409" s="20" t="s">
        <v>298</v>
      </c>
      <c r="F409" s="20">
        <v>148</v>
      </c>
      <c r="G409" s="20">
        <v>408</v>
      </c>
      <c r="H409" s="13" t="s">
        <v>2811</v>
      </c>
      <c r="I409" s="13" t="str">
        <f t="shared" si="12"/>
        <v>Waldrep to Griffin _x000D_Connector (Griffin Rd to North Douglas Rd)</v>
      </c>
      <c r="J409" s="13" t="s">
        <v>366</v>
      </c>
      <c r="K409" s="13" t="str">
        <f>VLOOKUP(J409,'Data-ProjectTypes'!A$3:B$13,2,FALSE)</f>
        <v>Program</v>
      </c>
      <c r="L409" s="21" t="s">
        <v>348</v>
      </c>
      <c r="M409" s="13" t="s">
        <v>1750</v>
      </c>
      <c r="N409" s="13" t="s">
        <v>1756</v>
      </c>
      <c r="O409" s="13" t="s">
        <v>273</v>
      </c>
      <c r="P409" s="13" t="s">
        <v>273</v>
      </c>
      <c r="Q409" s="22">
        <v>6.6</v>
      </c>
      <c r="R409" s="23">
        <v>6585300</v>
      </c>
      <c r="S409" s="21" t="s">
        <v>24</v>
      </c>
      <c r="T409" s="21" t="s">
        <v>25</v>
      </c>
      <c r="U409" s="21"/>
      <c r="V409" s="24"/>
      <c r="W409" s="24" t="s">
        <v>586</v>
      </c>
      <c r="X409" s="24"/>
      <c r="Y409" s="17" t="s">
        <v>547</v>
      </c>
      <c r="Z409" s="18">
        <f>ROUND(R409*'Data-CostAssumptions'!$C$8,-3)</f>
        <v>6585000</v>
      </c>
      <c r="AA409" s="11">
        <f t="shared" si="13"/>
        <v>1</v>
      </c>
      <c r="AB409" s="11">
        <v>2041</v>
      </c>
      <c r="AC409" s="11">
        <v>2041</v>
      </c>
      <c r="AD409" s="11">
        <v>2041</v>
      </c>
      <c r="AE409" s="11">
        <v>2041</v>
      </c>
      <c r="AF409" s="11">
        <v>0</v>
      </c>
      <c r="AG409" s="19">
        <f>ROUND((Z409*'Data-CostAssumptions'!$G$5)*(1+'Data-CostAssumptions'!$G$3)^(AC409-'Data-CostAssumptions'!$G$4),-3)</f>
        <v>3714000</v>
      </c>
      <c r="AH409" s="19">
        <f>ROUND((Z409)*(1+'Data-CostAssumptions'!$G$3)^(AE409-'Data-CostAssumptions'!$G$4),-3)</f>
        <v>16884000</v>
      </c>
    </row>
    <row r="410" spans="1:39" ht="15" customHeight="1" x14ac:dyDescent="0.2">
      <c r="A410" s="11"/>
      <c r="B410" s="11" t="s">
        <v>1211</v>
      </c>
      <c r="C410" s="13">
        <v>10140</v>
      </c>
      <c r="D410" s="13" t="s">
        <v>420</v>
      </c>
      <c r="E410" s="20" t="s">
        <v>298</v>
      </c>
      <c r="F410" s="20">
        <v>148</v>
      </c>
      <c r="G410" s="20">
        <v>409</v>
      </c>
      <c r="H410" s="13" t="s">
        <v>1780</v>
      </c>
      <c r="I410" s="13" t="str">
        <f t="shared" si="12"/>
        <v>Wiles Rd (SR 7 to Conservation Levee)</v>
      </c>
      <c r="J410" s="13" t="s">
        <v>366</v>
      </c>
      <c r="K410" s="13" t="str">
        <f>VLOOKUP(J410,'Data-ProjectTypes'!A$3:B$13,2,FALSE)</f>
        <v>Program</v>
      </c>
      <c r="L410" s="21" t="s">
        <v>348</v>
      </c>
      <c r="M410" s="13" t="s">
        <v>53</v>
      </c>
      <c r="N410" s="13" t="s">
        <v>137</v>
      </c>
      <c r="O410" s="13" t="s">
        <v>272</v>
      </c>
      <c r="P410" s="13" t="s">
        <v>272</v>
      </c>
      <c r="Q410" s="22">
        <v>4.7</v>
      </c>
      <c r="R410" s="23">
        <v>4668500</v>
      </c>
      <c r="S410" s="21" t="s">
        <v>24</v>
      </c>
      <c r="T410" s="21"/>
      <c r="U410" s="21"/>
      <c r="V410" s="24"/>
      <c r="W410" s="24"/>
      <c r="X410" s="24"/>
      <c r="Y410" s="17" t="s">
        <v>460</v>
      </c>
      <c r="Z410" s="18">
        <f>ROUND(R410/1.384,-3)</f>
        <v>3373000</v>
      </c>
      <c r="AA410" s="11">
        <f t="shared" si="13"/>
        <v>0</v>
      </c>
      <c r="AB410" s="11">
        <v>2041</v>
      </c>
      <c r="AC410" s="11">
        <v>2041</v>
      </c>
      <c r="AD410" s="11">
        <v>2041</v>
      </c>
      <c r="AE410" s="11">
        <v>2041</v>
      </c>
      <c r="AF410" s="11">
        <v>0</v>
      </c>
      <c r="AG410" s="19">
        <f>ROUND((Z410*'Data-CostAssumptions'!$G$5)*(1+'Data-CostAssumptions'!$G$3)^(AC410-'Data-CostAssumptions'!$G$4),-3)</f>
        <v>1903000</v>
      </c>
      <c r="AH410" s="19">
        <f>ROUND((Z410)*(1+'Data-CostAssumptions'!$G$3)^(AE410-'Data-CostAssumptions'!$G$4),-3)</f>
        <v>8648000</v>
      </c>
    </row>
    <row r="411" spans="1:39" ht="15" customHeight="1" x14ac:dyDescent="0.2">
      <c r="A411" s="38"/>
      <c r="B411" s="38" t="s">
        <v>1211</v>
      </c>
      <c r="C411" s="39">
        <v>10167</v>
      </c>
      <c r="D411" s="39" t="s">
        <v>420</v>
      </c>
      <c r="E411" s="40" t="s">
        <v>298</v>
      </c>
      <c r="F411" s="40">
        <v>149</v>
      </c>
      <c r="G411" s="20">
        <v>410</v>
      </c>
      <c r="H411" s="39" t="s">
        <v>49</v>
      </c>
      <c r="I411" s="39" t="str">
        <f t="shared" si="12"/>
        <v>Wynmor Bridal Path (Copans Rd to Cococut Creek Parkway)</v>
      </c>
      <c r="J411" s="39" t="s">
        <v>366</v>
      </c>
      <c r="K411" s="39" t="str">
        <f>VLOOKUP(J411,'Data-ProjectTypes'!A$3:B$13,2,FALSE)</f>
        <v>Program</v>
      </c>
      <c r="L411" s="41" t="s">
        <v>348</v>
      </c>
      <c r="M411" s="39" t="s">
        <v>1836</v>
      </c>
      <c r="N411" s="39" t="s">
        <v>48</v>
      </c>
      <c r="O411" s="13" t="s">
        <v>270</v>
      </c>
      <c r="P411" s="13" t="s">
        <v>270</v>
      </c>
      <c r="Q411" s="42">
        <v>1</v>
      </c>
      <c r="R411" s="43">
        <v>1014500</v>
      </c>
      <c r="S411" s="41"/>
      <c r="T411" s="21"/>
      <c r="U411" s="21"/>
      <c r="V411" s="24"/>
      <c r="W411" s="24" t="s">
        <v>421</v>
      </c>
      <c r="X411" s="24"/>
      <c r="Y411" s="44"/>
      <c r="Z411" s="18">
        <f>ROUND(R411/1.384,-3)</f>
        <v>733000</v>
      </c>
      <c r="AA411" s="11">
        <f t="shared" si="13"/>
        <v>1</v>
      </c>
      <c r="AB411" s="11">
        <v>2041</v>
      </c>
      <c r="AC411" s="11">
        <v>2041</v>
      </c>
      <c r="AD411" s="11">
        <v>2041</v>
      </c>
      <c r="AE411" s="11">
        <v>2041</v>
      </c>
      <c r="AF411" s="11">
        <v>0</v>
      </c>
      <c r="AG411" s="19">
        <f>ROUND((Z411*'Data-CostAssumptions'!$G$5)*(1+'Data-CostAssumptions'!$G$3)^(AC411-'Data-CostAssumptions'!$G$4),-3)</f>
        <v>413000</v>
      </c>
      <c r="AH411" s="19">
        <f>ROUND((Z411)*(1+'Data-CostAssumptions'!$G$3)^(AE411-'Data-CostAssumptions'!$G$4),-3)</f>
        <v>1879000</v>
      </c>
      <c r="AI411" s="34"/>
      <c r="AJ411" s="34"/>
      <c r="AK411" s="34"/>
      <c r="AL411" s="34"/>
      <c r="AM411" s="34"/>
    </row>
    <row r="412" spans="1:39" ht="15" customHeight="1" x14ac:dyDescent="0.2">
      <c r="A412" s="11"/>
      <c r="B412" s="11" t="s">
        <v>1211</v>
      </c>
      <c r="C412" s="13">
        <v>1041</v>
      </c>
      <c r="D412" s="13" t="s">
        <v>420</v>
      </c>
      <c r="E412" s="20">
        <v>17</v>
      </c>
      <c r="F412" s="20">
        <v>205</v>
      </c>
      <c r="G412" s="20">
        <v>411</v>
      </c>
      <c r="H412" s="13" t="s">
        <v>200</v>
      </c>
      <c r="I412" s="13" t="str">
        <f t="shared" si="12"/>
        <v>ICTF ( to Southport)</v>
      </c>
      <c r="J412" s="13" t="s">
        <v>1202</v>
      </c>
      <c r="K412" s="13" t="str">
        <f>VLOOKUP(J412,'Data-ProjectTypes'!A$3:B$13,2,FALSE)</f>
        <v>Project</v>
      </c>
      <c r="L412" s="21" t="s">
        <v>332</v>
      </c>
      <c r="M412" s="13"/>
      <c r="N412" s="13" t="s">
        <v>196</v>
      </c>
      <c r="O412" s="13" t="s">
        <v>270</v>
      </c>
      <c r="P412" s="13" t="s">
        <v>270</v>
      </c>
      <c r="Q412" s="22"/>
      <c r="R412" s="23">
        <v>5919101</v>
      </c>
      <c r="S412" s="21" t="s">
        <v>24</v>
      </c>
      <c r="T412" s="21"/>
      <c r="U412" s="21"/>
      <c r="V412" s="24"/>
      <c r="W412" s="24" t="s">
        <v>552</v>
      </c>
      <c r="X412" s="24"/>
      <c r="Y412" s="17" t="s">
        <v>538</v>
      </c>
      <c r="Z412" s="18">
        <f>ROUND(R412*'Data-CostAssumptions'!$C$3,-3)</f>
        <v>8192000</v>
      </c>
      <c r="AA412" s="11">
        <f t="shared" si="13"/>
        <v>1</v>
      </c>
      <c r="AB412" s="11">
        <v>2041</v>
      </c>
      <c r="AC412" s="11">
        <v>2041</v>
      </c>
      <c r="AD412" s="11">
        <v>2041</v>
      </c>
      <c r="AE412" s="11">
        <v>2041</v>
      </c>
      <c r="AF412" s="11">
        <v>0</v>
      </c>
      <c r="AG412" s="19">
        <f>ROUND((Z412*'Data-CostAssumptions'!$G$5)*(1+'Data-CostAssumptions'!$G$3)^(AC412-'Data-CostAssumptions'!$G$4),-3)</f>
        <v>4621000</v>
      </c>
      <c r="AH412" s="19">
        <f>ROUND((Z412)*(1+'Data-CostAssumptions'!$G$3)^(AE412-'Data-CostAssumptions'!$G$4),-3)</f>
        <v>21004000</v>
      </c>
    </row>
    <row r="413" spans="1:39" ht="15" customHeight="1" x14ac:dyDescent="0.2">
      <c r="A413" s="11"/>
      <c r="B413" s="11" t="s">
        <v>1211</v>
      </c>
      <c r="C413" s="13">
        <v>197</v>
      </c>
      <c r="D413" s="13" t="s">
        <v>420</v>
      </c>
      <c r="E413" s="20">
        <v>68</v>
      </c>
      <c r="F413" s="20">
        <v>151</v>
      </c>
      <c r="G413" s="20">
        <v>412</v>
      </c>
      <c r="H413" s="13" t="s">
        <v>1770</v>
      </c>
      <c r="I413" s="13" t="str">
        <f t="shared" si="12"/>
        <v>South Miami Rd (Andrews Av to SE 17th St)</v>
      </c>
      <c r="J413" s="13" t="s">
        <v>27</v>
      </c>
      <c r="K413" s="13" t="str">
        <f>VLOOKUP(J413,'Data-ProjectTypes'!A$3:B$13,2,FALSE)</f>
        <v>Program</v>
      </c>
      <c r="L413" s="21" t="s">
        <v>348</v>
      </c>
      <c r="M413" s="13" t="s">
        <v>2014</v>
      </c>
      <c r="N413" s="13" t="s">
        <v>182</v>
      </c>
      <c r="O413" s="13" t="s">
        <v>276</v>
      </c>
      <c r="P413" s="13" t="s">
        <v>276</v>
      </c>
      <c r="Q413" s="22">
        <v>1.1000000000000001</v>
      </c>
      <c r="R413" s="23">
        <v>383102</v>
      </c>
      <c r="S413" s="21"/>
      <c r="T413" s="21"/>
      <c r="U413" s="21"/>
      <c r="V413" s="24"/>
      <c r="W413" s="24"/>
      <c r="X413" s="24"/>
      <c r="Y413" s="17"/>
      <c r="Z413" s="18">
        <f>ROUND(R413*'Data-CostAssumptions'!$C$3,-3)</f>
        <v>530000</v>
      </c>
      <c r="AA413" s="11">
        <f t="shared" si="13"/>
        <v>0</v>
      </c>
      <c r="AB413" s="11">
        <v>2041</v>
      </c>
      <c r="AC413" s="11">
        <v>2041</v>
      </c>
      <c r="AD413" s="11">
        <v>2041</v>
      </c>
      <c r="AE413" s="11">
        <v>2041</v>
      </c>
      <c r="AF413" s="11">
        <v>0</v>
      </c>
      <c r="AG413" s="19">
        <f>ROUND((Z413*'Data-CostAssumptions'!$G$5)*(1+'Data-CostAssumptions'!$G$3)^(AC413-'Data-CostAssumptions'!$G$4),-3)</f>
        <v>299000</v>
      </c>
      <c r="AH413" s="19">
        <f>ROUND((Z413)*(1+'Data-CostAssumptions'!$G$3)^(AE413-'Data-CostAssumptions'!$G$4),-3)</f>
        <v>1359000</v>
      </c>
    </row>
    <row r="414" spans="1:39" ht="15" customHeight="1" x14ac:dyDescent="0.2">
      <c r="A414" s="11"/>
      <c r="B414" s="11" t="s">
        <v>1211</v>
      </c>
      <c r="C414" s="13">
        <v>198</v>
      </c>
      <c r="D414" s="13" t="s">
        <v>420</v>
      </c>
      <c r="E414" s="20">
        <v>71</v>
      </c>
      <c r="F414" s="20">
        <v>151</v>
      </c>
      <c r="G414" s="20">
        <v>413</v>
      </c>
      <c r="H414" s="13" t="s">
        <v>1762</v>
      </c>
      <c r="I414" s="13" t="str">
        <f t="shared" si="12"/>
        <v>Perimeter Rd Loop (Terminal Dr Ramp to Terminal Dr Ramp)</v>
      </c>
      <c r="J414" s="13" t="s">
        <v>27</v>
      </c>
      <c r="K414" s="13" t="str">
        <f>VLOOKUP(J414,'Data-ProjectTypes'!A$3:B$13,2,FALSE)</f>
        <v>Program</v>
      </c>
      <c r="L414" s="21" t="s">
        <v>348</v>
      </c>
      <c r="M414" s="13" t="s">
        <v>2670</v>
      </c>
      <c r="N414" s="13" t="s">
        <v>2670</v>
      </c>
      <c r="O414" s="13" t="s">
        <v>273</v>
      </c>
      <c r="P414" s="13" t="s">
        <v>273</v>
      </c>
      <c r="Q414" s="22">
        <v>5.7</v>
      </c>
      <c r="R414" s="23">
        <v>2043381</v>
      </c>
      <c r="S414" s="21"/>
      <c r="T414" s="21"/>
      <c r="U414" s="21"/>
      <c r="V414" s="24"/>
      <c r="W414" s="24"/>
      <c r="X414" s="24"/>
      <c r="Y414" s="17"/>
      <c r="Z414" s="18">
        <f>ROUND(R414*'Data-CostAssumptions'!$C$3,-3)</f>
        <v>2828000</v>
      </c>
      <c r="AA414" s="11">
        <f t="shared" si="13"/>
        <v>0</v>
      </c>
      <c r="AB414" s="11">
        <v>2041</v>
      </c>
      <c r="AC414" s="11">
        <v>2041</v>
      </c>
      <c r="AD414" s="11">
        <v>2041</v>
      </c>
      <c r="AE414" s="11">
        <v>2041</v>
      </c>
      <c r="AF414" s="11">
        <v>0</v>
      </c>
      <c r="AG414" s="19">
        <f>ROUND((Z414*'Data-CostAssumptions'!$G$5)*(1+'Data-CostAssumptions'!$G$3)^(AC414-'Data-CostAssumptions'!$G$4),-3)</f>
        <v>1595000</v>
      </c>
      <c r="AH414" s="19">
        <f>ROUND((Z414)*(1+'Data-CostAssumptions'!$G$3)^(AE414-'Data-CostAssumptions'!$G$4),-3)</f>
        <v>7251000</v>
      </c>
    </row>
    <row r="415" spans="1:39" ht="15" customHeight="1" x14ac:dyDescent="0.2">
      <c r="A415" s="11"/>
      <c r="B415" s="11" t="s">
        <v>1211</v>
      </c>
      <c r="C415" s="13">
        <v>199</v>
      </c>
      <c r="D415" s="13" t="s">
        <v>420</v>
      </c>
      <c r="E415" s="20">
        <v>92</v>
      </c>
      <c r="F415" s="20">
        <v>151</v>
      </c>
      <c r="G415" s="20">
        <v>414</v>
      </c>
      <c r="H415" s="13" t="s">
        <v>2755</v>
      </c>
      <c r="I415" s="13" t="str">
        <f t="shared" si="12"/>
        <v>SR 811/Dixie Hwy (NE 51st St to McNab Rd/SW 15th St)</v>
      </c>
      <c r="J415" s="13" t="s">
        <v>27</v>
      </c>
      <c r="K415" s="13" t="str">
        <f>VLOOKUP(J415,'Data-ProjectTypes'!A$3:B$13,2,FALSE)</f>
        <v>Program</v>
      </c>
      <c r="L415" s="21" t="s">
        <v>348</v>
      </c>
      <c r="M415" s="13" t="s">
        <v>2529</v>
      </c>
      <c r="N415" s="13" t="s">
        <v>2528</v>
      </c>
      <c r="O415" s="13" t="s">
        <v>270</v>
      </c>
      <c r="P415" s="13" t="s">
        <v>270</v>
      </c>
      <c r="Q415" s="22">
        <v>1.4</v>
      </c>
      <c r="R415" s="23">
        <v>511884</v>
      </c>
      <c r="S415" s="21"/>
      <c r="T415" s="21"/>
      <c r="U415" s="21"/>
      <c r="V415" s="24"/>
      <c r="W415" s="24" t="s">
        <v>696</v>
      </c>
      <c r="X415" s="24"/>
      <c r="Y415" s="17" t="s">
        <v>287</v>
      </c>
      <c r="Z415" s="18">
        <f>ROUND(R415*'Data-CostAssumptions'!$C$3,-3)</f>
        <v>708000</v>
      </c>
      <c r="AA415" s="11">
        <f t="shared" si="13"/>
        <v>1</v>
      </c>
      <c r="AB415" s="11">
        <v>2041</v>
      </c>
      <c r="AC415" s="11">
        <v>2041</v>
      </c>
      <c r="AD415" s="11">
        <v>2041</v>
      </c>
      <c r="AE415" s="11">
        <v>2041</v>
      </c>
      <c r="AF415" s="11">
        <v>0</v>
      </c>
      <c r="AG415" s="19">
        <f>ROUND((Z415*'Data-CostAssumptions'!$G$5)*(1+'Data-CostAssumptions'!$G$3)^(AC415-'Data-CostAssumptions'!$G$4),-3)</f>
        <v>399000</v>
      </c>
      <c r="AH415" s="19">
        <f>ROUND((Z415)*(1+'Data-CostAssumptions'!$G$3)^(AE415-'Data-CostAssumptions'!$G$4),-3)</f>
        <v>1815000</v>
      </c>
    </row>
    <row r="416" spans="1:39" ht="15" customHeight="1" x14ac:dyDescent="0.2">
      <c r="A416" s="11"/>
      <c r="B416" s="11" t="s">
        <v>1211</v>
      </c>
      <c r="C416" s="13">
        <v>200</v>
      </c>
      <c r="D416" s="13" t="s">
        <v>420</v>
      </c>
      <c r="E416" s="20">
        <v>111</v>
      </c>
      <c r="F416" s="20">
        <v>151</v>
      </c>
      <c r="G416" s="20">
        <v>415</v>
      </c>
      <c r="H416" s="13" t="s">
        <v>2755</v>
      </c>
      <c r="I416" s="13" t="str">
        <f t="shared" si="12"/>
        <v>SR 811/Dixie Hwy (Atlantic Bl to NE 10th St)</v>
      </c>
      <c r="J416" s="13" t="s">
        <v>27</v>
      </c>
      <c r="K416" s="13" t="str">
        <f>VLOOKUP(J416,'Data-ProjectTypes'!A$3:B$13,2,FALSE)</f>
        <v>Program</v>
      </c>
      <c r="L416" s="21" t="s">
        <v>348</v>
      </c>
      <c r="M416" s="13" t="s">
        <v>1809</v>
      </c>
      <c r="N416" s="13" t="s">
        <v>1882</v>
      </c>
      <c r="O416" s="13" t="s">
        <v>270</v>
      </c>
      <c r="P416" s="13" t="s">
        <v>270</v>
      </c>
      <c r="Q416" s="22">
        <v>0.7</v>
      </c>
      <c r="R416" s="23">
        <v>240296</v>
      </c>
      <c r="S416" s="21"/>
      <c r="T416" s="21"/>
      <c r="U416" s="21"/>
      <c r="V416" s="24"/>
      <c r="W416" s="24"/>
      <c r="X416" s="24"/>
      <c r="Y416" s="17"/>
      <c r="Z416" s="18">
        <f>ROUND(R416*'Data-CostAssumptions'!$C$3,-3)</f>
        <v>333000</v>
      </c>
      <c r="AA416" s="11">
        <f t="shared" si="13"/>
        <v>0</v>
      </c>
      <c r="AB416" s="11">
        <v>2041</v>
      </c>
      <c r="AC416" s="11">
        <v>2041</v>
      </c>
      <c r="AD416" s="11">
        <v>2041</v>
      </c>
      <c r="AE416" s="11">
        <v>2041</v>
      </c>
      <c r="AF416" s="11">
        <v>0</v>
      </c>
      <c r="AG416" s="19">
        <f>ROUND((Z416*'Data-CostAssumptions'!$G$5)*(1+'Data-CostAssumptions'!$G$3)^(AC416-'Data-CostAssumptions'!$G$4),-3)</f>
        <v>188000</v>
      </c>
      <c r="AH416" s="19">
        <f>ROUND((Z416)*(1+'Data-CostAssumptions'!$G$3)^(AE416-'Data-CostAssumptions'!$G$4),-3)</f>
        <v>854000</v>
      </c>
    </row>
    <row r="417" spans="1:34" ht="15" customHeight="1" x14ac:dyDescent="0.2">
      <c r="A417" s="11"/>
      <c r="B417" s="11" t="s">
        <v>1211</v>
      </c>
      <c r="C417" s="13">
        <v>201</v>
      </c>
      <c r="D417" s="13" t="s">
        <v>420</v>
      </c>
      <c r="E417" s="20">
        <v>114</v>
      </c>
      <c r="F417" s="20">
        <v>151</v>
      </c>
      <c r="G417" s="20">
        <v>416</v>
      </c>
      <c r="H417" s="13" t="s">
        <v>2734</v>
      </c>
      <c r="I417" s="13" t="str">
        <f t="shared" si="12"/>
        <v>SR 814/Atlantic Bl (Dixie Hwy to I-95)</v>
      </c>
      <c r="J417" s="13" t="s">
        <v>27</v>
      </c>
      <c r="K417" s="13" t="str">
        <f>VLOOKUP(J417,'Data-ProjectTypes'!A$3:B$13,2,FALSE)</f>
        <v>Program</v>
      </c>
      <c r="L417" s="21" t="s">
        <v>348</v>
      </c>
      <c r="M417" s="13" t="s">
        <v>728</v>
      </c>
      <c r="N417" s="13" t="s">
        <v>41</v>
      </c>
      <c r="O417" s="13" t="s">
        <v>270</v>
      </c>
      <c r="P417" s="13" t="s">
        <v>270</v>
      </c>
      <c r="Q417" s="22">
        <v>0.6</v>
      </c>
      <c r="R417" s="23">
        <v>229830</v>
      </c>
      <c r="S417" s="21"/>
      <c r="T417" s="21"/>
      <c r="U417" s="21"/>
      <c r="V417" s="24"/>
      <c r="W417" s="24"/>
      <c r="X417" s="24"/>
      <c r="Y417" s="17"/>
      <c r="Z417" s="18">
        <f>ROUND(R417*'Data-CostAssumptions'!$C$3,-3)</f>
        <v>318000</v>
      </c>
      <c r="AA417" s="11">
        <f t="shared" si="13"/>
        <v>0</v>
      </c>
      <c r="AB417" s="11">
        <v>2041</v>
      </c>
      <c r="AC417" s="11">
        <v>2041</v>
      </c>
      <c r="AD417" s="11">
        <v>2041</v>
      </c>
      <c r="AE417" s="11">
        <v>2041</v>
      </c>
      <c r="AF417" s="11">
        <v>0</v>
      </c>
      <c r="AG417" s="19">
        <f>ROUND((Z417*'Data-CostAssumptions'!$G$5)*(1+'Data-CostAssumptions'!$G$3)^(AC417-'Data-CostAssumptions'!$G$4),-3)</f>
        <v>179000</v>
      </c>
      <c r="AH417" s="19">
        <f>ROUND((Z417)*(1+'Data-CostAssumptions'!$G$3)^(AE417-'Data-CostAssumptions'!$G$4),-3)</f>
        <v>815000</v>
      </c>
    </row>
    <row r="418" spans="1:34" ht="15" customHeight="1" x14ac:dyDescent="0.2">
      <c r="A418" s="11"/>
      <c r="B418" s="11" t="s">
        <v>1211</v>
      </c>
      <c r="C418" s="13">
        <v>202</v>
      </c>
      <c r="D418" s="13" t="s">
        <v>420</v>
      </c>
      <c r="E418" s="20">
        <v>134</v>
      </c>
      <c r="F418" s="20">
        <v>151</v>
      </c>
      <c r="G418" s="20">
        <v>417</v>
      </c>
      <c r="H418" s="13" t="s">
        <v>1953</v>
      </c>
      <c r="I418" s="13" t="str">
        <f t="shared" si="12"/>
        <v>Southside of Basin/NW 339th St (NW 31st Av to NW 39th Av)</v>
      </c>
      <c r="J418" s="13" t="s">
        <v>27</v>
      </c>
      <c r="K418" s="13" t="str">
        <f>VLOOKUP(J418,'Data-ProjectTypes'!A$3:B$13,2,FALSE)</f>
        <v>Program</v>
      </c>
      <c r="L418" s="21" t="s">
        <v>348</v>
      </c>
      <c r="M418" s="13" t="s">
        <v>2062</v>
      </c>
      <c r="N418" s="13" t="s">
        <v>2266</v>
      </c>
      <c r="O418" s="13" t="s">
        <v>273</v>
      </c>
      <c r="P418" s="13" t="s">
        <v>273</v>
      </c>
      <c r="Q418" s="22">
        <v>0.9</v>
      </c>
      <c r="R418" s="23">
        <v>326403</v>
      </c>
      <c r="S418" s="21"/>
      <c r="T418" s="21"/>
      <c r="U418" s="21"/>
      <c r="V418" s="24"/>
      <c r="W418" s="24"/>
      <c r="X418" s="24"/>
      <c r="Y418" s="17"/>
      <c r="Z418" s="18">
        <f>ROUND(R418*'Data-CostAssumptions'!$C$3,-3)</f>
        <v>452000</v>
      </c>
      <c r="AA418" s="11">
        <f t="shared" si="13"/>
        <v>0</v>
      </c>
      <c r="AB418" s="11">
        <v>2041</v>
      </c>
      <c r="AC418" s="11">
        <v>2041</v>
      </c>
      <c r="AD418" s="11">
        <v>2041</v>
      </c>
      <c r="AE418" s="11">
        <v>2041</v>
      </c>
      <c r="AF418" s="11">
        <v>0</v>
      </c>
      <c r="AG418" s="19">
        <f>ROUND((Z418*'Data-CostAssumptions'!$G$5)*(1+'Data-CostAssumptions'!$G$3)^(AC418-'Data-CostAssumptions'!$G$4),-3)</f>
        <v>255000</v>
      </c>
      <c r="AH418" s="19">
        <f>ROUND((Z418)*(1+'Data-CostAssumptions'!$G$3)^(AE418-'Data-CostAssumptions'!$G$4),-3)</f>
        <v>1159000</v>
      </c>
    </row>
    <row r="419" spans="1:34" ht="15" customHeight="1" x14ac:dyDescent="0.2">
      <c r="A419" s="11"/>
      <c r="B419" s="11" t="s">
        <v>1211</v>
      </c>
      <c r="C419" s="13">
        <v>203</v>
      </c>
      <c r="D419" s="13" t="s">
        <v>420</v>
      </c>
      <c r="E419" s="20">
        <v>229</v>
      </c>
      <c r="F419" s="20">
        <v>151</v>
      </c>
      <c r="G419" s="20">
        <v>418</v>
      </c>
      <c r="H419" s="13" t="s">
        <v>2064</v>
      </c>
      <c r="I419" s="13" t="str">
        <f t="shared" si="12"/>
        <v>NW 33rd Av/NW 16th St (NW 31st Av to NW 16th St)</v>
      </c>
      <c r="J419" s="13" t="s">
        <v>27</v>
      </c>
      <c r="K419" s="13" t="str">
        <f>VLOOKUP(J419,'Data-ProjectTypes'!A$3:B$13,2,FALSE)</f>
        <v>Program</v>
      </c>
      <c r="L419" s="21" t="s">
        <v>348</v>
      </c>
      <c r="M419" s="13" t="s">
        <v>2062</v>
      </c>
      <c r="N419" s="13" t="s">
        <v>1910</v>
      </c>
      <c r="O419" s="13" t="s">
        <v>273</v>
      </c>
      <c r="P419" s="13" t="s">
        <v>273</v>
      </c>
      <c r="Q419" s="22">
        <v>0.8</v>
      </c>
      <c r="R419" s="23">
        <v>296710</v>
      </c>
      <c r="S419" s="21"/>
      <c r="T419" s="21"/>
      <c r="U419" s="21"/>
      <c r="V419" s="24"/>
      <c r="W419" s="24"/>
      <c r="X419" s="24"/>
      <c r="Y419" s="17"/>
      <c r="Z419" s="18">
        <f>ROUND(R419*'Data-CostAssumptions'!$C$3,-3)</f>
        <v>411000</v>
      </c>
      <c r="AA419" s="11">
        <f t="shared" si="13"/>
        <v>0</v>
      </c>
      <c r="AB419" s="11">
        <v>2041</v>
      </c>
      <c r="AC419" s="11">
        <v>2041</v>
      </c>
      <c r="AD419" s="11">
        <v>2041</v>
      </c>
      <c r="AE419" s="11">
        <v>2041</v>
      </c>
      <c r="AF419" s="11">
        <v>0</v>
      </c>
      <c r="AG419" s="19">
        <f>ROUND((Z419*'Data-CostAssumptions'!$G$5)*(1+'Data-CostAssumptions'!$G$3)^(AC419-'Data-CostAssumptions'!$G$4),-3)</f>
        <v>232000</v>
      </c>
      <c r="AH419" s="19">
        <f>ROUND((Z419)*(1+'Data-CostAssumptions'!$G$3)^(AE419-'Data-CostAssumptions'!$G$4),-3)</f>
        <v>1054000</v>
      </c>
    </row>
    <row r="420" spans="1:34" ht="15" customHeight="1" x14ac:dyDescent="0.2">
      <c r="A420" s="11"/>
      <c r="B420" s="11" t="s">
        <v>1211</v>
      </c>
      <c r="C420" s="13">
        <v>204</v>
      </c>
      <c r="D420" s="13" t="s">
        <v>420</v>
      </c>
      <c r="E420" s="20">
        <v>230</v>
      </c>
      <c r="F420" s="20">
        <v>151</v>
      </c>
      <c r="G420" s="20">
        <v>419</v>
      </c>
      <c r="H420" s="13" t="s">
        <v>2739</v>
      </c>
      <c r="I420" s="13" t="str">
        <f t="shared" si="12"/>
        <v>SR 838/West Sunrise Bl (NW 34th Av to SR 7/US 441)</v>
      </c>
      <c r="J420" s="13" t="s">
        <v>27</v>
      </c>
      <c r="K420" s="13" t="str">
        <f>VLOOKUP(J420,'Data-ProjectTypes'!A$3:B$13,2,FALSE)</f>
        <v>Program</v>
      </c>
      <c r="L420" s="21" t="s">
        <v>348</v>
      </c>
      <c r="M420" s="13" t="s">
        <v>2065</v>
      </c>
      <c r="N420" s="13" t="s">
        <v>57</v>
      </c>
      <c r="O420" s="13" t="s">
        <v>270</v>
      </c>
      <c r="P420" s="13" t="s">
        <v>270</v>
      </c>
      <c r="Q420" s="22">
        <v>0.6</v>
      </c>
      <c r="R420" s="23">
        <v>221410</v>
      </c>
      <c r="S420" s="21"/>
      <c r="T420" s="21"/>
      <c r="U420" s="21"/>
      <c r="V420" s="24"/>
      <c r="W420" s="24"/>
      <c r="X420" s="24"/>
      <c r="Y420" s="17"/>
      <c r="Z420" s="18">
        <f>ROUND(R420*'Data-CostAssumptions'!$C$3,-3)</f>
        <v>306000</v>
      </c>
      <c r="AA420" s="11">
        <f t="shared" si="13"/>
        <v>0</v>
      </c>
      <c r="AB420" s="11">
        <v>2041</v>
      </c>
      <c r="AC420" s="11">
        <v>2041</v>
      </c>
      <c r="AD420" s="11">
        <v>2041</v>
      </c>
      <c r="AE420" s="11">
        <v>2041</v>
      </c>
      <c r="AF420" s="11">
        <v>0</v>
      </c>
      <c r="AG420" s="19">
        <f>ROUND((Z420*'Data-CostAssumptions'!$G$5)*(1+'Data-CostAssumptions'!$G$3)^(AC420-'Data-CostAssumptions'!$G$4),-3)</f>
        <v>173000</v>
      </c>
      <c r="AH420" s="19">
        <f>ROUND((Z420)*(1+'Data-CostAssumptions'!$G$3)^(AE420-'Data-CostAssumptions'!$G$4),-3)</f>
        <v>785000</v>
      </c>
    </row>
    <row r="421" spans="1:34" ht="15" customHeight="1" x14ac:dyDescent="0.2">
      <c r="A421" s="11"/>
      <c r="B421" s="11" t="s">
        <v>1211</v>
      </c>
      <c r="C421" s="13">
        <v>205</v>
      </c>
      <c r="D421" s="13" t="s">
        <v>420</v>
      </c>
      <c r="E421" s="20">
        <v>246</v>
      </c>
      <c r="F421" s="20">
        <v>151</v>
      </c>
      <c r="G421" s="20">
        <v>420</v>
      </c>
      <c r="H421" s="13" t="s">
        <v>2084</v>
      </c>
      <c r="I421" s="13" t="str">
        <f t="shared" si="12"/>
        <v>Peters Rd/SW 42nd Av (SW 42nd Av to SW 12th St)</v>
      </c>
      <c r="J421" s="13" t="s">
        <v>27</v>
      </c>
      <c r="K421" s="13" t="str">
        <f>VLOOKUP(J421,'Data-ProjectTypes'!A$3:B$13,2,FALSE)</f>
        <v>Program</v>
      </c>
      <c r="L421" s="21" t="s">
        <v>348</v>
      </c>
      <c r="M421" s="13" t="s">
        <v>2347</v>
      </c>
      <c r="N421" s="13" t="s">
        <v>2550</v>
      </c>
      <c r="O421" s="13" t="s">
        <v>273</v>
      </c>
      <c r="P421" s="13" t="s">
        <v>273</v>
      </c>
      <c r="Q421" s="22">
        <v>0.5</v>
      </c>
      <c r="R421" s="23">
        <v>191049</v>
      </c>
      <c r="S421" s="21"/>
      <c r="T421" s="21"/>
      <c r="U421" s="21"/>
      <c r="V421" s="24"/>
      <c r="W421" s="24"/>
      <c r="X421" s="24"/>
      <c r="Y421" s="17"/>
      <c r="Z421" s="18">
        <f>ROUND(R421*'Data-CostAssumptions'!$C$3,-3)</f>
        <v>264000</v>
      </c>
      <c r="AA421" s="11">
        <f t="shared" si="13"/>
        <v>0</v>
      </c>
      <c r="AB421" s="11">
        <v>2041</v>
      </c>
      <c r="AC421" s="11">
        <v>2041</v>
      </c>
      <c r="AD421" s="11">
        <v>2041</v>
      </c>
      <c r="AE421" s="11">
        <v>2041</v>
      </c>
      <c r="AF421" s="11">
        <v>0</v>
      </c>
      <c r="AG421" s="19">
        <f>ROUND((Z421*'Data-CostAssumptions'!$G$5)*(1+'Data-CostAssumptions'!$G$3)^(AC421-'Data-CostAssumptions'!$G$4),-3)</f>
        <v>149000</v>
      </c>
      <c r="AH421" s="19">
        <f>ROUND((Z421)*(1+'Data-CostAssumptions'!$G$3)^(AE421-'Data-CostAssumptions'!$G$4),-3)</f>
        <v>677000</v>
      </c>
    </row>
    <row r="422" spans="1:34" ht="15" customHeight="1" x14ac:dyDescent="0.2">
      <c r="A422" s="11"/>
      <c r="B422" s="11" t="s">
        <v>1211</v>
      </c>
      <c r="C422" s="13">
        <v>206</v>
      </c>
      <c r="D422" s="13" t="s">
        <v>420</v>
      </c>
      <c r="E422" s="20">
        <v>255</v>
      </c>
      <c r="F422" s="20">
        <v>151</v>
      </c>
      <c r="G422" s="20">
        <v>421</v>
      </c>
      <c r="H422" s="13" t="s">
        <v>1897</v>
      </c>
      <c r="I422" s="13" t="str">
        <f t="shared" si="12"/>
        <v>NE 4th St (NE 12th Av to NW 1st Av)</v>
      </c>
      <c r="J422" s="13" t="s">
        <v>27</v>
      </c>
      <c r="K422" s="13" t="str">
        <f>VLOOKUP(J422,'Data-ProjectTypes'!A$3:B$13,2,FALSE)</f>
        <v>Program</v>
      </c>
      <c r="L422" s="21" t="s">
        <v>348</v>
      </c>
      <c r="M422" s="13" t="s">
        <v>2363</v>
      </c>
      <c r="N422" s="13" t="s">
        <v>2056</v>
      </c>
      <c r="O422" s="13" t="s">
        <v>276</v>
      </c>
      <c r="P422" s="13" t="s">
        <v>276</v>
      </c>
      <c r="Q422" s="22">
        <v>0.6</v>
      </c>
      <c r="R422" s="23">
        <v>229093</v>
      </c>
      <c r="S422" s="21"/>
      <c r="T422" s="21"/>
      <c r="U422" s="21"/>
      <c r="V422" s="24"/>
      <c r="W422" s="24"/>
      <c r="X422" s="24"/>
      <c r="Y422" s="17"/>
      <c r="Z422" s="18">
        <f>ROUND(R422*'Data-CostAssumptions'!$C$3,-3)</f>
        <v>317000</v>
      </c>
      <c r="AA422" s="11">
        <f t="shared" si="13"/>
        <v>0</v>
      </c>
      <c r="AB422" s="11">
        <v>2041</v>
      </c>
      <c r="AC422" s="11">
        <v>2041</v>
      </c>
      <c r="AD422" s="11">
        <v>2041</v>
      </c>
      <c r="AE422" s="11">
        <v>2041</v>
      </c>
      <c r="AF422" s="11">
        <v>0</v>
      </c>
      <c r="AG422" s="19">
        <f>ROUND((Z422*'Data-CostAssumptions'!$G$5)*(1+'Data-CostAssumptions'!$G$3)^(AC422-'Data-CostAssumptions'!$G$4),-3)</f>
        <v>179000</v>
      </c>
      <c r="AH422" s="19">
        <f>ROUND((Z422)*(1+'Data-CostAssumptions'!$G$3)^(AE422-'Data-CostAssumptions'!$G$4),-3)</f>
        <v>813000</v>
      </c>
    </row>
    <row r="423" spans="1:34" ht="15" customHeight="1" x14ac:dyDescent="0.2">
      <c r="A423" s="11"/>
      <c r="B423" s="11" t="s">
        <v>1211</v>
      </c>
      <c r="C423" s="13">
        <v>207</v>
      </c>
      <c r="D423" s="13" t="s">
        <v>420</v>
      </c>
      <c r="E423" s="20">
        <v>293</v>
      </c>
      <c r="F423" s="20">
        <v>151</v>
      </c>
      <c r="G423" s="20">
        <v>422</v>
      </c>
      <c r="H423" s="13" t="s">
        <v>2787</v>
      </c>
      <c r="I423" s="13" t="str">
        <f t="shared" si="12"/>
        <v>SR 822/Sheridan St (East of SE 3rd Av to US 1/Federal Hwy)</v>
      </c>
      <c r="J423" s="13" t="s">
        <v>27</v>
      </c>
      <c r="K423" s="13" t="str">
        <f>VLOOKUP(J423,'Data-ProjectTypes'!A$3:B$13,2,FALSE)</f>
        <v>Program</v>
      </c>
      <c r="L423" s="21" t="s">
        <v>348</v>
      </c>
      <c r="M423" s="13" t="s">
        <v>2344</v>
      </c>
      <c r="N423" s="13" t="s">
        <v>2594</v>
      </c>
      <c r="O423" s="13" t="s">
        <v>270</v>
      </c>
      <c r="P423" s="13" t="s">
        <v>270</v>
      </c>
      <c r="Q423" s="22">
        <v>0.3</v>
      </c>
      <c r="R423" s="23">
        <v>104043</v>
      </c>
      <c r="S423" s="21"/>
      <c r="T423" s="21"/>
      <c r="U423" s="21"/>
      <c r="V423" s="24"/>
      <c r="W423" s="24"/>
      <c r="X423" s="24"/>
      <c r="Y423" s="17"/>
      <c r="Z423" s="18">
        <f>ROUND(R423*'Data-CostAssumptions'!$C$3,-3)</f>
        <v>144000</v>
      </c>
      <c r="AA423" s="11">
        <f t="shared" si="13"/>
        <v>0</v>
      </c>
      <c r="AB423" s="11">
        <v>2041</v>
      </c>
      <c r="AC423" s="11">
        <v>2041</v>
      </c>
      <c r="AD423" s="11">
        <v>2041</v>
      </c>
      <c r="AE423" s="11">
        <v>2041</v>
      </c>
      <c r="AF423" s="11">
        <v>0</v>
      </c>
      <c r="AG423" s="19">
        <f>ROUND((Z423*'Data-CostAssumptions'!$G$5)*(1+'Data-CostAssumptions'!$G$3)^(AC423-'Data-CostAssumptions'!$G$4),-3)</f>
        <v>81000</v>
      </c>
      <c r="AH423" s="19">
        <f>ROUND((Z423)*(1+'Data-CostAssumptions'!$G$3)^(AE423-'Data-CostAssumptions'!$G$4),-3)</f>
        <v>369000</v>
      </c>
    </row>
    <row r="424" spans="1:34" ht="15" customHeight="1" x14ac:dyDescent="0.2">
      <c r="A424" s="11"/>
      <c r="B424" s="11" t="s">
        <v>1211</v>
      </c>
      <c r="C424" s="13">
        <v>208</v>
      </c>
      <c r="D424" s="13" t="s">
        <v>420</v>
      </c>
      <c r="E424" s="20">
        <v>295</v>
      </c>
      <c r="F424" s="20">
        <v>151</v>
      </c>
      <c r="G424" s="20">
        <v>423</v>
      </c>
      <c r="H424" s="13" t="s">
        <v>2127</v>
      </c>
      <c r="I424" s="13" t="str">
        <f t="shared" si="12"/>
        <v>SW 4th Av (Park Lane to SR 84)</v>
      </c>
      <c r="J424" s="13" t="s">
        <v>27</v>
      </c>
      <c r="K424" s="13" t="str">
        <f>VLOOKUP(J424,'Data-ProjectTypes'!A$3:B$13,2,FALSE)</f>
        <v>Program</v>
      </c>
      <c r="L424" s="21" t="s">
        <v>348</v>
      </c>
      <c r="M424" s="13" t="s">
        <v>211</v>
      </c>
      <c r="N424" s="13" t="s">
        <v>45</v>
      </c>
      <c r="O424" s="13" t="s">
        <v>273</v>
      </c>
      <c r="P424" s="13" t="s">
        <v>273</v>
      </c>
      <c r="Q424" s="22">
        <v>0.5</v>
      </c>
      <c r="R424" s="23">
        <v>173442</v>
      </c>
      <c r="S424" s="21"/>
      <c r="T424" s="21"/>
      <c r="U424" s="21"/>
      <c r="V424" s="24"/>
      <c r="W424" s="24"/>
      <c r="X424" s="24"/>
      <c r="Y424" s="17"/>
      <c r="Z424" s="18">
        <f>ROUND(R424*'Data-CostAssumptions'!$C$3,-3)</f>
        <v>240000</v>
      </c>
      <c r="AA424" s="11">
        <f t="shared" si="13"/>
        <v>0</v>
      </c>
      <c r="AB424" s="11">
        <v>2041</v>
      </c>
      <c r="AC424" s="11">
        <v>2041</v>
      </c>
      <c r="AD424" s="11">
        <v>2041</v>
      </c>
      <c r="AE424" s="11">
        <v>2041</v>
      </c>
      <c r="AF424" s="11">
        <v>0</v>
      </c>
      <c r="AG424" s="19">
        <f>ROUND((Z424*'Data-CostAssumptions'!$G$5)*(1+'Data-CostAssumptions'!$G$3)^(AC424-'Data-CostAssumptions'!$G$4),-3)</f>
        <v>135000</v>
      </c>
      <c r="AH424" s="19">
        <f>ROUND((Z424)*(1+'Data-CostAssumptions'!$G$3)^(AE424-'Data-CostAssumptions'!$G$4),-3)</f>
        <v>615000</v>
      </c>
    </row>
    <row r="425" spans="1:34" ht="15" customHeight="1" x14ac:dyDescent="0.2">
      <c r="A425" s="11"/>
      <c r="B425" s="11" t="s">
        <v>1211</v>
      </c>
      <c r="C425" s="13">
        <v>209</v>
      </c>
      <c r="D425" s="13" t="s">
        <v>420</v>
      </c>
      <c r="E425" s="20">
        <v>297</v>
      </c>
      <c r="F425" s="20">
        <v>151</v>
      </c>
      <c r="G425" s="20">
        <v>424</v>
      </c>
      <c r="H425" s="13" t="s">
        <v>2118</v>
      </c>
      <c r="I425" s="13" t="str">
        <f t="shared" si="12"/>
        <v>SW 2nd Av (South End of SW 2nd Av to SW 17th St)</v>
      </c>
      <c r="J425" s="13" t="s">
        <v>27</v>
      </c>
      <c r="K425" s="13" t="str">
        <f>VLOOKUP(J425,'Data-ProjectTypes'!A$3:B$13,2,FALSE)</f>
        <v>Program</v>
      </c>
      <c r="L425" s="21" t="s">
        <v>348</v>
      </c>
      <c r="M425" s="13" t="s">
        <v>2392</v>
      </c>
      <c r="N425" s="13" t="s">
        <v>2576</v>
      </c>
      <c r="O425" s="13" t="s">
        <v>276</v>
      </c>
      <c r="P425" s="13" t="s">
        <v>276</v>
      </c>
      <c r="Q425" s="22">
        <v>0.1</v>
      </c>
      <c r="R425" s="23">
        <v>49023</v>
      </c>
      <c r="S425" s="21"/>
      <c r="T425" s="21"/>
      <c r="U425" s="21"/>
      <c r="V425" s="24"/>
      <c r="W425" s="24"/>
      <c r="X425" s="24"/>
      <c r="Y425" s="17"/>
      <c r="Z425" s="18">
        <f>ROUND(R425*'Data-CostAssumptions'!$C$3,-3)</f>
        <v>68000</v>
      </c>
      <c r="AA425" s="11">
        <f t="shared" si="13"/>
        <v>0</v>
      </c>
      <c r="AB425" s="11">
        <v>2041</v>
      </c>
      <c r="AC425" s="11">
        <v>2041</v>
      </c>
      <c r="AD425" s="11">
        <v>2041</v>
      </c>
      <c r="AE425" s="11">
        <v>2041</v>
      </c>
      <c r="AF425" s="11">
        <v>0</v>
      </c>
      <c r="AG425" s="19">
        <f>ROUND((Z425*'Data-CostAssumptions'!$G$5)*(1+'Data-CostAssumptions'!$G$3)^(AC425-'Data-CostAssumptions'!$G$4),-3)</f>
        <v>38000</v>
      </c>
      <c r="AH425" s="19">
        <f>ROUND((Z425)*(1+'Data-CostAssumptions'!$G$3)^(AE425-'Data-CostAssumptions'!$G$4),-3)</f>
        <v>174000</v>
      </c>
    </row>
    <row r="426" spans="1:34" ht="15" customHeight="1" x14ac:dyDescent="0.2">
      <c r="A426" s="11"/>
      <c r="B426" s="11" t="s">
        <v>1211</v>
      </c>
      <c r="C426" s="13">
        <v>210</v>
      </c>
      <c r="D426" s="13" t="s">
        <v>420</v>
      </c>
      <c r="E426" s="20">
        <v>310</v>
      </c>
      <c r="F426" s="20">
        <v>151</v>
      </c>
      <c r="G426" s="20">
        <v>425</v>
      </c>
      <c r="H426" s="13" t="s">
        <v>2085</v>
      </c>
      <c r="I426" s="13" t="str">
        <f t="shared" si="12"/>
        <v>Progresso Dr/NE 3rd Av (Flagler Dr to NE 9th St)</v>
      </c>
      <c r="J426" s="13" t="s">
        <v>27</v>
      </c>
      <c r="K426" s="13" t="str">
        <f>VLOOKUP(J426,'Data-ProjectTypes'!A$3:B$13,2,FALSE)</f>
        <v>Program</v>
      </c>
      <c r="L426" s="21" t="s">
        <v>348</v>
      </c>
      <c r="M426" s="13" t="s">
        <v>2672</v>
      </c>
      <c r="N426" s="13" t="s">
        <v>2505</v>
      </c>
      <c r="O426" s="13" t="s">
        <v>273</v>
      </c>
      <c r="P426" s="13" t="s">
        <v>273</v>
      </c>
      <c r="Q426" s="22">
        <v>0.1</v>
      </c>
      <c r="R426" s="23">
        <v>26007</v>
      </c>
      <c r="S426" s="21"/>
      <c r="T426" s="21"/>
      <c r="U426" s="21"/>
      <c r="V426" s="24"/>
      <c r="W426" s="24"/>
      <c r="X426" s="24"/>
      <c r="Y426" s="17"/>
      <c r="Z426" s="18">
        <f>ROUND(R426*'Data-CostAssumptions'!$C$3,-3)</f>
        <v>36000</v>
      </c>
      <c r="AA426" s="11">
        <f t="shared" si="13"/>
        <v>0</v>
      </c>
      <c r="AB426" s="11">
        <v>2041</v>
      </c>
      <c r="AC426" s="11">
        <v>2041</v>
      </c>
      <c r="AD426" s="11">
        <v>2041</v>
      </c>
      <c r="AE426" s="11">
        <v>2041</v>
      </c>
      <c r="AF426" s="11">
        <v>0</v>
      </c>
      <c r="AG426" s="19">
        <f>ROUND((Z426*'Data-CostAssumptions'!$G$5)*(1+'Data-CostAssumptions'!$G$3)^(AC426-'Data-CostAssumptions'!$G$4),-3)</f>
        <v>20000</v>
      </c>
      <c r="AH426" s="19">
        <f>ROUND((Z426)*(1+'Data-CostAssumptions'!$G$3)^(AE426-'Data-CostAssumptions'!$G$4),-3)</f>
        <v>92000</v>
      </c>
    </row>
    <row r="427" spans="1:34" ht="15" customHeight="1" x14ac:dyDescent="0.2">
      <c r="A427" s="11"/>
      <c r="B427" s="11" t="s">
        <v>1211</v>
      </c>
      <c r="C427" s="13">
        <v>212</v>
      </c>
      <c r="D427" s="13" t="s">
        <v>420</v>
      </c>
      <c r="E427" s="20">
        <v>322</v>
      </c>
      <c r="F427" s="20">
        <v>151</v>
      </c>
      <c r="G427" s="20">
        <v>426</v>
      </c>
      <c r="H427" s="13" t="s">
        <v>2023</v>
      </c>
      <c r="I427" s="13" t="str">
        <f t="shared" si="12"/>
        <v>NE 14th Way/NE 13th Av (Commercial Bl to NE 53rd St)</v>
      </c>
      <c r="J427" s="13" t="s">
        <v>27</v>
      </c>
      <c r="K427" s="13" t="str">
        <f>VLOOKUP(J427,'Data-ProjectTypes'!A$3:B$13,2,FALSE)</f>
        <v>Program</v>
      </c>
      <c r="L427" s="21" t="s">
        <v>348</v>
      </c>
      <c r="M427" s="13" t="s">
        <v>1813</v>
      </c>
      <c r="N427" s="13" t="s">
        <v>2504</v>
      </c>
      <c r="O427" s="13" t="s">
        <v>270</v>
      </c>
      <c r="P427" s="13" t="s">
        <v>270</v>
      </c>
      <c r="Q427" s="22">
        <v>0.4</v>
      </c>
      <c r="R427" s="23">
        <v>145571</v>
      </c>
      <c r="S427" s="21"/>
      <c r="T427" s="21"/>
      <c r="U427" s="21"/>
      <c r="V427" s="24"/>
      <c r="W427" s="24" t="s">
        <v>696</v>
      </c>
      <c r="X427" s="24"/>
      <c r="Y427" s="17" t="s">
        <v>287</v>
      </c>
      <c r="Z427" s="18">
        <f>ROUND(R427*'Data-CostAssumptions'!$C$3,-3)</f>
        <v>201000</v>
      </c>
      <c r="AA427" s="11">
        <f t="shared" si="13"/>
        <v>1</v>
      </c>
      <c r="AB427" s="11">
        <v>2041</v>
      </c>
      <c r="AC427" s="11">
        <v>2041</v>
      </c>
      <c r="AD427" s="11">
        <v>2041</v>
      </c>
      <c r="AE427" s="11">
        <v>2041</v>
      </c>
      <c r="AF427" s="11">
        <v>0</v>
      </c>
      <c r="AG427" s="19">
        <f>ROUND((Z427*'Data-CostAssumptions'!$G$5)*(1+'Data-CostAssumptions'!$G$3)^(AC427-'Data-CostAssumptions'!$G$4),-3)</f>
        <v>113000</v>
      </c>
      <c r="AH427" s="19">
        <f>ROUND((Z427)*(1+'Data-CostAssumptions'!$G$3)^(AE427-'Data-CostAssumptions'!$G$4),-3)</f>
        <v>515000</v>
      </c>
    </row>
    <row r="428" spans="1:34" ht="15" customHeight="1" x14ac:dyDescent="0.2">
      <c r="A428" s="11"/>
      <c r="B428" s="11" t="s">
        <v>1211</v>
      </c>
      <c r="C428" s="13">
        <v>213</v>
      </c>
      <c r="D428" s="13" t="s">
        <v>420</v>
      </c>
      <c r="E428" s="20">
        <v>351</v>
      </c>
      <c r="F428" s="20">
        <v>152</v>
      </c>
      <c r="G428" s="20">
        <v>427</v>
      </c>
      <c r="H428" s="13" t="s">
        <v>1916</v>
      </c>
      <c r="I428" s="13" t="str">
        <f t="shared" si="12"/>
        <v>NW 36th St (SR 7/US 441 to NW 43rd Av)</v>
      </c>
      <c r="J428" s="13" t="s">
        <v>27</v>
      </c>
      <c r="K428" s="13" t="str">
        <f>VLOOKUP(J428,'Data-ProjectTypes'!A$3:B$13,2,FALSE)</f>
        <v>Program</v>
      </c>
      <c r="L428" s="21" t="s">
        <v>348</v>
      </c>
      <c r="M428" s="13" t="s">
        <v>57</v>
      </c>
      <c r="N428" s="13" t="s">
        <v>2068</v>
      </c>
      <c r="O428" s="13" t="s">
        <v>270</v>
      </c>
      <c r="P428" s="13" t="s">
        <v>270</v>
      </c>
      <c r="Q428" s="22">
        <v>0.2</v>
      </c>
      <c r="R428" s="23">
        <v>68762</v>
      </c>
      <c r="S428" s="21"/>
      <c r="T428" s="21"/>
      <c r="U428" s="21"/>
      <c r="V428" s="24"/>
      <c r="W428" s="24"/>
      <c r="X428" s="24"/>
      <c r="Y428" s="17"/>
      <c r="Z428" s="18">
        <f>ROUND(R428*'Data-CostAssumptions'!$C$3,-3)</f>
        <v>95000</v>
      </c>
      <c r="AA428" s="11">
        <f t="shared" si="13"/>
        <v>0</v>
      </c>
      <c r="AB428" s="11">
        <v>2041</v>
      </c>
      <c r="AC428" s="11">
        <v>2041</v>
      </c>
      <c r="AD428" s="11">
        <v>2041</v>
      </c>
      <c r="AE428" s="11">
        <v>2041</v>
      </c>
      <c r="AF428" s="11">
        <v>0</v>
      </c>
      <c r="AG428" s="19">
        <f>ROUND((Z428*'Data-CostAssumptions'!$G$5)*(1+'Data-CostAssumptions'!$G$3)^(AC428-'Data-CostAssumptions'!$G$4),-3)</f>
        <v>54000</v>
      </c>
      <c r="AH428" s="19">
        <f>ROUND((Z428)*(1+'Data-CostAssumptions'!$G$3)^(AE428-'Data-CostAssumptions'!$G$4),-3)</f>
        <v>244000</v>
      </c>
    </row>
    <row r="429" spans="1:34" ht="15" customHeight="1" x14ac:dyDescent="0.2">
      <c r="A429" s="11"/>
      <c r="B429" s="11" t="s">
        <v>1211</v>
      </c>
      <c r="C429" s="13">
        <v>214</v>
      </c>
      <c r="D429" s="13" t="s">
        <v>420</v>
      </c>
      <c r="E429" s="20">
        <v>356</v>
      </c>
      <c r="F429" s="20">
        <v>152</v>
      </c>
      <c r="G429" s="20">
        <v>428</v>
      </c>
      <c r="H429" s="13" t="s">
        <v>57</v>
      </c>
      <c r="I429" s="13" t="str">
        <f t="shared" si="12"/>
        <v>SR 7/US 441 (NW 3rd St to NW 8th Place)</v>
      </c>
      <c r="J429" s="13" t="s">
        <v>27</v>
      </c>
      <c r="K429" s="13" t="str">
        <f>VLOOKUP(J429,'Data-ProjectTypes'!A$3:B$13,2,FALSE)</f>
        <v>Program</v>
      </c>
      <c r="L429" s="21" t="s">
        <v>348</v>
      </c>
      <c r="M429" s="13" t="s">
        <v>2533</v>
      </c>
      <c r="N429" s="13" t="s">
        <v>122</v>
      </c>
      <c r="O429" s="13" t="s">
        <v>270</v>
      </c>
      <c r="P429" s="13" t="s">
        <v>270</v>
      </c>
      <c r="Q429" s="22">
        <v>0.7</v>
      </c>
      <c r="R429" s="23">
        <v>251577</v>
      </c>
      <c r="S429" s="21"/>
      <c r="T429" s="21"/>
      <c r="U429" s="21"/>
      <c r="V429" s="24"/>
      <c r="W429" s="24"/>
      <c r="X429" s="24"/>
      <c r="Y429" s="17"/>
      <c r="Z429" s="18">
        <f>ROUND(R429*'Data-CostAssumptions'!$C$3,-3)</f>
        <v>348000</v>
      </c>
      <c r="AA429" s="11">
        <f t="shared" si="13"/>
        <v>0</v>
      </c>
      <c r="AB429" s="11">
        <v>2041</v>
      </c>
      <c r="AC429" s="11">
        <v>2041</v>
      </c>
      <c r="AD429" s="11">
        <v>2041</v>
      </c>
      <c r="AE429" s="11">
        <v>2041</v>
      </c>
      <c r="AF429" s="11">
        <v>0</v>
      </c>
      <c r="AG429" s="19">
        <f>ROUND((Z429*'Data-CostAssumptions'!$G$5)*(1+'Data-CostAssumptions'!$G$3)^(AC429-'Data-CostAssumptions'!$G$4),-3)</f>
        <v>196000</v>
      </c>
      <c r="AH429" s="19">
        <f>ROUND((Z429)*(1+'Data-CostAssumptions'!$G$3)^(AE429-'Data-CostAssumptions'!$G$4),-3)</f>
        <v>892000</v>
      </c>
    </row>
    <row r="430" spans="1:34" ht="15" customHeight="1" x14ac:dyDescent="0.2">
      <c r="A430" s="11"/>
      <c r="B430" s="11" t="s">
        <v>1211</v>
      </c>
      <c r="C430" s="13">
        <v>215</v>
      </c>
      <c r="D430" s="13" t="s">
        <v>420</v>
      </c>
      <c r="E430" s="20">
        <v>364</v>
      </c>
      <c r="F430" s="20">
        <v>152</v>
      </c>
      <c r="G430" s="20">
        <v>429</v>
      </c>
      <c r="H430" s="13" t="s">
        <v>2097</v>
      </c>
      <c r="I430" s="13" t="str">
        <f t="shared" si="12"/>
        <v>South Andrews Av (New River Dr to Las Olas Bl)</v>
      </c>
      <c r="J430" s="13" t="s">
        <v>27</v>
      </c>
      <c r="K430" s="13" t="str">
        <f>VLOOKUP(J430,'Data-ProjectTypes'!A$3:B$13,2,FALSE)</f>
        <v>Program</v>
      </c>
      <c r="L430" s="21" t="s">
        <v>348</v>
      </c>
      <c r="M430" s="13" t="s">
        <v>2645</v>
      </c>
      <c r="N430" s="13" t="s">
        <v>1823</v>
      </c>
      <c r="O430" s="13" t="s">
        <v>273</v>
      </c>
      <c r="P430" s="13" t="s">
        <v>273</v>
      </c>
      <c r="Q430" s="22">
        <v>0.1</v>
      </c>
      <c r="R430" s="23">
        <v>41532</v>
      </c>
      <c r="S430" s="21"/>
      <c r="T430" s="21"/>
      <c r="U430" s="21"/>
      <c r="V430" s="24"/>
      <c r="W430" s="24"/>
      <c r="X430" s="24"/>
      <c r="Y430" s="17"/>
      <c r="Z430" s="18">
        <f>ROUND(R430*'Data-CostAssumptions'!$C$3,-3)</f>
        <v>57000</v>
      </c>
      <c r="AA430" s="11">
        <f t="shared" si="13"/>
        <v>0</v>
      </c>
      <c r="AB430" s="11">
        <v>2041</v>
      </c>
      <c r="AC430" s="11">
        <v>2041</v>
      </c>
      <c r="AD430" s="11">
        <v>2041</v>
      </c>
      <c r="AE430" s="11">
        <v>2041</v>
      </c>
      <c r="AF430" s="11">
        <v>0</v>
      </c>
      <c r="AG430" s="19">
        <f>ROUND((Z430*'Data-CostAssumptions'!$G$5)*(1+'Data-CostAssumptions'!$G$3)^(AC430-'Data-CostAssumptions'!$G$4),-3)</f>
        <v>32000</v>
      </c>
      <c r="AH430" s="19">
        <f>ROUND((Z430)*(1+'Data-CostAssumptions'!$G$3)^(AE430-'Data-CostAssumptions'!$G$4),-3)</f>
        <v>146000</v>
      </c>
    </row>
    <row r="431" spans="1:34" ht="15" customHeight="1" x14ac:dyDescent="0.2">
      <c r="A431" s="11"/>
      <c r="B431" s="11" t="s">
        <v>1211</v>
      </c>
      <c r="C431" s="13">
        <v>216</v>
      </c>
      <c r="D431" s="13" t="s">
        <v>420</v>
      </c>
      <c r="E431" s="20">
        <v>380</v>
      </c>
      <c r="F431" s="20">
        <v>152</v>
      </c>
      <c r="G431" s="20">
        <v>430</v>
      </c>
      <c r="H431" s="13" t="s">
        <v>1900</v>
      </c>
      <c r="I431" s="13" t="str">
        <f t="shared" si="12"/>
        <v>NE 62nd St (Just east of Corporate Dr to I-95 Ramp)</v>
      </c>
      <c r="J431" s="13" t="s">
        <v>27</v>
      </c>
      <c r="K431" s="13" t="str">
        <f>VLOOKUP(J431,'Data-ProjectTypes'!A$3:B$13,2,FALSE)</f>
        <v>Program</v>
      </c>
      <c r="L431" s="21" t="s">
        <v>348</v>
      </c>
      <c r="M431" s="13" t="s">
        <v>2660</v>
      </c>
      <c r="N431" s="13" t="s">
        <v>142</v>
      </c>
      <c r="O431" s="13" t="s">
        <v>273</v>
      </c>
      <c r="P431" s="13" t="s">
        <v>273</v>
      </c>
      <c r="Q431" s="22">
        <v>0.1</v>
      </c>
      <c r="R431" s="23">
        <v>26244</v>
      </c>
      <c r="S431" s="21"/>
      <c r="T431" s="21"/>
      <c r="U431" s="21"/>
      <c r="V431" s="24"/>
      <c r="W431" s="24" t="s">
        <v>696</v>
      </c>
      <c r="X431" s="24"/>
      <c r="Y431" s="17" t="s">
        <v>287</v>
      </c>
      <c r="Z431" s="18">
        <f>ROUND(R431*'Data-CostAssumptions'!$C$3,-3)</f>
        <v>36000</v>
      </c>
      <c r="AA431" s="11">
        <f t="shared" si="13"/>
        <v>1</v>
      </c>
      <c r="AB431" s="11">
        <v>2041</v>
      </c>
      <c r="AC431" s="11">
        <v>2041</v>
      </c>
      <c r="AD431" s="11">
        <v>2041</v>
      </c>
      <c r="AE431" s="11">
        <v>2041</v>
      </c>
      <c r="AF431" s="11">
        <v>0</v>
      </c>
      <c r="AG431" s="19">
        <f>ROUND((Z431*'Data-CostAssumptions'!$G$5)*(1+'Data-CostAssumptions'!$G$3)^(AC431-'Data-CostAssumptions'!$G$4),-3)</f>
        <v>20000</v>
      </c>
      <c r="AH431" s="19">
        <f>ROUND((Z431)*(1+'Data-CostAssumptions'!$G$3)^(AE431-'Data-CostAssumptions'!$G$4),-3)</f>
        <v>92000</v>
      </c>
    </row>
    <row r="432" spans="1:34" ht="15" customHeight="1" x14ac:dyDescent="0.2">
      <c r="A432" s="11"/>
      <c r="B432" s="11" t="s">
        <v>1211</v>
      </c>
      <c r="C432" s="13">
        <v>217</v>
      </c>
      <c r="D432" s="13" t="s">
        <v>420</v>
      </c>
      <c r="E432" s="20">
        <v>385</v>
      </c>
      <c r="F432" s="20">
        <v>152</v>
      </c>
      <c r="G432" s="20">
        <v>431</v>
      </c>
      <c r="H432" s="13" t="s">
        <v>1902</v>
      </c>
      <c r="I432" s="13" t="str">
        <f t="shared" si="12"/>
        <v>NE 6th St (NE 3rd Av to Just west of Flagler Av)</v>
      </c>
      <c r="J432" s="13" t="s">
        <v>27</v>
      </c>
      <c r="K432" s="13" t="str">
        <f>VLOOKUP(J432,'Data-ProjectTypes'!A$3:B$13,2,FALSE)</f>
        <v>Program</v>
      </c>
      <c r="L432" s="21" t="s">
        <v>348</v>
      </c>
      <c r="M432" s="13" t="s">
        <v>2033</v>
      </c>
      <c r="N432" s="13" t="s">
        <v>2237</v>
      </c>
      <c r="O432" s="13" t="s">
        <v>275</v>
      </c>
      <c r="P432" s="13" t="s">
        <v>275</v>
      </c>
      <c r="Q432" s="22">
        <v>0.2</v>
      </c>
      <c r="R432" s="23">
        <v>77312</v>
      </c>
      <c r="S432" s="21"/>
      <c r="T432" s="21"/>
      <c r="U432" s="21"/>
      <c r="V432" s="24"/>
      <c r="W432" s="24"/>
      <c r="X432" s="24" t="s">
        <v>764</v>
      </c>
      <c r="Y432" s="17" t="s">
        <v>765</v>
      </c>
      <c r="Z432" s="18">
        <f>ROUND(R432*'Data-CostAssumptions'!$C$3,-3)</f>
        <v>107000</v>
      </c>
      <c r="AA432" s="11">
        <f t="shared" si="13"/>
        <v>0</v>
      </c>
      <c r="AB432" s="11">
        <v>2041</v>
      </c>
      <c r="AC432" s="11">
        <v>2041</v>
      </c>
      <c r="AD432" s="11">
        <v>2041</v>
      </c>
      <c r="AE432" s="11">
        <v>2041</v>
      </c>
      <c r="AF432" s="11">
        <v>0</v>
      </c>
      <c r="AG432" s="19">
        <f>ROUND((Z432*'Data-CostAssumptions'!$G$5)*(1+'Data-CostAssumptions'!$G$3)^(AC432-'Data-CostAssumptions'!$G$4),-3)</f>
        <v>60000</v>
      </c>
      <c r="AH432" s="19">
        <f>ROUND((Z432)*(1+'Data-CostAssumptions'!$G$3)^(AE432-'Data-CostAssumptions'!$G$4),-3)</f>
        <v>274000</v>
      </c>
    </row>
    <row r="433" spans="1:34" ht="15" customHeight="1" x14ac:dyDescent="0.2">
      <c r="A433" s="11"/>
      <c r="B433" s="11" t="s">
        <v>1211</v>
      </c>
      <c r="C433" s="13">
        <v>218</v>
      </c>
      <c r="D433" s="13" t="s">
        <v>420</v>
      </c>
      <c r="E433" s="20">
        <v>434</v>
      </c>
      <c r="F433" s="20">
        <v>152</v>
      </c>
      <c r="G433" s="20">
        <v>432</v>
      </c>
      <c r="H433" s="13" t="s">
        <v>2034</v>
      </c>
      <c r="I433" s="13" t="str">
        <f t="shared" si="12"/>
        <v>NE 4th Av (Atlatic Bl to NE 2nd St)</v>
      </c>
      <c r="J433" s="13" t="s">
        <v>27</v>
      </c>
      <c r="K433" s="13" t="str">
        <f>VLOOKUP(J433,'Data-ProjectTypes'!A$3:B$13,2,FALSE)</f>
        <v>Program</v>
      </c>
      <c r="L433" s="21" t="s">
        <v>348</v>
      </c>
      <c r="M433" s="13" t="s">
        <v>2329</v>
      </c>
      <c r="N433" s="13" t="s">
        <v>1888</v>
      </c>
      <c r="O433" s="13" t="s">
        <v>275</v>
      </c>
      <c r="P433" s="13" t="s">
        <v>275</v>
      </c>
      <c r="Q433" s="22">
        <v>0.1</v>
      </c>
      <c r="R433" s="23">
        <v>44247</v>
      </c>
      <c r="S433" s="21"/>
      <c r="T433" s="21"/>
      <c r="U433" s="21"/>
      <c r="V433" s="24"/>
      <c r="W433" s="24"/>
      <c r="X433" s="24"/>
      <c r="Y433" s="17"/>
      <c r="Z433" s="18">
        <f>ROUND(R433*'Data-CostAssumptions'!$C$3,-3)</f>
        <v>61000</v>
      </c>
      <c r="AA433" s="11">
        <f t="shared" si="13"/>
        <v>0</v>
      </c>
      <c r="AB433" s="11">
        <v>2041</v>
      </c>
      <c r="AC433" s="11">
        <v>2041</v>
      </c>
      <c r="AD433" s="11">
        <v>2041</v>
      </c>
      <c r="AE433" s="11">
        <v>2041</v>
      </c>
      <c r="AF433" s="11">
        <v>0</v>
      </c>
      <c r="AG433" s="19">
        <f>ROUND((Z433*'Data-CostAssumptions'!$G$5)*(1+'Data-CostAssumptions'!$G$3)^(AC433-'Data-CostAssumptions'!$G$4),-3)</f>
        <v>34000</v>
      </c>
      <c r="AH433" s="19">
        <f>ROUND((Z433)*(1+'Data-CostAssumptions'!$G$3)^(AE433-'Data-CostAssumptions'!$G$4),-3)</f>
        <v>156000</v>
      </c>
    </row>
    <row r="434" spans="1:34" ht="15" customHeight="1" x14ac:dyDescent="0.2">
      <c r="A434" s="11"/>
      <c r="B434" s="11" t="s">
        <v>1211</v>
      </c>
      <c r="C434" s="13">
        <v>219</v>
      </c>
      <c r="D434" s="13" t="s">
        <v>420</v>
      </c>
      <c r="E434" s="20">
        <v>435</v>
      </c>
      <c r="F434" s="20">
        <v>152</v>
      </c>
      <c r="G434" s="20">
        <v>433</v>
      </c>
      <c r="H434" s="13" t="s">
        <v>1897</v>
      </c>
      <c r="I434" s="13" t="str">
        <f t="shared" si="12"/>
        <v>NE 4th St (NE 5th Av to Flagler Av)</v>
      </c>
      <c r="J434" s="13" t="s">
        <v>27</v>
      </c>
      <c r="K434" s="13" t="str">
        <f>VLOOKUP(J434,'Data-ProjectTypes'!A$3:B$13,2,FALSE)</f>
        <v>Program</v>
      </c>
      <c r="L434" s="21" t="s">
        <v>348</v>
      </c>
      <c r="M434" s="13" t="s">
        <v>2035</v>
      </c>
      <c r="N434" s="13" t="s">
        <v>2019</v>
      </c>
      <c r="O434" s="13" t="s">
        <v>275</v>
      </c>
      <c r="P434" s="13" t="s">
        <v>275</v>
      </c>
      <c r="Q434" s="22">
        <v>0.4</v>
      </c>
      <c r="R434" s="23">
        <v>131470</v>
      </c>
      <c r="S434" s="21"/>
      <c r="T434" s="21"/>
      <c r="U434" s="21"/>
      <c r="V434" s="24"/>
      <c r="W434" s="24"/>
      <c r="X434" s="28" t="s">
        <v>764</v>
      </c>
      <c r="Y434" s="17" t="s">
        <v>765</v>
      </c>
      <c r="Z434" s="18">
        <f>ROUND(R434*'Data-CostAssumptions'!$C$3,-3)</f>
        <v>182000</v>
      </c>
      <c r="AA434" s="11">
        <f t="shared" si="13"/>
        <v>0</v>
      </c>
      <c r="AB434" s="11">
        <v>2041</v>
      </c>
      <c r="AC434" s="11">
        <v>2041</v>
      </c>
      <c r="AD434" s="11">
        <v>2041</v>
      </c>
      <c r="AE434" s="11">
        <v>2041</v>
      </c>
      <c r="AF434" s="11">
        <v>0</v>
      </c>
      <c r="AG434" s="19">
        <f>ROUND((Z434*'Data-CostAssumptions'!$G$5)*(1+'Data-CostAssumptions'!$G$3)^(AC434-'Data-CostAssumptions'!$G$4),-3)</f>
        <v>103000</v>
      </c>
      <c r="AH434" s="19">
        <f>ROUND((Z434)*(1+'Data-CostAssumptions'!$G$3)^(AE434-'Data-CostAssumptions'!$G$4),-3)</f>
        <v>467000</v>
      </c>
    </row>
    <row r="435" spans="1:34" ht="15" customHeight="1" x14ac:dyDescent="0.2">
      <c r="A435" s="11"/>
      <c r="B435" s="11" t="s">
        <v>1211</v>
      </c>
      <c r="C435" s="13">
        <v>220</v>
      </c>
      <c r="D435" s="13" t="s">
        <v>420</v>
      </c>
      <c r="E435" s="20">
        <v>12</v>
      </c>
      <c r="F435" s="20">
        <v>152</v>
      </c>
      <c r="G435" s="20">
        <v>434</v>
      </c>
      <c r="H435" s="13" t="s">
        <v>2717</v>
      </c>
      <c r="I435" s="13" t="str">
        <f t="shared" si="12"/>
        <v>SR 820/Pines Bl (North bound on-ramp east of I-75 to Just east of Dykes Rd)</v>
      </c>
      <c r="J435" s="13" t="s">
        <v>27</v>
      </c>
      <c r="K435" s="13" t="str">
        <f>VLOOKUP(J435,'Data-ProjectTypes'!A$3:B$13,2,FALSE)</f>
        <v>Program</v>
      </c>
      <c r="L435" s="21" t="s">
        <v>348</v>
      </c>
      <c r="M435" s="13" t="s">
        <v>133</v>
      </c>
      <c r="N435" s="13" t="s">
        <v>2443</v>
      </c>
      <c r="O435" s="13" t="s">
        <v>270</v>
      </c>
      <c r="P435" s="13" t="s">
        <v>270</v>
      </c>
      <c r="Q435" s="22">
        <v>1.6</v>
      </c>
      <c r="R435" s="23">
        <v>557688</v>
      </c>
      <c r="S435" s="21"/>
      <c r="T435" s="21"/>
      <c r="U435" s="21"/>
      <c r="V435" s="24"/>
      <c r="W435" s="24"/>
      <c r="X435" s="24"/>
      <c r="Y435" s="17"/>
      <c r="Z435" s="18">
        <f>ROUND(R435*'Data-CostAssumptions'!$C$3,-3)</f>
        <v>772000</v>
      </c>
      <c r="AA435" s="11">
        <f t="shared" si="13"/>
        <v>0</v>
      </c>
      <c r="AB435" s="11">
        <v>2041</v>
      </c>
      <c r="AC435" s="11">
        <v>2041</v>
      </c>
      <c r="AD435" s="11">
        <v>2041</v>
      </c>
      <c r="AE435" s="11">
        <v>2041</v>
      </c>
      <c r="AF435" s="11">
        <v>0</v>
      </c>
      <c r="AG435" s="19">
        <f>ROUND((Z435*'Data-CostAssumptions'!$G$5)*(1+'Data-CostAssumptions'!$G$3)^(AC435-'Data-CostAssumptions'!$G$4),-3)</f>
        <v>435000</v>
      </c>
      <c r="AH435" s="19">
        <f>ROUND((Z435)*(1+'Data-CostAssumptions'!$G$3)^(AE435-'Data-CostAssumptions'!$G$4),-3)</f>
        <v>1979000</v>
      </c>
    </row>
    <row r="436" spans="1:34" ht="15" customHeight="1" x14ac:dyDescent="0.2">
      <c r="A436" s="11"/>
      <c r="B436" s="11" t="s">
        <v>1211</v>
      </c>
      <c r="C436" s="13">
        <v>221</v>
      </c>
      <c r="D436" s="13" t="s">
        <v>420</v>
      </c>
      <c r="E436" s="20">
        <v>26</v>
      </c>
      <c r="F436" s="20">
        <v>152</v>
      </c>
      <c r="G436" s="20">
        <v>435</v>
      </c>
      <c r="H436" s="13" t="s">
        <v>2099</v>
      </c>
      <c r="I436" s="13" t="str">
        <f t="shared" si="12"/>
        <v>SW 101st Av/Palm Av (Miramar Parkway to Pembroke Rd)</v>
      </c>
      <c r="J436" s="13" t="s">
        <v>27</v>
      </c>
      <c r="K436" s="13" t="str">
        <f>VLOOKUP(J436,'Data-ProjectTypes'!A$3:B$13,2,FALSE)</f>
        <v>Program</v>
      </c>
      <c r="L436" s="21" t="s">
        <v>348</v>
      </c>
      <c r="M436" s="13" t="s">
        <v>39</v>
      </c>
      <c r="N436" s="13" t="s">
        <v>1760</v>
      </c>
      <c r="O436" s="13" t="s">
        <v>273</v>
      </c>
      <c r="P436" s="13" t="s">
        <v>273</v>
      </c>
      <c r="Q436" s="22">
        <v>0.9</v>
      </c>
      <c r="R436" s="23">
        <v>322463</v>
      </c>
      <c r="S436" s="21" t="s">
        <v>24</v>
      </c>
      <c r="T436" s="21" t="s">
        <v>684</v>
      </c>
      <c r="U436" s="21" t="s">
        <v>684</v>
      </c>
      <c r="V436" s="24"/>
      <c r="W436" s="24"/>
      <c r="X436" s="24"/>
      <c r="Y436" s="17" t="s">
        <v>685</v>
      </c>
      <c r="Z436" s="18">
        <f>ROUND(R436*'Data-CostAssumptions'!$C$3,-3)</f>
        <v>446000</v>
      </c>
      <c r="AA436" s="11">
        <f t="shared" si="13"/>
        <v>0</v>
      </c>
      <c r="AB436" s="11">
        <v>2041</v>
      </c>
      <c r="AC436" s="11">
        <v>2041</v>
      </c>
      <c r="AD436" s="11">
        <v>2041</v>
      </c>
      <c r="AE436" s="11">
        <v>2041</v>
      </c>
      <c r="AF436" s="11">
        <v>0</v>
      </c>
      <c r="AG436" s="19">
        <f>ROUND((Z436*'Data-CostAssumptions'!$G$5)*(1+'Data-CostAssumptions'!$G$3)^(AC436-'Data-CostAssumptions'!$G$4),-3)</f>
        <v>252000</v>
      </c>
      <c r="AH436" s="19">
        <f>ROUND((Z436)*(1+'Data-CostAssumptions'!$G$3)^(AE436-'Data-CostAssumptions'!$G$4),-3)</f>
        <v>1144000</v>
      </c>
    </row>
    <row r="437" spans="1:34" ht="15" customHeight="1" x14ac:dyDescent="0.2">
      <c r="A437" s="11"/>
      <c r="B437" s="11" t="s">
        <v>1211</v>
      </c>
      <c r="C437" s="13">
        <v>222</v>
      </c>
      <c r="D437" s="13" t="s">
        <v>420</v>
      </c>
      <c r="E437" s="20">
        <v>27</v>
      </c>
      <c r="F437" s="20">
        <v>152</v>
      </c>
      <c r="G437" s="20">
        <v>436</v>
      </c>
      <c r="H437" s="13" t="s">
        <v>2099</v>
      </c>
      <c r="I437" s="13" t="str">
        <f t="shared" si="12"/>
        <v>SW 101st Av/Palm Av (Pembroe Rd to Pines Bl)</v>
      </c>
      <c r="J437" s="13" t="s">
        <v>27</v>
      </c>
      <c r="K437" s="13" t="str">
        <f>VLOOKUP(J437,'Data-ProjectTypes'!A$3:B$13,2,FALSE)</f>
        <v>Program</v>
      </c>
      <c r="L437" s="21" t="s">
        <v>348</v>
      </c>
      <c r="M437" s="13" t="s">
        <v>2457</v>
      </c>
      <c r="N437" s="13" t="s">
        <v>1826</v>
      </c>
      <c r="O437" s="13" t="s">
        <v>273</v>
      </c>
      <c r="P437" s="13" t="s">
        <v>273</v>
      </c>
      <c r="Q437" s="22">
        <v>1</v>
      </c>
      <c r="R437" s="23">
        <v>362374</v>
      </c>
      <c r="S437" s="21" t="s">
        <v>24</v>
      </c>
      <c r="T437" s="21" t="s">
        <v>684</v>
      </c>
      <c r="U437" s="21" t="s">
        <v>684</v>
      </c>
      <c r="V437" s="24"/>
      <c r="W437" s="24"/>
      <c r="X437" s="24"/>
      <c r="Y437" s="17" t="s">
        <v>685</v>
      </c>
      <c r="Z437" s="18">
        <f>ROUND(R437*'Data-CostAssumptions'!$C$3,-3)</f>
        <v>502000</v>
      </c>
      <c r="AA437" s="11">
        <f t="shared" si="13"/>
        <v>0</v>
      </c>
      <c r="AB437" s="11">
        <v>2041</v>
      </c>
      <c r="AC437" s="11">
        <v>2041</v>
      </c>
      <c r="AD437" s="11">
        <v>2041</v>
      </c>
      <c r="AE437" s="11">
        <v>2041</v>
      </c>
      <c r="AF437" s="11">
        <v>0</v>
      </c>
      <c r="AG437" s="19">
        <f>ROUND((Z437*'Data-CostAssumptions'!$G$5)*(1+'Data-CostAssumptions'!$G$3)^(AC437-'Data-CostAssumptions'!$G$4),-3)</f>
        <v>283000</v>
      </c>
      <c r="AH437" s="19">
        <f>ROUND((Z437)*(1+'Data-CostAssumptions'!$G$3)^(AE437-'Data-CostAssumptions'!$G$4),-3)</f>
        <v>1287000</v>
      </c>
    </row>
    <row r="438" spans="1:34" ht="15" customHeight="1" x14ac:dyDescent="0.2">
      <c r="A438" s="11"/>
      <c r="B438" s="11" t="s">
        <v>1211</v>
      </c>
      <c r="C438" s="13">
        <v>223</v>
      </c>
      <c r="D438" s="13" t="s">
        <v>420</v>
      </c>
      <c r="E438" s="20">
        <v>28</v>
      </c>
      <c r="F438" s="20">
        <v>152</v>
      </c>
      <c r="G438" s="20">
        <v>437</v>
      </c>
      <c r="H438" s="13" t="s">
        <v>2099</v>
      </c>
      <c r="I438" s="13" t="str">
        <f t="shared" si="12"/>
        <v>SW 101st Av/Palm Av (Pines Bl to Taft St)</v>
      </c>
      <c r="J438" s="13" t="s">
        <v>27</v>
      </c>
      <c r="K438" s="13" t="str">
        <f>VLOOKUP(J438,'Data-ProjectTypes'!A$3:B$13,2,FALSE)</f>
        <v>Program</v>
      </c>
      <c r="L438" s="21" t="s">
        <v>348</v>
      </c>
      <c r="M438" s="13" t="s">
        <v>1826</v>
      </c>
      <c r="N438" s="13" t="s">
        <v>1968</v>
      </c>
      <c r="O438" s="13" t="s">
        <v>271</v>
      </c>
      <c r="P438" s="13" t="s">
        <v>271</v>
      </c>
      <c r="Q438" s="22">
        <v>1</v>
      </c>
      <c r="R438" s="23">
        <v>353883</v>
      </c>
      <c r="S438" s="21"/>
      <c r="T438" s="21"/>
      <c r="U438" s="21"/>
      <c r="V438" s="24"/>
      <c r="W438" s="24"/>
      <c r="X438" s="24"/>
      <c r="Y438" s="17"/>
      <c r="Z438" s="18">
        <f>ROUND(R438*'Data-CostAssumptions'!$C$3,-3)</f>
        <v>490000</v>
      </c>
      <c r="AA438" s="11">
        <f t="shared" si="13"/>
        <v>0</v>
      </c>
      <c r="AB438" s="11">
        <v>2041</v>
      </c>
      <c r="AC438" s="11">
        <v>2041</v>
      </c>
      <c r="AD438" s="11">
        <v>2041</v>
      </c>
      <c r="AE438" s="11">
        <v>2041</v>
      </c>
      <c r="AF438" s="11">
        <v>0</v>
      </c>
      <c r="AG438" s="19">
        <f>ROUND((Z438*'Data-CostAssumptions'!$G$5)*(1+'Data-CostAssumptions'!$G$3)^(AC438-'Data-CostAssumptions'!$G$4),-3)</f>
        <v>276000</v>
      </c>
      <c r="AH438" s="19">
        <f>ROUND((Z438)*(1+'Data-CostAssumptions'!$G$3)^(AE438-'Data-CostAssumptions'!$G$4),-3)</f>
        <v>1256000</v>
      </c>
    </row>
    <row r="439" spans="1:34" ht="15" customHeight="1" x14ac:dyDescent="0.2">
      <c r="A439" s="11"/>
      <c r="B439" s="11" t="s">
        <v>1211</v>
      </c>
      <c r="C439" s="13">
        <v>224</v>
      </c>
      <c r="D439" s="13" t="s">
        <v>420</v>
      </c>
      <c r="E439" s="20">
        <v>35</v>
      </c>
      <c r="F439" s="20">
        <v>152</v>
      </c>
      <c r="G439" s="20">
        <v>438</v>
      </c>
      <c r="H439" s="13" t="s">
        <v>1912</v>
      </c>
      <c r="I439" s="13" t="str">
        <f t="shared" si="12"/>
        <v>NW 2nd St (Douglas Rd to Just east of NW 2nd St)</v>
      </c>
      <c r="J439" s="13" t="s">
        <v>27</v>
      </c>
      <c r="K439" s="13" t="str">
        <f>VLOOKUP(J439,'Data-ProjectTypes'!A$3:B$13,2,FALSE)</f>
        <v>Program</v>
      </c>
      <c r="L439" s="21" t="s">
        <v>348</v>
      </c>
      <c r="M439" s="13" t="s">
        <v>2425</v>
      </c>
      <c r="N439" s="13" t="s">
        <v>2539</v>
      </c>
      <c r="O439" s="13" t="s">
        <v>273</v>
      </c>
      <c r="P439" s="13" t="s">
        <v>273</v>
      </c>
      <c r="Q439" s="22">
        <v>0.1</v>
      </c>
      <c r="R439" s="23">
        <v>19914</v>
      </c>
      <c r="S439" s="21"/>
      <c r="T439" s="21"/>
      <c r="U439" s="21"/>
      <c r="V439" s="24"/>
      <c r="W439" s="24"/>
      <c r="X439" s="24"/>
      <c r="Y439" s="17"/>
      <c r="Z439" s="18">
        <f>ROUND(R439*'Data-CostAssumptions'!$C$3,-3)</f>
        <v>28000</v>
      </c>
      <c r="AA439" s="11">
        <f t="shared" si="13"/>
        <v>0</v>
      </c>
      <c r="AB439" s="11">
        <v>2041</v>
      </c>
      <c r="AC439" s="11">
        <v>2041</v>
      </c>
      <c r="AD439" s="11">
        <v>2041</v>
      </c>
      <c r="AE439" s="11">
        <v>2041</v>
      </c>
      <c r="AF439" s="11">
        <v>0</v>
      </c>
      <c r="AG439" s="19">
        <f>ROUND((Z439*'Data-CostAssumptions'!$G$5)*(1+'Data-CostAssumptions'!$G$3)^(AC439-'Data-CostAssumptions'!$G$4),-3)</f>
        <v>16000</v>
      </c>
      <c r="AH439" s="19">
        <f>ROUND((Z439)*(1+'Data-CostAssumptions'!$G$3)^(AE439-'Data-CostAssumptions'!$G$4),-3)</f>
        <v>72000</v>
      </c>
    </row>
    <row r="440" spans="1:34" ht="15" customHeight="1" x14ac:dyDescent="0.2">
      <c r="A440" s="11"/>
      <c r="B440" s="11" t="s">
        <v>1211</v>
      </c>
      <c r="C440" s="13">
        <v>225</v>
      </c>
      <c r="D440" s="13" t="s">
        <v>420</v>
      </c>
      <c r="E440" s="20">
        <v>39</v>
      </c>
      <c r="F440" s="20">
        <v>152</v>
      </c>
      <c r="G440" s="20">
        <v>439</v>
      </c>
      <c r="H440" s="13" t="s">
        <v>2709</v>
      </c>
      <c r="I440" s="13" t="str">
        <f t="shared" si="12"/>
        <v>SR 817/University Dr (Stirling Rd to Just of Southwood Circle)</v>
      </c>
      <c r="J440" s="13" t="s">
        <v>27</v>
      </c>
      <c r="K440" s="13" t="str">
        <f>VLOOKUP(J440,'Data-ProjectTypes'!A$3:B$13,2,FALSE)</f>
        <v>Program</v>
      </c>
      <c r="L440" s="21" t="s">
        <v>348</v>
      </c>
      <c r="M440" s="13" t="s">
        <v>177</v>
      </c>
      <c r="N440" s="13" t="s">
        <v>253</v>
      </c>
      <c r="O440" s="13" t="s">
        <v>270</v>
      </c>
      <c r="P440" s="13" t="s">
        <v>270</v>
      </c>
      <c r="Q440" s="22">
        <v>0.9</v>
      </c>
      <c r="R440" s="23">
        <v>323407</v>
      </c>
      <c r="S440" s="21" t="s">
        <v>24</v>
      </c>
      <c r="T440" s="21"/>
      <c r="U440" s="21"/>
      <c r="V440" s="24"/>
      <c r="W440" s="24"/>
      <c r="X440" s="24"/>
      <c r="Y440" s="17" t="s">
        <v>469</v>
      </c>
      <c r="Z440" s="18">
        <f>ROUND(R440*'Data-CostAssumptions'!$C$3,-3)</f>
        <v>448000</v>
      </c>
      <c r="AA440" s="11">
        <f t="shared" si="13"/>
        <v>0</v>
      </c>
      <c r="AB440" s="11">
        <v>2041</v>
      </c>
      <c r="AC440" s="11">
        <v>2041</v>
      </c>
      <c r="AD440" s="11">
        <v>2041</v>
      </c>
      <c r="AE440" s="11">
        <v>2041</v>
      </c>
      <c r="AF440" s="11">
        <v>0</v>
      </c>
      <c r="AG440" s="19">
        <f>ROUND((Z440*'Data-CostAssumptions'!$G$5)*(1+'Data-CostAssumptions'!$G$3)^(AC440-'Data-CostAssumptions'!$G$4),-3)</f>
        <v>253000</v>
      </c>
      <c r="AH440" s="19">
        <f>ROUND((Z440)*(1+'Data-CostAssumptions'!$G$3)^(AE440-'Data-CostAssumptions'!$G$4),-3)</f>
        <v>1149000</v>
      </c>
    </row>
    <row r="441" spans="1:34" ht="15" customHeight="1" x14ac:dyDescent="0.2">
      <c r="A441" s="11"/>
      <c r="B441" s="11" t="s">
        <v>1211</v>
      </c>
      <c r="C441" s="13">
        <v>226</v>
      </c>
      <c r="D441" s="13" t="s">
        <v>420</v>
      </c>
      <c r="E441" s="20">
        <v>52</v>
      </c>
      <c r="F441" s="20">
        <v>152</v>
      </c>
      <c r="G441" s="20">
        <v>440</v>
      </c>
      <c r="H441" s="13" t="s">
        <v>57</v>
      </c>
      <c r="I441" s="13" t="str">
        <f t="shared" si="12"/>
        <v>SR 7/US 441 (Taylor St to Taft St)</v>
      </c>
      <c r="J441" s="13" t="s">
        <v>27</v>
      </c>
      <c r="K441" s="13" t="str">
        <f>VLOOKUP(J441,'Data-ProjectTypes'!A$3:B$13,2,FALSE)</f>
        <v>Program</v>
      </c>
      <c r="L441" s="21" t="s">
        <v>348</v>
      </c>
      <c r="M441" s="13" t="s">
        <v>2523</v>
      </c>
      <c r="N441" s="13" t="s">
        <v>1968</v>
      </c>
      <c r="O441" s="13" t="s">
        <v>270</v>
      </c>
      <c r="P441" s="13" t="s">
        <v>270</v>
      </c>
      <c r="Q441" s="22">
        <v>0.8</v>
      </c>
      <c r="R441" s="23">
        <v>281861</v>
      </c>
      <c r="S441" s="21"/>
      <c r="T441" s="21"/>
      <c r="U441" s="21"/>
      <c r="V441" s="24"/>
      <c r="W441" s="24" t="s">
        <v>539</v>
      </c>
      <c r="X441" s="24"/>
      <c r="Y441" s="17" t="s">
        <v>538</v>
      </c>
      <c r="Z441" s="18">
        <f>ROUND(R441*'Data-CostAssumptions'!$C$3,-3)</f>
        <v>390000</v>
      </c>
      <c r="AA441" s="11">
        <f t="shared" si="13"/>
        <v>1</v>
      </c>
      <c r="AB441" s="11">
        <v>2041</v>
      </c>
      <c r="AC441" s="11">
        <v>2041</v>
      </c>
      <c r="AD441" s="11">
        <v>2041</v>
      </c>
      <c r="AE441" s="11">
        <v>2041</v>
      </c>
      <c r="AF441" s="11">
        <v>0</v>
      </c>
      <c r="AG441" s="19">
        <f>ROUND((Z441*'Data-CostAssumptions'!$G$5)*(1+'Data-CostAssumptions'!$G$3)^(AC441-'Data-CostAssumptions'!$G$4),-3)</f>
        <v>220000</v>
      </c>
      <c r="AH441" s="19">
        <f>ROUND((Z441)*(1+'Data-CostAssumptions'!$G$3)^(AE441-'Data-CostAssumptions'!$G$4),-3)</f>
        <v>1000000</v>
      </c>
    </row>
    <row r="442" spans="1:34" ht="15" customHeight="1" x14ac:dyDescent="0.2">
      <c r="A442" s="11"/>
      <c r="B442" s="11" t="s">
        <v>1211</v>
      </c>
      <c r="C442" s="13">
        <v>227</v>
      </c>
      <c r="D442" s="13" t="s">
        <v>420</v>
      </c>
      <c r="E442" s="20">
        <v>53</v>
      </c>
      <c r="F442" s="20">
        <v>152</v>
      </c>
      <c r="G442" s="20">
        <v>441</v>
      </c>
      <c r="H442" s="13" t="s">
        <v>57</v>
      </c>
      <c r="I442" s="13" t="str">
        <f t="shared" si="12"/>
        <v>SR 7/US 441 (Dewey St to Hollywood Bl)</v>
      </c>
      <c r="J442" s="13" t="s">
        <v>27</v>
      </c>
      <c r="K442" s="13" t="str">
        <f>VLOOKUP(J442,'Data-ProjectTypes'!A$3:B$13,2,FALSE)</f>
        <v>Program</v>
      </c>
      <c r="L442" s="21" t="s">
        <v>348</v>
      </c>
      <c r="M442" s="13" t="s">
        <v>2566</v>
      </c>
      <c r="N442" s="13" t="s">
        <v>1820</v>
      </c>
      <c r="O442" s="13" t="s">
        <v>270</v>
      </c>
      <c r="P442" s="13" t="s">
        <v>270</v>
      </c>
      <c r="Q442" s="22">
        <v>0.6</v>
      </c>
      <c r="R442" s="23">
        <v>206855</v>
      </c>
      <c r="S442" s="21"/>
      <c r="T442" s="21"/>
      <c r="U442" s="21"/>
      <c r="V442" s="24"/>
      <c r="W442" s="24" t="s">
        <v>539</v>
      </c>
      <c r="X442" s="24"/>
      <c r="Y442" s="17" t="s">
        <v>538</v>
      </c>
      <c r="Z442" s="18">
        <f>ROUND(R442*'Data-CostAssumptions'!$C$3,-3)</f>
        <v>286000</v>
      </c>
      <c r="AA442" s="11">
        <f t="shared" si="13"/>
        <v>1</v>
      </c>
      <c r="AB442" s="11">
        <v>2041</v>
      </c>
      <c r="AC442" s="11">
        <v>2041</v>
      </c>
      <c r="AD442" s="11">
        <v>2041</v>
      </c>
      <c r="AE442" s="11">
        <v>2041</v>
      </c>
      <c r="AF442" s="11">
        <v>0</v>
      </c>
      <c r="AG442" s="19">
        <f>ROUND((Z442*'Data-CostAssumptions'!$G$5)*(1+'Data-CostAssumptions'!$G$3)^(AC442-'Data-CostAssumptions'!$G$4),-3)</f>
        <v>161000</v>
      </c>
      <c r="AH442" s="19">
        <f>ROUND((Z442)*(1+'Data-CostAssumptions'!$G$3)^(AE442-'Data-CostAssumptions'!$G$4),-3)</f>
        <v>733000</v>
      </c>
    </row>
    <row r="443" spans="1:34" ht="15" customHeight="1" x14ac:dyDescent="0.2">
      <c r="A443" s="11"/>
      <c r="B443" s="11" t="s">
        <v>1211</v>
      </c>
      <c r="C443" s="13">
        <v>228</v>
      </c>
      <c r="D443" s="13" t="s">
        <v>420</v>
      </c>
      <c r="E443" s="20">
        <v>65</v>
      </c>
      <c r="F443" s="20">
        <v>152</v>
      </c>
      <c r="G443" s="20">
        <v>442</v>
      </c>
      <c r="H443" s="13" t="s">
        <v>1935</v>
      </c>
      <c r="I443" s="13" t="str">
        <f t="shared" si="12"/>
        <v>Old Griffin Rd/NW 4th St (Federal Hwy to Griffin Rd)</v>
      </c>
      <c r="J443" s="13" t="s">
        <v>27</v>
      </c>
      <c r="K443" s="13" t="str">
        <f>VLOOKUP(J443,'Data-ProjectTypes'!A$3:B$13,2,FALSE)</f>
        <v>Program</v>
      </c>
      <c r="L443" s="21" t="s">
        <v>348</v>
      </c>
      <c r="M443" s="13" t="s">
        <v>2595</v>
      </c>
      <c r="N443" s="13" t="s">
        <v>1750</v>
      </c>
      <c r="O443" s="13" t="s">
        <v>273</v>
      </c>
      <c r="P443" s="13" t="s">
        <v>273</v>
      </c>
      <c r="Q443" s="22">
        <v>1.1000000000000001</v>
      </c>
      <c r="R443" s="23">
        <v>386069</v>
      </c>
      <c r="S443" s="21"/>
      <c r="T443" s="21"/>
      <c r="U443" s="21"/>
      <c r="V443" s="24"/>
      <c r="W443" s="24"/>
      <c r="X443" s="24"/>
      <c r="Y443" s="17"/>
      <c r="Z443" s="18">
        <f>ROUND(R443*'Data-CostAssumptions'!$C$3,-3)</f>
        <v>534000</v>
      </c>
      <c r="AA443" s="11">
        <f t="shared" si="13"/>
        <v>0</v>
      </c>
      <c r="AB443" s="11">
        <v>2041</v>
      </c>
      <c r="AC443" s="11">
        <v>2041</v>
      </c>
      <c r="AD443" s="11">
        <v>2041</v>
      </c>
      <c r="AE443" s="11">
        <v>2041</v>
      </c>
      <c r="AF443" s="11">
        <v>0</v>
      </c>
      <c r="AG443" s="19">
        <f>ROUND((Z443*'Data-CostAssumptions'!$G$5)*(1+'Data-CostAssumptions'!$G$3)^(AC443-'Data-CostAssumptions'!$G$4),-3)</f>
        <v>301000</v>
      </c>
      <c r="AH443" s="19">
        <f>ROUND((Z443)*(1+'Data-CostAssumptions'!$G$3)^(AE443-'Data-CostAssumptions'!$G$4),-3)</f>
        <v>1369000</v>
      </c>
    </row>
    <row r="444" spans="1:34" ht="15" customHeight="1" x14ac:dyDescent="0.2">
      <c r="A444" s="11"/>
      <c r="B444" s="11" t="s">
        <v>1211</v>
      </c>
      <c r="C444" s="13">
        <v>229</v>
      </c>
      <c r="D444" s="13" t="s">
        <v>420</v>
      </c>
      <c r="E444" s="20">
        <v>66</v>
      </c>
      <c r="F444" s="20">
        <v>153</v>
      </c>
      <c r="G444" s="20">
        <v>443</v>
      </c>
      <c r="H444" s="13" t="s">
        <v>2785</v>
      </c>
      <c r="I444" s="13" t="str">
        <f t="shared" si="12"/>
        <v>SR 818/Griffin Rd/Taylor Rd (NE 7th Av to Just west of NW 14th Av)</v>
      </c>
      <c r="J444" s="13" t="s">
        <v>27</v>
      </c>
      <c r="K444" s="13" t="str">
        <f>VLOOKUP(J444,'Data-ProjectTypes'!A$3:B$13,2,FALSE)</f>
        <v>Program</v>
      </c>
      <c r="L444" s="21" t="s">
        <v>348</v>
      </c>
      <c r="M444" s="13" t="s">
        <v>2037</v>
      </c>
      <c r="N444" s="13" t="s">
        <v>2221</v>
      </c>
      <c r="O444" s="13" t="s">
        <v>270</v>
      </c>
      <c r="P444" s="13" t="s">
        <v>270</v>
      </c>
      <c r="Q444" s="22">
        <v>1.7</v>
      </c>
      <c r="R444" s="23">
        <v>604487</v>
      </c>
      <c r="S444" s="21"/>
      <c r="T444" s="21"/>
      <c r="U444" s="21"/>
      <c r="V444" s="24"/>
      <c r="W444" s="24"/>
      <c r="X444" s="24"/>
      <c r="Y444" s="17"/>
      <c r="Z444" s="18">
        <f>ROUND(R444*'Data-CostAssumptions'!$C$3,-3)</f>
        <v>837000</v>
      </c>
      <c r="AA444" s="11">
        <f t="shared" si="13"/>
        <v>0</v>
      </c>
      <c r="AB444" s="11">
        <v>2041</v>
      </c>
      <c r="AC444" s="11">
        <v>2041</v>
      </c>
      <c r="AD444" s="11">
        <v>2041</v>
      </c>
      <c r="AE444" s="11">
        <v>2041</v>
      </c>
      <c r="AF444" s="11">
        <v>0</v>
      </c>
      <c r="AG444" s="19">
        <f>ROUND((Z444*'Data-CostAssumptions'!$G$5)*(1+'Data-CostAssumptions'!$G$3)^(AC444-'Data-CostAssumptions'!$G$4),-3)</f>
        <v>472000</v>
      </c>
      <c r="AH444" s="19">
        <f>ROUND((Z444)*(1+'Data-CostAssumptions'!$G$3)^(AE444-'Data-CostAssumptions'!$G$4),-3)</f>
        <v>2146000</v>
      </c>
    </row>
    <row r="445" spans="1:34" ht="15" customHeight="1" x14ac:dyDescent="0.2">
      <c r="A445" s="11"/>
      <c r="B445" s="11" t="s">
        <v>1211</v>
      </c>
      <c r="C445" s="13">
        <v>230</v>
      </c>
      <c r="D445" s="13" t="s">
        <v>420</v>
      </c>
      <c r="E445" s="20">
        <v>74</v>
      </c>
      <c r="F445" s="20">
        <v>153</v>
      </c>
      <c r="G445" s="20">
        <v>444</v>
      </c>
      <c r="H445" s="13" t="s">
        <v>1961</v>
      </c>
      <c r="I445" s="13" t="str">
        <f t="shared" si="12"/>
        <v>SW 28th St (SW 2nd Av to SW 15th Av)</v>
      </c>
      <c r="J445" s="13" t="s">
        <v>27</v>
      </c>
      <c r="K445" s="13" t="str">
        <f>VLOOKUP(J445,'Data-ProjectTypes'!A$3:B$13,2,FALSE)</f>
        <v>Program</v>
      </c>
      <c r="L445" s="21" t="s">
        <v>348</v>
      </c>
      <c r="M445" s="13" t="s">
        <v>2118</v>
      </c>
      <c r="N445" s="13" t="s">
        <v>2106</v>
      </c>
      <c r="O445" s="13" t="s">
        <v>276</v>
      </c>
      <c r="P445" s="13" t="s">
        <v>276</v>
      </c>
      <c r="Q445" s="22">
        <v>1.2</v>
      </c>
      <c r="R445" s="23">
        <v>436087</v>
      </c>
      <c r="S445" s="21"/>
      <c r="T445" s="21"/>
      <c r="U445" s="21"/>
      <c r="V445" s="24"/>
      <c r="W445" s="24"/>
      <c r="X445" s="24"/>
      <c r="Y445" s="17"/>
      <c r="Z445" s="18">
        <f>ROUND(R445*'Data-CostAssumptions'!$C$3,-3)</f>
        <v>604000</v>
      </c>
      <c r="AA445" s="11">
        <f t="shared" si="13"/>
        <v>0</v>
      </c>
      <c r="AB445" s="11">
        <v>2041</v>
      </c>
      <c r="AC445" s="11">
        <v>2041</v>
      </c>
      <c r="AD445" s="11">
        <v>2041</v>
      </c>
      <c r="AE445" s="11">
        <v>2041</v>
      </c>
      <c r="AF445" s="11">
        <v>0</v>
      </c>
      <c r="AG445" s="19">
        <f>ROUND((Z445*'Data-CostAssumptions'!$G$5)*(1+'Data-CostAssumptions'!$G$3)^(AC445-'Data-CostAssumptions'!$G$4),-3)</f>
        <v>341000</v>
      </c>
      <c r="AH445" s="19">
        <f>ROUND((Z445)*(1+'Data-CostAssumptions'!$G$3)^(AE445-'Data-CostAssumptions'!$G$4),-3)</f>
        <v>1549000</v>
      </c>
    </row>
    <row r="446" spans="1:34" ht="15" customHeight="1" x14ac:dyDescent="0.2">
      <c r="A446" s="11"/>
      <c r="B446" s="11" t="s">
        <v>1211</v>
      </c>
      <c r="C446" s="13">
        <v>231</v>
      </c>
      <c r="D446" s="13" t="s">
        <v>420</v>
      </c>
      <c r="E446" s="20">
        <v>91</v>
      </c>
      <c r="F446" s="20">
        <v>153</v>
      </c>
      <c r="G446" s="20">
        <v>445</v>
      </c>
      <c r="H446" s="13" t="s">
        <v>1901</v>
      </c>
      <c r="I446" s="13" t="str">
        <f t="shared" si="12"/>
        <v>NE 62nd St/Cypress Creek Rd (US 1/Federal Hwy to Dixie Hwy)</v>
      </c>
      <c r="J446" s="13" t="s">
        <v>27</v>
      </c>
      <c r="K446" s="13" t="str">
        <f>VLOOKUP(J446,'Data-ProjectTypes'!A$3:B$13,2,FALSE)</f>
        <v>Program</v>
      </c>
      <c r="L446" s="21" t="s">
        <v>348</v>
      </c>
      <c r="M446" s="13" t="s">
        <v>2594</v>
      </c>
      <c r="N446" s="13" t="s">
        <v>728</v>
      </c>
      <c r="O446" s="13" t="s">
        <v>273</v>
      </c>
      <c r="P446" s="13" t="s">
        <v>273</v>
      </c>
      <c r="Q446" s="22">
        <v>1.4</v>
      </c>
      <c r="R446" s="23">
        <v>509006</v>
      </c>
      <c r="S446" s="21"/>
      <c r="T446" s="21"/>
      <c r="U446" s="21"/>
      <c r="V446" s="24"/>
      <c r="W446" s="24"/>
      <c r="X446" s="24" t="s">
        <v>697</v>
      </c>
      <c r="Y446" s="17" t="s">
        <v>287</v>
      </c>
      <c r="Z446" s="18">
        <f>ROUND(R446*'Data-CostAssumptions'!$C$3,-3)</f>
        <v>704000</v>
      </c>
      <c r="AA446" s="11">
        <f t="shared" si="13"/>
        <v>0</v>
      </c>
      <c r="AB446" s="11">
        <v>2041</v>
      </c>
      <c r="AC446" s="11">
        <v>2041</v>
      </c>
      <c r="AD446" s="11">
        <v>2041</v>
      </c>
      <c r="AE446" s="11">
        <v>2041</v>
      </c>
      <c r="AF446" s="11">
        <v>0</v>
      </c>
      <c r="AG446" s="19">
        <f>ROUND((Z446*'Data-CostAssumptions'!$G$5)*(1+'Data-CostAssumptions'!$G$3)^(AC446-'Data-CostAssumptions'!$G$4),-3)</f>
        <v>397000</v>
      </c>
      <c r="AH446" s="19">
        <f>ROUND((Z446)*(1+'Data-CostAssumptions'!$G$3)^(AE446-'Data-CostAssumptions'!$G$4),-3)</f>
        <v>1805000</v>
      </c>
    </row>
    <row r="447" spans="1:34" ht="15" customHeight="1" x14ac:dyDescent="0.2">
      <c r="A447" s="11"/>
      <c r="B447" s="11" t="s">
        <v>1211</v>
      </c>
      <c r="C447" s="13">
        <v>232</v>
      </c>
      <c r="D447" s="13" t="s">
        <v>420</v>
      </c>
      <c r="E447" s="20">
        <v>93</v>
      </c>
      <c r="F447" s="20">
        <v>153</v>
      </c>
      <c r="G447" s="20">
        <v>446</v>
      </c>
      <c r="H447" s="13" t="s">
        <v>2036</v>
      </c>
      <c r="I447" s="13" t="str">
        <f t="shared" si="12"/>
        <v>NE 6th Av (NE 46th Court to NE 56th St)</v>
      </c>
      <c r="J447" s="13" t="s">
        <v>27</v>
      </c>
      <c r="K447" s="13" t="str">
        <f>VLOOKUP(J447,'Data-ProjectTypes'!A$3:B$13,2,FALSE)</f>
        <v>Program</v>
      </c>
      <c r="L447" s="21" t="s">
        <v>348</v>
      </c>
      <c r="M447" s="13" t="s">
        <v>149</v>
      </c>
      <c r="N447" s="13" t="s">
        <v>1898</v>
      </c>
      <c r="O447" s="13" t="s">
        <v>273</v>
      </c>
      <c r="P447" s="13" t="s">
        <v>273</v>
      </c>
      <c r="Q447" s="22">
        <v>0.8</v>
      </c>
      <c r="R447" s="23">
        <v>290262</v>
      </c>
      <c r="S447" s="21"/>
      <c r="T447" s="21"/>
      <c r="U447" s="21"/>
      <c r="V447" s="24"/>
      <c r="W447" s="24" t="s">
        <v>696</v>
      </c>
      <c r="X447" s="24"/>
      <c r="Y447" s="17" t="s">
        <v>287</v>
      </c>
      <c r="Z447" s="18">
        <f>ROUND(R447*'Data-CostAssumptions'!$C$3,-3)</f>
        <v>402000</v>
      </c>
      <c r="AA447" s="11">
        <f t="shared" si="13"/>
        <v>1</v>
      </c>
      <c r="AB447" s="11">
        <v>2041</v>
      </c>
      <c r="AC447" s="11">
        <v>2041</v>
      </c>
      <c r="AD447" s="11">
        <v>2041</v>
      </c>
      <c r="AE447" s="11">
        <v>2041</v>
      </c>
      <c r="AF447" s="11">
        <v>0</v>
      </c>
      <c r="AG447" s="19">
        <f>ROUND((Z447*'Data-CostAssumptions'!$G$5)*(1+'Data-CostAssumptions'!$G$3)^(AC447-'Data-CostAssumptions'!$G$4),-3)</f>
        <v>227000</v>
      </c>
      <c r="AH447" s="19">
        <f>ROUND((Z447)*(1+'Data-CostAssumptions'!$G$3)^(AE447-'Data-CostAssumptions'!$G$4),-3)</f>
        <v>1031000</v>
      </c>
    </row>
    <row r="448" spans="1:34" ht="15" customHeight="1" x14ac:dyDescent="0.2">
      <c r="A448" s="11"/>
      <c r="B448" s="11" t="s">
        <v>1211</v>
      </c>
      <c r="C448" s="13">
        <v>233</v>
      </c>
      <c r="D448" s="13" t="s">
        <v>420</v>
      </c>
      <c r="E448" s="20">
        <v>107</v>
      </c>
      <c r="F448" s="20">
        <v>153</v>
      </c>
      <c r="G448" s="20">
        <v>447</v>
      </c>
      <c r="H448" s="13" t="s">
        <v>2755</v>
      </c>
      <c r="I448" s="13" t="str">
        <f t="shared" si="12"/>
        <v>SR 811/Dixie Hwy (Copans Rd to Sample Rd)</v>
      </c>
      <c r="J448" s="13" t="s">
        <v>27</v>
      </c>
      <c r="K448" s="13" t="str">
        <f>VLOOKUP(J448,'Data-ProjectTypes'!A$3:B$13,2,FALSE)</f>
        <v>Program</v>
      </c>
      <c r="L448" s="21" t="s">
        <v>348</v>
      </c>
      <c r="M448" s="13" t="s">
        <v>1836</v>
      </c>
      <c r="N448" s="13" t="s">
        <v>1864</v>
      </c>
      <c r="O448" s="13" t="s">
        <v>270</v>
      </c>
      <c r="P448" s="13" t="s">
        <v>270</v>
      </c>
      <c r="Q448" s="22">
        <v>1</v>
      </c>
      <c r="R448" s="23">
        <v>374380</v>
      </c>
      <c r="S448" s="21"/>
      <c r="T448" s="21"/>
      <c r="U448" s="21"/>
      <c r="V448" s="24"/>
      <c r="W448" s="24" t="s">
        <v>491</v>
      </c>
      <c r="X448" s="24"/>
      <c r="Y448" s="17" t="s">
        <v>492</v>
      </c>
      <c r="Z448" s="18">
        <f>ROUND(R448*'Data-CostAssumptions'!$C$3,-3)</f>
        <v>518000</v>
      </c>
      <c r="AA448" s="11">
        <f t="shared" si="13"/>
        <v>1</v>
      </c>
      <c r="AB448" s="11">
        <v>2041</v>
      </c>
      <c r="AC448" s="11">
        <v>2041</v>
      </c>
      <c r="AD448" s="11">
        <v>2041</v>
      </c>
      <c r="AE448" s="11">
        <v>2041</v>
      </c>
      <c r="AF448" s="11">
        <v>0</v>
      </c>
      <c r="AG448" s="19">
        <f>ROUND((Z448*'Data-CostAssumptions'!$G$5)*(1+'Data-CostAssumptions'!$G$3)^(AC448-'Data-CostAssumptions'!$G$4),-3)</f>
        <v>292000</v>
      </c>
      <c r="AH448" s="19">
        <f>ROUND((Z448)*(1+'Data-CostAssumptions'!$G$3)^(AE448-'Data-CostAssumptions'!$G$4),-3)</f>
        <v>1328000</v>
      </c>
    </row>
    <row r="449" spans="1:34" ht="15" customHeight="1" x14ac:dyDescent="0.2">
      <c r="A449" s="11"/>
      <c r="B449" s="11" t="s">
        <v>1211</v>
      </c>
      <c r="C449" s="13">
        <v>234</v>
      </c>
      <c r="D449" s="13" t="s">
        <v>420</v>
      </c>
      <c r="E449" s="20">
        <v>108</v>
      </c>
      <c r="F449" s="20">
        <v>153</v>
      </c>
      <c r="G449" s="20">
        <v>448</v>
      </c>
      <c r="H449" s="13" t="s">
        <v>2755</v>
      </c>
      <c r="I449" s="13" t="str">
        <f t="shared" si="12"/>
        <v>SR 811/Dixie Hwy (NE 10th St to Copans Rd)</v>
      </c>
      <c r="J449" s="13" t="s">
        <v>27</v>
      </c>
      <c r="K449" s="13" t="str">
        <f>VLOOKUP(J449,'Data-ProjectTypes'!A$3:B$13,2,FALSE)</f>
        <v>Program</v>
      </c>
      <c r="L449" s="21" t="s">
        <v>348</v>
      </c>
      <c r="M449" s="13" t="s">
        <v>1882</v>
      </c>
      <c r="N449" s="13" t="s">
        <v>1836</v>
      </c>
      <c r="O449" s="13" t="s">
        <v>270</v>
      </c>
      <c r="P449" s="13" t="s">
        <v>270</v>
      </c>
      <c r="Q449" s="22">
        <v>1.4</v>
      </c>
      <c r="R449" s="23">
        <v>497998</v>
      </c>
      <c r="S449" s="21"/>
      <c r="T449" s="21"/>
      <c r="U449" s="21"/>
      <c r="V449" s="24"/>
      <c r="W449" s="24"/>
      <c r="X449" s="24"/>
      <c r="Y449" s="17"/>
      <c r="Z449" s="18">
        <f>ROUND(R449*'Data-CostAssumptions'!$C$3,-3)</f>
        <v>689000</v>
      </c>
      <c r="AA449" s="11">
        <f t="shared" si="13"/>
        <v>0</v>
      </c>
      <c r="AB449" s="11">
        <v>2041</v>
      </c>
      <c r="AC449" s="11">
        <v>2041</v>
      </c>
      <c r="AD449" s="11">
        <v>2041</v>
      </c>
      <c r="AE449" s="11">
        <v>2041</v>
      </c>
      <c r="AF449" s="11">
        <v>0</v>
      </c>
      <c r="AG449" s="19">
        <f>ROUND((Z449*'Data-CostAssumptions'!$G$5)*(1+'Data-CostAssumptions'!$G$3)^(AC449-'Data-CostAssumptions'!$G$4),-3)</f>
        <v>389000</v>
      </c>
      <c r="AH449" s="19">
        <f>ROUND((Z449)*(1+'Data-CostAssumptions'!$G$3)^(AE449-'Data-CostAssumptions'!$G$4),-3)</f>
        <v>1767000</v>
      </c>
    </row>
    <row r="450" spans="1:34" ht="15" customHeight="1" x14ac:dyDescent="0.2">
      <c r="A450" s="11"/>
      <c r="B450" s="11" t="s">
        <v>1211</v>
      </c>
      <c r="C450" s="13">
        <v>235</v>
      </c>
      <c r="D450" s="13" t="s">
        <v>420</v>
      </c>
      <c r="E450" s="20">
        <v>110</v>
      </c>
      <c r="F450" s="20">
        <v>153</v>
      </c>
      <c r="G450" s="20">
        <v>449</v>
      </c>
      <c r="H450" s="13" t="s">
        <v>2077</v>
      </c>
      <c r="I450" s="13" t="str">
        <f t="shared" ref="I450:I513" si="14">IF(M450="@",H450&amp;" ("&amp;M450&amp;"  "&amp;N450&amp;")",H450&amp;" ("&amp;M450&amp;" to "&amp;N450&amp;")")</f>
        <v>NW 6th Av (Atlantic Bl to NW 4th St)</v>
      </c>
      <c r="J450" s="13" t="s">
        <v>27</v>
      </c>
      <c r="K450" s="13" t="str">
        <f>VLOOKUP(J450,'Data-ProjectTypes'!A$3:B$13,2,FALSE)</f>
        <v>Program</v>
      </c>
      <c r="L450" s="21" t="s">
        <v>348</v>
      </c>
      <c r="M450" s="13" t="s">
        <v>1809</v>
      </c>
      <c r="N450" s="13" t="s">
        <v>2536</v>
      </c>
      <c r="O450" s="13" t="s">
        <v>275</v>
      </c>
      <c r="P450" s="13" t="s">
        <v>275</v>
      </c>
      <c r="Q450" s="22">
        <v>0.2</v>
      </c>
      <c r="R450" s="23">
        <v>80716</v>
      </c>
      <c r="S450" s="21"/>
      <c r="T450" s="21"/>
      <c r="U450" s="21"/>
      <c r="V450" s="24"/>
      <c r="W450" s="24"/>
      <c r="X450" s="24" t="s">
        <v>764</v>
      </c>
      <c r="Y450" s="17" t="s">
        <v>765</v>
      </c>
      <c r="Z450" s="18">
        <f>ROUND(R450*'Data-CostAssumptions'!$C$3,-3)</f>
        <v>112000</v>
      </c>
      <c r="AA450" s="11">
        <f t="shared" si="13"/>
        <v>0</v>
      </c>
      <c r="AB450" s="11">
        <v>2041</v>
      </c>
      <c r="AC450" s="11">
        <v>2041</v>
      </c>
      <c r="AD450" s="11">
        <v>2041</v>
      </c>
      <c r="AE450" s="11">
        <v>2041</v>
      </c>
      <c r="AF450" s="11">
        <v>0</v>
      </c>
      <c r="AG450" s="19">
        <f>ROUND((Z450*'Data-CostAssumptions'!$G$5)*(1+'Data-CostAssumptions'!$G$3)^(AC450-'Data-CostAssumptions'!$G$4),-3)</f>
        <v>63000</v>
      </c>
      <c r="AH450" s="19">
        <f>ROUND((Z450)*(1+'Data-CostAssumptions'!$G$3)^(AE450-'Data-CostAssumptions'!$G$4),-3)</f>
        <v>287000</v>
      </c>
    </row>
    <row r="451" spans="1:34" ht="15" customHeight="1" x14ac:dyDescent="0.2">
      <c r="A451" s="11"/>
      <c r="B451" s="11" t="s">
        <v>1211</v>
      </c>
      <c r="C451" s="13">
        <v>236</v>
      </c>
      <c r="D451" s="13" t="s">
        <v>420</v>
      </c>
      <c r="E451" s="20">
        <v>164</v>
      </c>
      <c r="F451" s="20">
        <v>153</v>
      </c>
      <c r="G451" s="20">
        <v>450</v>
      </c>
      <c r="H451" s="13" t="s">
        <v>1788</v>
      </c>
      <c r="I451" s="13" t="str">
        <f t="shared" si="14"/>
        <v>Corals Hills Dr (Sample Rd to Wiles Rd)</v>
      </c>
      <c r="J451" s="13" t="s">
        <v>27</v>
      </c>
      <c r="K451" s="13" t="str">
        <f>VLOOKUP(J451,'Data-ProjectTypes'!A$3:B$13,2,FALSE)</f>
        <v>Program</v>
      </c>
      <c r="L451" s="21" t="s">
        <v>348</v>
      </c>
      <c r="M451" s="13" t="s">
        <v>1864</v>
      </c>
      <c r="N451" s="13" t="s">
        <v>1780</v>
      </c>
      <c r="O451" s="13" t="s">
        <v>292</v>
      </c>
      <c r="P451" s="13" t="s">
        <v>292</v>
      </c>
      <c r="Q451" s="22">
        <v>1.1000000000000001</v>
      </c>
      <c r="R451" s="23">
        <v>388963</v>
      </c>
      <c r="S451" s="21"/>
      <c r="T451" s="21"/>
      <c r="U451" s="21"/>
      <c r="V451" s="24"/>
      <c r="W451" s="24"/>
      <c r="X451" s="24"/>
      <c r="Y451" s="17"/>
      <c r="Z451" s="18">
        <f>ROUND(R451*'Data-CostAssumptions'!$C$3,-3)</f>
        <v>538000</v>
      </c>
      <c r="AA451" s="11">
        <f t="shared" ref="AA451:AA514" si="15">IF(V451="",IF(W451="",0,1),1)</f>
        <v>0</v>
      </c>
      <c r="AB451" s="11">
        <v>2041</v>
      </c>
      <c r="AC451" s="11">
        <v>2041</v>
      </c>
      <c r="AD451" s="11">
        <v>2041</v>
      </c>
      <c r="AE451" s="11">
        <v>2041</v>
      </c>
      <c r="AF451" s="11">
        <v>0</v>
      </c>
      <c r="AG451" s="19">
        <f>ROUND((Z451*'Data-CostAssumptions'!$G$5)*(1+'Data-CostAssumptions'!$G$3)^(AC451-'Data-CostAssumptions'!$G$4),-3)</f>
        <v>303000</v>
      </c>
      <c r="AH451" s="19">
        <f>ROUND((Z451)*(1+'Data-CostAssumptions'!$G$3)^(AE451-'Data-CostAssumptions'!$G$4),-3)</f>
        <v>1379000</v>
      </c>
    </row>
    <row r="452" spans="1:34" ht="15" customHeight="1" x14ac:dyDescent="0.2">
      <c r="A452" s="11"/>
      <c r="B452" s="11" t="s">
        <v>1211</v>
      </c>
      <c r="C452" s="13">
        <v>238</v>
      </c>
      <c r="D452" s="13" t="s">
        <v>420</v>
      </c>
      <c r="E452" s="20">
        <v>200</v>
      </c>
      <c r="F452" s="20">
        <v>153</v>
      </c>
      <c r="G452" s="20">
        <v>451</v>
      </c>
      <c r="H452" s="13" t="s">
        <v>2709</v>
      </c>
      <c r="I452" s="13" t="str">
        <f t="shared" si="14"/>
        <v>SR 817/University Dr (Homestead Turnpike Ext. to Miramar Parkway)</v>
      </c>
      <c r="J452" s="13" t="s">
        <v>27</v>
      </c>
      <c r="K452" s="13" t="str">
        <f>VLOOKUP(J452,'Data-ProjectTypes'!A$3:B$13,2,FALSE)</f>
        <v>Program</v>
      </c>
      <c r="L452" s="21" t="s">
        <v>348</v>
      </c>
      <c r="M452" s="13" t="s">
        <v>161</v>
      </c>
      <c r="N452" s="13" t="s">
        <v>39</v>
      </c>
      <c r="O452" s="13" t="s">
        <v>270</v>
      </c>
      <c r="P452" s="13" t="s">
        <v>270</v>
      </c>
      <c r="Q452" s="22">
        <v>0.7</v>
      </c>
      <c r="R452" s="23">
        <v>247948</v>
      </c>
      <c r="S452" s="21" t="s">
        <v>24</v>
      </c>
      <c r="T452" s="21" t="s">
        <v>684</v>
      </c>
      <c r="U452" s="21" t="s">
        <v>684</v>
      </c>
      <c r="V452" s="24"/>
      <c r="W452" s="24"/>
      <c r="X452" s="24"/>
      <c r="Y452" s="17" t="s">
        <v>685</v>
      </c>
      <c r="Z452" s="18">
        <f>ROUND(R452*'Data-CostAssumptions'!$C$3,-3)</f>
        <v>343000</v>
      </c>
      <c r="AA452" s="11">
        <f t="shared" si="15"/>
        <v>0</v>
      </c>
      <c r="AB452" s="11">
        <v>2041</v>
      </c>
      <c r="AC452" s="11">
        <v>2041</v>
      </c>
      <c r="AD452" s="11">
        <v>2041</v>
      </c>
      <c r="AE452" s="11">
        <v>2041</v>
      </c>
      <c r="AF452" s="11">
        <v>0</v>
      </c>
      <c r="AG452" s="19">
        <f>ROUND((Z452*'Data-CostAssumptions'!$G$5)*(1+'Data-CostAssumptions'!$G$3)^(AC452-'Data-CostAssumptions'!$G$4),-3)</f>
        <v>193000</v>
      </c>
      <c r="AH452" s="19">
        <f>ROUND((Z452)*(1+'Data-CostAssumptions'!$G$3)^(AE452-'Data-CostAssumptions'!$G$4),-3)</f>
        <v>879000</v>
      </c>
    </row>
    <row r="453" spans="1:34" ht="15" customHeight="1" x14ac:dyDescent="0.2">
      <c r="A453" s="11"/>
      <c r="B453" s="11" t="s">
        <v>1211</v>
      </c>
      <c r="C453" s="13">
        <v>239</v>
      </c>
      <c r="D453" s="13" t="s">
        <v>420</v>
      </c>
      <c r="E453" s="20">
        <v>201</v>
      </c>
      <c r="F453" s="20">
        <v>153</v>
      </c>
      <c r="G453" s="20">
        <v>452</v>
      </c>
      <c r="H453" s="13" t="s">
        <v>2709</v>
      </c>
      <c r="I453" s="13" t="str">
        <f t="shared" si="14"/>
        <v>SR 817/University Dr (Miramar Parkway to Pembroke Rd)</v>
      </c>
      <c r="J453" s="13" t="s">
        <v>27</v>
      </c>
      <c r="K453" s="13" t="str">
        <f>VLOOKUP(J453,'Data-ProjectTypes'!A$3:B$13,2,FALSE)</f>
        <v>Program</v>
      </c>
      <c r="L453" s="21" t="s">
        <v>348</v>
      </c>
      <c r="M453" s="13" t="s">
        <v>39</v>
      </c>
      <c r="N453" s="13" t="s">
        <v>1760</v>
      </c>
      <c r="O453" s="13" t="s">
        <v>270</v>
      </c>
      <c r="P453" s="13" t="s">
        <v>270</v>
      </c>
      <c r="Q453" s="22">
        <v>0.9</v>
      </c>
      <c r="R453" s="23">
        <v>329525</v>
      </c>
      <c r="S453" s="21" t="s">
        <v>24</v>
      </c>
      <c r="T453" s="21" t="s">
        <v>684</v>
      </c>
      <c r="U453" s="21" t="s">
        <v>684</v>
      </c>
      <c r="V453" s="24"/>
      <c r="W453" s="24"/>
      <c r="X453" s="24"/>
      <c r="Y453" s="17" t="s">
        <v>685</v>
      </c>
      <c r="Z453" s="18">
        <f>ROUND(R453*'Data-CostAssumptions'!$C$3,-3)</f>
        <v>456000</v>
      </c>
      <c r="AA453" s="11">
        <f t="shared" si="15"/>
        <v>0</v>
      </c>
      <c r="AB453" s="11">
        <v>2041</v>
      </c>
      <c r="AC453" s="11">
        <v>2041</v>
      </c>
      <c r="AD453" s="11">
        <v>2041</v>
      </c>
      <c r="AE453" s="11">
        <v>2041</v>
      </c>
      <c r="AF453" s="11">
        <v>0</v>
      </c>
      <c r="AG453" s="19">
        <f>ROUND((Z453*'Data-CostAssumptions'!$G$5)*(1+'Data-CostAssumptions'!$G$3)^(AC453-'Data-CostAssumptions'!$G$4),-3)</f>
        <v>257000</v>
      </c>
      <c r="AH453" s="19">
        <f>ROUND((Z453)*(1+'Data-CostAssumptions'!$G$3)^(AE453-'Data-CostAssumptions'!$G$4),-3)</f>
        <v>1169000</v>
      </c>
    </row>
    <row r="454" spans="1:34" ht="15" customHeight="1" x14ac:dyDescent="0.2">
      <c r="A454" s="11"/>
      <c r="B454" s="11" t="s">
        <v>1211</v>
      </c>
      <c r="C454" s="13">
        <v>240</v>
      </c>
      <c r="D454" s="13" t="s">
        <v>420</v>
      </c>
      <c r="E454" s="20">
        <v>202</v>
      </c>
      <c r="F454" s="20">
        <v>153</v>
      </c>
      <c r="G454" s="20">
        <v>453</v>
      </c>
      <c r="H454" s="13" t="s">
        <v>2709</v>
      </c>
      <c r="I454" s="13" t="str">
        <f t="shared" si="14"/>
        <v>SR 817/University Dr (Pembroke Rd to Pines Bl)</v>
      </c>
      <c r="J454" s="13" t="s">
        <v>27</v>
      </c>
      <c r="K454" s="13" t="str">
        <f>VLOOKUP(J454,'Data-ProjectTypes'!A$3:B$13,2,FALSE)</f>
        <v>Program</v>
      </c>
      <c r="L454" s="21" t="s">
        <v>348</v>
      </c>
      <c r="M454" s="13" t="s">
        <v>1760</v>
      </c>
      <c r="N454" s="13" t="s">
        <v>1826</v>
      </c>
      <c r="O454" s="13" t="s">
        <v>270</v>
      </c>
      <c r="P454" s="13" t="s">
        <v>270</v>
      </c>
      <c r="Q454" s="22">
        <v>1</v>
      </c>
      <c r="R454" s="23">
        <v>356832</v>
      </c>
      <c r="S454" s="21" t="s">
        <v>24</v>
      </c>
      <c r="T454" s="21" t="s">
        <v>684</v>
      </c>
      <c r="U454" s="21" t="s">
        <v>684</v>
      </c>
      <c r="V454" s="24"/>
      <c r="W454" s="24"/>
      <c r="X454" s="24"/>
      <c r="Y454" s="17" t="s">
        <v>685</v>
      </c>
      <c r="Z454" s="18">
        <f>ROUND(R454*'Data-CostAssumptions'!$C$3,-3)</f>
        <v>494000</v>
      </c>
      <c r="AA454" s="11">
        <f t="shared" si="15"/>
        <v>0</v>
      </c>
      <c r="AB454" s="11">
        <v>2041</v>
      </c>
      <c r="AC454" s="11">
        <v>2041</v>
      </c>
      <c r="AD454" s="11">
        <v>2041</v>
      </c>
      <c r="AE454" s="11">
        <v>2041</v>
      </c>
      <c r="AF454" s="11">
        <v>0</v>
      </c>
      <c r="AG454" s="19">
        <f>ROUND((Z454*'Data-CostAssumptions'!$G$5)*(1+'Data-CostAssumptions'!$G$3)^(AC454-'Data-CostAssumptions'!$G$4),-3)</f>
        <v>279000</v>
      </c>
      <c r="AH454" s="19">
        <f>ROUND((Z454)*(1+'Data-CostAssumptions'!$G$3)^(AE454-'Data-CostAssumptions'!$G$4),-3)</f>
        <v>1267000</v>
      </c>
    </row>
    <row r="455" spans="1:34" ht="15" customHeight="1" x14ac:dyDescent="0.2">
      <c r="A455" s="11"/>
      <c r="B455" s="11" t="s">
        <v>1211</v>
      </c>
      <c r="C455" s="13">
        <v>241</v>
      </c>
      <c r="D455" s="13" t="s">
        <v>420</v>
      </c>
      <c r="E455" s="20">
        <v>216</v>
      </c>
      <c r="F455" s="20">
        <v>153</v>
      </c>
      <c r="G455" s="20">
        <v>454</v>
      </c>
      <c r="H455" s="13" t="s">
        <v>1780</v>
      </c>
      <c r="I455" s="13" t="str">
        <f t="shared" si="14"/>
        <v>Wiles Rd (Just east of Turtle Run Boulecard to East Leitner Dr)</v>
      </c>
      <c r="J455" s="13" t="s">
        <v>27</v>
      </c>
      <c r="K455" s="13" t="str">
        <f>VLOOKUP(J455,'Data-ProjectTypes'!A$3:B$13,2,FALSE)</f>
        <v>Program</v>
      </c>
      <c r="L455" s="21" t="s">
        <v>348</v>
      </c>
      <c r="M455" s="13" t="s">
        <v>263</v>
      </c>
      <c r="N455" s="13" t="s">
        <v>2684</v>
      </c>
      <c r="O455" s="13" t="s">
        <v>273</v>
      </c>
      <c r="P455" s="13" t="s">
        <v>273</v>
      </c>
      <c r="Q455" s="22">
        <v>0.5</v>
      </c>
      <c r="R455" s="23">
        <v>167081</v>
      </c>
      <c r="S455" s="21"/>
      <c r="T455" s="21"/>
      <c r="U455" s="21"/>
      <c r="V455" s="24"/>
      <c r="W455" s="24"/>
      <c r="X455" s="24"/>
      <c r="Y455" s="17"/>
      <c r="Z455" s="18">
        <f>ROUND(R455*'Data-CostAssumptions'!$C$3,-3)</f>
        <v>231000</v>
      </c>
      <c r="AA455" s="11">
        <f t="shared" si="15"/>
        <v>0</v>
      </c>
      <c r="AB455" s="11">
        <v>2041</v>
      </c>
      <c r="AC455" s="11">
        <v>2041</v>
      </c>
      <c r="AD455" s="11">
        <v>2041</v>
      </c>
      <c r="AE455" s="11">
        <v>2041</v>
      </c>
      <c r="AF455" s="11">
        <v>0</v>
      </c>
      <c r="AG455" s="19">
        <f>ROUND((Z455*'Data-CostAssumptions'!$G$5)*(1+'Data-CostAssumptions'!$G$3)^(AC455-'Data-CostAssumptions'!$G$4),-3)</f>
        <v>130000</v>
      </c>
      <c r="AH455" s="19">
        <f>ROUND((Z455)*(1+'Data-CostAssumptions'!$G$3)^(AE455-'Data-CostAssumptions'!$G$4),-3)</f>
        <v>592000</v>
      </c>
    </row>
    <row r="456" spans="1:34" ht="15" customHeight="1" x14ac:dyDescent="0.2">
      <c r="A456" s="11"/>
      <c r="B456" s="11" t="s">
        <v>1211</v>
      </c>
      <c r="C456" s="13">
        <v>242</v>
      </c>
      <c r="D456" s="13" t="s">
        <v>420</v>
      </c>
      <c r="E456" s="20">
        <v>223</v>
      </c>
      <c r="F456" s="20">
        <v>153</v>
      </c>
      <c r="G456" s="20">
        <v>455</v>
      </c>
      <c r="H456" s="13" t="s">
        <v>2071</v>
      </c>
      <c r="I456" s="13" t="str">
        <f t="shared" si="14"/>
        <v>NW 49th Av/NW 26th St (NW 47th Av to Access Rd)</v>
      </c>
      <c r="J456" s="13" t="s">
        <v>27</v>
      </c>
      <c r="K456" s="13" t="str">
        <f>VLOOKUP(J456,'Data-ProjectTypes'!A$3:B$13,2,FALSE)</f>
        <v>Program</v>
      </c>
      <c r="L456" s="21" t="s">
        <v>348</v>
      </c>
      <c r="M456" s="13" t="s">
        <v>2070</v>
      </c>
      <c r="N456" s="13" t="s">
        <v>1743</v>
      </c>
      <c r="O456" s="13" t="s">
        <v>272</v>
      </c>
      <c r="P456" s="13" t="s">
        <v>272</v>
      </c>
      <c r="Q456" s="22">
        <v>0.7</v>
      </c>
      <c r="R456" s="23">
        <v>248285</v>
      </c>
      <c r="S456" s="21"/>
      <c r="T456" s="21"/>
      <c r="U456" s="21"/>
      <c r="V456" s="24"/>
      <c r="W456" s="24"/>
      <c r="X456" s="24"/>
      <c r="Y456" s="17"/>
      <c r="Z456" s="18">
        <f>ROUND(R456*'Data-CostAssumptions'!$C$3,-3)</f>
        <v>344000</v>
      </c>
      <c r="AA456" s="11">
        <f t="shared" si="15"/>
        <v>0</v>
      </c>
      <c r="AB456" s="11">
        <v>2041</v>
      </c>
      <c r="AC456" s="11">
        <v>2041</v>
      </c>
      <c r="AD456" s="11">
        <v>2041</v>
      </c>
      <c r="AE456" s="11">
        <v>2041</v>
      </c>
      <c r="AF456" s="11">
        <v>0</v>
      </c>
      <c r="AG456" s="19">
        <f>ROUND((Z456*'Data-CostAssumptions'!$G$5)*(1+'Data-CostAssumptions'!$G$3)^(AC456-'Data-CostAssumptions'!$G$4),-3)</f>
        <v>194000</v>
      </c>
      <c r="AH456" s="19">
        <f>ROUND((Z456)*(1+'Data-CostAssumptions'!$G$3)^(AE456-'Data-CostAssumptions'!$G$4),-3)</f>
        <v>882000</v>
      </c>
    </row>
    <row r="457" spans="1:34" ht="15" customHeight="1" x14ac:dyDescent="0.2">
      <c r="A457" s="11"/>
      <c r="B457" s="11" t="s">
        <v>1211</v>
      </c>
      <c r="C457" s="13">
        <v>243</v>
      </c>
      <c r="D457" s="13" t="s">
        <v>420</v>
      </c>
      <c r="E457" s="20">
        <v>227</v>
      </c>
      <c r="F457" s="20">
        <v>153</v>
      </c>
      <c r="G457" s="20">
        <v>456</v>
      </c>
      <c r="H457" s="13" t="s">
        <v>57</v>
      </c>
      <c r="I457" s="13" t="str">
        <f t="shared" si="14"/>
        <v>SR 7/US 441 (Just north of State Rd 7 ramp to NW 16th St)</v>
      </c>
      <c r="J457" s="13" t="s">
        <v>27</v>
      </c>
      <c r="K457" s="13" t="str">
        <f>VLOOKUP(J457,'Data-ProjectTypes'!A$3:B$13,2,FALSE)</f>
        <v>Program</v>
      </c>
      <c r="L457" s="21" t="s">
        <v>348</v>
      </c>
      <c r="M457" s="13" t="s">
        <v>2454</v>
      </c>
      <c r="N457" s="13" t="s">
        <v>1910</v>
      </c>
      <c r="O457" s="13" t="s">
        <v>270</v>
      </c>
      <c r="P457" s="13" t="s">
        <v>270</v>
      </c>
      <c r="Q457" s="22">
        <v>0.6</v>
      </c>
      <c r="R457" s="23">
        <v>206707</v>
      </c>
      <c r="S457" s="21"/>
      <c r="T457" s="21"/>
      <c r="U457" s="21"/>
      <c r="V457" s="24"/>
      <c r="W457" s="24"/>
      <c r="X457" s="24"/>
      <c r="Y457" s="17"/>
      <c r="Z457" s="18">
        <f>ROUND(R457*'Data-CostAssumptions'!$C$3,-3)</f>
        <v>286000</v>
      </c>
      <c r="AA457" s="11">
        <f t="shared" si="15"/>
        <v>0</v>
      </c>
      <c r="AB457" s="11">
        <v>2041</v>
      </c>
      <c r="AC457" s="11">
        <v>2041</v>
      </c>
      <c r="AD457" s="11">
        <v>2041</v>
      </c>
      <c r="AE457" s="11">
        <v>2041</v>
      </c>
      <c r="AF457" s="11">
        <v>0</v>
      </c>
      <c r="AG457" s="19">
        <f>ROUND((Z457*'Data-CostAssumptions'!$G$5)*(1+'Data-CostAssumptions'!$G$3)^(AC457-'Data-CostAssumptions'!$G$4),-3)</f>
        <v>161000</v>
      </c>
      <c r="AH457" s="19">
        <f>ROUND((Z457)*(1+'Data-CostAssumptions'!$G$3)^(AE457-'Data-CostAssumptions'!$G$4),-3)</f>
        <v>733000</v>
      </c>
    </row>
    <row r="458" spans="1:34" ht="15" customHeight="1" x14ac:dyDescent="0.2">
      <c r="A458" s="11"/>
      <c r="B458" s="11" t="s">
        <v>1211</v>
      </c>
      <c r="C458" s="13">
        <v>244</v>
      </c>
      <c r="D458" s="13" t="s">
        <v>420</v>
      </c>
      <c r="E458" s="20">
        <v>231</v>
      </c>
      <c r="F458" s="20">
        <v>154</v>
      </c>
      <c r="G458" s="20">
        <v>457</v>
      </c>
      <c r="H458" s="13" t="s">
        <v>2739</v>
      </c>
      <c r="I458" s="13" t="str">
        <f t="shared" si="14"/>
        <v>SR 838/West Sunrise Bl (State Rd 7/US 441 to Florida's Turnpike)</v>
      </c>
      <c r="J458" s="13" t="s">
        <v>27</v>
      </c>
      <c r="K458" s="13" t="str">
        <f>VLOOKUP(J458,'Data-ProjectTypes'!A$3:B$13,2,FALSE)</f>
        <v>Program</v>
      </c>
      <c r="L458" s="21" t="s">
        <v>348</v>
      </c>
      <c r="M458" s="13" t="s">
        <v>1773</v>
      </c>
      <c r="N458" s="13" t="s">
        <v>42</v>
      </c>
      <c r="O458" s="13" t="s">
        <v>270</v>
      </c>
      <c r="P458" s="13" t="s">
        <v>270</v>
      </c>
      <c r="Q458" s="22">
        <v>1</v>
      </c>
      <c r="R458" s="23">
        <v>367569</v>
      </c>
      <c r="S458" s="21"/>
      <c r="T458" s="21"/>
      <c r="U458" s="21"/>
      <c r="V458" s="24"/>
      <c r="W458" s="24"/>
      <c r="X458" s="24"/>
      <c r="Y458" s="17"/>
      <c r="Z458" s="18">
        <f>ROUND(R458*'Data-CostAssumptions'!$C$3,-3)</f>
        <v>509000</v>
      </c>
      <c r="AA458" s="11">
        <f t="shared" si="15"/>
        <v>0</v>
      </c>
      <c r="AB458" s="11">
        <v>2041</v>
      </c>
      <c r="AC458" s="11">
        <v>2041</v>
      </c>
      <c r="AD458" s="11">
        <v>2041</v>
      </c>
      <c r="AE458" s="11">
        <v>2041</v>
      </c>
      <c r="AF458" s="11">
        <v>0</v>
      </c>
      <c r="AG458" s="19">
        <f>ROUND((Z458*'Data-CostAssumptions'!$G$5)*(1+'Data-CostAssumptions'!$G$3)^(AC458-'Data-CostAssumptions'!$G$4),-3)</f>
        <v>287000</v>
      </c>
      <c r="AH458" s="19">
        <f>ROUND((Z458)*(1+'Data-CostAssumptions'!$G$3)^(AE458-'Data-CostAssumptions'!$G$4),-3)</f>
        <v>1305000</v>
      </c>
    </row>
    <row r="459" spans="1:34" ht="15" customHeight="1" x14ac:dyDescent="0.2">
      <c r="A459" s="11"/>
      <c r="B459" s="11" t="s">
        <v>1211</v>
      </c>
      <c r="C459" s="13">
        <v>245</v>
      </c>
      <c r="D459" s="13" t="s">
        <v>420</v>
      </c>
      <c r="E459" s="20">
        <v>237</v>
      </c>
      <c r="F459" s="20">
        <v>154</v>
      </c>
      <c r="G459" s="20">
        <v>458</v>
      </c>
      <c r="H459" s="13" t="s">
        <v>1926</v>
      </c>
      <c r="I459" s="13" t="str">
        <f t="shared" si="14"/>
        <v>NW 5th St (NW 70th Av to University Dr)</v>
      </c>
      <c r="J459" s="13" t="s">
        <v>27</v>
      </c>
      <c r="K459" s="13" t="str">
        <f>VLOOKUP(J459,'Data-ProjectTypes'!A$3:B$13,2,FALSE)</f>
        <v>Program</v>
      </c>
      <c r="L459" s="21" t="s">
        <v>348</v>
      </c>
      <c r="M459" s="13" t="s">
        <v>2078</v>
      </c>
      <c r="N459" s="13" t="s">
        <v>1804</v>
      </c>
      <c r="O459" s="13" t="s">
        <v>284</v>
      </c>
      <c r="P459" s="13" t="s">
        <v>284</v>
      </c>
      <c r="Q459" s="22">
        <v>0.7</v>
      </c>
      <c r="R459" s="23">
        <v>249512</v>
      </c>
      <c r="S459" s="21"/>
      <c r="T459" s="21"/>
      <c r="U459" s="21"/>
      <c r="V459" s="24"/>
      <c r="W459" s="24"/>
      <c r="X459" s="24"/>
      <c r="Y459" s="17"/>
      <c r="Z459" s="18">
        <f>ROUND(R459*'Data-CostAssumptions'!$C$3,-3)</f>
        <v>345000</v>
      </c>
      <c r="AA459" s="11">
        <f t="shared" si="15"/>
        <v>0</v>
      </c>
      <c r="AB459" s="11">
        <v>2041</v>
      </c>
      <c r="AC459" s="11">
        <v>2041</v>
      </c>
      <c r="AD459" s="11">
        <v>2041</v>
      </c>
      <c r="AE459" s="11">
        <v>2041</v>
      </c>
      <c r="AF459" s="11">
        <v>0</v>
      </c>
      <c r="AG459" s="19">
        <f>ROUND((Z459*'Data-CostAssumptions'!$G$5)*(1+'Data-CostAssumptions'!$G$3)^(AC459-'Data-CostAssumptions'!$G$4),-3)</f>
        <v>195000</v>
      </c>
      <c r="AH459" s="19">
        <f>ROUND((Z459)*(1+'Data-CostAssumptions'!$G$3)^(AE459-'Data-CostAssumptions'!$G$4),-3)</f>
        <v>885000</v>
      </c>
    </row>
    <row r="460" spans="1:34" ht="15" customHeight="1" x14ac:dyDescent="0.2">
      <c r="A460" s="11"/>
      <c r="B460" s="11" t="s">
        <v>1211</v>
      </c>
      <c r="C460" s="13">
        <v>246</v>
      </c>
      <c r="D460" s="13" t="s">
        <v>420</v>
      </c>
      <c r="E460" s="20">
        <v>247</v>
      </c>
      <c r="F460" s="20">
        <v>154</v>
      </c>
      <c r="G460" s="20">
        <v>459</v>
      </c>
      <c r="H460" s="13" t="s">
        <v>2126</v>
      </c>
      <c r="I460" s="13" t="str">
        <f t="shared" si="14"/>
        <v>SW 46th Av/SW 43rd Way Loop (SW 21st Mnr to Peters Rd)</v>
      </c>
      <c r="J460" s="13" t="s">
        <v>27</v>
      </c>
      <c r="K460" s="13" t="str">
        <f>VLOOKUP(J460,'Data-ProjectTypes'!A$3:B$13,2,FALSE)</f>
        <v>Program</v>
      </c>
      <c r="L460" s="21" t="s">
        <v>348</v>
      </c>
      <c r="M460" s="13" t="s">
        <v>64</v>
      </c>
      <c r="N460" s="13" t="s">
        <v>1763</v>
      </c>
      <c r="O460" s="13" t="s">
        <v>273</v>
      </c>
      <c r="P460" s="13" t="s">
        <v>273</v>
      </c>
      <c r="Q460" s="22">
        <v>1.7</v>
      </c>
      <c r="R460" s="23">
        <v>596084</v>
      </c>
      <c r="S460" s="21"/>
      <c r="T460" s="21"/>
      <c r="U460" s="21"/>
      <c r="V460" s="24"/>
      <c r="W460" s="24"/>
      <c r="X460" s="24"/>
      <c r="Y460" s="17"/>
      <c r="Z460" s="18">
        <f>ROUND(R460*'Data-CostAssumptions'!$C$3,-3)</f>
        <v>825000</v>
      </c>
      <c r="AA460" s="11">
        <f t="shared" si="15"/>
        <v>0</v>
      </c>
      <c r="AB460" s="11">
        <v>2041</v>
      </c>
      <c r="AC460" s="11">
        <v>2041</v>
      </c>
      <c r="AD460" s="11">
        <v>2041</v>
      </c>
      <c r="AE460" s="11">
        <v>2041</v>
      </c>
      <c r="AF460" s="11">
        <v>0</v>
      </c>
      <c r="AG460" s="19">
        <f>ROUND((Z460*'Data-CostAssumptions'!$G$5)*(1+'Data-CostAssumptions'!$G$3)^(AC460-'Data-CostAssumptions'!$G$4),-3)</f>
        <v>465000</v>
      </c>
      <c r="AH460" s="19">
        <f>ROUND((Z460)*(1+'Data-CostAssumptions'!$G$3)^(AE460-'Data-CostAssumptions'!$G$4),-3)</f>
        <v>2115000</v>
      </c>
    </row>
    <row r="461" spans="1:34" ht="15" customHeight="1" x14ac:dyDescent="0.2">
      <c r="A461" s="11"/>
      <c r="B461" s="11" t="s">
        <v>1211</v>
      </c>
      <c r="C461" s="13">
        <v>247</v>
      </c>
      <c r="D461" s="13" t="s">
        <v>420</v>
      </c>
      <c r="E461" s="20">
        <v>260</v>
      </c>
      <c r="F461" s="20">
        <v>154</v>
      </c>
      <c r="G461" s="20">
        <v>460</v>
      </c>
      <c r="H461" s="13" t="s">
        <v>45</v>
      </c>
      <c r="I461" s="13" t="str">
        <f t="shared" si="14"/>
        <v>SR 84 (State Rd 7/US 441 to Davie Rd)</v>
      </c>
      <c r="J461" s="13" t="s">
        <v>27</v>
      </c>
      <c r="K461" s="13" t="str">
        <f>VLOOKUP(J461,'Data-ProjectTypes'!A$3:B$13,2,FALSE)</f>
        <v>Program</v>
      </c>
      <c r="L461" s="21" t="s">
        <v>348</v>
      </c>
      <c r="M461" s="13" t="s">
        <v>1773</v>
      </c>
      <c r="N461" s="13" t="s">
        <v>1845</v>
      </c>
      <c r="O461" s="13" t="s">
        <v>270</v>
      </c>
      <c r="P461" s="13" t="s">
        <v>270</v>
      </c>
      <c r="Q461" s="22">
        <v>1.8</v>
      </c>
      <c r="R461" s="23">
        <v>647654</v>
      </c>
      <c r="S461" s="21" t="s">
        <v>24</v>
      </c>
      <c r="T461" s="21"/>
      <c r="U461" s="21"/>
      <c r="V461" s="24"/>
      <c r="W461" s="24"/>
      <c r="X461" s="24"/>
      <c r="Y461" s="17" t="s">
        <v>469</v>
      </c>
      <c r="Z461" s="18">
        <f>ROUND(R461*'Data-CostAssumptions'!$C$3,-3)</f>
        <v>896000</v>
      </c>
      <c r="AA461" s="11">
        <f t="shared" si="15"/>
        <v>0</v>
      </c>
      <c r="AB461" s="11">
        <v>2041</v>
      </c>
      <c r="AC461" s="11">
        <v>2041</v>
      </c>
      <c r="AD461" s="11">
        <v>2041</v>
      </c>
      <c r="AE461" s="11">
        <v>2041</v>
      </c>
      <c r="AF461" s="11">
        <v>0</v>
      </c>
      <c r="AG461" s="19">
        <f>ROUND((Z461*'Data-CostAssumptions'!$G$5)*(1+'Data-CostAssumptions'!$G$3)^(AC461-'Data-CostAssumptions'!$G$4),-3)</f>
        <v>505000</v>
      </c>
      <c r="AH461" s="19">
        <f>ROUND((Z461)*(1+'Data-CostAssumptions'!$G$3)^(AE461-'Data-CostAssumptions'!$G$4),-3)</f>
        <v>2297000</v>
      </c>
    </row>
    <row r="462" spans="1:34" ht="15" customHeight="1" x14ac:dyDescent="0.2">
      <c r="A462" s="11"/>
      <c r="B462" s="11" t="s">
        <v>1211</v>
      </c>
      <c r="C462" s="13">
        <v>249</v>
      </c>
      <c r="D462" s="13" t="s">
        <v>420</v>
      </c>
      <c r="E462" s="20">
        <v>262</v>
      </c>
      <c r="F462" s="20">
        <v>154</v>
      </c>
      <c r="G462" s="20">
        <v>461</v>
      </c>
      <c r="H462" s="13" t="s">
        <v>45</v>
      </c>
      <c r="I462" s="13" t="str">
        <f t="shared" si="14"/>
        <v>SR 84 (Davie Rd to College Av)</v>
      </c>
      <c r="J462" s="13" t="s">
        <v>27</v>
      </c>
      <c r="K462" s="13" t="str">
        <f>VLOOKUP(J462,'Data-ProjectTypes'!A$3:B$13,2,FALSE)</f>
        <v>Program</v>
      </c>
      <c r="L462" s="21" t="s">
        <v>348</v>
      </c>
      <c r="M462" s="13" t="s">
        <v>1845</v>
      </c>
      <c r="N462" s="13" t="s">
        <v>2016</v>
      </c>
      <c r="O462" s="13" t="s">
        <v>270</v>
      </c>
      <c r="P462" s="13" t="s">
        <v>270</v>
      </c>
      <c r="Q462" s="22">
        <v>0.5</v>
      </c>
      <c r="R462" s="23">
        <v>163455</v>
      </c>
      <c r="S462" s="21" t="s">
        <v>24</v>
      </c>
      <c r="T462" s="21"/>
      <c r="U462" s="21"/>
      <c r="V462" s="24"/>
      <c r="W462" s="24"/>
      <c r="X462" s="24"/>
      <c r="Y462" s="17" t="s">
        <v>469</v>
      </c>
      <c r="Z462" s="18">
        <f>ROUND(R462*'Data-CostAssumptions'!$C$3,-3)</f>
        <v>226000</v>
      </c>
      <c r="AA462" s="11">
        <f t="shared" si="15"/>
        <v>0</v>
      </c>
      <c r="AB462" s="11">
        <v>2041</v>
      </c>
      <c r="AC462" s="11">
        <v>2041</v>
      </c>
      <c r="AD462" s="11">
        <v>2041</v>
      </c>
      <c r="AE462" s="11">
        <v>2041</v>
      </c>
      <c r="AF462" s="11">
        <v>0</v>
      </c>
      <c r="AG462" s="19">
        <f>ROUND((Z462*'Data-CostAssumptions'!$G$5)*(1+'Data-CostAssumptions'!$G$3)^(AC462-'Data-CostAssumptions'!$G$4),-3)</f>
        <v>127000</v>
      </c>
      <c r="AH462" s="19">
        <f>ROUND((Z462)*(1+'Data-CostAssumptions'!$G$3)^(AE462-'Data-CostAssumptions'!$G$4),-3)</f>
        <v>579000</v>
      </c>
    </row>
    <row r="463" spans="1:34" ht="15" customHeight="1" x14ac:dyDescent="0.2">
      <c r="A463" s="11"/>
      <c r="B463" s="11" t="s">
        <v>1211</v>
      </c>
      <c r="C463" s="13">
        <v>250</v>
      </c>
      <c r="D463" s="13" t="s">
        <v>420</v>
      </c>
      <c r="E463" s="20">
        <v>271</v>
      </c>
      <c r="F463" s="20">
        <v>154</v>
      </c>
      <c r="G463" s="20">
        <v>462</v>
      </c>
      <c r="H463" s="13" t="s">
        <v>2784</v>
      </c>
      <c r="I463" s="13" t="str">
        <f t="shared" si="14"/>
        <v>SR 818/Griffin Rd (Davie Rd to University Dr)</v>
      </c>
      <c r="J463" s="13" t="s">
        <v>27</v>
      </c>
      <c r="K463" s="13" t="str">
        <f>VLOOKUP(J463,'Data-ProjectTypes'!A$3:B$13,2,FALSE)</f>
        <v>Program</v>
      </c>
      <c r="L463" s="21" t="s">
        <v>348</v>
      </c>
      <c r="M463" s="13" t="s">
        <v>1845</v>
      </c>
      <c r="N463" s="13" t="s">
        <v>1804</v>
      </c>
      <c r="O463" s="13" t="s">
        <v>270</v>
      </c>
      <c r="P463" s="13" t="s">
        <v>270</v>
      </c>
      <c r="Q463" s="22">
        <v>1.2</v>
      </c>
      <c r="R463" s="23">
        <v>444348</v>
      </c>
      <c r="S463" s="21" t="s">
        <v>24</v>
      </c>
      <c r="T463" s="21"/>
      <c r="U463" s="21"/>
      <c r="V463" s="24"/>
      <c r="W463" s="24"/>
      <c r="X463" s="24"/>
      <c r="Y463" s="17" t="s">
        <v>469</v>
      </c>
      <c r="Z463" s="18">
        <f>ROUND(R463*'Data-CostAssumptions'!$C$3,-3)</f>
        <v>615000</v>
      </c>
      <c r="AA463" s="11">
        <f t="shared" si="15"/>
        <v>0</v>
      </c>
      <c r="AB463" s="11">
        <v>2041</v>
      </c>
      <c r="AC463" s="11">
        <v>2041</v>
      </c>
      <c r="AD463" s="11">
        <v>2041</v>
      </c>
      <c r="AE463" s="11">
        <v>2041</v>
      </c>
      <c r="AF463" s="11">
        <v>0</v>
      </c>
      <c r="AG463" s="19">
        <f>ROUND((Z463*'Data-CostAssumptions'!$G$5)*(1+'Data-CostAssumptions'!$G$3)^(AC463-'Data-CostAssumptions'!$G$4),-3)</f>
        <v>347000</v>
      </c>
      <c r="AH463" s="19">
        <f>ROUND((Z463)*(1+'Data-CostAssumptions'!$G$3)^(AE463-'Data-CostAssumptions'!$G$4),-3)</f>
        <v>1577000</v>
      </c>
    </row>
    <row r="464" spans="1:34" ht="15" customHeight="1" x14ac:dyDescent="0.2">
      <c r="A464" s="11"/>
      <c r="B464" s="11" t="s">
        <v>1211</v>
      </c>
      <c r="C464" s="13">
        <v>251</v>
      </c>
      <c r="D464" s="13" t="s">
        <v>420</v>
      </c>
      <c r="E464" s="20">
        <v>272</v>
      </c>
      <c r="F464" s="20">
        <v>154</v>
      </c>
      <c r="G464" s="20">
        <v>463</v>
      </c>
      <c r="H464" s="13" t="s">
        <v>2784</v>
      </c>
      <c r="I464" s="13" t="str">
        <f t="shared" si="14"/>
        <v>SR 818/Griffin Rd (University Dr to Nob Hill Rd)</v>
      </c>
      <c r="J464" s="13" t="s">
        <v>27</v>
      </c>
      <c r="K464" s="13" t="str">
        <f>VLOOKUP(J464,'Data-ProjectTypes'!A$3:B$13,2,FALSE)</f>
        <v>Program</v>
      </c>
      <c r="L464" s="21" t="s">
        <v>348</v>
      </c>
      <c r="M464" s="13" t="s">
        <v>1804</v>
      </c>
      <c r="N464" s="13" t="s">
        <v>1755</v>
      </c>
      <c r="O464" s="13" t="s">
        <v>270</v>
      </c>
      <c r="P464" s="13" t="s">
        <v>270</v>
      </c>
      <c r="Q464" s="22">
        <v>1.9</v>
      </c>
      <c r="R464" s="23">
        <v>664962</v>
      </c>
      <c r="S464" s="21" t="s">
        <v>24</v>
      </c>
      <c r="T464" s="21"/>
      <c r="U464" s="21"/>
      <c r="V464" s="24"/>
      <c r="W464" s="24"/>
      <c r="X464" s="24"/>
      <c r="Y464" s="17" t="s">
        <v>469</v>
      </c>
      <c r="Z464" s="18">
        <f>ROUND(R464*'Data-CostAssumptions'!$C$3,-3)</f>
        <v>920000</v>
      </c>
      <c r="AA464" s="11">
        <f t="shared" si="15"/>
        <v>0</v>
      </c>
      <c r="AB464" s="11">
        <v>2041</v>
      </c>
      <c r="AC464" s="11">
        <v>2041</v>
      </c>
      <c r="AD464" s="11">
        <v>2041</v>
      </c>
      <c r="AE464" s="11">
        <v>2041</v>
      </c>
      <c r="AF464" s="11">
        <v>0</v>
      </c>
      <c r="AG464" s="19">
        <f>ROUND((Z464*'Data-CostAssumptions'!$G$5)*(1+'Data-CostAssumptions'!$G$3)^(AC464-'Data-CostAssumptions'!$G$4),-3)</f>
        <v>519000</v>
      </c>
      <c r="AH464" s="19">
        <f>ROUND((Z464)*(1+'Data-CostAssumptions'!$G$3)^(AE464-'Data-CostAssumptions'!$G$4),-3)</f>
        <v>2359000</v>
      </c>
    </row>
    <row r="465" spans="1:34" ht="15" customHeight="1" x14ac:dyDescent="0.2">
      <c r="A465" s="11"/>
      <c r="B465" s="11" t="s">
        <v>1211</v>
      </c>
      <c r="C465" s="13">
        <v>252</v>
      </c>
      <c r="D465" s="13" t="s">
        <v>420</v>
      </c>
      <c r="E465" s="20">
        <v>285</v>
      </c>
      <c r="F465" s="20">
        <v>154</v>
      </c>
      <c r="G465" s="20">
        <v>464</v>
      </c>
      <c r="H465" s="13" t="s">
        <v>2027</v>
      </c>
      <c r="I465" s="13" t="str">
        <f t="shared" si="14"/>
        <v>NE 1st Av (Hallandale Beach Bl to Pembroke Rd)</v>
      </c>
      <c r="J465" s="13" t="s">
        <v>27</v>
      </c>
      <c r="K465" s="13" t="str">
        <f>VLOOKUP(J465,'Data-ProjectTypes'!A$3:B$13,2,FALSE)</f>
        <v>Program</v>
      </c>
      <c r="L465" s="21" t="s">
        <v>514</v>
      </c>
      <c r="M465" s="13" t="s">
        <v>1818</v>
      </c>
      <c r="N465" s="13" t="s">
        <v>1760</v>
      </c>
      <c r="O465" s="13" t="s">
        <v>297</v>
      </c>
      <c r="P465" s="13" t="s">
        <v>297</v>
      </c>
      <c r="Q465" s="22">
        <v>0.8</v>
      </c>
      <c r="R465" s="23">
        <v>272547</v>
      </c>
      <c r="S465" s="21" t="s">
        <v>24</v>
      </c>
      <c r="T465" s="21" t="s">
        <v>24</v>
      </c>
      <c r="U465" s="21" t="s">
        <v>24</v>
      </c>
      <c r="V465" s="24" t="s">
        <v>513</v>
      </c>
      <c r="W465" s="24"/>
      <c r="X465" s="24"/>
      <c r="Y465" s="17" t="s">
        <v>297</v>
      </c>
      <c r="Z465" s="18">
        <f>ROUND(R465*'Data-CostAssumptions'!$C$3,-3)</f>
        <v>377000</v>
      </c>
      <c r="AA465" s="11">
        <f t="shared" si="15"/>
        <v>1</v>
      </c>
      <c r="AB465" s="11">
        <v>2041</v>
      </c>
      <c r="AC465" s="11">
        <v>2041</v>
      </c>
      <c r="AD465" s="11">
        <v>2041</v>
      </c>
      <c r="AE465" s="11">
        <v>2041</v>
      </c>
      <c r="AF465" s="11">
        <v>0</v>
      </c>
      <c r="AG465" s="19">
        <f>ROUND((Z465*'Data-CostAssumptions'!$G$5)*(1+'Data-CostAssumptions'!$G$3)^(AC465-'Data-CostAssumptions'!$G$4),-3)</f>
        <v>213000</v>
      </c>
      <c r="AH465" s="19">
        <f>ROUND((Z465)*(1+'Data-CostAssumptions'!$G$3)^(AE465-'Data-CostAssumptions'!$G$4),-3)</f>
        <v>967000</v>
      </c>
    </row>
    <row r="466" spans="1:34" ht="15" customHeight="1" x14ac:dyDescent="0.2">
      <c r="A466" s="11"/>
      <c r="B466" s="11" t="s">
        <v>1211</v>
      </c>
      <c r="C466" s="13">
        <v>253</v>
      </c>
      <c r="D466" s="13" t="s">
        <v>420</v>
      </c>
      <c r="E466" s="20">
        <v>287</v>
      </c>
      <c r="F466" s="20">
        <v>154</v>
      </c>
      <c r="G466" s="20">
        <v>465</v>
      </c>
      <c r="H466" s="13" t="s">
        <v>1892</v>
      </c>
      <c r="I466" s="13" t="str">
        <f t="shared" si="14"/>
        <v>NE 3rd St (Federal Hwy to NE 1st Av)</v>
      </c>
      <c r="J466" s="13" t="s">
        <v>27</v>
      </c>
      <c r="K466" s="13" t="str">
        <f>VLOOKUP(J466,'Data-ProjectTypes'!A$3:B$13,2,FALSE)</f>
        <v>Program</v>
      </c>
      <c r="L466" s="21" t="s">
        <v>514</v>
      </c>
      <c r="M466" s="13" t="s">
        <v>2595</v>
      </c>
      <c r="N466" s="13" t="s">
        <v>2027</v>
      </c>
      <c r="O466" s="13" t="s">
        <v>297</v>
      </c>
      <c r="P466" s="13" t="s">
        <v>297</v>
      </c>
      <c r="Q466" s="22">
        <v>0.3</v>
      </c>
      <c r="R466" s="23">
        <v>118144</v>
      </c>
      <c r="S466" s="21" t="s">
        <v>24</v>
      </c>
      <c r="T466" s="21" t="s">
        <v>24</v>
      </c>
      <c r="U466" s="21" t="s">
        <v>24</v>
      </c>
      <c r="V466" s="24" t="s">
        <v>515</v>
      </c>
      <c r="W466" s="24"/>
      <c r="X466" s="24"/>
      <c r="Y466" s="17" t="s">
        <v>297</v>
      </c>
      <c r="Z466" s="18">
        <f>ROUND(R466*'Data-CostAssumptions'!$C$3,-3)</f>
        <v>164000</v>
      </c>
      <c r="AA466" s="11">
        <f t="shared" si="15"/>
        <v>1</v>
      </c>
      <c r="AB466" s="11">
        <v>2041</v>
      </c>
      <c r="AC466" s="11">
        <v>2041</v>
      </c>
      <c r="AD466" s="11">
        <v>2041</v>
      </c>
      <c r="AE466" s="11">
        <v>2041</v>
      </c>
      <c r="AF466" s="11">
        <v>0</v>
      </c>
      <c r="AG466" s="19">
        <f>ROUND((Z466*'Data-CostAssumptions'!$G$5)*(1+'Data-CostAssumptions'!$G$3)^(AC466-'Data-CostAssumptions'!$G$4),-3)</f>
        <v>93000</v>
      </c>
      <c r="AH466" s="19">
        <f>ROUND((Z466)*(1+'Data-CostAssumptions'!$G$3)^(AE466-'Data-CostAssumptions'!$G$4),-3)</f>
        <v>420000</v>
      </c>
    </row>
    <row r="467" spans="1:34" ht="15" customHeight="1" x14ac:dyDescent="0.2">
      <c r="A467" s="11"/>
      <c r="B467" s="11" t="s">
        <v>1211</v>
      </c>
      <c r="C467" s="13">
        <v>254</v>
      </c>
      <c r="D467" s="13" t="s">
        <v>420</v>
      </c>
      <c r="E467" s="20">
        <v>296</v>
      </c>
      <c r="F467" s="20">
        <v>154</v>
      </c>
      <c r="G467" s="20">
        <v>466</v>
      </c>
      <c r="H467" s="13" t="s">
        <v>2118</v>
      </c>
      <c r="I467" s="13" t="str">
        <f t="shared" si="14"/>
        <v>SW 2nd Av (SW 26th St to State Rd 84)</v>
      </c>
      <c r="J467" s="13" t="s">
        <v>27</v>
      </c>
      <c r="K467" s="13" t="str">
        <f>VLOOKUP(J467,'Data-ProjectTypes'!A$3:B$13,2,FALSE)</f>
        <v>Program</v>
      </c>
      <c r="L467" s="21" t="s">
        <v>348</v>
      </c>
      <c r="M467" s="13" t="s">
        <v>1959</v>
      </c>
      <c r="N467" s="13" t="s">
        <v>1774</v>
      </c>
      <c r="O467" s="13" t="s">
        <v>276</v>
      </c>
      <c r="P467" s="13" t="s">
        <v>276</v>
      </c>
      <c r="Q467" s="22">
        <v>0.1</v>
      </c>
      <c r="R467" s="23">
        <v>46273</v>
      </c>
      <c r="S467" s="21"/>
      <c r="T467" s="21"/>
      <c r="U467" s="21"/>
      <c r="V467" s="24"/>
      <c r="W467" s="24"/>
      <c r="X467" s="24"/>
      <c r="Y467" s="17"/>
      <c r="Z467" s="18">
        <f>ROUND(R467*'Data-CostAssumptions'!$C$3,-3)</f>
        <v>64000</v>
      </c>
      <c r="AA467" s="11">
        <f t="shared" si="15"/>
        <v>0</v>
      </c>
      <c r="AB467" s="11">
        <v>2041</v>
      </c>
      <c r="AC467" s="11">
        <v>2041</v>
      </c>
      <c r="AD467" s="11">
        <v>2041</v>
      </c>
      <c r="AE467" s="11">
        <v>2041</v>
      </c>
      <c r="AF467" s="11">
        <v>0</v>
      </c>
      <c r="AG467" s="19">
        <f>ROUND((Z467*'Data-CostAssumptions'!$G$5)*(1+'Data-CostAssumptions'!$G$3)^(AC467-'Data-CostAssumptions'!$G$4),-3)</f>
        <v>36000</v>
      </c>
      <c r="AH467" s="19">
        <f>ROUND((Z467)*(1+'Data-CostAssumptions'!$G$3)^(AE467-'Data-CostAssumptions'!$G$4),-3)</f>
        <v>164000</v>
      </c>
    </row>
    <row r="468" spans="1:34" ht="15" customHeight="1" x14ac:dyDescent="0.2">
      <c r="A468" s="11"/>
      <c r="B468" s="11" t="s">
        <v>1211</v>
      </c>
      <c r="C468" s="13">
        <v>255</v>
      </c>
      <c r="D468" s="13" t="s">
        <v>420</v>
      </c>
      <c r="E468" s="20">
        <v>298</v>
      </c>
      <c r="F468" s="20">
        <v>154</v>
      </c>
      <c r="G468" s="20">
        <v>467</v>
      </c>
      <c r="H468" s="13" t="s">
        <v>1941</v>
      </c>
      <c r="I468" s="13" t="str">
        <f t="shared" si="14"/>
        <v>SE 16th St Extension (SE 16th St to SE 15th St)</v>
      </c>
      <c r="J468" s="13" t="s">
        <v>27</v>
      </c>
      <c r="K468" s="13" t="str">
        <f>VLOOKUP(J468,'Data-ProjectTypes'!A$3:B$13,2,FALSE)</f>
        <v>Program</v>
      </c>
      <c r="L468" s="21" t="s">
        <v>348</v>
      </c>
      <c r="M468" s="13" t="s">
        <v>2557</v>
      </c>
      <c r="N468" s="13" t="s">
        <v>1939</v>
      </c>
      <c r="O468" s="13" t="s">
        <v>276</v>
      </c>
      <c r="P468" s="13" t="s">
        <v>276</v>
      </c>
      <c r="Q468" s="22">
        <v>0.1</v>
      </c>
      <c r="R468" s="23">
        <v>26427</v>
      </c>
      <c r="S468" s="21"/>
      <c r="T468" s="21"/>
      <c r="U468" s="21"/>
      <c r="V468" s="24"/>
      <c r="W468" s="24"/>
      <c r="X468" s="24"/>
      <c r="Y468" s="17"/>
      <c r="Z468" s="18">
        <f>ROUND(R468*'Data-CostAssumptions'!$C$3,-3)</f>
        <v>37000</v>
      </c>
      <c r="AA468" s="11">
        <f t="shared" si="15"/>
        <v>0</v>
      </c>
      <c r="AB468" s="11">
        <v>2041</v>
      </c>
      <c r="AC468" s="11">
        <v>2041</v>
      </c>
      <c r="AD468" s="11">
        <v>2041</v>
      </c>
      <c r="AE468" s="11">
        <v>2041</v>
      </c>
      <c r="AF468" s="11">
        <v>0</v>
      </c>
      <c r="AG468" s="19">
        <f>ROUND((Z468*'Data-CostAssumptions'!$G$5)*(1+'Data-CostAssumptions'!$G$3)^(AC468-'Data-CostAssumptions'!$G$4),-3)</f>
        <v>21000</v>
      </c>
      <c r="AH468" s="19">
        <f>ROUND((Z468)*(1+'Data-CostAssumptions'!$G$3)^(AE468-'Data-CostAssumptions'!$G$4),-3)</f>
        <v>95000</v>
      </c>
    </row>
    <row r="469" spans="1:34" ht="15" customHeight="1" x14ac:dyDescent="0.2">
      <c r="A469" s="11"/>
      <c r="B469" s="11" t="s">
        <v>1211</v>
      </c>
      <c r="C469" s="13">
        <v>256</v>
      </c>
      <c r="D469" s="13" t="s">
        <v>420</v>
      </c>
      <c r="E469" s="20">
        <v>302</v>
      </c>
      <c r="F469" s="20">
        <v>154</v>
      </c>
      <c r="G469" s="20">
        <v>468</v>
      </c>
      <c r="H469" s="13" t="s">
        <v>2014</v>
      </c>
      <c r="I469" s="13" t="str">
        <f t="shared" si="14"/>
        <v>Andrews Av (SE 9th St to SE 7th St)</v>
      </c>
      <c r="J469" s="13" t="s">
        <v>27</v>
      </c>
      <c r="K469" s="13" t="str">
        <f>VLOOKUP(J469,'Data-ProjectTypes'!A$3:B$13,2,FALSE)</f>
        <v>Program</v>
      </c>
      <c r="L469" s="21" t="s">
        <v>348</v>
      </c>
      <c r="M469" s="13" t="s">
        <v>2479</v>
      </c>
      <c r="N469" s="13" t="s">
        <v>2478</v>
      </c>
      <c r="O469" s="13" t="s">
        <v>273</v>
      </c>
      <c r="P469" s="13" t="s">
        <v>273</v>
      </c>
      <c r="Q469" s="22">
        <v>0.1</v>
      </c>
      <c r="R469" s="23">
        <v>43317</v>
      </c>
      <c r="S469" s="21"/>
      <c r="T469" s="21"/>
      <c r="U469" s="21"/>
      <c r="V469" s="24"/>
      <c r="W469" s="24"/>
      <c r="X469" s="24"/>
      <c r="Y469" s="17"/>
      <c r="Z469" s="18">
        <f>ROUND(R469*'Data-CostAssumptions'!$C$3,-3)</f>
        <v>60000</v>
      </c>
      <c r="AA469" s="11">
        <f t="shared" si="15"/>
        <v>0</v>
      </c>
      <c r="AB469" s="11">
        <v>2041</v>
      </c>
      <c r="AC469" s="11">
        <v>2041</v>
      </c>
      <c r="AD469" s="11">
        <v>2041</v>
      </c>
      <c r="AE469" s="11">
        <v>2041</v>
      </c>
      <c r="AF469" s="11">
        <v>0</v>
      </c>
      <c r="AG469" s="19">
        <f>ROUND((Z469*'Data-CostAssumptions'!$G$5)*(1+'Data-CostAssumptions'!$G$3)^(AC469-'Data-CostAssumptions'!$G$4),-3)</f>
        <v>34000</v>
      </c>
      <c r="AH469" s="19">
        <f>ROUND((Z469)*(1+'Data-CostAssumptions'!$G$3)^(AE469-'Data-CostAssumptions'!$G$4),-3)</f>
        <v>154000</v>
      </c>
    </row>
    <row r="470" spans="1:34" ht="15" customHeight="1" x14ac:dyDescent="0.2">
      <c r="A470" s="11"/>
      <c r="B470" s="11" t="s">
        <v>1213</v>
      </c>
      <c r="C470" s="13">
        <v>477</v>
      </c>
      <c r="D470" s="13" t="s">
        <v>420</v>
      </c>
      <c r="E470" s="20">
        <v>405</v>
      </c>
      <c r="F470" s="20">
        <v>168</v>
      </c>
      <c r="G470" s="20">
        <v>469</v>
      </c>
      <c r="H470" s="13" t="s">
        <v>246</v>
      </c>
      <c r="I470" s="13" t="str">
        <f t="shared" si="14"/>
        <v>BCC (BCC Entrance to College Av)</v>
      </c>
      <c r="J470" s="13" t="s">
        <v>27</v>
      </c>
      <c r="K470" s="13" t="str">
        <f>VLOOKUP(J470,'Data-ProjectTypes'!A$3:B$13,2,FALSE)</f>
        <v>Program</v>
      </c>
      <c r="L470" s="21" t="s">
        <v>348</v>
      </c>
      <c r="M470" s="13" t="s">
        <v>247</v>
      </c>
      <c r="N470" s="13" t="s">
        <v>2016</v>
      </c>
      <c r="O470" s="13" t="s">
        <v>246</v>
      </c>
      <c r="P470" s="13" t="s">
        <v>246</v>
      </c>
      <c r="Q470" s="22">
        <v>0.4</v>
      </c>
      <c r="R470" s="23">
        <v>155566</v>
      </c>
      <c r="S470" s="21" t="s">
        <v>350</v>
      </c>
      <c r="T470" s="21"/>
      <c r="U470" s="21"/>
      <c r="V470" s="24"/>
      <c r="W470" s="24"/>
      <c r="X470" s="30" t="s">
        <v>470</v>
      </c>
      <c r="Y470" s="17" t="s">
        <v>469</v>
      </c>
      <c r="Z470" s="18">
        <f>ROUND(R470*'Data-CostAssumptions'!$C$3,-3)</f>
        <v>215000</v>
      </c>
      <c r="AA470" s="11">
        <f t="shared" si="15"/>
        <v>0</v>
      </c>
      <c r="AB470" s="11">
        <v>2041</v>
      </c>
      <c r="AC470" s="11">
        <v>2041</v>
      </c>
      <c r="AD470" s="11">
        <v>2041</v>
      </c>
      <c r="AE470" s="11">
        <v>2041</v>
      </c>
      <c r="AF470" s="11">
        <v>0</v>
      </c>
      <c r="AG470" s="19">
        <f>ROUND((Z470*'Data-CostAssumptions'!$G$5)*(1+'Data-CostAssumptions'!$G$3)^(AC470-'Data-CostAssumptions'!$G$4),-3)</f>
        <v>121000</v>
      </c>
      <c r="AH470" s="19">
        <f>ROUND((Z470)*(1+'Data-CostAssumptions'!$G$3)^(AE470-'Data-CostAssumptions'!$G$4),-3)</f>
        <v>551000</v>
      </c>
    </row>
    <row r="471" spans="1:34" ht="15" customHeight="1" x14ac:dyDescent="0.2">
      <c r="A471" s="11"/>
      <c r="B471" s="11" t="s">
        <v>1213</v>
      </c>
      <c r="C471" s="13">
        <v>584</v>
      </c>
      <c r="D471" s="13" t="s">
        <v>420</v>
      </c>
      <c r="E471" s="20">
        <v>427</v>
      </c>
      <c r="F471" s="20">
        <v>174</v>
      </c>
      <c r="G471" s="20">
        <v>470</v>
      </c>
      <c r="H471" s="13" t="s">
        <v>246</v>
      </c>
      <c r="I471" s="13" t="str">
        <f t="shared" si="14"/>
        <v>BCC (BCC to BCC Entrance)</v>
      </c>
      <c r="J471" s="13" t="s">
        <v>27</v>
      </c>
      <c r="K471" s="13" t="str">
        <f>VLOOKUP(J471,'Data-ProjectTypes'!A$3:B$13,2,FALSE)</f>
        <v>Program</v>
      </c>
      <c r="L471" s="21" t="s">
        <v>348</v>
      </c>
      <c r="M471" s="13" t="s">
        <v>246</v>
      </c>
      <c r="N471" s="13" t="s">
        <v>247</v>
      </c>
      <c r="O471" s="13" t="s">
        <v>273</v>
      </c>
      <c r="P471" s="13" t="s">
        <v>273</v>
      </c>
      <c r="Q471" s="22">
        <v>0.1</v>
      </c>
      <c r="R471" s="23">
        <v>47196</v>
      </c>
      <c r="S471" s="21" t="s">
        <v>350</v>
      </c>
      <c r="T471" s="21"/>
      <c r="U471" s="21"/>
      <c r="V471" s="24"/>
      <c r="W471" s="24"/>
      <c r="X471" s="24" t="s">
        <v>473</v>
      </c>
      <c r="Y471" s="17" t="s">
        <v>469</v>
      </c>
      <c r="Z471" s="18">
        <f>ROUND(R471*'Data-CostAssumptions'!$C$3,-3)</f>
        <v>65000</v>
      </c>
      <c r="AA471" s="11">
        <f t="shared" si="15"/>
        <v>0</v>
      </c>
      <c r="AB471" s="11">
        <v>2041</v>
      </c>
      <c r="AC471" s="11">
        <v>2041</v>
      </c>
      <c r="AD471" s="11">
        <v>2041</v>
      </c>
      <c r="AE471" s="11">
        <v>2041</v>
      </c>
      <c r="AF471" s="11">
        <v>0</v>
      </c>
      <c r="AG471" s="19">
        <f>ROUND((Z471*'Data-CostAssumptions'!$G$5)*(1+'Data-CostAssumptions'!$G$3)^(AC471-'Data-CostAssumptions'!$G$4),-3)</f>
        <v>37000</v>
      </c>
      <c r="AH471" s="19">
        <f>ROUND((Z471)*(1+'Data-CostAssumptions'!$G$3)^(AE471-'Data-CostAssumptions'!$G$4),-3)</f>
        <v>167000</v>
      </c>
    </row>
    <row r="472" spans="1:34" ht="15" customHeight="1" x14ac:dyDescent="0.2">
      <c r="A472" s="11"/>
      <c r="B472" s="11" t="s">
        <v>1213</v>
      </c>
      <c r="C472" s="13">
        <v>583</v>
      </c>
      <c r="D472" s="13" t="s">
        <v>420</v>
      </c>
      <c r="E472" s="20">
        <v>426</v>
      </c>
      <c r="F472" s="20">
        <v>174</v>
      </c>
      <c r="G472" s="20">
        <v>471</v>
      </c>
      <c r="H472" s="13" t="s">
        <v>247</v>
      </c>
      <c r="I472" s="13" t="str">
        <f t="shared" si="14"/>
        <v>BCC Entrance (Davie Rd to BCC)</v>
      </c>
      <c r="J472" s="13" t="s">
        <v>27</v>
      </c>
      <c r="K472" s="13" t="str">
        <f>VLOOKUP(J472,'Data-ProjectTypes'!A$3:B$13,2,FALSE)</f>
        <v>Program</v>
      </c>
      <c r="L472" s="21" t="s">
        <v>348</v>
      </c>
      <c r="M472" s="13" t="s">
        <v>1845</v>
      </c>
      <c r="N472" s="13" t="s">
        <v>246</v>
      </c>
      <c r="O472" s="13" t="s">
        <v>273</v>
      </c>
      <c r="P472" s="13" t="s">
        <v>273</v>
      </c>
      <c r="Q472" s="22">
        <v>0.2</v>
      </c>
      <c r="R472" s="23">
        <v>53966</v>
      </c>
      <c r="S472" s="21" t="s">
        <v>350</v>
      </c>
      <c r="T472" s="21"/>
      <c r="U472" s="21"/>
      <c r="V472" s="24"/>
      <c r="W472" s="24"/>
      <c r="X472" s="24" t="s">
        <v>473</v>
      </c>
      <c r="Y472" s="17" t="s">
        <v>469</v>
      </c>
      <c r="Z472" s="18">
        <f>ROUND(R472*'Data-CostAssumptions'!$C$3,-3)</f>
        <v>75000</v>
      </c>
      <c r="AA472" s="11">
        <f t="shared" si="15"/>
        <v>0</v>
      </c>
      <c r="AB472" s="11">
        <v>2041</v>
      </c>
      <c r="AC472" s="11">
        <v>2041</v>
      </c>
      <c r="AD472" s="11">
        <v>2041</v>
      </c>
      <c r="AE472" s="11">
        <v>2041</v>
      </c>
      <c r="AF472" s="11">
        <v>0</v>
      </c>
      <c r="AG472" s="19">
        <f>ROUND((Z472*'Data-CostAssumptions'!$G$5)*(1+'Data-CostAssumptions'!$G$3)^(AC472-'Data-CostAssumptions'!$G$4),-3)</f>
        <v>42000</v>
      </c>
      <c r="AH472" s="19">
        <f>ROUND((Z472)*(1+'Data-CostAssumptions'!$G$3)^(AE472-'Data-CostAssumptions'!$G$4),-3)</f>
        <v>192000</v>
      </c>
    </row>
    <row r="473" spans="1:34" ht="15" customHeight="1" x14ac:dyDescent="0.2">
      <c r="A473" s="11"/>
      <c r="B473" s="11" t="s">
        <v>1211</v>
      </c>
      <c r="C473" s="13">
        <v>257</v>
      </c>
      <c r="D473" s="13" t="s">
        <v>420</v>
      </c>
      <c r="E473" s="20">
        <v>305</v>
      </c>
      <c r="F473" s="20">
        <v>154</v>
      </c>
      <c r="G473" s="20">
        <v>472</v>
      </c>
      <c r="H473" s="13" t="s">
        <v>1770</v>
      </c>
      <c r="I473" s="13" t="str">
        <f t="shared" si="14"/>
        <v>South Miami Rd (SE 17th St to SE 12th St)</v>
      </c>
      <c r="J473" s="13" t="s">
        <v>27</v>
      </c>
      <c r="K473" s="13" t="str">
        <f>VLOOKUP(J473,'Data-ProjectTypes'!A$3:B$13,2,FALSE)</f>
        <v>Program</v>
      </c>
      <c r="L473" s="21" t="s">
        <v>348</v>
      </c>
      <c r="M473" s="13" t="s">
        <v>182</v>
      </c>
      <c r="N473" s="13" t="s">
        <v>1938</v>
      </c>
      <c r="O473" s="13" t="s">
        <v>276</v>
      </c>
      <c r="P473" s="13" t="s">
        <v>276</v>
      </c>
      <c r="Q473" s="22">
        <v>0.5</v>
      </c>
      <c r="R473" s="23">
        <v>197035</v>
      </c>
      <c r="S473" s="21"/>
      <c r="T473" s="21"/>
      <c r="U473" s="21"/>
      <c r="V473" s="24"/>
      <c r="W473" s="24"/>
      <c r="X473" s="24"/>
      <c r="Y473" s="17"/>
      <c r="Z473" s="18">
        <f>ROUND(R473*'Data-CostAssumptions'!$C$3,-3)</f>
        <v>273000</v>
      </c>
      <c r="AA473" s="11">
        <f t="shared" si="15"/>
        <v>0</v>
      </c>
      <c r="AB473" s="11">
        <v>2041</v>
      </c>
      <c r="AC473" s="11">
        <v>2041</v>
      </c>
      <c r="AD473" s="11">
        <v>2041</v>
      </c>
      <c r="AE473" s="11">
        <v>2041</v>
      </c>
      <c r="AF473" s="11">
        <v>0</v>
      </c>
      <c r="AG473" s="19">
        <f>ROUND((Z473*'Data-CostAssumptions'!$G$5)*(1+'Data-CostAssumptions'!$G$3)^(AC473-'Data-CostAssumptions'!$G$4),-3)</f>
        <v>154000</v>
      </c>
      <c r="AH473" s="19">
        <f>ROUND((Z473)*(1+'Data-CostAssumptions'!$G$3)^(AE473-'Data-CostAssumptions'!$G$4),-3)</f>
        <v>700000</v>
      </c>
    </row>
    <row r="474" spans="1:34" ht="15" customHeight="1" x14ac:dyDescent="0.2">
      <c r="A474" s="11"/>
      <c r="B474" s="11" t="s">
        <v>1211</v>
      </c>
      <c r="C474" s="13">
        <v>258</v>
      </c>
      <c r="D474" s="13" t="s">
        <v>420</v>
      </c>
      <c r="E474" s="20">
        <v>317</v>
      </c>
      <c r="F474" s="20">
        <v>154</v>
      </c>
      <c r="G474" s="20">
        <v>473</v>
      </c>
      <c r="H474" s="13" t="s">
        <v>146</v>
      </c>
      <c r="I474" s="13" t="str">
        <f t="shared" si="14"/>
        <v>NE 53rd Court (NE 6th Av to Andrews Av)</v>
      </c>
      <c r="J474" s="13" t="s">
        <v>27</v>
      </c>
      <c r="K474" s="13" t="str">
        <f>VLOOKUP(J474,'Data-ProjectTypes'!A$3:B$13,2,FALSE)</f>
        <v>Program</v>
      </c>
      <c r="L474" s="21" t="s">
        <v>348</v>
      </c>
      <c r="M474" s="13" t="s">
        <v>2036</v>
      </c>
      <c r="N474" s="13" t="s">
        <v>2014</v>
      </c>
      <c r="O474" s="13" t="s">
        <v>273</v>
      </c>
      <c r="P474" s="13" t="s">
        <v>273</v>
      </c>
      <c r="Q474" s="22">
        <v>0.5</v>
      </c>
      <c r="R474" s="23">
        <v>163727</v>
      </c>
      <c r="S474" s="21"/>
      <c r="T474" s="21"/>
      <c r="U474" s="21"/>
      <c r="V474" s="24"/>
      <c r="W474" s="24" t="s">
        <v>696</v>
      </c>
      <c r="X474" s="24"/>
      <c r="Y474" s="17" t="s">
        <v>287</v>
      </c>
      <c r="Z474" s="18">
        <f>ROUND(R474*'Data-CostAssumptions'!$C$3,-3)</f>
        <v>227000</v>
      </c>
      <c r="AA474" s="11">
        <f t="shared" si="15"/>
        <v>1</v>
      </c>
      <c r="AB474" s="11">
        <v>2041</v>
      </c>
      <c r="AC474" s="11">
        <v>2041</v>
      </c>
      <c r="AD474" s="11">
        <v>2041</v>
      </c>
      <c r="AE474" s="11">
        <v>2041</v>
      </c>
      <c r="AF474" s="11">
        <v>0</v>
      </c>
      <c r="AG474" s="19">
        <f>ROUND((Z474*'Data-CostAssumptions'!$G$5)*(1+'Data-CostAssumptions'!$G$3)^(AC474-'Data-CostAssumptions'!$G$4),-3)</f>
        <v>128000</v>
      </c>
      <c r="AH474" s="19">
        <f>ROUND((Z474)*(1+'Data-CostAssumptions'!$G$3)^(AE474-'Data-CostAssumptions'!$G$4),-3)</f>
        <v>582000</v>
      </c>
    </row>
    <row r="475" spans="1:34" ht="15" customHeight="1" x14ac:dyDescent="0.2">
      <c r="A475" s="11"/>
      <c r="B475" s="11" t="s">
        <v>1211</v>
      </c>
      <c r="C475" s="13">
        <v>259</v>
      </c>
      <c r="D475" s="13" t="s">
        <v>420</v>
      </c>
      <c r="E475" s="20">
        <v>318</v>
      </c>
      <c r="F475" s="20">
        <v>154</v>
      </c>
      <c r="G475" s="20">
        <v>474</v>
      </c>
      <c r="H475" s="13" t="s">
        <v>1898</v>
      </c>
      <c r="I475" s="13" t="str">
        <f t="shared" si="14"/>
        <v>NE 56th St (Dixie Hwy to NE 3rd Av)</v>
      </c>
      <c r="J475" s="13" t="s">
        <v>27</v>
      </c>
      <c r="K475" s="13" t="str">
        <f>VLOOKUP(J475,'Data-ProjectTypes'!A$3:B$13,2,FALSE)</f>
        <v>Program</v>
      </c>
      <c r="L475" s="21" t="s">
        <v>348</v>
      </c>
      <c r="M475" s="13" t="s">
        <v>728</v>
      </c>
      <c r="N475" s="13" t="s">
        <v>2033</v>
      </c>
      <c r="O475" s="13" t="s">
        <v>273</v>
      </c>
      <c r="P475" s="13" t="s">
        <v>273</v>
      </c>
      <c r="Q475" s="22">
        <v>0.7</v>
      </c>
      <c r="R475" s="23">
        <v>234715</v>
      </c>
      <c r="S475" s="21"/>
      <c r="T475" s="21"/>
      <c r="U475" s="21"/>
      <c r="V475" s="24"/>
      <c r="W475" s="24" t="s">
        <v>696</v>
      </c>
      <c r="X475" s="28"/>
      <c r="Y475" s="17" t="s">
        <v>287</v>
      </c>
      <c r="Z475" s="18">
        <f>ROUND(R475*'Data-CostAssumptions'!$C$3,-3)</f>
        <v>325000</v>
      </c>
      <c r="AA475" s="11">
        <f t="shared" si="15"/>
        <v>1</v>
      </c>
      <c r="AB475" s="11">
        <v>2041</v>
      </c>
      <c r="AC475" s="11">
        <v>2041</v>
      </c>
      <c r="AD475" s="11">
        <v>2041</v>
      </c>
      <c r="AE475" s="11">
        <v>2041</v>
      </c>
      <c r="AF475" s="11">
        <v>0</v>
      </c>
      <c r="AG475" s="19">
        <f>ROUND((Z475*'Data-CostAssumptions'!$G$5)*(1+'Data-CostAssumptions'!$G$3)^(AC475-'Data-CostAssumptions'!$G$4),-3)</f>
        <v>183000</v>
      </c>
      <c r="AH475" s="19">
        <f>ROUND((Z475)*(1+'Data-CostAssumptions'!$G$3)^(AE475-'Data-CostAssumptions'!$G$4),-3)</f>
        <v>833000</v>
      </c>
    </row>
    <row r="476" spans="1:34" ht="15" customHeight="1" x14ac:dyDescent="0.2">
      <c r="A476" s="11"/>
      <c r="B476" s="11" t="s">
        <v>1211</v>
      </c>
      <c r="C476" s="13">
        <v>260</v>
      </c>
      <c r="D476" s="13" t="s">
        <v>420</v>
      </c>
      <c r="E476" s="20">
        <v>323</v>
      </c>
      <c r="F476" s="20">
        <v>155</v>
      </c>
      <c r="G476" s="20">
        <v>475</v>
      </c>
      <c r="H476" s="13" t="s">
        <v>1898</v>
      </c>
      <c r="I476" s="13" t="str">
        <f t="shared" si="14"/>
        <v>NE 56th St (Dixie Hwy to NE 9th Terrace)</v>
      </c>
      <c r="J476" s="13" t="s">
        <v>27</v>
      </c>
      <c r="K476" s="13" t="str">
        <f>VLOOKUP(J476,'Data-ProjectTypes'!A$3:B$13,2,FALSE)</f>
        <v>Program</v>
      </c>
      <c r="L476" s="21" t="s">
        <v>348</v>
      </c>
      <c r="M476" s="13" t="s">
        <v>728</v>
      </c>
      <c r="N476" s="13" t="s">
        <v>144</v>
      </c>
      <c r="O476" s="13" t="s">
        <v>270</v>
      </c>
      <c r="P476" s="13" t="s">
        <v>270</v>
      </c>
      <c r="Q476" s="22">
        <v>0.1</v>
      </c>
      <c r="R476" s="23">
        <v>42134</v>
      </c>
      <c r="S476" s="21"/>
      <c r="T476" s="21"/>
      <c r="U476" s="21"/>
      <c r="V476" s="24"/>
      <c r="W476" s="24" t="s">
        <v>696</v>
      </c>
      <c r="X476" s="24"/>
      <c r="Y476" s="17" t="s">
        <v>287</v>
      </c>
      <c r="Z476" s="18">
        <f>ROUND(R476*'Data-CostAssumptions'!$C$3,-3)</f>
        <v>58000</v>
      </c>
      <c r="AA476" s="11">
        <f t="shared" si="15"/>
        <v>1</v>
      </c>
      <c r="AB476" s="11">
        <v>2041</v>
      </c>
      <c r="AC476" s="11">
        <v>2041</v>
      </c>
      <c r="AD476" s="11">
        <v>2041</v>
      </c>
      <c r="AE476" s="11">
        <v>2041</v>
      </c>
      <c r="AF476" s="11">
        <v>0</v>
      </c>
      <c r="AG476" s="19">
        <f>ROUND((Z476*'Data-CostAssumptions'!$G$5)*(1+'Data-CostAssumptions'!$G$3)^(AC476-'Data-CostAssumptions'!$G$4),-3)</f>
        <v>33000</v>
      </c>
      <c r="AH476" s="19">
        <f>ROUND((Z476)*(1+'Data-CostAssumptions'!$G$3)^(AE476-'Data-CostAssumptions'!$G$4),-3)</f>
        <v>149000</v>
      </c>
    </row>
    <row r="477" spans="1:34" ht="15" customHeight="1" x14ac:dyDescent="0.2">
      <c r="A477" s="11"/>
      <c r="B477" s="11" t="s">
        <v>1211</v>
      </c>
      <c r="C477" s="13">
        <v>261</v>
      </c>
      <c r="D477" s="13" t="s">
        <v>420</v>
      </c>
      <c r="E477" s="20">
        <v>338</v>
      </c>
      <c r="F477" s="20">
        <v>155</v>
      </c>
      <c r="G477" s="20">
        <v>476</v>
      </c>
      <c r="H477" s="13" t="s">
        <v>2042</v>
      </c>
      <c r="I477" s="13" t="str">
        <f t="shared" si="14"/>
        <v>North 63 Av/Hollywood Bl (Hollywood Bl to Polk St)</v>
      </c>
      <c r="J477" s="13" t="s">
        <v>27</v>
      </c>
      <c r="K477" s="13" t="str">
        <f>VLOOKUP(J477,'Data-ProjectTypes'!A$3:B$13,2,FALSE)</f>
        <v>Program</v>
      </c>
      <c r="L477" s="21" t="s">
        <v>348</v>
      </c>
      <c r="M477" s="13" t="s">
        <v>1820</v>
      </c>
      <c r="N477" s="13" t="s">
        <v>1936</v>
      </c>
      <c r="O477" s="13" t="s">
        <v>270</v>
      </c>
      <c r="P477" s="13" t="s">
        <v>270</v>
      </c>
      <c r="Q477" s="22">
        <v>0.2</v>
      </c>
      <c r="R477" s="23">
        <v>79136</v>
      </c>
      <c r="S477" s="21"/>
      <c r="T477" s="21"/>
      <c r="U477" s="21"/>
      <c r="V477" s="24"/>
      <c r="W477" s="24" t="s">
        <v>541</v>
      </c>
      <c r="X477" s="24"/>
      <c r="Y477" s="17" t="s">
        <v>538</v>
      </c>
      <c r="Z477" s="18">
        <f>ROUND(R477*'Data-CostAssumptions'!$C$3,-3)</f>
        <v>110000</v>
      </c>
      <c r="AA477" s="11">
        <f t="shared" si="15"/>
        <v>1</v>
      </c>
      <c r="AB477" s="11">
        <v>2041</v>
      </c>
      <c r="AC477" s="11">
        <v>2041</v>
      </c>
      <c r="AD477" s="11">
        <v>2041</v>
      </c>
      <c r="AE477" s="11">
        <v>2041</v>
      </c>
      <c r="AF477" s="11">
        <v>0</v>
      </c>
      <c r="AG477" s="19">
        <f>ROUND((Z477*'Data-CostAssumptions'!$G$5)*(1+'Data-CostAssumptions'!$G$3)^(AC477-'Data-CostAssumptions'!$G$4),-3)</f>
        <v>62000</v>
      </c>
      <c r="AH477" s="19">
        <f>ROUND((Z477)*(1+'Data-CostAssumptions'!$G$3)^(AE477-'Data-CostAssumptions'!$G$4),-3)</f>
        <v>282000</v>
      </c>
    </row>
    <row r="478" spans="1:34" ht="15" customHeight="1" x14ac:dyDescent="0.2">
      <c r="A478" s="11"/>
      <c r="B478" s="11" t="s">
        <v>1211</v>
      </c>
      <c r="C478" s="13">
        <v>263</v>
      </c>
      <c r="D478" s="13" t="s">
        <v>420</v>
      </c>
      <c r="E478" s="20">
        <v>340</v>
      </c>
      <c r="F478" s="20">
        <v>155</v>
      </c>
      <c r="G478" s="20">
        <v>477</v>
      </c>
      <c r="H478" s="13" t="s">
        <v>2800</v>
      </c>
      <c r="I478" s="13" t="str">
        <f t="shared" si="14"/>
        <v>SR 858/Hallandale Beach Bl (NE 8th Av to Dixie Hwy)</v>
      </c>
      <c r="J478" s="13" t="s">
        <v>27</v>
      </c>
      <c r="K478" s="13" t="str">
        <f>VLOOKUP(J478,'Data-ProjectTypes'!A$3:B$13,2,FALSE)</f>
        <v>Program</v>
      </c>
      <c r="L478" s="21" t="s">
        <v>348</v>
      </c>
      <c r="M478" s="13" t="s">
        <v>2212</v>
      </c>
      <c r="N478" s="13" t="s">
        <v>728</v>
      </c>
      <c r="O478" s="13" t="s">
        <v>270</v>
      </c>
      <c r="P478" s="13" t="s">
        <v>270</v>
      </c>
      <c r="Q478" s="22">
        <v>0.2</v>
      </c>
      <c r="R478" s="23">
        <v>67691</v>
      </c>
      <c r="S478" s="21" t="s">
        <v>24</v>
      </c>
      <c r="T478" s="21" t="s">
        <v>25</v>
      </c>
      <c r="U478" s="21"/>
      <c r="V478" s="24"/>
      <c r="W478" s="24" t="s">
        <v>512</v>
      </c>
      <c r="X478" s="24"/>
      <c r="Y478" s="17" t="s">
        <v>297</v>
      </c>
      <c r="Z478" s="18">
        <f>ROUND(R478*'Data-CostAssumptions'!$C$3,-3)</f>
        <v>94000</v>
      </c>
      <c r="AA478" s="11">
        <f t="shared" si="15"/>
        <v>1</v>
      </c>
      <c r="AB478" s="11">
        <v>2041</v>
      </c>
      <c r="AC478" s="11">
        <v>2041</v>
      </c>
      <c r="AD478" s="11">
        <v>2041</v>
      </c>
      <c r="AE478" s="11">
        <v>2041</v>
      </c>
      <c r="AF478" s="11">
        <v>0</v>
      </c>
      <c r="AG478" s="19">
        <f>ROUND((Z478*'Data-CostAssumptions'!$G$5)*(1+'Data-CostAssumptions'!$G$3)^(AC478-'Data-CostAssumptions'!$G$4),-3)</f>
        <v>53000</v>
      </c>
      <c r="AH478" s="19">
        <f>ROUND((Z478)*(1+'Data-CostAssumptions'!$G$3)^(AE478-'Data-CostAssumptions'!$G$4),-3)</f>
        <v>241000</v>
      </c>
    </row>
    <row r="479" spans="1:34" ht="15" customHeight="1" x14ac:dyDescent="0.2">
      <c r="A479" s="11"/>
      <c r="B479" s="11" t="s">
        <v>1211</v>
      </c>
      <c r="C479" s="13">
        <v>264</v>
      </c>
      <c r="D479" s="13" t="s">
        <v>420</v>
      </c>
      <c r="E479" s="20">
        <v>355</v>
      </c>
      <c r="F479" s="20">
        <v>155</v>
      </c>
      <c r="G479" s="20">
        <v>478</v>
      </c>
      <c r="H479" s="13" t="s">
        <v>1926</v>
      </c>
      <c r="I479" s="13" t="str">
        <f t="shared" si="14"/>
        <v>NW 5th St (East end of NW 5th St to State Rd 7/US 441)</v>
      </c>
      <c r="J479" s="13" t="s">
        <v>27</v>
      </c>
      <c r="K479" s="13" t="str">
        <f>VLOOKUP(J479,'Data-ProjectTypes'!A$3:B$13,2,FALSE)</f>
        <v>Program</v>
      </c>
      <c r="L479" s="21" t="s">
        <v>348</v>
      </c>
      <c r="M479" s="13" t="s">
        <v>2544</v>
      </c>
      <c r="N479" s="13" t="s">
        <v>1773</v>
      </c>
      <c r="O479" s="13" t="s">
        <v>270</v>
      </c>
      <c r="P479" s="13" t="s">
        <v>270</v>
      </c>
      <c r="Q479" s="22">
        <v>0.3</v>
      </c>
      <c r="R479" s="23">
        <v>97824</v>
      </c>
      <c r="S479" s="21"/>
      <c r="T479" s="21"/>
      <c r="U479" s="21"/>
      <c r="V479" s="24"/>
      <c r="W479" s="24"/>
      <c r="X479" s="24"/>
      <c r="Y479" s="17"/>
      <c r="Z479" s="18">
        <f>ROUND(R479*'Data-CostAssumptions'!$C$3,-3)</f>
        <v>135000</v>
      </c>
      <c r="AA479" s="11">
        <f t="shared" si="15"/>
        <v>0</v>
      </c>
      <c r="AB479" s="11">
        <v>2041</v>
      </c>
      <c r="AC479" s="11">
        <v>2041</v>
      </c>
      <c r="AD479" s="11">
        <v>2041</v>
      </c>
      <c r="AE479" s="11">
        <v>2041</v>
      </c>
      <c r="AF479" s="11">
        <v>0</v>
      </c>
      <c r="AG479" s="19">
        <f>ROUND((Z479*'Data-CostAssumptions'!$G$5)*(1+'Data-CostAssumptions'!$G$3)^(AC479-'Data-CostAssumptions'!$G$4),-3)</f>
        <v>76000</v>
      </c>
      <c r="AH479" s="19">
        <f>ROUND((Z479)*(1+'Data-CostAssumptions'!$G$3)^(AE479-'Data-CostAssumptions'!$G$4),-3)</f>
        <v>346000</v>
      </c>
    </row>
    <row r="480" spans="1:34" ht="15" customHeight="1" x14ac:dyDescent="0.2">
      <c r="A480" s="11"/>
      <c r="B480" s="11" t="s">
        <v>1211</v>
      </c>
      <c r="C480" s="13">
        <v>265</v>
      </c>
      <c r="D480" s="13" t="s">
        <v>420</v>
      </c>
      <c r="E480" s="20">
        <v>357</v>
      </c>
      <c r="F480" s="20">
        <v>155</v>
      </c>
      <c r="G480" s="20">
        <v>479</v>
      </c>
      <c r="H480" s="13" t="s">
        <v>170</v>
      </c>
      <c r="I480" s="13" t="str">
        <f t="shared" si="14"/>
        <v>NW 36th Terrace/NW 8th Place (NW 35th Terrace to NW 8th St)</v>
      </c>
      <c r="J480" s="13" t="s">
        <v>27</v>
      </c>
      <c r="K480" s="13" t="str">
        <f>VLOOKUP(J480,'Data-ProjectTypes'!A$3:B$13,2,FALSE)</f>
        <v>Program</v>
      </c>
      <c r="L480" s="21" t="s">
        <v>348</v>
      </c>
      <c r="M480" s="13" t="s">
        <v>169</v>
      </c>
      <c r="N480" s="13" t="s">
        <v>1934</v>
      </c>
      <c r="O480" s="13" t="s">
        <v>281</v>
      </c>
      <c r="P480" s="13" t="s">
        <v>281</v>
      </c>
      <c r="Q480" s="22">
        <v>0.2</v>
      </c>
      <c r="R480" s="23">
        <v>72572</v>
      </c>
      <c r="S480" s="21"/>
      <c r="T480" s="21"/>
      <c r="U480" s="21"/>
      <c r="V480" s="24"/>
      <c r="W480" s="24"/>
      <c r="X480" s="24"/>
      <c r="Z480" s="18">
        <f>ROUND(R480*'Data-CostAssumptions'!$C$3,-3)</f>
        <v>100000</v>
      </c>
      <c r="AA480" s="11">
        <f t="shared" si="15"/>
        <v>0</v>
      </c>
      <c r="AB480" s="11">
        <v>2041</v>
      </c>
      <c r="AC480" s="11">
        <v>2041</v>
      </c>
      <c r="AD480" s="11">
        <v>2041</v>
      </c>
      <c r="AE480" s="11">
        <v>2041</v>
      </c>
      <c r="AF480" s="11">
        <v>0</v>
      </c>
      <c r="AG480" s="19">
        <f>ROUND((Z480*'Data-CostAssumptions'!$G$5)*(1+'Data-CostAssumptions'!$G$3)^(AC480-'Data-CostAssumptions'!$G$4),-3)</f>
        <v>56000</v>
      </c>
      <c r="AH480" s="19">
        <f>ROUND((Z480)*(1+'Data-CostAssumptions'!$G$3)^(AE480-'Data-CostAssumptions'!$G$4),-3)</f>
        <v>256000</v>
      </c>
    </row>
    <row r="481" spans="1:39" ht="15" customHeight="1" x14ac:dyDescent="0.2">
      <c r="A481" s="11"/>
      <c r="B481" s="11" t="s">
        <v>1211</v>
      </c>
      <c r="C481" s="13">
        <v>266</v>
      </c>
      <c r="D481" s="13" t="s">
        <v>420</v>
      </c>
      <c r="E481" s="20">
        <v>366</v>
      </c>
      <c r="F481" s="20">
        <v>155</v>
      </c>
      <c r="G481" s="20">
        <v>480</v>
      </c>
      <c r="H481" s="13" t="s">
        <v>1912</v>
      </c>
      <c r="I481" s="13" t="str">
        <f t="shared" si="14"/>
        <v>NW 2nd St (NW 1st Av to NW 3rd Av)</v>
      </c>
      <c r="J481" s="13" t="s">
        <v>27</v>
      </c>
      <c r="K481" s="13" t="str">
        <f>VLOOKUP(J481,'Data-ProjectTypes'!A$3:B$13,2,FALSE)</f>
        <v>Program</v>
      </c>
      <c r="L481" s="21" t="s">
        <v>348</v>
      </c>
      <c r="M481" s="13" t="s">
        <v>2056</v>
      </c>
      <c r="N481" s="13" t="s">
        <v>2067</v>
      </c>
      <c r="O481" s="13" t="s">
        <v>276</v>
      </c>
      <c r="P481" s="13" t="s">
        <v>276</v>
      </c>
      <c r="Q481" s="22">
        <v>0.1</v>
      </c>
      <c r="R481" s="23">
        <v>44779</v>
      </c>
      <c r="S481" s="21"/>
      <c r="T481" s="21"/>
      <c r="U481" s="21"/>
      <c r="V481" s="24"/>
      <c r="W481" s="24"/>
      <c r="X481" s="28"/>
      <c r="Y481" s="17"/>
      <c r="Z481" s="18">
        <f>ROUND(R481*'Data-CostAssumptions'!$C$3,-3)</f>
        <v>62000</v>
      </c>
      <c r="AA481" s="11">
        <f t="shared" si="15"/>
        <v>0</v>
      </c>
      <c r="AB481" s="11">
        <v>2041</v>
      </c>
      <c r="AC481" s="11">
        <v>2041</v>
      </c>
      <c r="AD481" s="11">
        <v>2041</v>
      </c>
      <c r="AE481" s="11">
        <v>2041</v>
      </c>
      <c r="AF481" s="11">
        <v>0</v>
      </c>
      <c r="AG481" s="19">
        <f>ROUND((Z481*'Data-CostAssumptions'!$G$5)*(1+'Data-CostAssumptions'!$G$3)^(AC481-'Data-CostAssumptions'!$G$4),-3)</f>
        <v>35000</v>
      </c>
      <c r="AH481" s="19">
        <f>ROUND((Z481)*(1+'Data-CostAssumptions'!$G$3)^(AE481-'Data-CostAssumptions'!$G$4),-3)</f>
        <v>159000</v>
      </c>
    </row>
    <row r="482" spans="1:39" ht="15" customHeight="1" x14ac:dyDescent="0.2">
      <c r="A482" s="11"/>
      <c r="B482" s="11" t="s">
        <v>1211</v>
      </c>
      <c r="C482" s="13">
        <v>267</v>
      </c>
      <c r="D482" s="13" t="s">
        <v>420</v>
      </c>
      <c r="E482" s="20">
        <v>368</v>
      </c>
      <c r="F482" s="20">
        <v>155</v>
      </c>
      <c r="G482" s="20">
        <v>481</v>
      </c>
      <c r="H482" s="13" t="s">
        <v>2709</v>
      </c>
      <c r="I482" s="13" t="str">
        <f t="shared" si="14"/>
        <v>SR 817/University Dr (Orange Dr to SW 39th St)</v>
      </c>
      <c r="J482" s="13" t="s">
        <v>27</v>
      </c>
      <c r="K482" s="13" t="str">
        <f>VLOOKUP(J482,'Data-ProjectTypes'!A$3:B$13,2,FALSE)</f>
        <v>Program</v>
      </c>
      <c r="L482" s="21" t="s">
        <v>348</v>
      </c>
      <c r="M482" s="13" t="s">
        <v>184</v>
      </c>
      <c r="N482" s="13" t="s">
        <v>486</v>
      </c>
      <c r="O482" s="13" t="s">
        <v>270</v>
      </c>
      <c r="P482" s="13" t="s">
        <v>270</v>
      </c>
      <c r="Q482" s="22">
        <v>0.2</v>
      </c>
      <c r="R482" s="23">
        <v>64845</v>
      </c>
      <c r="S482" s="21" t="s">
        <v>24</v>
      </c>
      <c r="T482" s="21"/>
      <c r="U482" s="21"/>
      <c r="V482" s="24"/>
      <c r="W482" s="24"/>
      <c r="X482" s="24"/>
      <c r="Y482" s="17" t="s">
        <v>469</v>
      </c>
      <c r="Z482" s="18">
        <f>ROUND(R482*'Data-CostAssumptions'!$C$3,-3)</f>
        <v>90000</v>
      </c>
      <c r="AA482" s="11">
        <f t="shared" si="15"/>
        <v>0</v>
      </c>
      <c r="AB482" s="11">
        <v>2041</v>
      </c>
      <c r="AC482" s="11">
        <v>2041</v>
      </c>
      <c r="AD482" s="11">
        <v>2041</v>
      </c>
      <c r="AE482" s="11">
        <v>2041</v>
      </c>
      <c r="AF482" s="11">
        <v>0</v>
      </c>
      <c r="AG482" s="19">
        <f>ROUND((Z482*'Data-CostAssumptions'!$G$5)*(1+'Data-CostAssumptions'!$G$3)^(AC482-'Data-CostAssumptions'!$G$4),-3)</f>
        <v>51000</v>
      </c>
      <c r="AH482" s="19">
        <f>ROUND((Z482)*(1+'Data-CostAssumptions'!$G$3)^(AE482-'Data-CostAssumptions'!$G$4),-3)</f>
        <v>231000</v>
      </c>
    </row>
    <row r="483" spans="1:39" ht="15" customHeight="1" x14ac:dyDescent="0.2">
      <c r="A483" s="11"/>
      <c r="B483" s="11" t="s">
        <v>1211</v>
      </c>
      <c r="C483" s="13">
        <v>268</v>
      </c>
      <c r="D483" s="13" t="s">
        <v>420</v>
      </c>
      <c r="E483" s="20">
        <v>390</v>
      </c>
      <c r="F483" s="20">
        <v>155</v>
      </c>
      <c r="G483" s="20">
        <v>482</v>
      </c>
      <c r="H483" s="13" t="s">
        <v>1889</v>
      </c>
      <c r="I483" s="13" t="str">
        <f t="shared" si="14"/>
        <v>NE 33rd St (NE 5th Av to NE 3rd Av)</v>
      </c>
      <c r="J483" s="13" t="s">
        <v>27</v>
      </c>
      <c r="K483" s="13" t="str">
        <f>VLOOKUP(J483,'Data-ProjectTypes'!A$3:B$13,2,FALSE)</f>
        <v>Program</v>
      </c>
      <c r="L483" s="21" t="s">
        <v>348</v>
      </c>
      <c r="M483" s="13" t="s">
        <v>2035</v>
      </c>
      <c r="N483" s="13" t="s">
        <v>2033</v>
      </c>
      <c r="O483" s="13" t="s">
        <v>275</v>
      </c>
      <c r="P483" s="13" t="s">
        <v>275</v>
      </c>
      <c r="Q483" s="22">
        <v>0.2</v>
      </c>
      <c r="R483" s="23">
        <v>60791</v>
      </c>
      <c r="S483" s="21"/>
      <c r="T483" s="21"/>
      <c r="U483" s="21"/>
      <c r="V483" s="24"/>
      <c r="W483" s="24"/>
      <c r="X483" s="24" t="s">
        <v>764</v>
      </c>
      <c r="Y483" s="17" t="s">
        <v>765</v>
      </c>
      <c r="Z483" s="18">
        <f>ROUND(R483*'Data-CostAssumptions'!$C$3,-3)</f>
        <v>84000</v>
      </c>
      <c r="AA483" s="11">
        <f t="shared" si="15"/>
        <v>0</v>
      </c>
      <c r="AB483" s="11">
        <v>2041</v>
      </c>
      <c r="AC483" s="11">
        <v>2041</v>
      </c>
      <c r="AD483" s="11">
        <v>2041</v>
      </c>
      <c r="AE483" s="11">
        <v>2041</v>
      </c>
      <c r="AF483" s="11">
        <v>0</v>
      </c>
      <c r="AG483" s="19">
        <f>ROUND((Z483*'Data-CostAssumptions'!$G$5)*(1+'Data-CostAssumptions'!$G$3)^(AC483-'Data-CostAssumptions'!$G$4),-3)</f>
        <v>47000</v>
      </c>
      <c r="AH483" s="19">
        <f>ROUND((Z483)*(1+'Data-CostAssumptions'!$G$3)^(AE483-'Data-CostAssumptions'!$G$4),-3)</f>
        <v>215000</v>
      </c>
    </row>
    <row r="484" spans="1:39" ht="15" customHeight="1" x14ac:dyDescent="0.2">
      <c r="A484" s="11"/>
      <c r="B484" s="11" t="s">
        <v>1211</v>
      </c>
      <c r="C484" s="13">
        <v>269</v>
      </c>
      <c r="D484" s="13" t="s">
        <v>420</v>
      </c>
      <c r="E484" s="20">
        <v>396</v>
      </c>
      <c r="F484" s="20">
        <v>155</v>
      </c>
      <c r="G484" s="20">
        <v>483</v>
      </c>
      <c r="H484" s="13" t="s">
        <v>1964</v>
      </c>
      <c r="I484" s="13" t="str">
        <f t="shared" si="14"/>
        <v>SW 4th St (SW 1st Terrace to SW 3rd Av)</v>
      </c>
      <c r="J484" s="13" t="s">
        <v>27</v>
      </c>
      <c r="K484" s="13" t="str">
        <f>VLOOKUP(J484,'Data-ProjectTypes'!A$3:B$13,2,FALSE)</f>
        <v>Program</v>
      </c>
      <c r="L484" s="21" t="s">
        <v>348</v>
      </c>
      <c r="M484" s="13" t="s">
        <v>233</v>
      </c>
      <c r="N484" s="13" t="s">
        <v>2123</v>
      </c>
      <c r="O484" s="13" t="s">
        <v>289</v>
      </c>
      <c r="P484" s="13" t="s">
        <v>289</v>
      </c>
      <c r="Q484" s="22">
        <v>0.2</v>
      </c>
      <c r="R484" s="23">
        <v>62706</v>
      </c>
      <c r="S484" s="21" t="s">
        <v>24</v>
      </c>
      <c r="T484" s="21" t="s">
        <v>25</v>
      </c>
      <c r="U484" s="21"/>
      <c r="V484" s="24"/>
      <c r="W484" s="24"/>
      <c r="X484" s="24"/>
      <c r="Y484" s="17" t="s">
        <v>492</v>
      </c>
      <c r="Z484" s="18">
        <f>ROUND(R484*'Data-CostAssumptions'!$C$3,-3)</f>
        <v>87000</v>
      </c>
      <c r="AA484" s="11">
        <f t="shared" si="15"/>
        <v>0</v>
      </c>
      <c r="AB484" s="11">
        <v>2041</v>
      </c>
      <c r="AC484" s="11">
        <v>2041</v>
      </c>
      <c r="AD484" s="11">
        <v>2041</v>
      </c>
      <c r="AE484" s="11">
        <v>2041</v>
      </c>
      <c r="AF484" s="11">
        <v>0</v>
      </c>
      <c r="AG484" s="19">
        <f>ROUND((Z484*'Data-CostAssumptions'!$G$5)*(1+'Data-CostAssumptions'!$G$3)^(AC484-'Data-CostAssumptions'!$G$4),-3)</f>
        <v>49000</v>
      </c>
      <c r="AH484" s="19">
        <f>ROUND((Z484)*(1+'Data-CostAssumptions'!$G$3)^(AE484-'Data-CostAssumptions'!$G$4),-3)</f>
        <v>223000</v>
      </c>
    </row>
    <row r="485" spans="1:39" ht="15" customHeight="1" x14ac:dyDescent="0.2">
      <c r="A485" s="11"/>
      <c r="B485" s="11" t="s">
        <v>1211</v>
      </c>
      <c r="C485" s="13">
        <v>270</v>
      </c>
      <c r="D485" s="13" t="s">
        <v>420</v>
      </c>
      <c r="E485" s="20">
        <v>412</v>
      </c>
      <c r="F485" s="20">
        <v>155</v>
      </c>
      <c r="G485" s="20">
        <v>484</v>
      </c>
      <c r="H485" s="13" t="s">
        <v>2070</v>
      </c>
      <c r="I485" s="13" t="str">
        <f t="shared" si="14"/>
        <v>NW 47th Av (Sunrise Bl to NW 16th St)</v>
      </c>
      <c r="J485" s="13" t="s">
        <v>27</v>
      </c>
      <c r="K485" s="13" t="str">
        <f>VLOOKUP(J485,'Data-ProjectTypes'!A$3:B$13,2,FALSE)</f>
        <v>Program</v>
      </c>
      <c r="L485" s="21" t="s">
        <v>348</v>
      </c>
      <c r="M485" s="13" t="s">
        <v>1830</v>
      </c>
      <c r="N485" s="13" t="s">
        <v>1910</v>
      </c>
      <c r="O485" s="13" t="s">
        <v>272</v>
      </c>
      <c r="P485" s="13" t="s">
        <v>272</v>
      </c>
      <c r="Q485" s="22">
        <v>0.7</v>
      </c>
      <c r="R485" s="23">
        <v>233254</v>
      </c>
      <c r="S485" s="21"/>
      <c r="T485" s="21"/>
      <c r="U485" s="21"/>
      <c r="V485" s="24"/>
      <c r="W485" s="24"/>
      <c r="X485" s="24"/>
      <c r="Y485" s="17"/>
      <c r="Z485" s="18">
        <f>ROUND(R485*'Data-CostAssumptions'!$C$3,-3)</f>
        <v>323000</v>
      </c>
      <c r="AA485" s="11">
        <f t="shared" si="15"/>
        <v>0</v>
      </c>
      <c r="AB485" s="11">
        <v>2041</v>
      </c>
      <c r="AC485" s="11">
        <v>2041</v>
      </c>
      <c r="AD485" s="11">
        <v>2041</v>
      </c>
      <c r="AE485" s="11">
        <v>2041</v>
      </c>
      <c r="AF485" s="11">
        <v>0</v>
      </c>
      <c r="AG485" s="19">
        <f>ROUND((Z485*'Data-CostAssumptions'!$G$5)*(1+'Data-CostAssumptions'!$G$3)^(AC485-'Data-CostAssumptions'!$G$4),-3)</f>
        <v>182000</v>
      </c>
      <c r="AH485" s="19">
        <f>ROUND((Z485)*(1+'Data-CostAssumptions'!$G$3)^(AE485-'Data-CostAssumptions'!$G$4),-3)</f>
        <v>828000</v>
      </c>
    </row>
    <row r="486" spans="1:39" ht="15" customHeight="1" x14ac:dyDescent="0.2">
      <c r="A486" s="11"/>
      <c r="B486" s="11" t="s">
        <v>1211</v>
      </c>
      <c r="C486" s="13">
        <v>271</v>
      </c>
      <c r="D486" s="13" t="s">
        <v>420</v>
      </c>
      <c r="E486" s="20">
        <v>413</v>
      </c>
      <c r="F486" s="20">
        <v>155</v>
      </c>
      <c r="G486" s="20">
        <v>485</v>
      </c>
      <c r="H486" s="13" t="s">
        <v>1966</v>
      </c>
      <c r="I486" s="13" t="str">
        <f t="shared" si="14"/>
        <v>SW 8th St (SW 3rd Av to Flagler Av)</v>
      </c>
      <c r="J486" s="13" t="s">
        <v>27</v>
      </c>
      <c r="K486" s="13" t="str">
        <f>VLOOKUP(J486,'Data-ProjectTypes'!A$3:B$13,2,FALSE)</f>
        <v>Program</v>
      </c>
      <c r="L486" s="21" t="s">
        <v>348</v>
      </c>
      <c r="M486" s="13" t="s">
        <v>2123</v>
      </c>
      <c r="N486" s="13" t="s">
        <v>2019</v>
      </c>
      <c r="O486" s="13" t="s">
        <v>275</v>
      </c>
      <c r="P486" s="13" t="s">
        <v>275</v>
      </c>
      <c r="Q486" s="22">
        <v>0.1</v>
      </c>
      <c r="R486" s="23">
        <v>35557</v>
      </c>
      <c r="S486" s="21"/>
      <c r="T486" s="21"/>
      <c r="U486" s="21"/>
      <c r="V486" s="24"/>
      <c r="W486" s="24"/>
      <c r="X486" s="24" t="s">
        <v>764</v>
      </c>
      <c r="Y486" s="17" t="s">
        <v>765</v>
      </c>
      <c r="Z486" s="18">
        <f>ROUND(R486*'Data-CostAssumptions'!$C$3,-3)</f>
        <v>49000</v>
      </c>
      <c r="AA486" s="11">
        <f t="shared" si="15"/>
        <v>0</v>
      </c>
      <c r="AB486" s="11">
        <v>2041</v>
      </c>
      <c r="AC486" s="11">
        <v>2041</v>
      </c>
      <c r="AD486" s="11">
        <v>2041</v>
      </c>
      <c r="AE486" s="11">
        <v>2041</v>
      </c>
      <c r="AF486" s="11">
        <v>0</v>
      </c>
      <c r="AG486" s="19">
        <f>ROUND((Z486*'Data-CostAssumptions'!$G$5)*(1+'Data-CostAssumptions'!$G$3)^(AC486-'Data-CostAssumptions'!$G$4),-3)</f>
        <v>28000</v>
      </c>
      <c r="AH486" s="19">
        <f>ROUND((Z486)*(1+'Data-CostAssumptions'!$G$3)^(AE486-'Data-CostAssumptions'!$G$4),-3)</f>
        <v>126000</v>
      </c>
    </row>
    <row r="487" spans="1:39" s="45" customFormat="1" ht="15" customHeight="1" x14ac:dyDescent="0.2">
      <c r="A487" s="11"/>
      <c r="B487" s="11" t="s">
        <v>1211</v>
      </c>
      <c r="C487" s="13">
        <v>272</v>
      </c>
      <c r="D487" s="13" t="s">
        <v>420</v>
      </c>
      <c r="E487" s="20">
        <v>423</v>
      </c>
      <c r="F487" s="20">
        <v>155</v>
      </c>
      <c r="G487" s="20">
        <v>486</v>
      </c>
      <c r="H487" s="13" t="s">
        <v>107</v>
      </c>
      <c r="I487" s="13" t="str">
        <f t="shared" si="14"/>
        <v>NE 26th Court (NE 3rd Av to Cypress Rd)</v>
      </c>
      <c r="J487" s="13" t="s">
        <v>27</v>
      </c>
      <c r="K487" s="13" t="str">
        <f>VLOOKUP(J487,'Data-ProjectTypes'!A$3:B$13,2,FALSE)</f>
        <v>Program</v>
      </c>
      <c r="L487" s="21" t="s">
        <v>348</v>
      </c>
      <c r="M487" s="13" t="s">
        <v>2033</v>
      </c>
      <c r="N487" s="13" t="s">
        <v>1843</v>
      </c>
      <c r="O487" s="13" t="s">
        <v>275</v>
      </c>
      <c r="P487" s="13" t="s">
        <v>275</v>
      </c>
      <c r="Q487" s="22">
        <v>0.3</v>
      </c>
      <c r="R487" s="23">
        <v>90812</v>
      </c>
      <c r="S487" s="21"/>
      <c r="T487" s="21"/>
      <c r="U487" s="21"/>
      <c r="V487" s="24"/>
      <c r="W487" s="24"/>
      <c r="X487" s="24" t="s">
        <v>764</v>
      </c>
      <c r="Y487" s="17" t="s">
        <v>765</v>
      </c>
      <c r="Z487" s="18">
        <f>ROUND(R487*'Data-CostAssumptions'!$C$3,-3)</f>
        <v>126000</v>
      </c>
      <c r="AA487" s="11">
        <f t="shared" si="15"/>
        <v>0</v>
      </c>
      <c r="AB487" s="11">
        <v>2041</v>
      </c>
      <c r="AC487" s="11">
        <v>2041</v>
      </c>
      <c r="AD487" s="11">
        <v>2041</v>
      </c>
      <c r="AE487" s="11">
        <v>2041</v>
      </c>
      <c r="AF487" s="11">
        <v>0</v>
      </c>
      <c r="AG487" s="19">
        <f>ROUND((Z487*'Data-CostAssumptions'!$G$5)*(1+'Data-CostAssumptions'!$G$3)^(AC487-'Data-CostAssumptions'!$G$4),-3)</f>
        <v>71000</v>
      </c>
      <c r="AH487" s="19">
        <f>ROUND((Z487)*(1+'Data-CostAssumptions'!$G$3)^(AE487-'Data-CostAssumptions'!$G$4),-3)</f>
        <v>323000</v>
      </c>
      <c r="AI487" s="12"/>
      <c r="AJ487" s="12"/>
      <c r="AK487" s="12"/>
      <c r="AL487" s="12"/>
      <c r="AM487" s="12"/>
    </row>
    <row r="488" spans="1:39" ht="15" customHeight="1" x14ac:dyDescent="0.2">
      <c r="A488" s="11"/>
      <c r="B488" s="11" t="s">
        <v>1211</v>
      </c>
      <c r="C488" s="13">
        <v>273</v>
      </c>
      <c r="D488" s="13" t="s">
        <v>420</v>
      </c>
      <c r="E488" s="20">
        <v>424</v>
      </c>
      <c r="F488" s="20">
        <v>155</v>
      </c>
      <c r="G488" s="20">
        <v>487</v>
      </c>
      <c r="H488" s="13" t="s">
        <v>1887</v>
      </c>
      <c r="I488" s="13" t="str">
        <f t="shared" si="14"/>
        <v>NE 26th St (NE 3rd Av to Cypress Rd)</v>
      </c>
      <c r="J488" s="13" t="s">
        <v>27</v>
      </c>
      <c r="K488" s="13" t="str">
        <f>VLOOKUP(J488,'Data-ProjectTypes'!A$3:B$13,2,FALSE)</f>
        <v>Program</v>
      </c>
      <c r="L488" s="21" t="s">
        <v>348</v>
      </c>
      <c r="M488" s="13" t="s">
        <v>2033</v>
      </c>
      <c r="N488" s="13" t="s">
        <v>1843</v>
      </c>
      <c r="O488" s="13" t="s">
        <v>275</v>
      </c>
      <c r="P488" s="13" t="s">
        <v>275</v>
      </c>
      <c r="Q488" s="22">
        <v>0.3</v>
      </c>
      <c r="R488" s="23">
        <v>92515</v>
      </c>
      <c r="S488" s="21"/>
      <c r="T488" s="21"/>
      <c r="U488" s="21"/>
      <c r="V488" s="24"/>
      <c r="W488" s="24"/>
      <c r="X488" s="24" t="s">
        <v>764</v>
      </c>
      <c r="Y488" s="17" t="s">
        <v>765</v>
      </c>
      <c r="Z488" s="18">
        <f>ROUND(R488*'Data-CostAssumptions'!$C$3,-3)</f>
        <v>128000</v>
      </c>
      <c r="AA488" s="11">
        <f t="shared" si="15"/>
        <v>0</v>
      </c>
      <c r="AB488" s="11">
        <v>2041</v>
      </c>
      <c r="AC488" s="11">
        <v>2041</v>
      </c>
      <c r="AD488" s="11">
        <v>2041</v>
      </c>
      <c r="AE488" s="11">
        <v>2041</v>
      </c>
      <c r="AF488" s="11">
        <v>0</v>
      </c>
      <c r="AG488" s="19">
        <f>ROUND((Z488*'Data-CostAssumptions'!$G$5)*(1+'Data-CostAssumptions'!$G$3)^(AC488-'Data-CostAssumptions'!$G$4),-3)</f>
        <v>72000</v>
      </c>
      <c r="AH488" s="19">
        <f>ROUND((Z488)*(1+'Data-CostAssumptions'!$G$3)^(AE488-'Data-CostAssumptions'!$G$4),-3)</f>
        <v>328000</v>
      </c>
    </row>
    <row r="489" spans="1:39" ht="15" customHeight="1" x14ac:dyDescent="0.2">
      <c r="A489" s="11"/>
      <c r="B489" s="11" t="s">
        <v>1211</v>
      </c>
      <c r="C489" s="13">
        <v>274</v>
      </c>
      <c r="D489" s="13" t="s">
        <v>420</v>
      </c>
      <c r="E489" s="20">
        <v>425</v>
      </c>
      <c r="F489" s="20">
        <v>155</v>
      </c>
      <c r="G489" s="20">
        <v>488</v>
      </c>
      <c r="H489" s="13" t="s">
        <v>106</v>
      </c>
      <c r="I489" s="13" t="str">
        <f t="shared" si="14"/>
        <v>NE 25th Court (NE 3rd Av to Cypress Rd)</v>
      </c>
      <c r="J489" s="13" t="s">
        <v>27</v>
      </c>
      <c r="K489" s="13" t="str">
        <f>VLOOKUP(J489,'Data-ProjectTypes'!A$3:B$13,2,FALSE)</f>
        <v>Program</v>
      </c>
      <c r="L489" s="21" t="s">
        <v>348</v>
      </c>
      <c r="M489" s="13" t="s">
        <v>2033</v>
      </c>
      <c r="N489" s="13" t="s">
        <v>1843</v>
      </c>
      <c r="O489" s="13" t="s">
        <v>275</v>
      </c>
      <c r="P489" s="13" t="s">
        <v>275</v>
      </c>
      <c r="Q489" s="22">
        <v>0.3</v>
      </c>
      <c r="R489" s="23">
        <v>91478</v>
      </c>
      <c r="S489" s="21"/>
      <c r="T489" s="21"/>
      <c r="U489" s="21"/>
      <c r="V489" s="24"/>
      <c r="W489" s="24"/>
      <c r="X489" s="24" t="s">
        <v>764</v>
      </c>
      <c r="Y489" s="17" t="s">
        <v>765</v>
      </c>
      <c r="Z489" s="18">
        <f>ROUND(R489*'Data-CostAssumptions'!$C$3,-3)</f>
        <v>127000</v>
      </c>
      <c r="AA489" s="11">
        <f t="shared" si="15"/>
        <v>0</v>
      </c>
      <c r="AB489" s="11">
        <v>2041</v>
      </c>
      <c r="AC489" s="11">
        <v>2041</v>
      </c>
      <c r="AD489" s="11">
        <v>2041</v>
      </c>
      <c r="AE489" s="11">
        <v>2041</v>
      </c>
      <c r="AF489" s="11">
        <v>0</v>
      </c>
      <c r="AG489" s="19">
        <f>ROUND((Z489*'Data-CostAssumptions'!$G$5)*(1+'Data-CostAssumptions'!$G$3)^(AC489-'Data-CostAssumptions'!$G$4),-3)</f>
        <v>72000</v>
      </c>
      <c r="AH489" s="19">
        <f>ROUND((Z489)*(1+'Data-CostAssumptions'!$G$3)^(AE489-'Data-CostAssumptions'!$G$4),-3)</f>
        <v>326000</v>
      </c>
    </row>
    <row r="490" spans="1:39" ht="15" customHeight="1" x14ac:dyDescent="0.2">
      <c r="A490" s="11"/>
      <c r="B490" s="11" t="s">
        <v>1211</v>
      </c>
      <c r="C490" s="13">
        <v>275</v>
      </c>
      <c r="D490" s="13" t="s">
        <v>420</v>
      </c>
      <c r="E490" s="20">
        <v>430</v>
      </c>
      <c r="F490" s="20">
        <v>156</v>
      </c>
      <c r="G490" s="20">
        <v>489</v>
      </c>
      <c r="H490" s="13" t="s">
        <v>2019</v>
      </c>
      <c r="I490" s="13" t="str">
        <f t="shared" si="14"/>
        <v>Flagler Av (SW 8th St to SW 6th St)</v>
      </c>
      <c r="J490" s="13" t="s">
        <v>27</v>
      </c>
      <c r="K490" s="13" t="str">
        <f>VLOOKUP(J490,'Data-ProjectTypes'!A$3:B$13,2,FALSE)</f>
        <v>Program</v>
      </c>
      <c r="L490" s="21" t="s">
        <v>348</v>
      </c>
      <c r="M490" s="13" t="s">
        <v>1966</v>
      </c>
      <c r="N490" s="13" t="s">
        <v>1965</v>
      </c>
      <c r="O490" s="13" t="s">
        <v>275</v>
      </c>
      <c r="P490" s="13" t="s">
        <v>275</v>
      </c>
      <c r="Q490" s="22">
        <v>0.2</v>
      </c>
      <c r="R490" s="23">
        <v>64496</v>
      </c>
      <c r="S490" s="21"/>
      <c r="T490" s="21"/>
      <c r="U490" s="21"/>
      <c r="V490" s="24"/>
      <c r="W490" s="24"/>
      <c r="X490" s="24" t="s">
        <v>764</v>
      </c>
      <c r="Y490" s="17" t="s">
        <v>765</v>
      </c>
      <c r="Z490" s="18">
        <f>ROUND(R490*'Data-CostAssumptions'!$C$3,-3)</f>
        <v>89000</v>
      </c>
      <c r="AA490" s="11">
        <f t="shared" si="15"/>
        <v>0</v>
      </c>
      <c r="AB490" s="11">
        <v>2041</v>
      </c>
      <c r="AC490" s="11">
        <v>2041</v>
      </c>
      <c r="AD490" s="11">
        <v>2041</v>
      </c>
      <c r="AE490" s="11">
        <v>2041</v>
      </c>
      <c r="AF490" s="11">
        <v>0</v>
      </c>
      <c r="AG490" s="19">
        <f>ROUND((Z490*'Data-CostAssumptions'!$G$5)*(1+'Data-CostAssumptions'!$G$3)^(AC490-'Data-CostAssumptions'!$G$4),-3)</f>
        <v>50000</v>
      </c>
      <c r="AH490" s="19">
        <f>ROUND((Z490)*(1+'Data-CostAssumptions'!$G$3)^(AE490-'Data-CostAssumptions'!$G$4),-3)</f>
        <v>228000</v>
      </c>
    </row>
    <row r="491" spans="1:39" ht="15" customHeight="1" x14ac:dyDescent="0.2">
      <c r="A491" s="11"/>
      <c r="B491" s="11" t="s">
        <v>1211</v>
      </c>
      <c r="C491" s="13">
        <v>276</v>
      </c>
      <c r="D491" s="13" t="s">
        <v>420</v>
      </c>
      <c r="E491" s="20">
        <v>437</v>
      </c>
      <c r="F491" s="20">
        <v>156</v>
      </c>
      <c r="G491" s="20">
        <v>490</v>
      </c>
      <c r="H491" s="13" t="s">
        <v>2019</v>
      </c>
      <c r="I491" s="13" t="str">
        <f t="shared" si="14"/>
        <v>Flagler Av (NE 1st St to NE 4th St)</v>
      </c>
      <c r="J491" s="13" t="s">
        <v>27</v>
      </c>
      <c r="K491" s="13" t="str">
        <f>VLOOKUP(J491,'Data-ProjectTypes'!A$3:B$13,2,FALSE)</f>
        <v>Program</v>
      </c>
      <c r="L491" s="21" t="s">
        <v>348</v>
      </c>
      <c r="M491" s="13" t="s">
        <v>2482</v>
      </c>
      <c r="N491" s="13" t="s">
        <v>1897</v>
      </c>
      <c r="O491" s="13" t="s">
        <v>275</v>
      </c>
      <c r="P491" s="13" t="s">
        <v>275</v>
      </c>
      <c r="Q491" s="22">
        <v>0.2</v>
      </c>
      <c r="R491" s="23">
        <v>67169</v>
      </c>
      <c r="S491" s="21"/>
      <c r="T491" s="21"/>
      <c r="U491" s="21"/>
      <c r="V491" s="24"/>
      <c r="W491" s="24"/>
      <c r="X491" s="28"/>
      <c r="Y491" s="17"/>
      <c r="Z491" s="18">
        <f>ROUND(R491*'Data-CostAssumptions'!$C$3,-3)</f>
        <v>93000</v>
      </c>
      <c r="AA491" s="11">
        <f t="shared" si="15"/>
        <v>0</v>
      </c>
      <c r="AB491" s="11">
        <v>2041</v>
      </c>
      <c r="AC491" s="11">
        <v>2041</v>
      </c>
      <c r="AD491" s="11">
        <v>2041</v>
      </c>
      <c r="AE491" s="11">
        <v>2041</v>
      </c>
      <c r="AF491" s="11">
        <v>0</v>
      </c>
      <c r="AG491" s="19">
        <f>ROUND((Z491*'Data-CostAssumptions'!$G$5)*(1+'Data-CostAssumptions'!$G$3)^(AC491-'Data-CostAssumptions'!$G$4),-3)</f>
        <v>52000</v>
      </c>
      <c r="AH491" s="19">
        <f>ROUND((Z491)*(1+'Data-CostAssumptions'!$G$3)^(AE491-'Data-CostAssumptions'!$G$4),-3)</f>
        <v>238000</v>
      </c>
    </row>
    <row r="492" spans="1:39" ht="15" customHeight="1" x14ac:dyDescent="0.2">
      <c r="A492" s="11"/>
      <c r="B492" s="11" t="s">
        <v>1211</v>
      </c>
      <c r="C492" s="13">
        <v>277</v>
      </c>
      <c r="D492" s="13" t="s">
        <v>420</v>
      </c>
      <c r="E492" s="20">
        <v>438</v>
      </c>
      <c r="F492" s="20">
        <v>156</v>
      </c>
      <c r="G492" s="20">
        <v>491</v>
      </c>
      <c r="H492" s="13" t="s">
        <v>1751</v>
      </c>
      <c r="I492" s="13" t="str">
        <f t="shared" si="14"/>
        <v>Hammondville Rd (NW 2nd Av to NW 5th Av)</v>
      </c>
      <c r="J492" s="13" t="s">
        <v>27</v>
      </c>
      <c r="K492" s="13" t="str">
        <f>VLOOKUP(J492,'Data-ProjectTypes'!A$3:B$13,2,FALSE)</f>
        <v>Program</v>
      </c>
      <c r="L492" s="21" t="s">
        <v>348</v>
      </c>
      <c r="M492" s="13" t="s">
        <v>2061</v>
      </c>
      <c r="N492" s="13" t="s">
        <v>2073</v>
      </c>
      <c r="O492" s="13" t="s">
        <v>275</v>
      </c>
      <c r="P492" s="13" t="s">
        <v>275</v>
      </c>
      <c r="Q492" s="22">
        <v>0.2</v>
      </c>
      <c r="R492" s="23">
        <v>78298</v>
      </c>
      <c r="S492" s="21"/>
      <c r="T492" s="21"/>
      <c r="U492" s="21"/>
      <c r="V492" s="24"/>
      <c r="W492" s="24"/>
      <c r="X492" s="28" t="s">
        <v>764</v>
      </c>
      <c r="Y492" s="17" t="s">
        <v>765</v>
      </c>
      <c r="Z492" s="18">
        <f>ROUND(R492*'Data-CostAssumptions'!$C$3,-3)</f>
        <v>108000</v>
      </c>
      <c r="AA492" s="11">
        <f t="shared" si="15"/>
        <v>0</v>
      </c>
      <c r="AB492" s="11">
        <v>2041</v>
      </c>
      <c r="AC492" s="11">
        <v>2041</v>
      </c>
      <c r="AD492" s="11">
        <v>2041</v>
      </c>
      <c r="AE492" s="11">
        <v>2041</v>
      </c>
      <c r="AF492" s="11">
        <v>0</v>
      </c>
      <c r="AG492" s="19">
        <f>ROUND((Z492*'Data-CostAssumptions'!$G$5)*(1+'Data-CostAssumptions'!$G$3)^(AC492-'Data-CostAssumptions'!$G$4),-3)</f>
        <v>61000</v>
      </c>
      <c r="AH492" s="19">
        <f>ROUND((Z492)*(1+'Data-CostAssumptions'!$G$3)^(AE492-'Data-CostAssumptions'!$G$4),-3)</f>
        <v>277000</v>
      </c>
    </row>
    <row r="493" spans="1:39" ht="15" customHeight="1" x14ac:dyDescent="0.2">
      <c r="A493" s="11"/>
      <c r="B493" s="11" t="s">
        <v>1211</v>
      </c>
      <c r="C493" s="13">
        <v>278</v>
      </c>
      <c r="D493" s="13" t="s">
        <v>420</v>
      </c>
      <c r="E493" s="20">
        <v>5</v>
      </c>
      <c r="F493" s="20">
        <v>156</v>
      </c>
      <c r="G493" s="20">
        <v>492</v>
      </c>
      <c r="H493" s="13" t="s">
        <v>2101</v>
      </c>
      <c r="I493" s="13" t="str">
        <f t="shared" si="14"/>
        <v>SW 130th Av (SW 14th St to I-595)</v>
      </c>
      <c r="J493" s="13" t="s">
        <v>27</v>
      </c>
      <c r="K493" s="13" t="str">
        <f>VLOOKUP(J493,'Data-ProjectTypes'!A$3:B$13,2,FALSE)</f>
        <v>Program</v>
      </c>
      <c r="L493" s="21" t="s">
        <v>348</v>
      </c>
      <c r="M493" s="13" t="s">
        <v>2560</v>
      </c>
      <c r="N493" s="13" t="s">
        <v>34</v>
      </c>
      <c r="O493" s="13" t="s">
        <v>279</v>
      </c>
      <c r="P493" s="13" t="s">
        <v>279</v>
      </c>
      <c r="Q493" s="22">
        <v>1</v>
      </c>
      <c r="R493" s="23">
        <v>352470</v>
      </c>
      <c r="S493" s="21" t="s">
        <v>24</v>
      </c>
      <c r="T493" s="21" t="s">
        <v>24</v>
      </c>
      <c r="U493" s="21"/>
      <c r="V493" s="24"/>
      <c r="W493" s="24"/>
      <c r="X493" s="24"/>
      <c r="Y493" s="17" t="s">
        <v>469</v>
      </c>
      <c r="Z493" s="18">
        <f>ROUND(R493*'Data-CostAssumptions'!$C$3,-3)</f>
        <v>488000</v>
      </c>
      <c r="AA493" s="11">
        <f t="shared" si="15"/>
        <v>0</v>
      </c>
      <c r="AB493" s="11">
        <v>2041</v>
      </c>
      <c r="AC493" s="11">
        <v>2041</v>
      </c>
      <c r="AD493" s="11">
        <v>2041</v>
      </c>
      <c r="AE493" s="11">
        <v>2041</v>
      </c>
      <c r="AF493" s="11">
        <v>0</v>
      </c>
      <c r="AG493" s="19">
        <f>ROUND((Z493*'Data-CostAssumptions'!$G$5)*(1+'Data-CostAssumptions'!$G$3)^(AC493-'Data-CostAssumptions'!$G$4),-3)</f>
        <v>275000</v>
      </c>
      <c r="AH493" s="19">
        <f>ROUND((Z493)*(1+'Data-CostAssumptions'!$G$3)^(AE493-'Data-CostAssumptions'!$G$4),-3)</f>
        <v>1251000</v>
      </c>
    </row>
    <row r="494" spans="1:39" ht="15" customHeight="1" x14ac:dyDescent="0.2">
      <c r="A494" s="11"/>
      <c r="B494" s="11" t="s">
        <v>1211</v>
      </c>
      <c r="C494" s="13">
        <v>279</v>
      </c>
      <c r="D494" s="13" t="s">
        <v>420</v>
      </c>
      <c r="E494" s="20">
        <v>16</v>
      </c>
      <c r="F494" s="20">
        <v>156</v>
      </c>
      <c r="G494" s="20">
        <v>493</v>
      </c>
      <c r="H494" s="13" t="s">
        <v>166</v>
      </c>
      <c r="I494" s="13" t="str">
        <f t="shared" si="14"/>
        <v>SW 48th Court (SW 148th Av to SW 160th Av)</v>
      </c>
      <c r="J494" s="13" t="s">
        <v>27</v>
      </c>
      <c r="K494" s="13" t="str">
        <f>VLOOKUP(J494,'Data-ProjectTypes'!A$3:B$13,2,FALSE)</f>
        <v>Program</v>
      </c>
      <c r="L494" s="21" t="s">
        <v>348</v>
      </c>
      <c r="M494" s="13" t="s">
        <v>2104</v>
      </c>
      <c r="N494" s="13" t="s">
        <v>2107</v>
      </c>
      <c r="O494" s="13" t="s">
        <v>274</v>
      </c>
      <c r="P494" s="13" t="s">
        <v>274</v>
      </c>
      <c r="Q494" s="22">
        <v>1.1000000000000001</v>
      </c>
      <c r="R494" s="23">
        <v>389226</v>
      </c>
      <c r="S494" s="21" t="s">
        <v>24</v>
      </c>
      <c r="T494" s="21" t="s">
        <v>25</v>
      </c>
      <c r="U494" s="21" t="s">
        <v>684</v>
      </c>
      <c r="V494" s="24"/>
      <c r="W494" s="24"/>
      <c r="X494" s="24"/>
      <c r="Y494" s="17" t="s">
        <v>685</v>
      </c>
      <c r="Z494" s="18">
        <f>ROUND(R494*'Data-CostAssumptions'!$C$3,-3)</f>
        <v>539000</v>
      </c>
      <c r="AA494" s="11">
        <f t="shared" si="15"/>
        <v>0</v>
      </c>
      <c r="AB494" s="11">
        <v>2041</v>
      </c>
      <c r="AC494" s="11">
        <v>2041</v>
      </c>
      <c r="AD494" s="11">
        <v>2041</v>
      </c>
      <c r="AE494" s="11">
        <v>2041</v>
      </c>
      <c r="AF494" s="11">
        <v>0</v>
      </c>
      <c r="AG494" s="19">
        <f>ROUND((Z494*'Data-CostAssumptions'!$G$5)*(1+'Data-CostAssumptions'!$G$3)^(AC494-'Data-CostAssumptions'!$G$4),-3)</f>
        <v>304000</v>
      </c>
      <c r="AH494" s="19">
        <f>ROUND((Z494)*(1+'Data-CostAssumptions'!$G$3)^(AE494-'Data-CostAssumptions'!$G$4),-3)</f>
        <v>1382000</v>
      </c>
    </row>
    <row r="495" spans="1:39" ht="15" customHeight="1" x14ac:dyDescent="0.2">
      <c r="A495" s="11"/>
      <c r="B495" s="11" t="s">
        <v>1211</v>
      </c>
      <c r="C495" s="13">
        <v>280</v>
      </c>
      <c r="D495" s="13" t="s">
        <v>420</v>
      </c>
      <c r="E495" s="20">
        <v>17</v>
      </c>
      <c r="F495" s="20">
        <v>156</v>
      </c>
      <c r="G495" s="20">
        <v>494</v>
      </c>
      <c r="H495" s="13" t="s">
        <v>1977</v>
      </c>
      <c r="I495" s="13" t="str">
        <f t="shared" si="14"/>
        <v>Miramar Pkwy (SW 148th Av to Dykes Rd)</v>
      </c>
      <c r="J495" s="13" t="s">
        <v>27</v>
      </c>
      <c r="K495" s="13" t="str">
        <f>VLOOKUP(J495,'Data-ProjectTypes'!A$3:B$13,2,FALSE)</f>
        <v>Program</v>
      </c>
      <c r="L495" s="21" t="s">
        <v>348</v>
      </c>
      <c r="M495" s="13" t="s">
        <v>2104</v>
      </c>
      <c r="N495" s="13" t="s">
        <v>1846</v>
      </c>
      <c r="O495" s="13" t="s">
        <v>274</v>
      </c>
      <c r="P495" s="13" t="s">
        <v>274</v>
      </c>
      <c r="Q495" s="22">
        <v>1</v>
      </c>
      <c r="R495" s="23">
        <v>353957</v>
      </c>
      <c r="S495" s="21" t="s">
        <v>24</v>
      </c>
      <c r="T495" s="21" t="s">
        <v>25</v>
      </c>
      <c r="U495" s="21" t="s">
        <v>684</v>
      </c>
      <c r="V495" s="24"/>
      <c r="W495" s="24"/>
      <c r="X495" s="24"/>
      <c r="Y495" s="17" t="s">
        <v>685</v>
      </c>
      <c r="Z495" s="18">
        <f>ROUND(R495*'Data-CostAssumptions'!$C$3,-3)</f>
        <v>490000</v>
      </c>
      <c r="AA495" s="11">
        <f t="shared" si="15"/>
        <v>0</v>
      </c>
      <c r="AB495" s="11">
        <v>2041</v>
      </c>
      <c r="AC495" s="11">
        <v>2041</v>
      </c>
      <c r="AD495" s="11">
        <v>2041</v>
      </c>
      <c r="AE495" s="11">
        <v>2041</v>
      </c>
      <c r="AF495" s="11">
        <v>0</v>
      </c>
      <c r="AG495" s="19">
        <f>ROUND((Z495*'Data-CostAssumptions'!$G$5)*(1+'Data-CostAssumptions'!$G$3)^(AC495-'Data-CostAssumptions'!$G$4),-3)</f>
        <v>276000</v>
      </c>
      <c r="AH495" s="19">
        <f>ROUND((Z495)*(1+'Data-CostAssumptions'!$G$3)^(AE495-'Data-CostAssumptions'!$G$4),-3)</f>
        <v>1256000</v>
      </c>
    </row>
    <row r="496" spans="1:39" ht="15" customHeight="1" x14ac:dyDescent="0.2">
      <c r="A496" s="11"/>
      <c r="B496" s="11" t="s">
        <v>1211</v>
      </c>
      <c r="C496" s="13">
        <v>281</v>
      </c>
      <c r="D496" s="13" t="s">
        <v>420</v>
      </c>
      <c r="E496" s="20">
        <v>18</v>
      </c>
      <c r="F496" s="20">
        <v>156</v>
      </c>
      <c r="G496" s="20">
        <v>495</v>
      </c>
      <c r="H496" s="13" t="s">
        <v>2104</v>
      </c>
      <c r="I496" s="13" t="str">
        <f t="shared" si="14"/>
        <v>SW 148th Av (SW 48th Court to Miramar Parkway)</v>
      </c>
      <c r="J496" s="13" t="s">
        <v>27</v>
      </c>
      <c r="K496" s="13" t="str">
        <f>VLOOKUP(J496,'Data-ProjectTypes'!A$3:B$13,2,FALSE)</f>
        <v>Program</v>
      </c>
      <c r="L496" s="21" t="s">
        <v>348</v>
      </c>
      <c r="M496" s="13" t="s">
        <v>166</v>
      </c>
      <c r="N496" s="13" t="s">
        <v>39</v>
      </c>
      <c r="O496" s="13" t="s">
        <v>274</v>
      </c>
      <c r="P496" s="13" t="s">
        <v>274</v>
      </c>
      <c r="Q496" s="22">
        <v>1</v>
      </c>
      <c r="R496" s="23">
        <v>349745</v>
      </c>
      <c r="S496" s="21" t="s">
        <v>24</v>
      </c>
      <c r="T496" s="21" t="s">
        <v>25</v>
      </c>
      <c r="U496" s="21" t="s">
        <v>25</v>
      </c>
      <c r="V496" s="24"/>
      <c r="W496" s="24"/>
      <c r="X496" s="24"/>
      <c r="Y496" s="17" t="s">
        <v>685</v>
      </c>
      <c r="Z496" s="18">
        <f>ROUND(R496*'Data-CostAssumptions'!$C$3,-3)</f>
        <v>484000</v>
      </c>
      <c r="AA496" s="11">
        <f t="shared" si="15"/>
        <v>0</v>
      </c>
      <c r="AB496" s="11">
        <v>2041</v>
      </c>
      <c r="AC496" s="11">
        <v>2041</v>
      </c>
      <c r="AD496" s="11">
        <v>2041</v>
      </c>
      <c r="AE496" s="11">
        <v>2041</v>
      </c>
      <c r="AF496" s="11">
        <v>0</v>
      </c>
      <c r="AG496" s="19">
        <f>ROUND((Z496*'Data-CostAssumptions'!$G$5)*(1+'Data-CostAssumptions'!$G$3)^(AC496-'Data-CostAssumptions'!$G$4),-3)</f>
        <v>273000</v>
      </c>
      <c r="AH496" s="19">
        <f>ROUND((Z496)*(1+'Data-CostAssumptions'!$G$3)^(AE496-'Data-CostAssumptions'!$G$4),-3)</f>
        <v>1241000</v>
      </c>
    </row>
    <row r="497" spans="1:39" ht="15" customHeight="1" x14ac:dyDescent="0.2">
      <c r="A497" s="11"/>
      <c r="B497" s="11" t="s">
        <v>1211</v>
      </c>
      <c r="C497" s="13">
        <v>282</v>
      </c>
      <c r="D497" s="13" t="s">
        <v>420</v>
      </c>
      <c r="E497" s="20">
        <v>21</v>
      </c>
      <c r="F497" s="20">
        <v>156</v>
      </c>
      <c r="G497" s="20">
        <v>496</v>
      </c>
      <c r="H497" s="13" t="s">
        <v>159</v>
      </c>
      <c r="I497" s="13" t="str">
        <f t="shared" si="14"/>
        <v>Flamingo Rd (Miramar Parkway to Pembroke Rd)</v>
      </c>
      <c r="J497" s="13" t="s">
        <v>27</v>
      </c>
      <c r="K497" s="13" t="str">
        <f>VLOOKUP(J497,'Data-ProjectTypes'!A$3:B$13,2,FALSE)</f>
        <v>Program</v>
      </c>
      <c r="L497" s="21" t="s">
        <v>348</v>
      </c>
      <c r="M497" s="13" t="s">
        <v>39</v>
      </c>
      <c r="N497" s="13" t="s">
        <v>1760</v>
      </c>
      <c r="O497" s="13" t="s">
        <v>273</v>
      </c>
      <c r="P497" s="13" t="s">
        <v>273</v>
      </c>
      <c r="Q497" s="22">
        <v>1</v>
      </c>
      <c r="R497" s="23">
        <v>358703</v>
      </c>
      <c r="S497" s="21" t="s">
        <v>24</v>
      </c>
      <c r="T497" s="21" t="s">
        <v>684</v>
      </c>
      <c r="U497" s="21" t="s">
        <v>684</v>
      </c>
      <c r="V497" s="24"/>
      <c r="W497" s="24"/>
      <c r="X497" s="24"/>
      <c r="Y497" s="17" t="s">
        <v>685</v>
      </c>
      <c r="Z497" s="18">
        <f>ROUND(R497*'Data-CostAssumptions'!$C$3,-3)</f>
        <v>496000</v>
      </c>
      <c r="AA497" s="11">
        <f t="shared" si="15"/>
        <v>0</v>
      </c>
      <c r="AB497" s="11">
        <v>2041</v>
      </c>
      <c r="AC497" s="11">
        <v>2041</v>
      </c>
      <c r="AD497" s="11">
        <v>2041</v>
      </c>
      <c r="AE497" s="11">
        <v>2041</v>
      </c>
      <c r="AF497" s="11">
        <v>0</v>
      </c>
      <c r="AG497" s="19">
        <f>ROUND((Z497*'Data-CostAssumptions'!$G$5)*(1+'Data-CostAssumptions'!$G$3)^(AC497-'Data-CostAssumptions'!$G$4),-3)</f>
        <v>280000</v>
      </c>
      <c r="AH497" s="19">
        <f>ROUND((Z497)*(1+'Data-CostAssumptions'!$G$3)^(AE497-'Data-CostAssumptions'!$G$4),-3)</f>
        <v>1272000</v>
      </c>
    </row>
    <row r="498" spans="1:39" ht="15" customHeight="1" x14ac:dyDescent="0.2">
      <c r="A498" s="11"/>
      <c r="B498" s="11" t="s">
        <v>1211</v>
      </c>
      <c r="C498" s="13">
        <v>284</v>
      </c>
      <c r="D498" s="13" t="s">
        <v>420</v>
      </c>
      <c r="E498" s="20">
        <v>24</v>
      </c>
      <c r="F498" s="20">
        <v>156</v>
      </c>
      <c r="G498" s="20">
        <v>497</v>
      </c>
      <c r="H498" s="13" t="s">
        <v>1977</v>
      </c>
      <c r="I498" s="13" t="str">
        <f t="shared" si="14"/>
        <v>Miramar Pkwy (Executive Way to Red Rd)</v>
      </c>
      <c r="J498" s="13" t="s">
        <v>27</v>
      </c>
      <c r="K498" s="13" t="str">
        <f>VLOOKUP(J498,'Data-ProjectTypes'!A$3:B$13,2,FALSE)</f>
        <v>Program</v>
      </c>
      <c r="L498" s="21" t="s">
        <v>686</v>
      </c>
      <c r="M498" s="13" t="s">
        <v>164</v>
      </c>
      <c r="N498" s="13" t="s">
        <v>156</v>
      </c>
      <c r="O498" s="13" t="s">
        <v>274</v>
      </c>
      <c r="P498" s="13" t="s">
        <v>274</v>
      </c>
      <c r="Q498" s="22">
        <v>0.6</v>
      </c>
      <c r="R498" s="23">
        <v>203493</v>
      </c>
      <c r="S498" s="21" t="s">
        <v>24</v>
      </c>
      <c r="T498" s="21" t="s">
        <v>25</v>
      </c>
      <c r="U498" s="21" t="s">
        <v>24</v>
      </c>
      <c r="V498" s="24"/>
      <c r="W498" s="24"/>
      <c r="X498" s="28"/>
      <c r="Y498" s="17" t="s">
        <v>685</v>
      </c>
      <c r="Z498" s="18">
        <f>ROUND(R498*'Data-CostAssumptions'!$C$3,-3)</f>
        <v>282000</v>
      </c>
      <c r="AA498" s="11">
        <f t="shared" si="15"/>
        <v>0</v>
      </c>
      <c r="AB498" s="11">
        <v>2041</v>
      </c>
      <c r="AC498" s="11">
        <v>2041</v>
      </c>
      <c r="AD498" s="11">
        <v>2041</v>
      </c>
      <c r="AE498" s="11">
        <v>2041</v>
      </c>
      <c r="AF498" s="11">
        <v>0</v>
      </c>
      <c r="AG498" s="19">
        <f>ROUND((Z498*'Data-CostAssumptions'!$G$5)*(1+'Data-CostAssumptions'!$G$3)^(AC498-'Data-CostAssumptions'!$G$4),-3)</f>
        <v>159000</v>
      </c>
      <c r="AH498" s="19">
        <f>ROUND((Z498)*(1+'Data-CostAssumptions'!$G$3)^(AE498-'Data-CostAssumptions'!$G$4),-3)</f>
        <v>723000</v>
      </c>
    </row>
    <row r="499" spans="1:39" ht="15" customHeight="1" x14ac:dyDescent="0.2">
      <c r="A499" s="11"/>
      <c r="B499" s="11" t="s">
        <v>1211</v>
      </c>
      <c r="C499" s="13">
        <v>285</v>
      </c>
      <c r="D499" s="13" t="s">
        <v>420</v>
      </c>
      <c r="E499" s="20">
        <v>25</v>
      </c>
      <c r="F499" s="20">
        <v>156</v>
      </c>
      <c r="G499" s="20">
        <v>498</v>
      </c>
      <c r="H499" s="13" t="s">
        <v>2099</v>
      </c>
      <c r="I499" s="13" t="str">
        <f t="shared" si="14"/>
        <v>SW 101st Av/Palm Av (Homestead Turnpike to Miramar Parkway)</v>
      </c>
      <c r="J499" s="13" t="s">
        <v>27</v>
      </c>
      <c r="K499" s="13" t="str">
        <f>VLOOKUP(J499,'Data-ProjectTypes'!A$3:B$13,2,FALSE)</f>
        <v>Program</v>
      </c>
      <c r="L499" s="21" t="s">
        <v>348</v>
      </c>
      <c r="M499" s="13" t="s">
        <v>163</v>
      </c>
      <c r="N499" s="13" t="s">
        <v>39</v>
      </c>
      <c r="O499" s="13" t="s">
        <v>273</v>
      </c>
      <c r="P499" s="13" t="s">
        <v>273</v>
      </c>
      <c r="Q499" s="22">
        <v>0.6</v>
      </c>
      <c r="R499" s="23">
        <v>221748</v>
      </c>
      <c r="S499" s="21" t="s">
        <v>24</v>
      </c>
      <c r="T499" s="21" t="s">
        <v>684</v>
      </c>
      <c r="U499" s="21" t="s">
        <v>684</v>
      </c>
      <c r="V499" s="24"/>
      <c r="W499" s="24"/>
      <c r="X499" s="24"/>
      <c r="Y499" s="17" t="s">
        <v>685</v>
      </c>
      <c r="Z499" s="18">
        <f>ROUND(R499*'Data-CostAssumptions'!$C$3,-3)</f>
        <v>307000</v>
      </c>
      <c r="AA499" s="11">
        <f t="shared" si="15"/>
        <v>0</v>
      </c>
      <c r="AB499" s="11">
        <v>2041</v>
      </c>
      <c r="AC499" s="11">
        <v>2041</v>
      </c>
      <c r="AD499" s="11">
        <v>2041</v>
      </c>
      <c r="AE499" s="11">
        <v>2041</v>
      </c>
      <c r="AF499" s="11">
        <v>0</v>
      </c>
      <c r="AG499" s="19">
        <f>ROUND((Z499*'Data-CostAssumptions'!$G$5)*(1+'Data-CostAssumptions'!$G$3)^(AC499-'Data-CostAssumptions'!$G$4),-3)</f>
        <v>173000</v>
      </c>
      <c r="AH499" s="19">
        <f>ROUND((Z499)*(1+'Data-CostAssumptions'!$G$3)^(AE499-'Data-CostAssumptions'!$G$4),-3)</f>
        <v>787000</v>
      </c>
    </row>
    <row r="500" spans="1:39" ht="15" customHeight="1" x14ac:dyDescent="0.2">
      <c r="A500" s="11"/>
      <c r="B500" s="11" t="s">
        <v>1211</v>
      </c>
      <c r="C500" s="13">
        <v>286</v>
      </c>
      <c r="D500" s="13" t="s">
        <v>420</v>
      </c>
      <c r="E500" s="20">
        <v>33</v>
      </c>
      <c r="F500" s="20">
        <v>156</v>
      </c>
      <c r="G500" s="20">
        <v>499</v>
      </c>
      <c r="H500" s="13" t="s">
        <v>1769</v>
      </c>
      <c r="I500" s="13" t="str">
        <f t="shared" si="14"/>
        <v>South Douglas Rd (Pembroke Rd to Access Rd)</v>
      </c>
      <c r="J500" s="13" t="s">
        <v>27</v>
      </c>
      <c r="K500" s="13" t="str">
        <f>VLOOKUP(J500,'Data-ProjectTypes'!A$3:B$13,2,FALSE)</f>
        <v>Program</v>
      </c>
      <c r="L500" s="21" t="s">
        <v>348</v>
      </c>
      <c r="M500" s="13" t="s">
        <v>1760</v>
      </c>
      <c r="N500" s="13" t="s">
        <v>1743</v>
      </c>
      <c r="O500" s="13" t="s">
        <v>273</v>
      </c>
      <c r="P500" s="13" t="s">
        <v>273</v>
      </c>
      <c r="Q500" s="22">
        <v>0.9</v>
      </c>
      <c r="R500" s="23">
        <v>338062</v>
      </c>
      <c r="S500" s="21" t="s">
        <v>24</v>
      </c>
      <c r="T500" s="21" t="s">
        <v>684</v>
      </c>
      <c r="U500" s="21" t="s">
        <v>684</v>
      </c>
      <c r="V500" s="24"/>
      <c r="W500" s="24"/>
      <c r="X500" s="24"/>
      <c r="Y500" s="17" t="s">
        <v>685</v>
      </c>
      <c r="Z500" s="18">
        <f>ROUND(R500*'Data-CostAssumptions'!$C$3,-3)</f>
        <v>468000</v>
      </c>
      <c r="AA500" s="11">
        <f t="shared" si="15"/>
        <v>0</v>
      </c>
      <c r="AB500" s="11">
        <v>2041</v>
      </c>
      <c r="AC500" s="11">
        <v>2041</v>
      </c>
      <c r="AD500" s="11">
        <v>2041</v>
      </c>
      <c r="AE500" s="11">
        <v>2041</v>
      </c>
      <c r="AF500" s="11">
        <v>0</v>
      </c>
      <c r="AG500" s="19">
        <f>ROUND((Z500*'Data-CostAssumptions'!$G$5)*(1+'Data-CostAssumptions'!$G$3)^(AC500-'Data-CostAssumptions'!$G$4),-3)</f>
        <v>264000</v>
      </c>
      <c r="AH500" s="19">
        <f>ROUND((Z500)*(1+'Data-CostAssumptions'!$G$3)^(AE500-'Data-CostAssumptions'!$G$4),-3)</f>
        <v>1200000</v>
      </c>
    </row>
    <row r="501" spans="1:39" ht="15" customHeight="1" x14ac:dyDescent="0.2">
      <c r="A501" s="11"/>
      <c r="B501" s="11" t="s">
        <v>1211</v>
      </c>
      <c r="C501" s="13">
        <v>287</v>
      </c>
      <c r="D501" s="13" t="s">
        <v>420</v>
      </c>
      <c r="E501" s="20">
        <v>43</v>
      </c>
      <c r="F501" s="20">
        <v>156</v>
      </c>
      <c r="G501" s="20">
        <v>500</v>
      </c>
      <c r="H501" s="13" t="s">
        <v>57</v>
      </c>
      <c r="I501" s="13" t="str">
        <f t="shared" si="14"/>
        <v>SR 7/US 441 (Stirling Rd to SW 45th St/Orange Dr)</v>
      </c>
      <c r="J501" s="13" t="s">
        <v>27</v>
      </c>
      <c r="K501" s="13" t="str">
        <f>VLOOKUP(J501,'Data-ProjectTypes'!A$3:B$13,2,FALSE)</f>
        <v>Program</v>
      </c>
      <c r="L501" s="21" t="s">
        <v>348</v>
      </c>
      <c r="M501" s="13" t="s">
        <v>177</v>
      </c>
      <c r="N501" s="13" t="s">
        <v>2678</v>
      </c>
      <c r="O501" s="13" t="s">
        <v>270</v>
      </c>
      <c r="P501" s="13" t="s">
        <v>270</v>
      </c>
      <c r="Q501" s="22">
        <v>1.4</v>
      </c>
      <c r="R501" s="23">
        <v>495574</v>
      </c>
      <c r="S501" s="21"/>
      <c r="T501" s="21"/>
      <c r="U501" s="21"/>
      <c r="V501" s="24"/>
      <c r="W501" s="24" t="s">
        <v>545</v>
      </c>
      <c r="X501" s="24"/>
      <c r="Y501" s="17" t="s">
        <v>538</v>
      </c>
      <c r="Z501" s="18">
        <f>ROUND(R501*'Data-CostAssumptions'!$C$3,-3)</f>
        <v>686000</v>
      </c>
      <c r="AA501" s="11">
        <f t="shared" si="15"/>
        <v>1</v>
      </c>
      <c r="AB501" s="11">
        <v>2041</v>
      </c>
      <c r="AC501" s="11">
        <v>2041</v>
      </c>
      <c r="AD501" s="11">
        <v>2041</v>
      </c>
      <c r="AE501" s="11">
        <v>2041</v>
      </c>
      <c r="AF501" s="11">
        <v>0</v>
      </c>
      <c r="AG501" s="19">
        <f>ROUND((Z501*'Data-CostAssumptions'!$G$5)*(1+'Data-CostAssumptions'!$G$3)^(AC501-'Data-CostAssumptions'!$G$4),-3)</f>
        <v>387000</v>
      </c>
      <c r="AH501" s="19">
        <f>ROUND((Z501)*(1+'Data-CostAssumptions'!$G$3)^(AE501-'Data-CostAssumptions'!$G$4),-3)</f>
        <v>1759000</v>
      </c>
    </row>
    <row r="502" spans="1:39" ht="15" customHeight="1" x14ac:dyDescent="0.2">
      <c r="A502" s="11"/>
      <c r="B502" s="11" t="s">
        <v>1211</v>
      </c>
      <c r="C502" s="13">
        <v>289</v>
      </c>
      <c r="D502" s="13" t="s">
        <v>420</v>
      </c>
      <c r="E502" s="20">
        <v>55</v>
      </c>
      <c r="F502" s="20">
        <v>156</v>
      </c>
      <c r="G502" s="20">
        <v>501</v>
      </c>
      <c r="H502" s="13" t="s">
        <v>1958</v>
      </c>
      <c r="I502" s="13" t="str">
        <f t="shared" si="14"/>
        <v>SW 25th St (State Rd 7/US 441 to SW 68th Av)</v>
      </c>
      <c r="J502" s="13" t="s">
        <v>27</v>
      </c>
      <c r="K502" s="13" t="str">
        <f>VLOOKUP(J502,'Data-ProjectTypes'!A$3:B$13,2,FALSE)</f>
        <v>Program</v>
      </c>
      <c r="L502" s="21" t="s">
        <v>348</v>
      </c>
      <c r="M502" s="13" t="s">
        <v>1773</v>
      </c>
      <c r="N502" s="13" t="s">
        <v>2131</v>
      </c>
      <c r="O502" s="13" t="s">
        <v>274</v>
      </c>
      <c r="P502" s="13" t="s">
        <v>274</v>
      </c>
      <c r="Q502" s="22">
        <v>1.2</v>
      </c>
      <c r="R502" s="23">
        <v>413238</v>
      </c>
      <c r="S502" s="21" t="s">
        <v>24</v>
      </c>
      <c r="T502" s="21" t="s">
        <v>25</v>
      </c>
      <c r="U502" s="21" t="s">
        <v>25</v>
      </c>
      <c r="V502" s="24"/>
      <c r="W502" s="24"/>
      <c r="X502" s="24"/>
      <c r="Y502" s="17" t="s">
        <v>685</v>
      </c>
      <c r="Z502" s="18">
        <f>ROUND(R502*'Data-CostAssumptions'!$C$3,-3)</f>
        <v>572000</v>
      </c>
      <c r="AA502" s="11">
        <f t="shared" si="15"/>
        <v>0</v>
      </c>
      <c r="AB502" s="11">
        <v>2041</v>
      </c>
      <c r="AC502" s="11">
        <v>2041</v>
      </c>
      <c r="AD502" s="11">
        <v>2041</v>
      </c>
      <c r="AE502" s="11">
        <v>2041</v>
      </c>
      <c r="AF502" s="11">
        <v>0</v>
      </c>
      <c r="AG502" s="19">
        <f>ROUND((Z502*'Data-CostAssumptions'!$G$5)*(1+'Data-CostAssumptions'!$G$3)^(AC502-'Data-CostAssumptions'!$G$4),-3)</f>
        <v>323000</v>
      </c>
      <c r="AH502" s="19">
        <f>ROUND((Z502)*(1+'Data-CostAssumptions'!$G$3)^(AE502-'Data-CostAssumptions'!$G$4),-3)</f>
        <v>1467000</v>
      </c>
    </row>
    <row r="503" spans="1:39" ht="15" customHeight="1" x14ac:dyDescent="0.2">
      <c r="A503" s="11"/>
      <c r="B503" s="11" t="s">
        <v>1211</v>
      </c>
      <c r="C503" s="13">
        <v>290</v>
      </c>
      <c r="D503" s="13" t="s">
        <v>420</v>
      </c>
      <c r="E503" s="20">
        <v>64</v>
      </c>
      <c r="F503" s="20">
        <v>156</v>
      </c>
      <c r="G503" s="20">
        <v>502</v>
      </c>
      <c r="H503" s="13" t="s">
        <v>1746</v>
      </c>
      <c r="I503" s="13" t="str">
        <f t="shared" si="14"/>
        <v>Bryan Rd (Stirling Rd to Old Griffin Rd)</v>
      </c>
      <c r="J503" s="13" t="s">
        <v>27</v>
      </c>
      <c r="K503" s="13" t="str">
        <f>VLOOKUP(J503,'Data-ProjectTypes'!A$3:B$13,2,FALSE)</f>
        <v>Program</v>
      </c>
      <c r="L503" s="21" t="s">
        <v>348</v>
      </c>
      <c r="M503" s="13" t="s">
        <v>177</v>
      </c>
      <c r="N503" s="13" t="s">
        <v>2402</v>
      </c>
      <c r="O503" s="13" t="s">
        <v>273</v>
      </c>
      <c r="P503" s="13" t="s">
        <v>273</v>
      </c>
      <c r="Q503" s="22">
        <v>0.8</v>
      </c>
      <c r="R503" s="23">
        <v>276892</v>
      </c>
      <c r="S503" s="21"/>
      <c r="T503" s="21"/>
      <c r="U503" s="21"/>
      <c r="V503" s="24"/>
      <c r="W503" s="24"/>
      <c r="X503" s="34" t="s">
        <v>1172</v>
      </c>
      <c r="Y503" s="17" t="s">
        <v>1171</v>
      </c>
      <c r="Z503" s="18">
        <f>ROUND(R503*'Data-CostAssumptions'!$C$3,-3)</f>
        <v>383000</v>
      </c>
      <c r="AA503" s="11">
        <f t="shared" si="15"/>
        <v>0</v>
      </c>
      <c r="AB503" s="11">
        <v>2041</v>
      </c>
      <c r="AC503" s="11">
        <v>2041</v>
      </c>
      <c r="AD503" s="11">
        <v>2041</v>
      </c>
      <c r="AE503" s="11">
        <v>2041</v>
      </c>
      <c r="AF503" s="11">
        <v>0</v>
      </c>
      <c r="AG503" s="19">
        <f>ROUND((Z503*'Data-CostAssumptions'!$G$5)*(1+'Data-CostAssumptions'!$G$3)^(AC503-'Data-CostAssumptions'!$G$4),-3)</f>
        <v>216000</v>
      </c>
      <c r="AH503" s="19">
        <f>ROUND((Z503)*(1+'Data-CostAssumptions'!$G$3)^(AE503-'Data-CostAssumptions'!$G$4),-3)</f>
        <v>982000</v>
      </c>
    </row>
    <row r="504" spans="1:39" ht="15" customHeight="1" x14ac:dyDescent="0.2">
      <c r="A504" s="11"/>
      <c r="B504" s="11" t="s">
        <v>1211</v>
      </c>
      <c r="C504" s="13">
        <v>291</v>
      </c>
      <c r="D504" s="13" t="s">
        <v>420</v>
      </c>
      <c r="E504" s="20">
        <v>79</v>
      </c>
      <c r="F504" s="20">
        <v>156</v>
      </c>
      <c r="G504" s="20">
        <v>503</v>
      </c>
      <c r="H504" s="13" t="s">
        <v>1910</v>
      </c>
      <c r="I504" s="13" t="str">
        <f t="shared" si="14"/>
        <v>NW 16th St (NE 5th Terrace to Powerline Rd)</v>
      </c>
      <c r="J504" s="13" t="s">
        <v>27</v>
      </c>
      <c r="K504" s="13" t="str">
        <f>VLOOKUP(J504,'Data-ProjectTypes'!A$3:B$13,2,FALSE)</f>
        <v>Program</v>
      </c>
      <c r="L504" s="21" t="s">
        <v>348</v>
      </c>
      <c r="M504" s="13" t="s">
        <v>217</v>
      </c>
      <c r="N504" s="13" t="s">
        <v>1858</v>
      </c>
      <c r="O504" s="13" t="s">
        <v>276</v>
      </c>
      <c r="P504" s="13" t="s">
        <v>276</v>
      </c>
      <c r="Q504" s="22">
        <v>1</v>
      </c>
      <c r="R504" s="23">
        <v>342567</v>
      </c>
      <c r="S504" s="21"/>
      <c r="T504" s="21"/>
      <c r="U504" s="21"/>
      <c r="V504" s="24"/>
      <c r="W504" s="24"/>
      <c r="X504" s="24"/>
      <c r="Y504" s="17"/>
      <c r="Z504" s="18">
        <f>ROUND(R504*'Data-CostAssumptions'!$C$3,-3)</f>
        <v>474000</v>
      </c>
      <c r="AA504" s="11">
        <f t="shared" si="15"/>
        <v>0</v>
      </c>
      <c r="AB504" s="11">
        <v>2041</v>
      </c>
      <c r="AC504" s="11">
        <v>2041</v>
      </c>
      <c r="AD504" s="11">
        <v>2041</v>
      </c>
      <c r="AE504" s="11">
        <v>2041</v>
      </c>
      <c r="AF504" s="11">
        <v>0</v>
      </c>
      <c r="AG504" s="19">
        <f>ROUND((Z504*'Data-CostAssumptions'!$G$5)*(1+'Data-CostAssumptions'!$G$3)^(AC504-'Data-CostAssumptions'!$G$4),-3)</f>
        <v>267000</v>
      </c>
      <c r="AH504" s="19">
        <f>ROUND((Z504)*(1+'Data-CostAssumptions'!$G$3)^(AE504-'Data-CostAssumptions'!$G$4),-3)</f>
        <v>1215000</v>
      </c>
    </row>
    <row r="505" spans="1:39" ht="15" customHeight="1" x14ac:dyDescent="0.2">
      <c r="A505" s="11"/>
      <c r="B505" s="11" t="s">
        <v>1211</v>
      </c>
      <c r="C505" s="13">
        <v>292</v>
      </c>
      <c r="D505" s="13" t="s">
        <v>420</v>
      </c>
      <c r="E505" s="20">
        <v>97</v>
      </c>
      <c r="F505" s="20">
        <v>157</v>
      </c>
      <c r="G505" s="20">
        <v>504</v>
      </c>
      <c r="H505" s="13" t="s">
        <v>1943</v>
      </c>
      <c r="I505" s="13" t="str">
        <f t="shared" si="14"/>
        <v>SE 2nd St (US 1/Federal Hwy to SE 11th Av)</v>
      </c>
      <c r="J505" s="13" t="s">
        <v>27</v>
      </c>
      <c r="K505" s="13" t="str">
        <f>VLOOKUP(J505,'Data-ProjectTypes'!A$3:B$13,2,FALSE)</f>
        <v>Program</v>
      </c>
      <c r="L505" s="21" t="s">
        <v>348</v>
      </c>
      <c r="M505" s="13" t="s">
        <v>2594</v>
      </c>
      <c r="N505" s="13" t="s">
        <v>2088</v>
      </c>
      <c r="O505" s="13" t="s">
        <v>275</v>
      </c>
      <c r="P505" s="13" t="s">
        <v>275</v>
      </c>
      <c r="Q505" s="22">
        <v>0.7</v>
      </c>
      <c r="R505" s="23">
        <v>257745</v>
      </c>
      <c r="S505" s="21"/>
      <c r="T505" s="21"/>
      <c r="U505" s="21"/>
      <c r="V505" s="24"/>
      <c r="W505" s="24"/>
      <c r="X505" s="24"/>
      <c r="Y505" s="17"/>
      <c r="Z505" s="18">
        <f>ROUND(R505*'Data-CostAssumptions'!$C$3,-3)</f>
        <v>357000</v>
      </c>
      <c r="AA505" s="11">
        <f t="shared" si="15"/>
        <v>0</v>
      </c>
      <c r="AB505" s="11">
        <v>2041</v>
      </c>
      <c r="AC505" s="11">
        <v>2041</v>
      </c>
      <c r="AD505" s="11">
        <v>2041</v>
      </c>
      <c r="AE505" s="11">
        <v>2041</v>
      </c>
      <c r="AF505" s="11">
        <v>0</v>
      </c>
      <c r="AG505" s="19">
        <f>ROUND((Z505*'Data-CostAssumptions'!$G$5)*(1+'Data-CostAssumptions'!$G$3)^(AC505-'Data-CostAssumptions'!$G$4),-3)</f>
        <v>201000</v>
      </c>
      <c r="AH505" s="19">
        <f>ROUND((Z505)*(1+'Data-CostAssumptions'!$G$3)^(AE505-'Data-CostAssumptions'!$G$4),-3)</f>
        <v>915000</v>
      </c>
    </row>
    <row r="506" spans="1:39" ht="15" customHeight="1" x14ac:dyDescent="0.2">
      <c r="A506" s="11"/>
      <c r="B506" s="11" t="s">
        <v>1211</v>
      </c>
      <c r="C506" s="13">
        <v>293</v>
      </c>
      <c r="D506" s="13" t="s">
        <v>420</v>
      </c>
      <c r="E506" s="20">
        <v>105</v>
      </c>
      <c r="F506" s="20">
        <v>157</v>
      </c>
      <c r="G506" s="20">
        <v>505</v>
      </c>
      <c r="H506" s="13" t="s">
        <v>2755</v>
      </c>
      <c r="I506" s="13" t="str">
        <f t="shared" si="14"/>
        <v>SR 811/Dixie Hwy (Just north of NE 48th St to SW 15th St)</v>
      </c>
      <c r="J506" s="13" t="s">
        <v>27</v>
      </c>
      <c r="K506" s="13" t="str">
        <f>VLOOKUP(J506,'Data-ProjectTypes'!A$3:B$13,2,FALSE)</f>
        <v>Program</v>
      </c>
      <c r="L506" s="21" t="s">
        <v>348</v>
      </c>
      <c r="M506" s="13" t="s">
        <v>2530</v>
      </c>
      <c r="N506" s="13" t="s">
        <v>1956</v>
      </c>
      <c r="O506" s="13" t="s">
        <v>270</v>
      </c>
      <c r="P506" s="13" t="s">
        <v>270</v>
      </c>
      <c r="Q506" s="22">
        <v>0.4</v>
      </c>
      <c r="R506" s="23">
        <v>157822</v>
      </c>
      <c r="S506" s="21"/>
      <c r="T506" s="21"/>
      <c r="U506" s="21"/>
      <c r="V506" s="24"/>
      <c r="W506" s="24" t="s">
        <v>491</v>
      </c>
      <c r="X506" s="24"/>
      <c r="Y506" s="17" t="s">
        <v>492</v>
      </c>
      <c r="Z506" s="18">
        <f>ROUND(R506*'Data-CostAssumptions'!$C$3,-3)</f>
        <v>218000</v>
      </c>
      <c r="AA506" s="11">
        <f t="shared" si="15"/>
        <v>1</v>
      </c>
      <c r="AB506" s="11">
        <v>2041</v>
      </c>
      <c r="AC506" s="11">
        <v>2041</v>
      </c>
      <c r="AD506" s="11">
        <v>2041</v>
      </c>
      <c r="AE506" s="11">
        <v>2041</v>
      </c>
      <c r="AF506" s="11">
        <v>0</v>
      </c>
      <c r="AG506" s="19">
        <f>ROUND((Z506*'Data-CostAssumptions'!$G$5)*(1+'Data-CostAssumptions'!$G$3)^(AC506-'Data-CostAssumptions'!$G$4),-3)</f>
        <v>123000</v>
      </c>
      <c r="AH506" s="19">
        <f>ROUND((Z506)*(1+'Data-CostAssumptions'!$G$3)^(AE506-'Data-CostAssumptions'!$G$4),-3)</f>
        <v>559000</v>
      </c>
    </row>
    <row r="507" spans="1:39" ht="15" customHeight="1" x14ac:dyDescent="0.2">
      <c r="A507" s="11"/>
      <c r="B507" s="11" t="s">
        <v>1211</v>
      </c>
      <c r="C507" s="13">
        <v>294</v>
      </c>
      <c r="D507" s="13" t="s">
        <v>420</v>
      </c>
      <c r="E507" s="20">
        <v>109</v>
      </c>
      <c r="F507" s="20">
        <v>157</v>
      </c>
      <c r="G507" s="20">
        <v>506</v>
      </c>
      <c r="H507" s="13" t="s">
        <v>2021</v>
      </c>
      <c r="I507" s="13" t="str">
        <f t="shared" si="14"/>
        <v>NE 11th Av (Atlantic Bl to NE 10th St)</v>
      </c>
      <c r="J507" s="13" t="s">
        <v>27</v>
      </c>
      <c r="K507" s="13" t="str">
        <f>VLOOKUP(J507,'Data-ProjectTypes'!A$3:B$13,2,FALSE)</f>
        <v>Program</v>
      </c>
      <c r="L507" s="21" t="s">
        <v>348</v>
      </c>
      <c r="M507" s="13" t="s">
        <v>1809</v>
      </c>
      <c r="N507" s="13" t="s">
        <v>1882</v>
      </c>
      <c r="O507" s="13" t="s">
        <v>275</v>
      </c>
      <c r="P507" s="13" t="s">
        <v>275</v>
      </c>
      <c r="Q507" s="22">
        <v>0.7</v>
      </c>
      <c r="R507" s="23">
        <v>260571</v>
      </c>
      <c r="S507" s="21"/>
      <c r="T507" s="21"/>
      <c r="U507" s="21"/>
      <c r="V507" s="24"/>
      <c r="W507" s="24"/>
      <c r="X507" s="24" t="s">
        <v>766</v>
      </c>
      <c r="Y507" s="17" t="s">
        <v>765</v>
      </c>
      <c r="Z507" s="18">
        <f>ROUND(R507*'Data-CostAssumptions'!$C$3,-3)</f>
        <v>361000</v>
      </c>
      <c r="AA507" s="11">
        <f t="shared" si="15"/>
        <v>0</v>
      </c>
      <c r="AB507" s="11">
        <v>2041</v>
      </c>
      <c r="AC507" s="11">
        <v>2041</v>
      </c>
      <c r="AD507" s="11">
        <v>2041</v>
      </c>
      <c r="AE507" s="11">
        <v>2041</v>
      </c>
      <c r="AF507" s="11">
        <v>0</v>
      </c>
      <c r="AG507" s="19">
        <f>ROUND((Z507*'Data-CostAssumptions'!$G$5)*(1+'Data-CostAssumptions'!$G$3)^(AC507-'Data-CostAssumptions'!$G$4),-3)</f>
        <v>204000</v>
      </c>
      <c r="AH507" s="19">
        <f>ROUND((Z507)*(1+'Data-CostAssumptions'!$G$3)^(AE507-'Data-CostAssumptions'!$G$4),-3)</f>
        <v>926000</v>
      </c>
    </row>
    <row r="508" spans="1:39" ht="15" customHeight="1" x14ac:dyDescent="0.2">
      <c r="A508" s="11"/>
      <c r="B508" s="11" t="s">
        <v>1211</v>
      </c>
      <c r="C508" s="13">
        <v>295</v>
      </c>
      <c r="D508" s="13" t="s">
        <v>420</v>
      </c>
      <c r="E508" s="20">
        <v>117</v>
      </c>
      <c r="F508" s="20">
        <v>157</v>
      </c>
      <c r="G508" s="20">
        <v>507</v>
      </c>
      <c r="H508" s="13" t="s">
        <v>2708</v>
      </c>
      <c r="I508" s="13" t="str">
        <f t="shared" si="14"/>
        <v>SR 845/North Powerline Rd (NW 2nd St to NW 15th St)</v>
      </c>
      <c r="J508" s="13" t="s">
        <v>27</v>
      </c>
      <c r="K508" s="13" t="str">
        <f>VLOOKUP(J508,'Data-ProjectTypes'!A$3:B$13,2,FALSE)</f>
        <v>Program</v>
      </c>
      <c r="L508" s="21" t="s">
        <v>348</v>
      </c>
      <c r="M508" s="13" t="s">
        <v>1912</v>
      </c>
      <c r="N508" s="13" t="s">
        <v>1909</v>
      </c>
      <c r="O508" s="13" t="s">
        <v>270</v>
      </c>
      <c r="P508" s="13" t="s">
        <v>270</v>
      </c>
      <c r="Q508" s="22">
        <v>0.9</v>
      </c>
      <c r="R508" s="23">
        <v>339446</v>
      </c>
      <c r="S508" s="21"/>
      <c r="T508" s="21"/>
      <c r="U508" s="21"/>
      <c r="V508" s="24"/>
      <c r="W508" s="24"/>
      <c r="X508" s="24"/>
      <c r="Y508" s="17"/>
      <c r="Z508" s="18">
        <f>ROUND(R508*'Data-CostAssumptions'!$C$3,-3)</f>
        <v>470000</v>
      </c>
      <c r="AA508" s="11">
        <f t="shared" si="15"/>
        <v>0</v>
      </c>
      <c r="AB508" s="11">
        <v>2041</v>
      </c>
      <c r="AC508" s="11">
        <v>2041</v>
      </c>
      <c r="AD508" s="11">
        <v>2041</v>
      </c>
      <c r="AE508" s="11">
        <v>2041</v>
      </c>
      <c r="AF508" s="11">
        <v>0</v>
      </c>
      <c r="AG508" s="19">
        <f>ROUND((Z508*'Data-CostAssumptions'!$G$5)*(1+'Data-CostAssumptions'!$G$3)^(AC508-'Data-CostAssumptions'!$G$4),-3)</f>
        <v>265000</v>
      </c>
      <c r="AH508" s="19">
        <f>ROUND((Z508)*(1+'Data-CostAssumptions'!$G$3)^(AE508-'Data-CostAssumptions'!$G$4),-3)</f>
        <v>1205000</v>
      </c>
    </row>
    <row r="509" spans="1:39" ht="15" customHeight="1" x14ac:dyDescent="0.2">
      <c r="A509" s="11"/>
      <c r="B509" s="11" t="s">
        <v>1211</v>
      </c>
      <c r="C509" s="13">
        <v>296</v>
      </c>
      <c r="D509" s="13" t="s">
        <v>420</v>
      </c>
      <c r="E509" s="20">
        <v>139</v>
      </c>
      <c r="F509" s="20">
        <v>157</v>
      </c>
      <c r="G509" s="20">
        <v>508</v>
      </c>
      <c r="H509" s="13" t="s">
        <v>1956</v>
      </c>
      <c r="I509" s="13" t="str">
        <f t="shared" si="14"/>
        <v>SW 15th St (NW 29th Av to Rock Island Rd)</v>
      </c>
      <c r="J509" s="13" t="s">
        <v>27</v>
      </c>
      <c r="K509" s="13" t="str">
        <f>VLOOKUP(J509,'Data-ProjectTypes'!A$3:B$13,2,FALSE)</f>
        <v>Program</v>
      </c>
      <c r="L509" s="21" t="s">
        <v>348</v>
      </c>
      <c r="M509" s="13" t="s">
        <v>2389</v>
      </c>
      <c r="N509" s="13" t="s">
        <v>1768</v>
      </c>
      <c r="O509" s="13" t="s">
        <v>273</v>
      </c>
      <c r="P509" s="13" t="s">
        <v>273</v>
      </c>
      <c r="Q509" s="22">
        <v>2.4</v>
      </c>
      <c r="R509" s="23">
        <v>854427</v>
      </c>
      <c r="S509" s="21"/>
      <c r="T509" s="21"/>
      <c r="U509" s="21"/>
      <c r="V509" s="24"/>
      <c r="W509" s="24"/>
      <c r="X509" s="24"/>
      <c r="Y509" s="17"/>
      <c r="Z509" s="18">
        <f>ROUND(R509*'Data-CostAssumptions'!$C$3,-3)</f>
        <v>1183000</v>
      </c>
      <c r="AA509" s="11">
        <f t="shared" si="15"/>
        <v>0</v>
      </c>
      <c r="AB509" s="11">
        <v>2041</v>
      </c>
      <c r="AC509" s="11">
        <v>2041</v>
      </c>
      <c r="AD509" s="11">
        <v>2041</v>
      </c>
      <c r="AE509" s="11">
        <v>2041</v>
      </c>
      <c r="AF509" s="11">
        <v>0</v>
      </c>
      <c r="AG509" s="19">
        <f>ROUND((Z509*'Data-CostAssumptions'!$G$5)*(1+'Data-CostAssumptions'!$G$3)^(AC509-'Data-CostAssumptions'!$G$4),-3)</f>
        <v>667000</v>
      </c>
      <c r="AH509" s="19">
        <f>ROUND((Z509)*(1+'Data-CostAssumptions'!$G$3)^(AE509-'Data-CostAssumptions'!$G$4),-3)</f>
        <v>3033000</v>
      </c>
    </row>
    <row r="510" spans="1:39" ht="15" customHeight="1" x14ac:dyDescent="0.2">
      <c r="A510" s="11"/>
      <c r="B510" s="11" t="s">
        <v>1211</v>
      </c>
      <c r="C510" s="13">
        <v>297</v>
      </c>
      <c r="D510" s="13" t="s">
        <v>420</v>
      </c>
      <c r="E510" s="20">
        <v>158</v>
      </c>
      <c r="F510" s="20">
        <v>157</v>
      </c>
      <c r="G510" s="20">
        <v>509</v>
      </c>
      <c r="H510" s="13" t="s">
        <v>1829</v>
      </c>
      <c r="I510" s="13" t="str">
        <f t="shared" si="14"/>
        <v>Southgate Bl (Just east of SW
81st Av to Pine Island Rd)</v>
      </c>
      <c r="J510" s="13" t="s">
        <v>27</v>
      </c>
      <c r="K510" s="13" t="str">
        <f>VLOOKUP(J510,'Data-ProjectTypes'!A$3:B$13,2,FALSE)</f>
        <v>Program</v>
      </c>
      <c r="L510" s="21" t="s">
        <v>348</v>
      </c>
      <c r="M510" s="46" t="s">
        <v>2385</v>
      </c>
      <c r="N510" s="13" t="s">
        <v>266</v>
      </c>
      <c r="O510" s="13" t="s">
        <v>280</v>
      </c>
      <c r="P510" s="13" t="s">
        <v>280</v>
      </c>
      <c r="Q510" s="22">
        <v>0.8</v>
      </c>
      <c r="R510" s="23">
        <v>286180</v>
      </c>
      <c r="S510" s="21"/>
      <c r="T510" s="21"/>
      <c r="U510" s="21"/>
      <c r="V510" s="24"/>
      <c r="W510" s="24"/>
      <c r="X510" s="24"/>
      <c r="Y510" s="17"/>
      <c r="Z510" s="18">
        <f>ROUND(R510*'Data-CostAssumptions'!$C$3,-3)</f>
        <v>396000</v>
      </c>
      <c r="AA510" s="11">
        <f t="shared" si="15"/>
        <v>0</v>
      </c>
      <c r="AB510" s="11">
        <v>2041</v>
      </c>
      <c r="AC510" s="11">
        <v>2041</v>
      </c>
      <c r="AD510" s="11">
        <v>2041</v>
      </c>
      <c r="AE510" s="11">
        <v>2041</v>
      </c>
      <c r="AF510" s="11">
        <v>0</v>
      </c>
      <c r="AG510" s="19">
        <f>ROUND((Z510*'Data-CostAssumptions'!$G$5)*(1+'Data-CostAssumptions'!$G$3)^(AC510-'Data-CostAssumptions'!$G$4),-3)</f>
        <v>223000</v>
      </c>
      <c r="AH510" s="19">
        <f>ROUND((Z510)*(1+'Data-CostAssumptions'!$G$3)^(AE510-'Data-CostAssumptions'!$G$4),-3)</f>
        <v>1015000</v>
      </c>
    </row>
    <row r="511" spans="1:39" ht="15" customHeight="1" x14ac:dyDescent="0.2">
      <c r="A511" s="11"/>
      <c r="B511" s="11" t="s">
        <v>1211</v>
      </c>
      <c r="C511" s="13">
        <v>298</v>
      </c>
      <c r="D511" s="13" t="s">
        <v>420</v>
      </c>
      <c r="E511" s="20">
        <v>162</v>
      </c>
      <c r="F511" s="20">
        <v>157</v>
      </c>
      <c r="G511" s="20">
        <v>510</v>
      </c>
      <c r="H511" s="13" t="s">
        <v>2001</v>
      </c>
      <c r="I511" s="13" t="str">
        <f t="shared" si="14"/>
        <v>Shadow Wood Bl (NW 82nd Av to University Dr)</v>
      </c>
      <c r="J511" s="13" t="s">
        <v>27</v>
      </c>
      <c r="K511" s="13" t="str">
        <f>VLOOKUP(J511,'Data-ProjectTypes'!A$3:B$13,2,FALSE)</f>
        <v>Program</v>
      </c>
      <c r="L511" s="21" t="s">
        <v>348</v>
      </c>
      <c r="M511" s="13" t="s">
        <v>2379</v>
      </c>
      <c r="N511" s="13" t="s">
        <v>1804</v>
      </c>
      <c r="O511" s="13" t="s">
        <v>292</v>
      </c>
      <c r="P511" s="13" t="s">
        <v>292</v>
      </c>
      <c r="Q511" s="22">
        <v>1.3</v>
      </c>
      <c r="R511" s="23">
        <v>455011</v>
      </c>
      <c r="S511" s="21"/>
      <c r="T511" s="21"/>
      <c r="U511" s="21"/>
      <c r="V511" s="24"/>
      <c r="W511" s="24"/>
      <c r="X511" s="24"/>
      <c r="Y511" s="17"/>
      <c r="Z511" s="18">
        <f>ROUND(R511*'Data-CostAssumptions'!$C$3,-3)</f>
        <v>630000</v>
      </c>
      <c r="AA511" s="11">
        <f t="shared" si="15"/>
        <v>0</v>
      </c>
      <c r="AB511" s="11">
        <v>2041</v>
      </c>
      <c r="AC511" s="11">
        <v>2041</v>
      </c>
      <c r="AD511" s="11">
        <v>2041</v>
      </c>
      <c r="AE511" s="11">
        <v>2041</v>
      </c>
      <c r="AF511" s="11">
        <v>0</v>
      </c>
      <c r="AG511" s="19">
        <f>ROUND((Z511*'Data-CostAssumptions'!$G$5)*(1+'Data-CostAssumptions'!$G$3)^(AC511-'Data-CostAssumptions'!$G$4),-3)</f>
        <v>355000</v>
      </c>
      <c r="AH511" s="19">
        <f>ROUND((Z511)*(1+'Data-CostAssumptions'!$G$3)^(AE511-'Data-CostAssumptions'!$G$4),-3)</f>
        <v>1615000</v>
      </c>
    </row>
    <row r="512" spans="1:39" s="45" customFormat="1" ht="15" customHeight="1" x14ac:dyDescent="0.2">
      <c r="A512" s="11"/>
      <c r="B512" s="11" t="s">
        <v>1211</v>
      </c>
      <c r="C512" s="13">
        <v>299</v>
      </c>
      <c r="D512" s="13" t="s">
        <v>420</v>
      </c>
      <c r="E512" s="20">
        <v>168</v>
      </c>
      <c r="F512" s="20">
        <v>157</v>
      </c>
      <c r="G512" s="20">
        <v>511</v>
      </c>
      <c r="H512" s="13" t="s">
        <v>2709</v>
      </c>
      <c r="I512" s="13" t="str">
        <f t="shared" si="14"/>
        <v>SR 817/University Dr (Caroadinal Rd to South of Wiles Rd)</v>
      </c>
      <c r="J512" s="13" t="s">
        <v>27</v>
      </c>
      <c r="K512" s="13" t="str">
        <f>VLOOKUP(J512,'Data-ProjectTypes'!A$3:B$13,2,FALSE)</f>
        <v>Program</v>
      </c>
      <c r="L512" s="21" t="s">
        <v>348</v>
      </c>
      <c r="M512" s="13" t="s">
        <v>2465</v>
      </c>
      <c r="N512" s="13" t="s">
        <v>2464</v>
      </c>
      <c r="O512" s="13" t="s">
        <v>292</v>
      </c>
      <c r="P512" s="13" t="s">
        <v>292</v>
      </c>
      <c r="Q512" s="22">
        <v>0.4</v>
      </c>
      <c r="R512" s="23">
        <v>136865</v>
      </c>
      <c r="S512" s="21"/>
      <c r="T512" s="21"/>
      <c r="U512" s="21"/>
      <c r="V512" s="24"/>
      <c r="W512" s="24"/>
      <c r="X512" s="24"/>
      <c r="Y512" s="17"/>
      <c r="Z512" s="18">
        <f>ROUND(R512*'Data-CostAssumptions'!$C$3,-3)</f>
        <v>189000</v>
      </c>
      <c r="AA512" s="11">
        <f t="shared" si="15"/>
        <v>0</v>
      </c>
      <c r="AB512" s="11">
        <v>2041</v>
      </c>
      <c r="AC512" s="11">
        <v>2041</v>
      </c>
      <c r="AD512" s="11">
        <v>2041</v>
      </c>
      <c r="AE512" s="11">
        <v>2041</v>
      </c>
      <c r="AF512" s="11">
        <v>0</v>
      </c>
      <c r="AG512" s="19">
        <f>ROUND((Z512*'Data-CostAssumptions'!$G$5)*(1+'Data-CostAssumptions'!$G$3)^(AC512-'Data-CostAssumptions'!$G$4),-3)</f>
        <v>107000</v>
      </c>
      <c r="AH512" s="19">
        <f>ROUND((Z512)*(1+'Data-CostAssumptions'!$G$3)^(AE512-'Data-CostAssumptions'!$G$4),-3)</f>
        <v>485000</v>
      </c>
      <c r="AI512" s="12"/>
      <c r="AJ512" s="12"/>
      <c r="AK512" s="12"/>
      <c r="AL512" s="12"/>
      <c r="AM512" s="12"/>
    </row>
    <row r="513" spans="1:34" ht="15" customHeight="1" x14ac:dyDescent="0.2">
      <c r="A513" s="11"/>
      <c r="B513" s="11" t="s">
        <v>1211</v>
      </c>
      <c r="C513" s="13">
        <v>300</v>
      </c>
      <c r="D513" s="13" t="s">
        <v>420</v>
      </c>
      <c r="E513" s="20">
        <v>170</v>
      </c>
      <c r="F513" s="20">
        <v>157</v>
      </c>
      <c r="G513" s="20">
        <v>512</v>
      </c>
      <c r="H513" s="13" t="s">
        <v>2404</v>
      </c>
      <c r="I513" s="13" t="str">
        <f t="shared" si="14"/>
        <v>Holmberg Rd (Just west of Access Rd to Riverside Dr)</v>
      </c>
      <c r="J513" s="13" t="s">
        <v>27</v>
      </c>
      <c r="K513" s="13" t="str">
        <f>VLOOKUP(J513,'Data-ProjectTypes'!A$3:B$13,2,FALSE)</f>
        <v>Program</v>
      </c>
      <c r="L513" s="47" t="s">
        <v>736</v>
      </c>
      <c r="M513" s="13" t="s">
        <v>2417</v>
      </c>
      <c r="N513" s="13" t="s">
        <v>1799</v>
      </c>
      <c r="O513" s="13" t="s">
        <v>272</v>
      </c>
      <c r="P513" s="13" t="s">
        <v>272</v>
      </c>
      <c r="Q513" s="22">
        <v>1.9</v>
      </c>
      <c r="R513" s="23">
        <v>682122</v>
      </c>
      <c r="S513" s="21" t="s">
        <v>24</v>
      </c>
      <c r="T513" s="21" t="s">
        <v>25</v>
      </c>
      <c r="U513" s="21" t="s">
        <v>24</v>
      </c>
      <c r="V513" s="24"/>
      <c r="W513" s="24"/>
      <c r="X513" s="31" t="s">
        <v>734</v>
      </c>
      <c r="Y513" s="17" t="s">
        <v>735</v>
      </c>
      <c r="Z513" s="18">
        <f>ROUND(R513*'Data-CostAssumptions'!$C$3,-3)</f>
        <v>944000</v>
      </c>
      <c r="AA513" s="11">
        <f t="shared" si="15"/>
        <v>0</v>
      </c>
      <c r="AB513" s="11">
        <v>2041</v>
      </c>
      <c r="AC513" s="11">
        <v>2041</v>
      </c>
      <c r="AD513" s="11">
        <v>2041</v>
      </c>
      <c r="AE513" s="11">
        <v>2041</v>
      </c>
      <c r="AF513" s="11">
        <v>0</v>
      </c>
      <c r="AG513" s="19">
        <f>ROUND((Z513*'Data-CostAssumptions'!$G$5)*(1+'Data-CostAssumptions'!$G$3)^(AC513-'Data-CostAssumptions'!$G$4),-3)</f>
        <v>532000</v>
      </c>
      <c r="AH513" s="19">
        <f>ROUND((Z513)*(1+'Data-CostAssumptions'!$G$3)^(AE513-'Data-CostAssumptions'!$G$4),-3)</f>
        <v>2420000</v>
      </c>
    </row>
    <row r="514" spans="1:34" ht="15" customHeight="1" x14ac:dyDescent="0.2">
      <c r="A514" s="11"/>
      <c r="B514" s="11" t="s">
        <v>1211</v>
      </c>
      <c r="C514" s="13">
        <v>301</v>
      </c>
      <c r="D514" s="13" t="s">
        <v>420</v>
      </c>
      <c r="E514" s="20">
        <v>183</v>
      </c>
      <c r="F514" s="20">
        <v>157</v>
      </c>
      <c r="G514" s="20">
        <v>513</v>
      </c>
      <c r="H514" s="13" t="s">
        <v>1776</v>
      </c>
      <c r="I514" s="13" t="str">
        <f t="shared" ref="I514:I577" si="16">IF(M514="@",H514&amp;" ("&amp;M514&amp;"  "&amp;N514&amp;")",H514&amp;" ("&amp;M514&amp;" to "&amp;N514&amp;")")</f>
        <v>West Copans Rd (NW 1st Av to Andrews Av)</v>
      </c>
      <c r="J514" s="13" t="s">
        <v>27</v>
      </c>
      <c r="K514" s="13" t="str">
        <f>VLOOKUP(J514,'Data-ProjectTypes'!A$3:B$13,2,FALSE)</f>
        <v>Program</v>
      </c>
      <c r="L514" s="21" t="s">
        <v>348</v>
      </c>
      <c r="M514" s="13" t="s">
        <v>2056</v>
      </c>
      <c r="N514" s="13" t="s">
        <v>2014</v>
      </c>
      <c r="O514" s="13" t="s">
        <v>273</v>
      </c>
      <c r="P514" s="13" t="s">
        <v>273</v>
      </c>
      <c r="Q514" s="22">
        <v>1</v>
      </c>
      <c r="R514" s="23">
        <v>369079</v>
      </c>
      <c r="S514" s="21"/>
      <c r="T514" s="21"/>
      <c r="U514" s="21"/>
      <c r="V514" s="24"/>
      <c r="W514" s="24"/>
      <c r="X514" s="24"/>
      <c r="Y514" s="17"/>
      <c r="Z514" s="18">
        <f>ROUND(R514*'Data-CostAssumptions'!$C$3,-3)</f>
        <v>511000</v>
      </c>
      <c r="AA514" s="11">
        <f t="shared" si="15"/>
        <v>0</v>
      </c>
      <c r="AB514" s="11">
        <v>2041</v>
      </c>
      <c r="AC514" s="11">
        <v>2041</v>
      </c>
      <c r="AD514" s="11">
        <v>2041</v>
      </c>
      <c r="AE514" s="11">
        <v>2041</v>
      </c>
      <c r="AF514" s="11">
        <v>0</v>
      </c>
      <c r="AG514" s="19">
        <f>ROUND((Z514*'Data-CostAssumptions'!$G$5)*(1+'Data-CostAssumptions'!$G$3)^(AC514-'Data-CostAssumptions'!$G$4),-3)</f>
        <v>288000</v>
      </c>
      <c r="AH514" s="19">
        <f>ROUND((Z514)*(1+'Data-CostAssumptions'!$G$3)^(AE514-'Data-CostAssumptions'!$G$4),-3)</f>
        <v>1310000</v>
      </c>
    </row>
    <row r="515" spans="1:34" ht="15" customHeight="1" x14ac:dyDescent="0.2">
      <c r="A515" s="11"/>
      <c r="B515" s="11" t="s">
        <v>1211</v>
      </c>
      <c r="C515" s="13">
        <v>303</v>
      </c>
      <c r="D515" s="13" t="s">
        <v>420</v>
      </c>
      <c r="E515" s="20">
        <v>194</v>
      </c>
      <c r="F515" s="20">
        <v>157</v>
      </c>
      <c r="G515" s="20">
        <v>514</v>
      </c>
      <c r="H515" s="13" t="s">
        <v>1758</v>
      </c>
      <c r="I515" s="13" t="str">
        <f t="shared" si="16"/>
        <v>North Nob Hill Rd (State Rd 84 to Just north of Central Park Place)</v>
      </c>
      <c r="J515" s="13" t="s">
        <v>27</v>
      </c>
      <c r="K515" s="13" t="str">
        <f>VLOOKUP(J515,'Data-ProjectTypes'!A$3:B$13,2,FALSE)</f>
        <v>Program</v>
      </c>
      <c r="L515" s="21" t="s">
        <v>348</v>
      </c>
      <c r="M515" s="13" t="s">
        <v>1774</v>
      </c>
      <c r="N515" s="13" t="s">
        <v>65</v>
      </c>
      <c r="O515" s="13" t="s">
        <v>273</v>
      </c>
      <c r="P515" s="13" t="s">
        <v>273</v>
      </c>
      <c r="Q515" s="22">
        <v>1.4</v>
      </c>
      <c r="R515" s="23">
        <v>517146</v>
      </c>
      <c r="S515" s="21"/>
      <c r="T515" s="21"/>
      <c r="U515" s="21"/>
      <c r="V515" s="24"/>
      <c r="W515" s="24"/>
      <c r="X515" s="24"/>
      <c r="Y515" s="17"/>
      <c r="Z515" s="18">
        <f>ROUND(R515*'Data-CostAssumptions'!$C$3,-3)</f>
        <v>716000</v>
      </c>
      <c r="AA515" s="11">
        <f t="shared" ref="AA515:AA578" si="17">IF(V515="",IF(W515="",0,1),1)</f>
        <v>0</v>
      </c>
      <c r="AB515" s="11">
        <v>2041</v>
      </c>
      <c r="AC515" s="11">
        <v>2041</v>
      </c>
      <c r="AD515" s="11">
        <v>2041</v>
      </c>
      <c r="AE515" s="11">
        <v>2041</v>
      </c>
      <c r="AF515" s="11">
        <v>0</v>
      </c>
      <c r="AG515" s="19">
        <f>ROUND((Z515*'Data-CostAssumptions'!$G$5)*(1+'Data-CostAssumptions'!$G$3)^(AC515-'Data-CostAssumptions'!$G$4),-3)</f>
        <v>404000</v>
      </c>
      <c r="AH515" s="19">
        <f>ROUND((Z515)*(1+'Data-CostAssumptions'!$G$3)^(AE515-'Data-CostAssumptions'!$G$4),-3)</f>
        <v>1836000</v>
      </c>
    </row>
    <row r="516" spans="1:34" ht="15" customHeight="1" x14ac:dyDescent="0.2">
      <c r="A516" s="11"/>
      <c r="B516" s="11" t="s">
        <v>1211</v>
      </c>
      <c r="C516" s="13">
        <v>304</v>
      </c>
      <c r="D516" s="13" t="s">
        <v>420</v>
      </c>
      <c r="E516" s="20">
        <v>196</v>
      </c>
      <c r="F516" s="20">
        <v>157</v>
      </c>
      <c r="G516" s="20">
        <v>515</v>
      </c>
      <c r="H516" s="13" t="s">
        <v>1784</v>
      </c>
      <c r="I516" s="13" t="str">
        <f t="shared" si="16"/>
        <v>Commodore Dr (State Rd 84 to NW 8th St)</v>
      </c>
      <c r="J516" s="13" t="s">
        <v>27</v>
      </c>
      <c r="K516" s="13" t="str">
        <f>VLOOKUP(J516,'Data-ProjectTypes'!A$3:B$13,2,FALSE)</f>
        <v>Program</v>
      </c>
      <c r="L516" s="21" t="s">
        <v>348</v>
      </c>
      <c r="M516" s="13" t="s">
        <v>1774</v>
      </c>
      <c r="N516" s="13" t="s">
        <v>1934</v>
      </c>
      <c r="O516" s="13" t="s">
        <v>272</v>
      </c>
      <c r="P516" s="13" t="s">
        <v>272</v>
      </c>
      <c r="Q516" s="22">
        <v>1.2</v>
      </c>
      <c r="R516" s="23">
        <v>434241</v>
      </c>
      <c r="S516" s="21"/>
      <c r="T516" s="21"/>
      <c r="U516" s="21"/>
      <c r="V516" s="24"/>
      <c r="W516" s="24"/>
      <c r="X516" s="24"/>
      <c r="Y516" s="17"/>
      <c r="Z516" s="18">
        <f>ROUND(R516*'Data-CostAssumptions'!$C$3,-3)</f>
        <v>601000</v>
      </c>
      <c r="AA516" s="11">
        <f t="shared" si="17"/>
        <v>0</v>
      </c>
      <c r="AB516" s="11">
        <v>2041</v>
      </c>
      <c r="AC516" s="11">
        <v>2041</v>
      </c>
      <c r="AD516" s="11">
        <v>2041</v>
      </c>
      <c r="AE516" s="11">
        <v>2041</v>
      </c>
      <c r="AF516" s="11">
        <v>0</v>
      </c>
      <c r="AG516" s="19">
        <f>ROUND((Z516*'Data-CostAssumptions'!$G$5)*(1+'Data-CostAssumptions'!$G$3)^(AC516-'Data-CostAssumptions'!$G$4),-3)</f>
        <v>339000</v>
      </c>
      <c r="AH516" s="19">
        <f>ROUND((Z516)*(1+'Data-CostAssumptions'!$G$3)^(AE516-'Data-CostAssumptions'!$G$4),-3)</f>
        <v>1541000</v>
      </c>
    </row>
    <row r="517" spans="1:34" ht="15" customHeight="1" x14ac:dyDescent="0.2">
      <c r="A517" s="11"/>
      <c r="B517" s="11" t="s">
        <v>1211</v>
      </c>
      <c r="C517" s="13">
        <v>305</v>
      </c>
      <c r="D517" s="13" t="s">
        <v>420</v>
      </c>
      <c r="E517" s="20">
        <v>205</v>
      </c>
      <c r="F517" s="20">
        <v>157</v>
      </c>
      <c r="G517" s="20">
        <v>516</v>
      </c>
      <c r="H517" s="13" t="s">
        <v>1998</v>
      </c>
      <c r="I517" s="13" t="str">
        <f t="shared" si="16"/>
        <v>Pasadena Bl (University Dr to NW 88th Terrace)</v>
      </c>
      <c r="J517" s="13" t="s">
        <v>27</v>
      </c>
      <c r="K517" s="13" t="str">
        <f>VLOOKUP(J517,'Data-ProjectTypes'!A$3:B$13,2,FALSE)</f>
        <v>Program</v>
      </c>
      <c r="L517" s="21" t="s">
        <v>348</v>
      </c>
      <c r="M517" s="13" t="s">
        <v>1804</v>
      </c>
      <c r="N517" s="13" t="s">
        <v>132</v>
      </c>
      <c r="O517" s="13" t="s">
        <v>271</v>
      </c>
      <c r="P517" s="13" t="s">
        <v>271</v>
      </c>
      <c r="Q517" s="22">
        <v>0.9</v>
      </c>
      <c r="R517" s="23">
        <v>316878</v>
      </c>
      <c r="S517" s="21"/>
      <c r="T517" s="21"/>
      <c r="U517" s="21"/>
      <c r="V517" s="24"/>
      <c r="W517" s="24"/>
      <c r="X517" s="24"/>
      <c r="Y517" s="17"/>
      <c r="Z517" s="18">
        <f>ROUND(R517*'Data-CostAssumptions'!$C$3,-3)</f>
        <v>439000</v>
      </c>
      <c r="AA517" s="11">
        <f t="shared" si="17"/>
        <v>0</v>
      </c>
      <c r="AB517" s="11">
        <v>2041</v>
      </c>
      <c r="AC517" s="11">
        <v>2041</v>
      </c>
      <c r="AD517" s="11">
        <v>2041</v>
      </c>
      <c r="AE517" s="11">
        <v>2041</v>
      </c>
      <c r="AF517" s="11">
        <v>0</v>
      </c>
      <c r="AG517" s="19">
        <f>ROUND((Z517*'Data-CostAssumptions'!$G$5)*(1+'Data-CostAssumptions'!$G$3)^(AC517-'Data-CostAssumptions'!$G$4),-3)</f>
        <v>248000</v>
      </c>
      <c r="AH517" s="19">
        <f>ROUND((Z517)*(1+'Data-CostAssumptions'!$G$3)^(AE517-'Data-CostAssumptions'!$G$4),-3)</f>
        <v>1126000</v>
      </c>
    </row>
    <row r="518" spans="1:34" ht="15" customHeight="1" x14ac:dyDescent="0.2">
      <c r="A518" s="11"/>
      <c r="B518" s="11" t="s">
        <v>1211</v>
      </c>
      <c r="C518" s="13">
        <v>306</v>
      </c>
      <c r="D518" s="13" t="s">
        <v>420</v>
      </c>
      <c r="E518" s="20">
        <v>209</v>
      </c>
      <c r="F518" s="20">
        <v>157</v>
      </c>
      <c r="G518" s="20">
        <v>517</v>
      </c>
      <c r="H518" s="13" t="s">
        <v>1951</v>
      </c>
      <c r="I518" s="13" t="str">
        <f t="shared" si="16"/>
        <v>Sheridan St (NW 78th Av to NW 94th Av)</v>
      </c>
      <c r="J518" s="13" t="s">
        <v>27</v>
      </c>
      <c r="K518" s="13" t="str">
        <f>VLOOKUP(J518,'Data-ProjectTypes'!A$3:B$13,2,FALSE)</f>
        <v>Program</v>
      </c>
      <c r="L518" s="21" t="s">
        <v>348</v>
      </c>
      <c r="M518" s="13" t="s">
        <v>2380</v>
      </c>
      <c r="N518" s="13" t="s">
        <v>2246</v>
      </c>
      <c r="O518" s="13" t="s">
        <v>272</v>
      </c>
      <c r="P518" s="13" t="s">
        <v>272</v>
      </c>
      <c r="Q518" s="22">
        <v>1.7</v>
      </c>
      <c r="R518" s="23">
        <v>601844</v>
      </c>
      <c r="S518" s="21" t="s">
        <v>24</v>
      </c>
      <c r="T518" s="21"/>
      <c r="U518" s="21"/>
      <c r="V518" s="24"/>
      <c r="W518" s="24" t="s">
        <v>546</v>
      </c>
      <c r="X518" s="24"/>
      <c r="Y518" s="17" t="s">
        <v>547</v>
      </c>
      <c r="Z518" s="18">
        <f>ROUND(R518*'Data-CostAssumptions'!$C$3,-3)</f>
        <v>833000</v>
      </c>
      <c r="AA518" s="11">
        <f t="shared" si="17"/>
        <v>1</v>
      </c>
      <c r="AB518" s="11">
        <v>2041</v>
      </c>
      <c r="AC518" s="11">
        <v>2041</v>
      </c>
      <c r="AD518" s="11">
        <v>2041</v>
      </c>
      <c r="AE518" s="11">
        <v>2041</v>
      </c>
      <c r="AF518" s="11">
        <v>0</v>
      </c>
      <c r="AG518" s="19">
        <f>ROUND((Z518*'Data-CostAssumptions'!$G$5)*(1+'Data-CostAssumptions'!$G$3)^(AC518-'Data-CostAssumptions'!$G$4),-3)</f>
        <v>470000</v>
      </c>
      <c r="AH518" s="19">
        <f>ROUND((Z518)*(1+'Data-CostAssumptions'!$G$3)^(AE518-'Data-CostAssumptions'!$G$4),-3)</f>
        <v>2136000</v>
      </c>
    </row>
    <row r="519" spans="1:34" ht="15" customHeight="1" x14ac:dyDescent="0.2">
      <c r="A519" s="11"/>
      <c r="B519" s="11" t="s">
        <v>1211</v>
      </c>
      <c r="C519" s="13">
        <v>307</v>
      </c>
      <c r="D519" s="13" t="s">
        <v>420</v>
      </c>
      <c r="E519" s="20">
        <v>213</v>
      </c>
      <c r="F519" s="20">
        <v>157</v>
      </c>
      <c r="G519" s="20">
        <v>518</v>
      </c>
      <c r="H519" s="13" t="s">
        <v>57</v>
      </c>
      <c r="I519" s="13" t="str">
        <f t="shared" si="16"/>
        <v>SR 7/US 441 (Cullum Rd to Just south of Access Rd)</v>
      </c>
      <c r="J519" s="13" t="s">
        <v>27</v>
      </c>
      <c r="K519" s="13" t="str">
        <f>VLOOKUP(J519,'Data-ProjectTypes'!A$3:B$13,2,FALSE)</f>
        <v>Program</v>
      </c>
      <c r="L519" s="21" t="s">
        <v>348</v>
      </c>
      <c r="M519" s="13" t="s">
        <v>2432</v>
      </c>
      <c r="N519" s="13" t="s">
        <v>2428</v>
      </c>
      <c r="O519" s="13" t="s">
        <v>270</v>
      </c>
      <c r="P519" s="13" t="s">
        <v>270</v>
      </c>
      <c r="Q519" s="22">
        <v>0.4</v>
      </c>
      <c r="R519" s="23">
        <v>134859</v>
      </c>
      <c r="S519" s="21"/>
      <c r="T519" s="21"/>
      <c r="U519" s="21"/>
      <c r="V519" s="24"/>
      <c r="W519" s="24"/>
      <c r="X519" s="24"/>
      <c r="Y519" s="17"/>
      <c r="Z519" s="18">
        <f>ROUND(R519*'Data-CostAssumptions'!$C$3,-3)</f>
        <v>187000</v>
      </c>
      <c r="AA519" s="11">
        <f t="shared" si="17"/>
        <v>0</v>
      </c>
      <c r="AB519" s="11">
        <v>2041</v>
      </c>
      <c r="AC519" s="11">
        <v>2041</v>
      </c>
      <c r="AD519" s="11">
        <v>2041</v>
      </c>
      <c r="AE519" s="11">
        <v>2041</v>
      </c>
      <c r="AF519" s="11">
        <v>0</v>
      </c>
      <c r="AG519" s="19">
        <f>ROUND((Z519*'Data-CostAssumptions'!$G$5)*(1+'Data-CostAssumptions'!$G$3)^(AC519-'Data-CostAssumptions'!$G$4),-3)</f>
        <v>105000</v>
      </c>
      <c r="AH519" s="19">
        <f>ROUND((Z519)*(1+'Data-CostAssumptions'!$G$3)^(AE519-'Data-CostAssumptions'!$G$4),-3)</f>
        <v>479000</v>
      </c>
    </row>
    <row r="520" spans="1:34" ht="15" customHeight="1" x14ac:dyDescent="0.2">
      <c r="A520" s="11"/>
      <c r="B520" s="11" t="s">
        <v>1211</v>
      </c>
      <c r="C520" s="13">
        <v>308</v>
      </c>
      <c r="D520" s="13" t="s">
        <v>420</v>
      </c>
      <c r="E520" s="20">
        <v>226</v>
      </c>
      <c r="F520" s="20">
        <v>157</v>
      </c>
      <c r="G520" s="20">
        <v>519</v>
      </c>
      <c r="H520" s="13" t="s">
        <v>1910</v>
      </c>
      <c r="I520" s="13" t="str">
        <f t="shared" si="16"/>
        <v>NW 16th St (NW 38th Av to NW 47th Av)</v>
      </c>
      <c r="J520" s="13" t="s">
        <v>27</v>
      </c>
      <c r="K520" s="13" t="str">
        <f>VLOOKUP(J520,'Data-ProjectTypes'!A$3:B$13,2,FALSE)</f>
        <v>Program</v>
      </c>
      <c r="L520" s="21" t="s">
        <v>348</v>
      </c>
      <c r="M520" s="13" t="s">
        <v>2366</v>
      </c>
      <c r="N520" s="13" t="s">
        <v>2070</v>
      </c>
      <c r="O520" s="13" t="s">
        <v>270</v>
      </c>
      <c r="P520" s="13" t="s">
        <v>270</v>
      </c>
      <c r="Q520" s="22">
        <v>0.8</v>
      </c>
      <c r="R520" s="23">
        <v>271697</v>
      </c>
      <c r="S520" s="21"/>
      <c r="T520" s="21"/>
      <c r="U520" s="21"/>
      <c r="V520" s="24"/>
      <c r="W520" s="24"/>
      <c r="X520" s="24"/>
      <c r="Y520" s="17"/>
      <c r="Z520" s="18">
        <f>ROUND(R520*'Data-CostAssumptions'!$C$3,-3)</f>
        <v>376000</v>
      </c>
      <c r="AA520" s="11">
        <f t="shared" si="17"/>
        <v>0</v>
      </c>
      <c r="AB520" s="11">
        <v>2041</v>
      </c>
      <c r="AC520" s="11">
        <v>2041</v>
      </c>
      <c r="AD520" s="11">
        <v>2041</v>
      </c>
      <c r="AE520" s="11">
        <v>2041</v>
      </c>
      <c r="AF520" s="11">
        <v>0</v>
      </c>
      <c r="AG520" s="19">
        <f>ROUND((Z520*'Data-CostAssumptions'!$G$5)*(1+'Data-CostAssumptions'!$G$3)^(AC520-'Data-CostAssumptions'!$G$4),-3)</f>
        <v>212000</v>
      </c>
      <c r="AH520" s="19">
        <f>ROUND((Z520)*(1+'Data-CostAssumptions'!$G$3)^(AE520-'Data-CostAssumptions'!$G$4),-3)</f>
        <v>964000</v>
      </c>
    </row>
    <row r="521" spans="1:34" ht="15" customHeight="1" x14ac:dyDescent="0.2">
      <c r="A521" s="11"/>
      <c r="B521" s="11" t="s">
        <v>1211</v>
      </c>
      <c r="C521" s="13">
        <v>309</v>
      </c>
      <c r="D521" s="13" t="s">
        <v>420</v>
      </c>
      <c r="E521" s="20">
        <v>228</v>
      </c>
      <c r="F521" s="20">
        <v>157</v>
      </c>
      <c r="G521" s="20">
        <v>520</v>
      </c>
      <c r="H521" s="13" t="s">
        <v>1907</v>
      </c>
      <c r="I521" s="13" t="str">
        <f t="shared" si="16"/>
        <v>NW 12th St (State Rd 7/US 441 to NW 43rd Terrace)</v>
      </c>
      <c r="J521" s="13" t="s">
        <v>27</v>
      </c>
      <c r="K521" s="13" t="str">
        <f>VLOOKUP(J521,'Data-ProjectTypes'!A$3:B$13,2,FALSE)</f>
        <v>Program</v>
      </c>
      <c r="L521" s="21" t="s">
        <v>348</v>
      </c>
      <c r="M521" s="13" t="s">
        <v>1773</v>
      </c>
      <c r="N521" s="13" t="s">
        <v>173</v>
      </c>
      <c r="O521" s="13" t="s">
        <v>270</v>
      </c>
      <c r="P521" s="13" t="s">
        <v>270</v>
      </c>
      <c r="Q521" s="22">
        <v>0.3</v>
      </c>
      <c r="R521" s="23">
        <v>112664</v>
      </c>
      <c r="S521" s="21"/>
      <c r="T521" s="21"/>
      <c r="U521" s="21"/>
      <c r="V521" s="24"/>
      <c r="W521" s="24"/>
      <c r="X521" s="28"/>
      <c r="Y521" s="17"/>
      <c r="Z521" s="18">
        <f>ROUND(R521*'Data-CostAssumptions'!$C$3,-3)</f>
        <v>156000</v>
      </c>
      <c r="AA521" s="11">
        <f t="shared" si="17"/>
        <v>0</v>
      </c>
      <c r="AB521" s="11">
        <v>2041</v>
      </c>
      <c r="AC521" s="11">
        <v>2041</v>
      </c>
      <c r="AD521" s="11">
        <v>2041</v>
      </c>
      <c r="AE521" s="11">
        <v>2041</v>
      </c>
      <c r="AF521" s="11">
        <v>0</v>
      </c>
      <c r="AG521" s="19">
        <f>ROUND((Z521*'Data-CostAssumptions'!$G$5)*(1+'Data-CostAssumptions'!$G$3)^(AC521-'Data-CostAssumptions'!$G$4),-3)</f>
        <v>88000</v>
      </c>
      <c r="AH521" s="19">
        <f>ROUND((Z521)*(1+'Data-CostAssumptions'!$G$3)^(AE521-'Data-CostAssumptions'!$G$4),-3)</f>
        <v>400000</v>
      </c>
    </row>
    <row r="522" spans="1:34" ht="15" customHeight="1" x14ac:dyDescent="0.2">
      <c r="A522" s="11"/>
      <c r="B522" s="11" t="s">
        <v>1211</v>
      </c>
      <c r="C522" s="13">
        <v>310</v>
      </c>
      <c r="D522" s="13" t="s">
        <v>420</v>
      </c>
      <c r="E522" s="20">
        <v>234</v>
      </c>
      <c r="F522" s="20">
        <v>158</v>
      </c>
      <c r="G522" s="20">
        <v>521</v>
      </c>
      <c r="H522" s="13" t="s">
        <v>2735</v>
      </c>
      <c r="I522" s="13" t="str">
        <f t="shared" si="16"/>
        <v>SR 842/West Broward Bl (Holly Lane to University Dr)</v>
      </c>
      <c r="J522" s="13" t="s">
        <v>27</v>
      </c>
      <c r="K522" s="13" t="str">
        <f>VLOOKUP(J522,'Data-ProjectTypes'!A$3:B$13,2,FALSE)</f>
        <v>Program</v>
      </c>
      <c r="L522" s="21" t="s">
        <v>348</v>
      </c>
      <c r="M522" s="13" t="s">
        <v>125</v>
      </c>
      <c r="N522" s="13" t="s">
        <v>1804</v>
      </c>
      <c r="O522" s="13" t="s">
        <v>270</v>
      </c>
      <c r="P522" s="13" t="s">
        <v>270</v>
      </c>
      <c r="Q522" s="22">
        <v>1.2</v>
      </c>
      <c r="R522" s="23">
        <v>438312</v>
      </c>
      <c r="S522" s="21"/>
      <c r="T522" s="21"/>
      <c r="U522" s="21"/>
      <c r="V522" s="24"/>
      <c r="W522" s="24"/>
      <c r="X522" s="28"/>
      <c r="Y522" s="17"/>
      <c r="Z522" s="18">
        <f>ROUND(R522*'Data-CostAssumptions'!$C$3,-3)</f>
        <v>607000</v>
      </c>
      <c r="AA522" s="11">
        <f t="shared" si="17"/>
        <v>0</v>
      </c>
      <c r="AB522" s="11">
        <v>2041</v>
      </c>
      <c r="AC522" s="11">
        <v>2041</v>
      </c>
      <c r="AD522" s="11">
        <v>2041</v>
      </c>
      <c r="AE522" s="11">
        <v>2041</v>
      </c>
      <c r="AF522" s="11">
        <v>0</v>
      </c>
      <c r="AG522" s="19">
        <f>ROUND((Z522*'Data-CostAssumptions'!$G$5)*(1+'Data-CostAssumptions'!$G$3)^(AC522-'Data-CostAssumptions'!$G$4),-3)</f>
        <v>342000</v>
      </c>
      <c r="AH522" s="19">
        <f>ROUND((Z522)*(1+'Data-CostAssumptions'!$G$3)^(AE522-'Data-CostAssumptions'!$G$4),-3)</f>
        <v>1556000</v>
      </c>
    </row>
    <row r="523" spans="1:34" ht="15" customHeight="1" x14ac:dyDescent="0.2">
      <c r="A523" s="11"/>
      <c r="B523" s="11" t="s">
        <v>1211</v>
      </c>
      <c r="C523" s="13">
        <v>311</v>
      </c>
      <c r="D523" s="13" t="s">
        <v>420</v>
      </c>
      <c r="E523" s="20">
        <v>245</v>
      </c>
      <c r="F523" s="20">
        <v>158</v>
      </c>
      <c r="G523" s="20">
        <v>522</v>
      </c>
      <c r="H523" s="13" t="s">
        <v>2125</v>
      </c>
      <c r="I523" s="13" t="str">
        <f t="shared" si="16"/>
        <v>SW 46th Av/East Country Club Circle (Peters Rd to Broward Bl)</v>
      </c>
      <c r="J523" s="13" t="s">
        <v>27</v>
      </c>
      <c r="K523" s="13" t="str">
        <f>VLOOKUP(J523,'Data-ProjectTypes'!A$3:B$13,2,FALSE)</f>
        <v>Program</v>
      </c>
      <c r="L523" s="21" t="s">
        <v>348</v>
      </c>
      <c r="M523" s="13" t="s">
        <v>1763</v>
      </c>
      <c r="N523" s="13" t="s">
        <v>1811</v>
      </c>
      <c r="O523" s="13" t="s">
        <v>284</v>
      </c>
      <c r="P523" s="13" t="s">
        <v>284</v>
      </c>
      <c r="Q523" s="22">
        <v>1.4</v>
      </c>
      <c r="R523" s="23">
        <v>514023</v>
      </c>
      <c r="S523" s="21"/>
      <c r="T523" s="21"/>
      <c r="U523" s="21"/>
      <c r="V523" s="24"/>
      <c r="W523" s="24"/>
      <c r="X523" s="24"/>
      <c r="Y523" s="17"/>
      <c r="Z523" s="18">
        <f>ROUND(R523*'Data-CostAssumptions'!$C$3,-3)</f>
        <v>711000</v>
      </c>
      <c r="AA523" s="11">
        <f t="shared" si="17"/>
        <v>0</v>
      </c>
      <c r="AB523" s="11">
        <v>2041</v>
      </c>
      <c r="AC523" s="11">
        <v>2041</v>
      </c>
      <c r="AD523" s="11">
        <v>2041</v>
      </c>
      <c r="AE523" s="11">
        <v>2041</v>
      </c>
      <c r="AF523" s="11">
        <v>0</v>
      </c>
      <c r="AG523" s="19">
        <f>ROUND((Z523*'Data-CostAssumptions'!$G$5)*(1+'Data-CostAssumptions'!$G$3)^(AC523-'Data-CostAssumptions'!$G$4),-3)</f>
        <v>401000</v>
      </c>
      <c r="AH523" s="19">
        <f>ROUND((Z523)*(1+'Data-CostAssumptions'!$G$3)^(AE523-'Data-CostAssumptions'!$G$4),-3)</f>
        <v>1823000</v>
      </c>
    </row>
    <row r="524" spans="1:34" ht="15" customHeight="1" x14ac:dyDescent="0.2">
      <c r="A524" s="11"/>
      <c r="B524" s="11" t="s">
        <v>1211</v>
      </c>
      <c r="C524" s="13">
        <v>312</v>
      </c>
      <c r="D524" s="13" t="s">
        <v>420</v>
      </c>
      <c r="E524" s="20">
        <v>248</v>
      </c>
      <c r="F524" s="20">
        <v>158</v>
      </c>
      <c r="G524" s="20">
        <v>523</v>
      </c>
      <c r="H524" s="13" t="s">
        <v>63</v>
      </c>
      <c r="I524" s="13" t="str">
        <f t="shared" si="16"/>
        <v>SW 44th Terrace (SW 21st St to Davie Bl)</v>
      </c>
      <c r="J524" s="13" t="s">
        <v>27</v>
      </c>
      <c r="K524" s="13" t="str">
        <f>VLOOKUP(J524,'Data-ProjectTypes'!A$3:B$13,2,FALSE)</f>
        <v>Program</v>
      </c>
      <c r="L524" s="21" t="s">
        <v>348</v>
      </c>
      <c r="M524" s="13" t="s">
        <v>2578</v>
      </c>
      <c r="N524" s="13" t="s">
        <v>1816</v>
      </c>
      <c r="O524" s="13" t="s">
        <v>273</v>
      </c>
      <c r="P524" s="13" t="s">
        <v>273</v>
      </c>
      <c r="Q524" s="22">
        <v>0.6</v>
      </c>
      <c r="R524" s="23">
        <v>211809</v>
      </c>
      <c r="S524" s="21"/>
      <c r="T524" s="21"/>
      <c r="U524" s="21"/>
      <c r="V524" s="24"/>
      <c r="W524" s="24"/>
      <c r="X524" s="28"/>
      <c r="Y524" s="17"/>
      <c r="Z524" s="18">
        <f>ROUND(R524*'Data-CostAssumptions'!$C$3,-3)</f>
        <v>293000</v>
      </c>
      <c r="AA524" s="11">
        <f t="shared" si="17"/>
        <v>0</v>
      </c>
      <c r="AB524" s="11">
        <v>2041</v>
      </c>
      <c r="AC524" s="11">
        <v>2041</v>
      </c>
      <c r="AD524" s="11">
        <v>2041</v>
      </c>
      <c r="AE524" s="11">
        <v>2041</v>
      </c>
      <c r="AF524" s="11">
        <v>0</v>
      </c>
      <c r="AG524" s="19">
        <f>ROUND((Z524*'Data-CostAssumptions'!$G$5)*(1+'Data-CostAssumptions'!$G$3)^(AC524-'Data-CostAssumptions'!$G$4),-3)</f>
        <v>165000</v>
      </c>
      <c r="AH524" s="19">
        <f>ROUND((Z524)*(1+'Data-CostAssumptions'!$G$3)^(AE524-'Data-CostAssumptions'!$G$4),-3)</f>
        <v>751000</v>
      </c>
    </row>
    <row r="525" spans="1:34" ht="15" customHeight="1" x14ac:dyDescent="0.2">
      <c r="A525" s="11"/>
      <c r="B525" s="11" t="s">
        <v>1211</v>
      </c>
      <c r="C525" s="13">
        <v>313</v>
      </c>
      <c r="D525" s="13" t="s">
        <v>420</v>
      </c>
      <c r="E525" s="20">
        <v>252</v>
      </c>
      <c r="F525" s="20">
        <v>158</v>
      </c>
      <c r="G525" s="20">
        <v>524</v>
      </c>
      <c r="H525" s="13" t="s">
        <v>1767</v>
      </c>
      <c r="I525" s="13" t="str">
        <f t="shared" si="16"/>
        <v>Riverland Rd (SW 27th Av to SW 38th Av)</v>
      </c>
      <c r="J525" s="13" t="s">
        <v>27</v>
      </c>
      <c r="K525" s="13" t="str">
        <f>VLOOKUP(J525,'Data-ProjectTypes'!A$3:B$13,2,FALSE)</f>
        <v>Program</v>
      </c>
      <c r="L525" s="21" t="s">
        <v>348</v>
      </c>
      <c r="M525" s="13" t="s">
        <v>2117</v>
      </c>
      <c r="N525" s="13" t="s">
        <v>2256</v>
      </c>
      <c r="O525" s="13" t="s">
        <v>276</v>
      </c>
      <c r="P525" s="13" t="s">
        <v>276</v>
      </c>
      <c r="Q525" s="22">
        <v>0.7</v>
      </c>
      <c r="R525" s="23">
        <v>239503</v>
      </c>
      <c r="S525" s="21"/>
      <c r="T525" s="21"/>
      <c r="U525" s="21"/>
      <c r="V525" s="24"/>
      <c r="W525" s="24"/>
      <c r="X525" s="24"/>
      <c r="Y525" s="17"/>
      <c r="Z525" s="18">
        <f>ROUND(R525*'Data-CostAssumptions'!$C$3,-3)</f>
        <v>331000</v>
      </c>
      <c r="AA525" s="11">
        <f t="shared" si="17"/>
        <v>0</v>
      </c>
      <c r="AB525" s="11">
        <v>2041</v>
      </c>
      <c r="AC525" s="11">
        <v>2041</v>
      </c>
      <c r="AD525" s="11">
        <v>2041</v>
      </c>
      <c r="AE525" s="11">
        <v>2041</v>
      </c>
      <c r="AF525" s="11">
        <v>0</v>
      </c>
      <c r="AG525" s="19">
        <f>ROUND((Z525*'Data-CostAssumptions'!$G$5)*(1+'Data-CostAssumptions'!$G$3)^(AC525-'Data-CostAssumptions'!$G$4),-3)</f>
        <v>187000</v>
      </c>
      <c r="AH525" s="19">
        <f>ROUND((Z525)*(1+'Data-CostAssumptions'!$G$3)^(AE525-'Data-CostAssumptions'!$G$4),-3)</f>
        <v>849000</v>
      </c>
    </row>
    <row r="526" spans="1:34" ht="15" customHeight="1" x14ac:dyDescent="0.2">
      <c r="A526" s="11"/>
      <c r="B526" s="11" t="s">
        <v>1211</v>
      </c>
      <c r="C526" s="13">
        <v>314</v>
      </c>
      <c r="D526" s="13" t="s">
        <v>420</v>
      </c>
      <c r="E526" s="20">
        <v>253</v>
      </c>
      <c r="F526" s="20">
        <v>158</v>
      </c>
      <c r="G526" s="20">
        <v>525</v>
      </c>
      <c r="H526" s="13" t="s">
        <v>1765</v>
      </c>
      <c r="I526" s="13" t="str">
        <f t="shared" si="16"/>
        <v>Ravenswood Rd (Griffin Rd to I-95)</v>
      </c>
      <c r="J526" s="13" t="s">
        <v>27</v>
      </c>
      <c r="K526" s="13" t="str">
        <f>VLOOKUP(J526,'Data-ProjectTypes'!A$3:B$13,2,FALSE)</f>
        <v>Program</v>
      </c>
      <c r="L526" s="21" t="s">
        <v>348</v>
      </c>
      <c r="M526" s="13" t="s">
        <v>1750</v>
      </c>
      <c r="N526" s="13" t="s">
        <v>41</v>
      </c>
      <c r="O526" s="13" t="s">
        <v>273</v>
      </c>
      <c r="P526" s="13" t="s">
        <v>273</v>
      </c>
      <c r="Q526" s="22">
        <v>1.4</v>
      </c>
      <c r="R526" s="23">
        <v>489653</v>
      </c>
      <c r="S526" s="21"/>
      <c r="T526" s="21"/>
      <c r="U526" s="21"/>
      <c r="V526" s="24"/>
      <c r="W526" s="24"/>
      <c r="X526" s="34" t="s">
        <v>1173</v>
      </c>
      <c r="Y526" s="17" t="s">
        <v>1171</v>
      </c>
      <c r="Z526" s="18">
        <f>ROUND(R526*'Data-CostAssumptions'!$C$3,-3)</f>
        <v>678000</v>
      </c>
      <c r="AA526" s="11">
        <f t="shared" si="17"/>
        <v>0</v>
      </c>
      <c r="AB526" s="11">
        <v>2041</v>
      </c>
      <c r="AC526" s="11">
        <v>2041</v>
      </c>
      <c r="AD526" s="11">
        <v>2041</v>
      </c>
      <c r="AE526" s="11">
        <v>2041</v>
      </c>
      <c r="AF526" s="11">
        <v>0</v>
      </c>
      <c r="AG526" s="19">
        <f>ROUND((Z526*'Data-CostAssumptions'!$G$5)*(1+'Data-CostAssumptions'!$G$3)^(AC526-'Data-CostAssumptions'!$G$4),-3)</f>
        <v>382000</v>
      </c>
      <c r="AH526" s="19">
        <f>ROUND((Z526)*(1+'Data-CostAssumptions'!$G$3)^(AE526-'Data-CostAssumptions'!$G$4),-3)</f>
        <v>1738000</v>
      </c>
    </row>
    <row r="527" spans="1:34" ht="15" customHeight="1" x14ac:dyDescent="0.2">
      <c r="A527" s="11"/>
      <c r="B527" s="11" t="s">
        <v>1211</v>
      </c>
      <c r="C527" s="13">
        <v>315</v>
      </c>
      <c r="D527" s="13" t="s">
        <v>420</v>
      </c>
      <c r="E527" s="20">
        <v>254</v>
      </c>
      <c r="F527" s="20">
        <v>158</v>
      </c>
      <c r="G527" s="20">
        <v>526</v>
      </c>
      <c r="H527" s="13" t="s">
        <v>1967</v>
      </c>
      <c r="I527" s="13" t="str">
        <f t="shared" si="16"/>
        <v>SW 9th St (Federal Hwy to SW 9th Av)</v>
      </c>
      <c r="J527" s="13" t="s">
        <v>27</v>
      </c>
      <c r="K527" s="13" t="str">
        <f>VLOOKUP(J527,'Data-ProjectTypes'!A$3:B$13,2,FALSE)</f>
        <v>Program</v>
      </c>
      <c r="L527" s="21" t="s">
        <v>348</v>
      </c>
      <c r="M527" s="13" t="s">
        <v>2595</v>
      </c>
      <c r="N527" s="13" t="s">
        <v>2137</v>
      </c>
      <c r="O527" s="13" t="s">
        <v>276</v>
      </c>
      <c r="P527" s="13" t="s">
        <v>276</v>
      </c>
      <c r="Q527" s="22">
        <v>1</v>
      </c>
      <c r="R527" s="23">
        <v>359290</v>
      </c>
      <c r="S527" s="21"/>
      <c r="T527" s="21"/>
      <c r="U527" s="21"/>
      <c r="V527" s="24"/>
      <c r="W527" s="24"/>
      <c r="X527" s="24"/>
      <c r="Y527" s="17"/>
      <c r="Z527" s="18">
        <f>ROUND(R527*'Data-CostAssumptions'!$C$3,-3)</f>
        <v>497000</v>
      </c>
      <c r="AA527" s="11">
        <f t="shared" si="17"/>
        <v>0</v>
      </c>
      <c r="AB527" s="11">
        <v>2041</v>
      </c>
      <c r="AC527" s="11">
        <v>2041</v>
      </c>
      <c r="AD527" s="11">
        <v>2041</v>
      </c>
      <c r="AE527" s="11">
        <v>2041</v>
      </c>
      <c r="AF527" s="11">
        <v>0</v>
      </c>
      <c r="AG527" s="19">
        <f>ROUND((Z527*'Data-CostAssumptions'!$G$5)*(1+'Data-CostAssumptions'!$G$3)^(AC527-'Data-CostAssumptions'!$G$4),-3)</f>
        <v>280000</v>
      </c>
      <c r="AH527" s="19">
        <f>ROUND((Z527)*(1+'Data-CostAssumptions'!$G$3)^(AE527-'Data-CostAssumptions'!$G$4),-3)</f>
        <v>1274000</v>
      </c>
    </row>
    <row r="528" spans="1:34" ht="15" customHeight="1" x14ac:dyDescent="0.2">
      <c r="A528" s="11"/>
      <c r="B528" s="11" t="s">
        <v>1211</v>
      </c>
      <c r="C528" s="13">
        <v>316</v>
      </c>
      <c r="D528" s="13" t="s">
        <v>420</v>
      </c>
      <c r="E528" s="20">
        <v>256</v>
      </c>
      <c r="F528" s="20">
        <v>158</v>
      </c>
      <c r="G528" s="20">
        <v>527</v>
      </c>
      <c r="H528" s="13" t="s">
        <v>57</v>
      </c>
      <c r="I528" s="13" t="str">
        <f t="shared" si="16"/>
        <v>SR 7/US 441 (Orange Dr to Ramp north of I-595)</v>
      </c>
      <c r="J528" s="13" t="s">
        <v>27</v>
      </c>
      <c r="K528" s="13" t="str">
        <f>VLOOKUP(J528,'Data-ProjectTypes'!A$3:B$13,2,FALSE)</f>
        <v>Program</v>
      </c>
      <c r="L528" s="21" t="s">
        <v>348</v>
      </c>
      <c r="M528" s="13" t="s">
        <v>184</v>
      </c>
      <c r="N528" s="13" t="s">
        <v>251</v>
      </c>
      <c r="O528" s="13" t="s">
        <v>270</v>
      </c>
      <c r="P528" s="13" t="s">
        <v>270</v>
      </c>
      <c r="Q528" s="22">
        <v>1.7</v>
      </c>
      <c r="R528" s="23">
        <v>626351</v>
      </c>
      <c r="S528" s="21" t="s">
        <v>24</v>
      </c>
      <c r="T528" s="21"/>
      <c r="U528" s="21"/>
      <c r="V528" s="24"/>
      <c r="W528" s="24"/>
      <c r="X528" s="24"/>
      <c r="Y528" s="17" t="s">
        <v>469</v>
      </c>
      <c r="Z528" s="18">
        <f>ROUND(R528*'Data-CostAssumptions'!$C$3,-3)</f>
        <v>867000</v>
      </c>
      <c r="AA528" s="11">
        <f t="shared" si="17"/>
        <v>0</v>
      </c>
      <c r="AB528" s="11">
        <v>2041</v>
      </c>
      <c r="AC528" s="11">
        <v>2041</v>
      </c>
      <c r="AD528" s="11">
        <v>2041</v>
      </c>
      <c r="AE528" s="11">
        <v>2041</v>
      </c>
      <c r="AF528" s="11">
        <v>0</v>
      </c>
      <c r="AG528" s="19">
        <f>ROUND((Z528*'Data-CostAssumptions'!$G$5)*(1+'Data-CostAssumptions'!$G$3)^(AC528-'Data-CostAssumptions'!$G$4),-3)</f>
        <v>489000</v>
      </c>
      <c r="AH528" s="19">
        <f>ROUND((Z528)*(1+'Data-CostAssumptions'!$G$3)^(AE528-'Data-CostAssumptions'!$G$4),-3)</f>
        <v>2223000</v>
      </c>
    </row>
    <row r="529" spans="1:34" ht="15" customHeight="1" x14ac:dyDescent="0.2">
      <c r="A529" s="11"/>
      <c r="B529" s="11" t="s">
        <v>1211</v>
      </c>
      <c r="C529" s="13">
        <v>317</v>
      </c>
      <c r="D529" s="13" t="s">
        <v>420</v>
      </c>
      <c r="E529" s="20">
        <v>258</v>
      </c>
      <c r="F529" s="20">
        <v>158</v>
      </c>
      <c r="G529" s="20">
        <v>528</v>
      </c>
      <c r="H529" s="13" t="s">
        <v>485</v>
      </c>
      <c r="I529" s="13" t="str">
        <f t="shared" si="16"/>
        <v>SW 30th St (College Av to SW 76th Av)</v>
      </c>
      <c r="J529" s="13" t="s">
        <v>27</v>
      </c>
      <c r="K529" s="13" t="str">
        <f>VLOOKUP(J529,'Data-ProjectTypes'!A$3:B$13,2,FALSE)</f>
        <v>Program</v>
      </c>
      <c r="L529" s="21" t="s">
        <v>348</v>
      </c>
      <c r="M529" s="13" t="s">
        <v>2016</v>
      </c>
      <c r="N529" s="13" t="s">
        <v>2271</v>
      </c>
      <c r="O529" s="13" t="s">
        <v>279</v>
      </c>
      <c r="P529" s="13" t="s">
        <v>279</v>
      </c>
      <c r="Q529" s="22">
        <v>0.7</v>
      </c>
      <c r="R529" s="23">
        <v>252109</v>
      </c>
      <c r="S529" s="21" t="s">
        <v>24</v>
      </c>
      <c r="T529" s="21" t="s">
        <v>24</v>
      </c>
      <c r="U529" s="21"/>
      <c r="V529" s="24"/>
      <c r="W529" s="24"/>
      <c r="X529" s="24"/>
      <c r="Y529" s="17" t="s">
        <v>469</v>
      </c>
      <c r="Z529" s="18">
        <f>ROUND(R529*'Data-CostAssumptions'!$C$3,-3)</f>
        <v>349000</v>
      </c>
      <c r="AA529" s="11">
        <f t="shared" si="17"/>
        <v>0</v>
      </c>
      <c r="AB529" s="11">
        <v>2041</v>
      </c>
      <c r="AC529" s="11">
        <v>2041</v>
      </c>
      <c r="AD529" s="11">
        <v>2041</v>
      </c>
      <c r="AE529" s="11">
        <v>2041</v>
      </c>
      <c r="AF529" s="11">
        <v>0</v>
      </c>
      <c r="AG529" s="19">
        <f>ROUND((Z529*'Data-CostAssumptions'!$G$5)*(1+'Data-CostAssumptions'!$G$3)^(AC529-'Data-CostAssumptions'!$G$4),-3)</f>
        <v>197000</v>
      </c>
      <c r="AH529" s="19">
        <f>ROUND((Z529)*(1+'Data-CostAssumptions'!$G$3)^(AE529-'Data-CostAssumptions'!$G$4),-3)</f>
        <v>895000</v>
      </c>
    </row>
    <row r="530" spans="1:34" ht="15" customHeight="1" x14ac:dyDescent="0.2">
      <c r="A530" s="11"/>
      <c r="B530" s="11" t="s">
        <v>1211</v>
      </c>
      <c r="C530" s="13">
        <v>318</v>
      </c>
      <c r="D530" s="13" t="s">
        <v>420</v>
      </c>
      <c r="E530" s="20">
        <v>259</v>
      </c>
      <c r="F530" s="20">
        <v>158</v>
      </c>
      <c r="G530" s="20">
        <v>529</v>
      </c>
      <c r="H530" s="13" t="s">
        <v>266</v>
      </c>
      <c r="I530" s="13" t="str">
        <f t="shared" si="16"/>
        <v>Pine Island Rd (SW 36th St to I-595)</v>
      </c>
      <c r="J530" s="13" t="s">
        <v>27</v>
      </c>
      <c r="K530" s="13" t="str">
        <f>VLOOKUP(J530,'Data-ProjectTypes'!A$3:B$13,2,FALSE)</f>
        <v>Program</v>
      </c>
      <c r="L530" s="21" t="s">
        <v>348</v>
      </c>
      <c r="M530" s="13" t="s">
        <v>2552</v>
      </c>
      <c r="N530" s="13" t="s">
        <v>34</v>
      </c>
      <c r="O530" s="13" t="s">
        <v>273</v>
      </c>
      <c r="P530" s="13" t="s">
        <v>273</v>
      </c>
      <c r="Q530" s="22">
        <v>1.8</v>
      </c>
      <c r="R530" s="23">
        <v>662394</v>
      </c>
      <c r="S530" s="21" t="s">
        <v>24</v>
      </c>
      <c r="T530" s="21" t="s">
        <v>25</v>
      </c>
      <c r="U530" s="21"/>
      <c r="V530" s="24"/>
      <c r="W530" s="24"/>
      <c r="X530" s="24"/>
      <c r="Y530" s="17" t="s">
        <v>469</v>
      </c>
      <c r="Z530" s="18">
        <f>ROUND(R530*'Data-CostAssumptions'!$C$3,-3)</f>
        <v>917000</v>
      </c>
      <c r="AA530" s="11">
        <f t="shared" si="17"/>
        <v>0</v>
      </c>
      <c r="AB530" s="11">
        <v>2041</v>
      </c>
      <c r="AC530" s="11">
        <v>2041</v>
      </c>
      <c r="AD530" s="11">
        <v>2041</v>
      </c>
      <c r="AE530" s="11">
        <v>2041</v>
      </c>
      <c r="AF530" s="11">
        <v>0</v>
      </c>
      <c r="AG530" s="19">
        <f>ROUND((Z530*'Data-CostAssumptions'!$G$5)*(1+'Data-CostAssumptions'!$G$3)^(AC530-'Data-CostAssumptions'!$G$4),-3)</f>
        <v>517000</v>
      </c>
      <c r="AH530" s="19">
        <f>ROUND((Z530)*(1+'Data-CostAssumptions'!$G$3)^(AE530-'Data-CostAssumptions'!$G$4),-3)</f>
        <v>2351000</v>
      </c>
    </row>
    <row r="531" spans="1:34" ht="15" customHeight="1" x14ac:dyDescent="0.2">
      <c r="A531" s="11"/>
      <c r="B531" s="11" t="s">
        <v>1211</v>
      </c>
      <c r="C531" s="13">
        <v>319</v>
      </c>
      <c r="D531" s="13" t="s">
        <v>420</v>
      </c>
      <c r="E531" s="20">
        <v>264</v>
      </c>
      <c r="F531" s="20">
        <v>158</v>
      </c>
      <c r="G531" s="20">
        <v>530</v>
      </c>
      <c r="H531" s="13" t="s">
        <v>2709</v>
      </c>
      <c r="I531" s="13" t="str">
        <f t="shared" si="16"/>
        <v>SR 817/University Dr (State Rd 84 to SW 13th Place)</v>
      </c>
      <c r="J531" s="13" t="s">
        <v>27</v>
      </c>
      <c r="K531" s="13" t="str">
        <f>VLOOKUP(J531,'Data-ProjectTypes'!A$3:B$13,2,FALSE)</f>
        <v>Program</v>
      </c>
      <c r="L531" s="21" t="s">
        <v>348</v>
      </c>
      <c r="M531" s="13" t="s">
        <v>1774</v>
      </c>
      <c r="N531" s="13" t="s">
        <v>62</v>
      </c>
      <c r="O531" s="13" t="s">
        <v>270</v>
      </c>
      <c r="P531" s="13" t="s">
        <v>270</v>
      </c>
      <c r="Q531" s="22">
        <v>0.3</v>
      </c>
      <c r="R531" s="23">
        <v>98635</v>
      </c>
      <c r="S531" s="21"/>
      <c r="T531" s="21"/>
      <c r="U531" s="21"/>
      <c r="V531" s="24"/>
      <c r="W531" s="24"/>
      <c r="X531" s="24"/>
      <c r="Y531" s="17"/>
      <c r="Z531" s="18">
        <f>ROUND(R531*'Data-CostAssumptions'!$C$3,-3)</f>
        <v>137000</v>
      </c>
      <c r="AA531" s="11">
        <f t="shared" si="17"/>
        <v>0</v>
      </c>
      <c r="AB531" s="11">
        <v>2041</v>
      </c>
      <c r="AC531" s="11">
        <v>2041</v>
      </c>
      <c r="AD531" s="11">
        <v>2041</v>
      </c>
      <c r="AE531" s="11">
        <v>2041</v>
      </c>
      <c r="AF531" s="11">
        <v>0</v>
      </c>
      <c r="AG531" s="19">
        <f>ROUND((Z531*'Data-CostAssumptions'!$G$5)*(1+'Data-CostAssumptions'!$G$3)^(AC531-'Data-CostAssumptions'!$G$4),-3)</f>
        <v>77000</v>
      </c>
      <c r="AH531" s="19">
        <f>ROUND((Z531)*(1+'Data-CostAssumptions'!$G$3)^(AE531-'Data-CostAssumptions'!$G$4),-3)</f>
        <v>351000</v>
      </c>
    </row>
    <row r="532" spans="1:34" ht="15" customHeight="1" x14ac:dyDescent="0.2">
      <c r="A532" s="11"/>
      <c r="B532" s="11" t="s">
        <v>1211</v>
      </c>
      <c r="C532" s="13">
        <v>320</v>
      </c>
      <c r="D532" s="13" t="s">
        <v>420</v>
      </c>
      <c r="E532" s="20">
        <v>269</v>
      </c>
      <c r="F532" s="20">
        <v>158</v>
      </c>
      <c r="G532" s="20">
        <v>531</v>
      </c>
      <c r="H532" s="13" t="s">
        <v>1963</v>
      </c>
      <c r="I532" s="13" t="str">
        <f t="shared" si="16"/>
        <v>SW 45th St (Just east of 66th Av to Pine Island Rd)</v>
      </c>
      <c r="J532" s="13" t="s">
        <v>27</v>
      </c>
      <c r="K532" s="13" t="str">
        <f>VLOOKUP(J532,'Data-ProjectTypes'!A$3:B$13,2,FALSE)</f>
        <v>Program</v>
      </c>
      <c r="L532" s="21" t="s">
        <v>348</v>
      </c>
      <c r="M532" s="13" t="s">
        <v>2394</v>
      </c>
      <c r="N532" s="13" t="s">
        <v>266</v>
      </c>
      <c r="O532" s="13" t="s">
        <v>279</v>
      </c>
      <c r="P532" s="13" t="s">
        <v>279</v>
      </c>
      <c r="Q532" s="22">
        <v>1.5</v>
      </c>
      <c r="R532" s="23">
        <v>530390</v>
      </c>
      <c r="S532" s="21" t="s">
        <v>24</v>
      </c>
      <c r="T532" s="21" t="s">
        <v>25</v>
      </c>
      <c r="U532" s="21"/>
      <c r="V532" s="24"/>
      <c r="W532" s="24"/>
      <c r="X532" s="24"/>
      <c r="Y532" s="17" t="s">
        <v>469</v>
      </c>
      <c r="Z532" s="18">
        <f>ROUND(R532*'Data-CostAssumptions'!$C$3,-3)</f>
        <v>734000</v>
      </c>
      <c r="AA532" s="11">
        <f t="shared" si="17"/>
        <v>0</v>
      </c>
      <c r="AB532" s="11">
        <v>2041</v>
      </c>
      <c r="AC532" s="11">
        <v>2041</v>
      </c>
      <c r="AD532" s="11">
        <v>2041</v>
      </c>
      <c r="AE532" s="11">
        <v>2041</v>
      </c>
      <c r="AF532" s="11">
        <v>0</v>
      </c>
      <c r="AG532" s="19">
        <f>ROUND((Z532*'Data-CostAssumptions'!$G$5)*(1+'Data-CostAssumptions'!$G$3)^(AC532-'Data-CostAssumptions'!$G$4),-3)</f>
        <v>414000</v>
      </c>
      <c r="AH532" s="19">
        <f>ROUND((Z532)*(1+'Data-CostAssumptions'!$G$3)^(AE532-'Data-CostAssumptions'!$G$4),-3)</f>
        <v>1882000</v>
      </c>
    </row>
    <row r="533" spans="1:34" ht="15" customHeight="1" x14ac:dyDescent="0.2">
      <c r="A533" s="11"/>
      <c r="B533" s="11" t="s">
        <v>1211</v>
      </c>
      <c r="C533" s="13">
        <v>321</v>
      </c>
      <c r="D533" s="13" t="s">
        <v>420</v>
      </c>
      <c r="E533" s="20">
        <v>286</v>
      </c>
      <c r="F533" s="20">
        <v>158</v>
      </c>
      <c r="G533" s="20">
        <v>532</v>
      </c>
      <c r="H533" s="13" t="s">
        <v>2694</v>
      </c>
      <c r="I533" s="13" t="str">
        <f t="shared" si="16"/>
        <v>South Dixie Hwy (Mayo St to Washington St)</v>
      </c>
      <c r="J533" s="13" t="s">
        <v>27</v>
      </c>
      <c r="K533" s="13" t="str">
        <f>VLOOKUP(J533,'Data-ProjectTypes'!A$3:B$13,2,FALSE)</f>
        <v>Program</v>
      </c>
      <c r="L533" s="21" t="s">
        <v>348</v>
      </c>
      <c r="M533" s="13" t="s">
        <v>2561</v>
      </c>
      <c r="N533" s="13" t="s">
        <v>1971</v>
      </c>
      <c r="O533" s="13" t="s">
        <v>273</v>
      </c>
      <c r="P533" s="13" t="s">
        <v>273</v>
      </c>
      <c r="Q533" s="22">
        <v>0.4</v>
      </c>
      <c r="R533" s="23">
        <v>137442</v>
      </c>
      <c r="S533" s="21" t="s">
        <v>24</v>
      </c>
      <c r="T533" s="21"/>
      <c r="U533" s="21"/>
      <c r="V533" s="24"/>
      <c r="W533" s="24"/>
      <c r="X533" s="24"/>
      <c r="Y533" s="17" t="s">
        <v>538</v>
      </c>
      <c r="Z533" s="18">
        <f>ROUND(R533*'Data-CostAssumptions'!$C$3,-3)</f>
        <v>190000</v>
      </c>
      <c r="AA533" s="11">
        <f t="shared" si="17"/>
        <v>0</v>
      </c>
      <c r="AB533" s="11">
        <v>2041</v>
      </c>
      <c r="AC533" s="11">
        <v>2041</v>
      </c>
      <c r="AD533" s="11">
        <v>2041</v>
      </c>
      <c r="AE533" s="11">
        <v>2041</v>
      </c>
      <c r="AF533" s="11">
        <v>0</v>
      </c>
      <c r="AG533" s="19">
        <f>ROUND((Z533*'Data-CostAssumptions'!$G$5)*(1+'Data-CostAssumptions'!$G$3)^(AC533-'Data-CostAssumptions'!$G$4),-3)</f>
        <v>107000</v>
      </c>
      <c r="AH533" s="19">
        <f>ROUND((Z533)*(1+'Data-CostAssumptions'!$G$3)^(AE533-'Data-CostAssumptions'!$G$4),-3)</f>
        <v>487000</v>
      </c>
    </row>
    <row r="534" spans="1:34" ht="15" customHeight="1" x14ac:dyDescent="0.2">
      <c r="A534" s="11"/>
      <c r="B534" s="11" t="s">
        <v>1211</v>
      </c>
      <c r="C534" s="13">
        <v>322</v>
      </c>
      <c r="D534" s="13" t="s">
        <v>420</v>
      </c>
      <c r="E534" s="20">
        <v>289</v>
      </c>
      <c r="F534" s="20">
        <v>158</v>
      </c>
      <c r="G534" s="20">
        <v>533</v>
      </c>
      <c r="H534" s="13" t="s">
        <v>1764</v>
      </c>
      <c r="I534" s="13" t="str">
        <f t="shared" si="16"/>
        <v>Phippen Rd (Just south of SW 10th St to Dixie Hwy)</v>
      </c>
      <c r="J534" s="13" t="s">
        <v>27</v>
      </c>
      <c r="K534" s="13" t="str">
        <f>VLOOKUP(J534,'Data-ProjectTypes'!A$3:B$13,2,FALSE)</f>
        <v>Program</v>
      </c>
      <c r="L534" s="21" t="s">
        <v>348</v>
      </c>
      <c r="M534" s="13" t="s">
        <v>2551</v>
      </c>
      <c r="N534" s="13" t="s">
        <v>728</v>
      </c>
      <c r="O534" s="13" t="s">
        <v>286</v>
      </c>
      <c r="P534" s="13" t="s">
        <v>286</v>
      </c>
      <c r="Q534" s="22">
        <v>0.2</v>
      </c>
      <c r="R534" s="23">
        <v>53872</v>
      </c>
      <c r="S534" s="21"/>
      <c r="T534" s="21"/>
      <c r="U534" s="21"/>
      <c r="V534" s="24"/>
      <c r="W534" s="24"/>
      <c r="X534" s="24"/>
      <c r="Y534" s="17"/>
      <c r="Z534" s="18">
        <f>ROUND(R534*'Data-CostAssumptions'!$C$3,-3)</f>
        <v>75000</v>
      </c>
      <c r="AA534" s="11">
        <f t="shared" si="17"/>
        <v>0</v>
      </c>
      <c r="AB534" s="11">
        <v>2041</v>
      </c>
      <c r="AC534" s="11">
        <v>2041</v>
      </c>
      <c r="AD534" s="11">
        <v>2041</v>
      </c>
      <c r="AE534" s="11">
        <v>2041</v>
      </c>
      <c r="AF534" s="11">
        <v>0</v>
      </c>
      <c r="AG534" s="19">
        <f>ROUND((Z534*'Data-CostAssumptions'!$G$5)*(1+'Data-CostAssumptions'!$G$3)^(AC534-'Data-CostAssumptions'!$G$4),-3)</f>
        <v>42000</v>
      </c>
      <c r="AH534" s="19">
        <f>ROUND((Z534)*(1+'Data-CostAssumptions'!$G$3)^(AE534-'Data-CostAssumptions'!$G$4),-3)</f>
        <v>192000</v>
      </c>
    </row>
    <row r="535" spans="1:34" ht="15" customHeight="1" x14ac:dyDescent="0.2">
      <c r="A535" s="11"/>
      <c r="B535" s="11" t="s">
        <v>1211</v>
      </c>
      <c r="C535" s="13">
        <v>323</v>
      </c>
      <c r="D535" s="13" t="s">
        <v>420</v>
      </c>
      <c r="E535" s="20">
        <v>290</v>
      </c>
      <c r="F535" s="20">
        <v>158</v>
      </c>
      <c r="G535" s="20">
        <v>534</v>
      </c>
      <c r="H535" s="13" t="s">
        <v>1968</v>
      </c>
      <c r="I535" s="13" t="str">
        <f t="shared" si="16"/>
        <v>Taft St (Just east of North 14th Av to North 20th St)</v>
      </c>
      <c r="J535" s="13" t="s">
        <v>27</v>
      </c>
      <c r="K535" s="13" t="str">
        <f>VLOOKUP(J535,'Data-ProjectTypes'!A$3:B$13,2,FALSE)</f>
        <v>Program</v>
      </c>
      <c r="L535" s="21" t="s">
        <v>543</v>
      </c>
      <c r="M535" s="13" t="s">
        <v>2396</v>
      </c>
      <c r="N535" s="13" t="s">
        <v>2587</v>
      </c>
      <c r="O535" s="13" t="s">
        <v>282</v>
      </c>
      <c r="P535" s="13" t="s">
        <v>282</v>
      </c>
      <c r="Q535" s="22">
        <v>0.4</v>
      </c>
      <c r="R535" s="23">
        <v>132727</v>
      </c>
      <c r="S535" s="21" t="s">
        <v>24</v>
      </c>
      <c r="T535" s="21" t="s">
        <v>25</v>
      </c>
      <c r="U535" s="21" t="s">
        <v>24</v>
      </c>
      <c r="V535" s="24"/>
      <c r="W535" s="24"/>
      <c r="X535" s="24"/>
      <c r="Y535" s="17" t="s">
        <v>538</v>
      </c>
      <c r="Z535" s="18">
        <f>ROUND(R535*'Data-CostAssumptions'!$C$3,-3)</f>
        <v>184000</v>
      </c>
      <c r="AA535" s="11">
        <f t="shared" si="17"/>
        <v>0</v>
      </c>
      <c r="AB535" s="11">
        <v>2041</v>
      </c>
      <c r="AC535" s="11">
        <v>2041</v>
      </c>
      <c r="AD535" s="11">
        <v>2041</v>
      </c>
      <c r="AE535" s="11">
        <v>2041</v>
      </c>
      <c r="AF535" s="11">
        <v>0</v>
      </c>
      <c r="AG535" s="19">
        <f>ROUND((Z535*'Data-CostAssumptions'!$G$5)*(1+'Data-CostAssumptions'!$G$3)^(AC535-'Data-CostAssumptions'!$G$4),-3)</f>
        <v>104000</v>
      </c>
      <c r="AH535" s="19">
        <f>ROUND((Z535)*(1+'Data-CostAssumptions'!$G$3)^(AE535-'Data-CostAssumptions'!$G$4),-3)</f>
        <v>472000</v>
      </c>
    </row>
    <row r="536" spans="1:34" ht="15" customHeight="1" x14ac:dyDescent="0.2">
      <c r="A536" s="11"/>
      <c r="B536" s="11" t="s">
        <v>1211</v>
      </c>
      <c r="C536" s="13">
        <v>324</v>
      </c>
      <c r="D536" s="13" t="s">
        <v>420</v>
      </c>
      <c r="E536" s="20">
        <v>306</v>
      </c>
      <c r="F536" s="20">
        <v>158</v>
      </c>
      <c r="G536" s="20">
        <v>535</v>
      </c>
      <c r="H536" s="13" t="s">
        <v>210</v>
      </c>
      <c r="I536" s="13" t="str">
        <f t="shared" si="16"/>
        <v>SE 16th Court (SE 10th Av to Miami Rd)</v>
      </c>
      <c r="J536" s="13" t="s">
        <v>27</v>
      </c>
      <c r="K536" s="13" t="str">
        <f>VLOOKUP(J536,'Data-ProjectTypes'!A$3:B$13,2,FALSE)</f>
        <v>Program</v>
      </c>
      <c r="L536" s="21" t="s">
        <v>348</v>
      </c>
      <c r="M536" s="13" t="s">
        <v>2087</v>
      </c>
      <c r="N536" s="13" t="s">
        <v>2451</v>
      </c>
      <c r="O536" s="13" t="s">
        <v>276</v>
      </c>
      <c r="P536" s="13" t="s">
        <v>276</v>
      </c>
      <c r="Q536" s="22">
        <v>0.1</v>
      </c>
      <c r="R536" s="23">
        <v>32097</v>
      </c>
      <c r="S536" s="21"/>
      <c r="T536" s="21"/>
      <c r="U536" s="21"/>
      <c r="V536" s="24"/>
      <c r="W536" s="24"/>
      <c r="X536" s="24"/>
      <c r="Y536" s="17"/>
      <c r="Z536" s="18">
        <f>ROUND(R536*'Data-CostAssumptions'!$C$3,-3)</f>
        <v>44000</v>
      </c>
      <c r="AA536" s="11">
        <f t="shared" si="17"/>
        <v>0</v>
      </c>
      <c r="AB536" s="11">
        <v>2041</v>
      </c>
      <c r="AC536" s="11">
        <v>2041</v>
      </c>
      <c r="AD536" s="11">
        <v>2041</v>
      </c>
      <c r="AE536" s="11">
        <v>2041</v>
      </c>
      <c r="AF536" s="11">
        <v>0</v>
      </c>
      <c r="AG536" s="19">
        <f>ROUND((Z536*'Data-CostAssumptions'!$G$5)*(1+'Data-CostAssumptions'!$G$3)^(AC536-'Data-CostAssumptions'!$G$4),-3)</f>
        <v>25000</v>
      </c>
      <c r="AH536" s="19">
        <f>ROUND((Z536)*(1+'Data-CostAssumptions'!$G$3)^(AE536-'Data-CostAssumptions'!$G$4),-3)</f>
        <v>113000</v>
      </c>
    </row>
    <row r="537" spans="1:34" ht="15" customHeight="1" x14ac:dyDescent="0.2">
      <c r="A537" s="11"/>
      <c r="B537" s="11" t="s">
        <v>1211</v>
      </c>
      <c r="C537" s="13">
        <v>325</v>
      </c>
      <c r="D537" s="13" t="s">
        <v>420</v>
      </c>
      <c r="E537" s="20">
        <v>309</v>
      </c>
      <c r="F537" s="20">
        <v>158</v>
      </c>
      <c r="G537" s="20">
        <v>536</v>
      </c>
      <c r="H537" s="13" t="s">
        <v>1902</v>
      </c>
      <c r="I537" s="13" t="str">
        <f t="shared" si="16"/>
        <v>NE 6th St (US 1/Federal Hwy to Andrews Av)</v>
      </c>
      <c r="J537" s="13" t="s">
        <v>27</v>
      </c>
      <c r="K537" s="13" t="str">
        <f>VLOOKUP(J537,'Data-ProjectTypes'!A$3:B$13,2,FALSE)</f>
        <v>Program</v>
      </c>
      <c r="L537" s="21" t="s">
        <v>348</v>
      </c>
      <c r="M537" s="13" t="s">
        <v>2594</v>
      </c>
      <c r="N537" s="13" t="s">
        <v>2014</v>
      </c>
      <c r="O537" s="13" t="s">
        <v>276</v>
      </c>
      <c r="P537" s="13" t="s">
        <v>276</v>
      </c>
      <c r="Q537" s="22">
        <v>0.4</v>
      </c>
      <c r="R537" s="23">
        <v>140187</v>
      </c>
      <c r="S537" s="21"/>
      <c r="T537" s="21"/>
      <c r="U537" s="21"/>
      <c r="V537" s="24"/>
      <c r="W537" s="24"/>
      <c r="X537" s="24"/>
      <c r="Y537" s="17"/>
      <c r="Z537" s="18">
        <f>ROUND(R537*'Data-CostAssumptions'!$C$3,-3)</f>
        <v>194000</v>
      </c>
      <c r="AA537" s="11">
        <f t="shared" si="17"/>
        <v>0</v>
      </c>
      <c r="AB537" s="11">
        <v>2041</v>
      </c>
      <c r="AC537" s="11">
        <v>2041</v>
      </c>
      <c r="AD537" s="11">
        <v>2041</v>
      </c>
      <c r="AE537" s="11">
        <v>2041</v>
      </c>
      <c r="AF537" s="11">
        <v>0</v>
      </c>
      <c r="AG537" s="19">
        <f>ROUND((Z537*'Data-CostAssumptions'!$G$5)*(1+'Data-CostAssumptions'!$G$3)^(AC537-'Data-CostAssumptions'!$G$4),-3)</f>
        <v>109000</v>
      </c>
      <c r="AH537" s="19">
        <f>ROUND((Z537)*(1+'Data-CostAssumptions'!$G$3)^(AE537-'Data-CostAssumptions'!$G$4),-3)</f>
        <v>497000</v>
      </c>
    </row>
    <row r="538" spans="1:34" ht="15" customHeight="1" x14ac:dyDescent="0.2">
      <c r="A538" s="11"/>
      <c r="B538" s="11" t="s">
        <v>1211</v>
      </c>
      <c r="C538" s="13">
        <v>326</v>
      </c>
      <c r="D538" s="13" t="s">
        <v>420</v>
      </c>
      <c r="E538" s="20">
        <v>312</v>
      </c>
      <c r="F538" s="20">
        <v>159</v>
      </c>
      <c r="G538" s="20">
        <v>537</v>
      </c>
      <c r="H538" s="13" t="s">
        <v>2036</v>
      </c>
      <c r="I538" s="13" t="str">
        <f t="shared" si="16"/>
        <v>NE 6th Av (Oakland Park Bl to NE 33rd St)</v>
      </c>
      <c r="J538" s="13" t="s">
        <v>27</v>
      </c>
      <c r="K538" s="13" t="str">
        <f>VLOOKUP(J538,'Data-ProjectTypes'!A$3:B$13,2,FALSE)</f>
        <v>Program</v>
      </c>
      <c r="L538" s="26" t="s">
        <v>842</v>
      </c>
      <c r="M538" s="13" t="s">
        <v>1825</v>
      </c>
      <c r="N538" s="13" t="s">
        <v>1889</v>
      </c>
      <c r="O538" s="13" t="s">
        <v>273</v>
      </c>
      <c r="P538" s="13" t="s">
        <v>273</v>
      </c>
      <c r="Q538" s="22">
        <v>0.1</v>
      </c>
      <c r="R538" s="23">
        <v>46390</v>
      </c>
      <c r="S538" s="21"/>
      <c r="T538" s="21"/>
      <c r="U538" s="21" t="s">
        <v>24</v>
      </c>
      <c r="V538" s="24"/>
      <c r="W538" s="24" t="s">
        <v>845</v>
      </c>
      <c r="X538" s="24"/>
      <c r="Y538" s="17" t="s">
        <v>844</v>
      </c>
      <c r="Z538" s="18">
        <f>ROUND(R538*'Data-CostAssumptions'!$C$3,-3)</f>
        <v>64000</v>
      </c>
      <c r="AA538" s="11">
        <f t="shared" si="17"/>
        <v>1</v>
      </c>
      <c r="AB538" s="11">
        <v>2041</v>
      </c>
      <c r="AC538" s="11">
        <v>2041</v>
      </c>
      <c r="AD538" s="11">
        <v>2041</v>
      </c>
      <c r="AE538" s="11">
        <v>2041</v>
      </c>
      <c r="AF538" s="11">
        <v>0</v>
      </c>
      <c r="AG538" s="19">
        <f>ROUND((Z538*'Data-CostAssumptions'!$G$5)*(1+'Data-CostAssumptions'!$G$3)^(AC538-'Data-CostAssumptions'!$G$4),-3)</f>
        <v>36000</v>
      </c>
      <c r="AH538" s="19">
        <f>ROUND((Z538)*(1+'Data-CostAssumptions'!$G$3)^(AE538-'Data-CostAssumptions'!$G$4),-3)</f>
        <v>164000</v>
      </c>
    </row>
    <row r="539" spans="1:34" ht="15" customHeight="1" x14ac:dyDescent="0.2">
      <c r="A539" s="11"/>
      <c r="B539" s="11" t="s">
        <v>1211</v>
      </c>
      <c r="C539" s="13">
        <v>327</v>
      </c>
      <c r="D539" s="13" t="s">
        <v>420</v>
      </c>
      <c r="E539" s="20">
        <v>321</v>
      </c>
      <c r="F539" s="20">
        <v>159</v>
      </c>
      <c r="G539" s="20">
        <v>538</v>
      </c>
      <c r="H539" s="13" t="s">
        <v>2803</v>
      </c>
      <c r="I539" s="13" t="str">
        <f t="shared" si="16"/>
        <v>SR 870/Commercial Bl (NE 17th Av to Just west of NE 15th Terrace)</v>
      </c>
      <c r="J539" s="13" t="s">
        <v>27</v>
      </c>
      <c r="K539" s="13" t="str">
        <f>VLOOKUP(J539,'Data-ProjectTypes'!A$3:B$13,2,FALSE)</f>
        <v>Program</v>
      </c>
      <c r="L539" s="21" t="s">
        <v>348</v>
      </c>
      <c r="M539" s="13" t="s">
        <v>2345</v>
      </c>
      <c r="N539" s="13" t="s">
        <v>145</v>
      </c>
      <c r="O539" s="13" t="s">
        <v>270</v>
      </c>
      <c r="P539" s="13" t="s">
        <v>270</v>
      </c>
      <c r="Q539" s="22">
        <v>0.2</v>
      </c>
      <c r="R539" s="23">
        <v>61206</v>
      </c>
      <c r="S539" s="21"/>
      <c r="T539" s="21"/>
      <c r="U539" s="21"/>
      <c r="V539" s="24"/>
      <c r="W539" s="24" t="s">
        <v>696</v>
      </c>
      <c r="X539" s="24"/>
      <c r="Y539" s="17" t="s">
        <v>287</v>
      </c>
      <c r="Z539" s="18">
        <f>ROUND(R539*'Data-CostAssumptions'!$C$3,-3)</f>
        <v>85000</v>
      </c>
      <c r="AA539" s="11">
        <f t="shared" si="17"/>
        <v>1</v>
      </c>
      <c r="AB539" s="11">
        <v>2041</v>
      </c>
      <c r="AC539" s="11">
        <v>2041</v>
      </c>
      <c r="AD539" s="11">
        <v>2041</v>
      </c>
      <c r="AE539" s="11">
        <v>2041</v>
      </c>
      <c r="AF539" s="11">
        <v>0</v>
      </c>
      <c r="AG539" s="19">
        <f>ROUND((Z539*'Data-CostAssumptions'!$G$5)*(1+'Data-CostAssumptions'!$G$3)^(AC539-'Data-CostAssumptions'!$G$4),-3)</f>
        <v>48000</v>
      </c>
      <c r="AH539" s="19">
        <f>ROUND((Z539)*(1+'Data-CostAssumptions'!$G$3)^(AE539-'Data-CostAssumptions'!$G$4),-3)</f>
        <v>218000</v>
      </c>
    </row>
    <row r="540" spans="1:34" ht="15" customHeight="1" x14ac:dyDescent="0.2">
      <c r="A540" s="11"/>
      <c r="B540" s="11" t="s">
        <v>1211</v>
      </c>
      <c r="C540" s="13">
        <v>328</v>
      </c>
      <c r="D540" s="13" t="s">
        <v>420</v>
      </c>
      <c r="E540" s="20">
        <v>324</v>
      </c>
      <c r="F540" s="20">
        <v>159</v>
      </c>
      <c r="G540" s="20">
        <v>539</v>
      </c>
      <c r="H540" s="13" t="s">
        <v>1983</v>
      </c>
      <c r="I540" s="13" t="str">
        <f t="shared" si="16"/>
        <v>NW 9th Av (Just south of Cypress Creek Rd to McNab Rd)</v>
      </c>
      <c r="J540" s="13" t="s">
        <v>27</v>
      </c>
      <c r="K540" s="13" t="str">
        <f>VLOOKUP(J540,'Data-ProjectTypes'!A$3:B$13,2,FALSE)</f>
        <v>Program</v>
      </c>
      <c r="L540" s="21" t="s">
        <v>348</v>
      </c>
      <c r="M540" s="13" t="s">
        <v>2438</v>
      </c>
      <c r="N540" s="13" t="s">
        <v>1854</v>
      </c>
      <c r="O540" s="13" t="s">
        <v>270</v>
      </c>
      <c r="P540" s="13" t="s">
        <v>270</v>
      </c>
      <c r="Q540" s="22">
        <v>0.5</v>
      </c>
      <c r="R540" s="23">
        <v>172862</v>
      </c>
      <c r="S540" s="21"/>
      <c r="T540" s="21"/>
      <c r="U540" s="21"/>
      <c r="V540" s="24"/>
      <c r="W540" s="24"/>
      <c r="X540" s="24"/>
      <c r="Y540" s="17"/>
      <c r="Z540" s="18">
        <f>ROUND(R540*'Data-CostAssumptions'!$C$3,-3)</f>
        <v>239000</v>
      </c>
      <c r="AA540" s="11">
        <f t="shared" si="17"/>
        <v>0</v>
      </c>
      <c r="AB540" s="11">
        <v>2041</v>
      </c>
      <c r="AC540" s="11">
        <v>2041</v>
      </c>
      <c r="AD540" s="11">
        <v>2041</v>
      </c>
      <c r="AE540" s="11">
        <v>2041</v>
      </c>
      <c r="AF540" s="11">
        <v>0</v>
      </c>
      <c r="AG540" s="19">
        <f>ROUND((Z540*'Data-CostAssumptions'!$G$5)*(1+'Data-CostAssumptions'!$G$3)^(AC540-'Data-CostAssumptions'!$G$4),-3)</f>
        <v>135000</v>
      </c>
      <c r="AH540" s="19">
        <f>ROUND((Z540)*(1+'Data-CostAssumptions'!$G$3)^(AE540-'Data-CostAssumptions'!$G$4),-3)</f>
        <v>613000</v>
      </c>
    </row>
    <row r="541" spans="1:34" ht="15" customHeight="1" x14ac:dyDescent="0.2">
      <c r="A541" s="11"/>
      <c r="B541" s="11" t="s">
        <v>1211</v>
      </c>
      <c r="C541" s="13">
        <v>329</v>
      </c>
      <c r="D541" s="13" t="s">
        <v>420</v>
      </c>
      <c r="E541" s="20">
        <v>342</v>
      </c>
      <c r="F541" s="20">
        <v>159</v>
      </c>
      <c r="G541" s="20">
        <v>540</v>
      </c>
      <c r="H541" s="13" t="s">
        <v>728</v>
      </c>
      <c r="I541" s="13" t="str">
        <f t="shared" si="16"/>
        <v>Dixie Hwy (Hollywood Bl to Tyler St)</v>
      </c>
      <c r="J541" s="13" t="s">
        <v>27</v>
      </c>
      <c r="K541" s="13" t="str">
        <f>VLOOKUP(J541,'Data-ProjectTypes'!A$3:B$13,2,FALSE)</f>
        <v>Program</v>
      </c>
      <c r="L541" s="21" t="s">
        <v>348</v>
      </c>
      <c r="M541" s="13" t="s">
        <v>1820</v>
      </c>
      <c r="N541" s="13" t="s">
        <v>1969</v>
      </c>
      <c r="O541" s="13" t="s">
        <v>273</v>
      </c>
      <c r="P541" s="13" t="s">
        <v>273</v>
      </c>
      <c r="Q541" s="22">
        <v>0.1</v>
      </c>
      <c r="R541" s="23">
        <v>22969</v>
      </c>
      <c r="S541" s="21"/>
      <c r="T541" s="21"/>
      <c r="U541" s="21"/>
      <c r="V541" s="24"/>
      <c r="W541" s="24" t="s">
        <v>548</v>
      </c>
      <c r="X541" s="24"/>
      <c r="Y541" s="17" t="s">
        <v>538</v>
      </c>
      <c r="Z541" s="18">
        <f>ROUND(R541*'Data-CostAssumptions'!$C$3,-3)</f>
        <v>32000</v>
      </c>
      <c r="AA541" s="11">
        <f t="shared" si="17"/>
        <v>1</v>
      </c>
      <c r="AB541" s="11">
        <v>2041</v>
      </c>
      <c r="AC541" s="11">
        <v>2041</v>
      </c>
      <c r="AD541" s="11">
        <v>2041</v>
      </c>
      <c r="AE541" s="11">
        <v>2041</v>
      </c>
      <c r="AF541" s="11">
        <v>0</v>
      </c>
      <c r="AG541" s="19">
        <f>ROUND((Z541*'Data-CostAssumptions'!$G$5)*(1+'Data-CostAssumptions'!$G$3)^(AC541-'Data-CostAssumptions'!$G$4),-3)</f>
        <v>18000</v>
      </c>
      <c r="AH541" s="19">
        <f>ROUND((Z541)*(1+'Data-CostAssumptions'!$G$3)^(AE541-'Data-CostAssumptions'!$G$4),-3)</f>
        <v>82000</v>
      </c>
    </row>
    <row r="542" spans="1:34" ht="15" customHeight="1" x14ac:dyDescent="0.2">
      <c r="A542" s="11"/>
      <c r="B542" s="11" t="s">
        <v>1211</v>
      </c>
      <c r="C542" s="13">
        <v>330</v>
      </c>
      <c r="D542" s="13" t="s">
        <v>420</v>
      </c>
      <c r="E542" s="20">
        <v>352</v>
      </c>
      <c r="F542" s="20">
        <v>159</v>
      </c>
      <c r="G542" s="20">
        <v>541</v>
      </c>
      <c r="H542" s="13" t="s">
        <v>2065</v>
      </c>
      <c r="I542" s="13" t="str">
        <f t="shared" si="16"/>
        <v>NW 34th Av (NW 4th St to NW 6th Court)</v>
      </c>
      <c r="J542" s="13" t="s">
        <v>27</v>
      </c>
      <c r="K542" s="13" t="str">
        <f>VLOOKUP(J542,'Data-ProjectTypes'!A$3:B$13,2,FALSE)</f>
        <v>Program</v>
      </c>
      <c r="L542" s="21" t="s">
        <v>348</v>
      </c>
      <c r="M542" s="13" t="s">
        <v>2536</v>
      </c>
      <c r="N542" s="13" t="s">
        <v>172</v>
      </c>
      <c r="O542" s="13" t="s">
        <v>281</v>
      </c>
      <c r="P542" s="13" t="s">
        <v>281</v>
      </c>
      <c r="Q542" s="22">
        <v>0.3</v>
      </c>
      <c r="R542" s="23">
        <v>119856</v>
      </c>
      <c r="S542" s="21"/>
      <c r="T542" s="21"/>
      <c r="U542" s="21"/>
      <c r="V542" s="24"/>
      <c r="W542" s="24"/>
      <c r="X542" s="24"/>
      <c r="Y542" s="17"/>
      <c r="Z542" s="18">
        <f>ROUND(R542*'Data-CostAssumptions'!$C$3,-3)</f>
        <v>166000</v>
      </c>
      <c r="AA542" s="11">
        <f t="shared" si="17"/>
        <v>0</v>
      </c>
      <c r="AB542" s="11">
        <v>2041</v>
      </c>
      <c r="AC542" s="11">
        <v>2041</v>
      </c>
      <c r="AD542" s="11">
        <v>2041</v>
      </c>
      <c r="AE542" s="11">
        <v>2041</v>
      </c>
      <c r="AF542" s="11">
        <v>0</v>
      </c>
      <c r="AG542" s="19">
        <f>ROUND((Z542*'Data-CostAssumptions'!$G$5)*(1+'Data-CostAssumptions'!$G$3)^(AC542-'Data-CostAssumptions'!$G$4),-3)</f>
        <v>94000</v>
      </c>
      <c r="AH542" s="19">
        <f>ROUND((Z542)*(1+'Data-CostAssumptions'!$G$3)^(AE542-'Data-CostAssumptions'!$G$4),-3)</f>
        <v>426000</v>
      </c>
    </row>
    <row r="543" spans="1:34" ht="15" customHeight="1" x14ac:dyDescent="0.2">
      <c r="A543" s="11"/>
      <c r="B543" s="11" t="s">
        <v>1211</v>
      </c>
      <c r="C543" s="13">
        <v>331</v>
      </c>
      <c r="D543" s="13" t="s">
        <v>420</v>
      </c>
      <c r="E543" s="20">
        <v>354</v>
      </c>
      <c r="F543" s="20">
        <v>159</v>
      </c>
      <c r="G543" s="20">
        <v>542</v>
      </c>
      <c r="H543" s="13" t="s">
        <v>2066</v>
      </c>
      <c r="I543" s="13" t="str">
        <f t="shared" si="16"/>
        <v>NW 35th Av (Broward Bl to Just south of NW 1st Court)</v>
      </c>
      <c r="J543" s="13" t="s">
        <v>27</v>
      </c>
      <c r="K543" s="13" t="str">
        <f>VLOOKUP(J543,'Data-ProjectTypes'!A$3:B$13,2,FALSE)</f>
        <v>Program</v>
      </c>
      <c r="L543" s="21" t="s">
        <v>348</v>
      </c>
      <c r="M543" s="13" t="s">
        <v>1811</v>
      </c>
      <c r="N543" s="13" t="s">
        <v>171</v>
      </c>
      <c r="O543" s="13" t="s">
        <v>270</v>
      </c>
      <c r="P543" s="13" t="s">
        <v>270</v>
      </c>
      <c r="Q543" s="22">
        <v>0.1</v>
      </c>
      <c r="R543" s="23">
        <v>28930</v>
      </c>
      <c r="S543" s="21"/>
      <c r="T543" s="21"/>
      <c r="U543" s="21"/>
      <c r="V543" s="24"/>
      <c r="W543" s="24"/>
      <c r="X543" s="24"/>
      <c r="Y543" s="17"/>
      <c r="Z543" s="18">
        <f>ROUND(R543*'Data-CostAssumptions'!$C$3,-3)</f>
        <v>40000</v>
      </c>
      <c r="AA543" s="11">
        <f t="shared" si="17"/>
        <v>0</v>
      </c>
      <c r="AB543" s="11">
        <v>2041</v>
      </c>
      <c r="AC543" s="11">
        <v>2041</v>
      </c>
      <c r="AD543" s="11">
        <v>2041</v>
      </c>
      <c r="AE543" s="11">
        <v>2041</v>
      </c>
      <c r="AF543" s="11">
        <v>0</v>
      </c>
      <c r="AG543" s="19">
        <f>ROUND((Z543*'Data-CostAssumptions'!$G$5)*(1+'Data-CostAssumptions'!$G$3)^(AC543-'Data-CostAssumptions'!$G$4),-3)</f>
        <v>23000</v>
      </c>
      <c r="AH543" s="19">
        <f>ROUND((Z543)*(1+'Data-CostAssumptions'!$G$3)^(AE543-'Data-CostAssumptions'!$G$4),-3)</f>
        <v>103000</v>
      </c>
    </row>
    <row r="544" spans="1:34" ht="15" customHeight="1" x14ac:dyDescent="0.2">
      <c r="A544" s="11"/>
      <c r="B544" s="11" t="s">
        <v>1211</v>
      </c>
      <c r="C544" s="13">
        <v>332</v>
      </c>
      <c r="D544" s="13" t="s">
        <v>420</v>
      </c>
      <c r="E544" s="20">
        <v>363</v>
      </c>
      <c r="F544" s="20">
        <v>159</v>
      </c>
      <c r="G544" s="20">
        <v>543</v>
      </c>
      <c r="H544" s="13" t="s">
        <v>2073</v>
      </c>
      <c r="I544" s="13" t="str">
        <f t="shared" si="16"/>
        <v>NW 5th Av (NW 7th Av to Powerline Rd)</v>
      </c>
      <c r="J544" s="13" t="s">
        <v>27</v>
      </c>
      <c r="K544" s="13" t="str">
        <f>VLOOKUP(J544,'Data-ProjectTypes'!A$3:B$13,2,FALSE)</f>
        <v>Program</v>
      </c>
      <c r="L544" s="21" t="s">
        <v>348</v>
      </c>
      <c r="M544" s="13" t="s">
        <v>1982</v>
      </c>
      <c r="N544" s="13" t="s">
        <v>1858</v>
      </c>
      <c r="O544" s="13" t="s">
        <v>273</v>
      </c>
      <c r="P544" s="13" t="s">
        <v>273</v>
      </c>
      <c r="Q544" s="22">
        <v>0.2</v>
      </c>
      <c r="R544" s="23">
        <v>63059</v>
      </c>
      <c r="S544" s="21"/>
      <c r="T544" s="21"/>
      <c r="U544" s="21"/>
      <c r="V544" s="24"/>
      <c r="W544" s="24"/>
      <c r="X544" s="24"/>
      <c r="Y544" s="17"/>
      <c r="Z544" s="18">
        <f>ROUND(R544*'Data-CostAssumptions'!$C$3,-3)</f>
        <v>87000</v>
      </c>
      <c r="AA544" s="11">
        <f t="shared" si="17"/>
        <v>0</v>
      </c>
      <c r="AB544" s="11">
        <v>2041</v>
      </c>
      <c r="AC544" s="11">
        <v>2041</v>
      </c>
      <c r="AD544" s="11">
        <v>2041</v>
      </c>
      <c r="AE544" s="11">
        <v>2041</v>
      </c>
      <c r="AF544" s="11">
        <v>0</v>
      </c>
      <c r="AG544" s="19">
        <f>ROUND((Z544*'Data-CostAssumptions'!$G$5)*(1+'Data-CostAssumptions'!$G$3)^(AC544-'Data-CostAssumptions'!$G$4),-3)</f>
        <v>49000</v>
      </c>
      <c r="AH544" s="19">
        <f>ROUND((Z544)*(1+'Data-CostAssumptions'!$G$3)^(AE544-'Data-CostAssumptions'!$G$4),-3)</f>
        <v>223000</v>
      </c>
    </row>
    <row r="545" spans="1:34" ht="15" customHeight="1" x14ac:dyDescent="0.2">
      <c r="A545" s="11"/>
      <c r="B545" s="11" t="s">
        <v>1211</v>
      </c>
      <c r="C545" s="13">
        <v>333</v>
      </c>
      <c r="D545" s="13" t="s">
        <v>420</v>
      </c>
      <c r="E545" s="20">
        <v>365</v>
      </c>
      <c r="F545" s="20">
        <v>159</v>
      </c>
      <c r="G545" s="20">
        <v>544</v>
      </c>
      <c r="H545" s="13" t="s">
        <v>2061</v>
      </c>
      <c r="I545" s="13" t="str">
        <f t="shared" si="16"/>
        <v>NW 2nd Av (Broward Bl to NW 2nd St)</v>
      </c>
      <c r="J545" s="13" t="s">
        <v>27</v>
      </c>
      <c r="K545" s="13" t="str">
        <f>VLOOKUP(J545,'Data-ProjectTypes'!A$3:B$13,2,FALSE)</f>
        <v>Program</v>
      </c>
      <c r="L545" s="21" t="s">
        <v>348</v>
      </c>
      <c r="M545" s="13" t="s">
        <v>1811</v>
      </c>
      <c r="N545" s="13" t="s">
        <v>1912</v>
      </c>
      <c r="O545" s="13" t="s">
        <v>270</v>
      </c>
      <c r="P545" s="13" t="s">
        <v>270</v>
      </c>
      <c r="Q545" s="22">
        <v>0.1</v>
      </c>
      <c r="R545" s="23">
        <v>43667</v>
      </c>
      <c r="S545" s="21"/>
      <c r="T545" s="21"/>
      <c r="U545" s="21"/>
      <c r="V545" s="24"/>
      <c r="W545" s="24"/>
      <c r="X545" s="24"/>
      <c r="Y545" s="17"/>
      <c r="Z545" s="18">
        <f>ROUND(R545*'Data-CostAssumptions'!$C$3,-3)</f>
        <v>60000</v>
      </c>
      <c r="AA545" s="11">
        <f t="shared" si="17"/>
        <v>0</v>
      </c>
      <c r="AB545" s="11">
        <v>2041</v>
      </c>
      <c r="AC545" s="11">
        <v>2041</v>
      </c>
      <c r="AD545" s="11">
        <v>2041</v>
      </c>
      <c r="AE545" s="11">
        <v>2041</v>
      </c>
      <c r="AF545" s="11">
        <v>0</v>
      </c>
      <c r="AG545" s="19">
        <f>ROUND((Z545*'Data-CostAssumptions'!$G$5)*(1+'Data-CostAssumptions'!$G$3)^(AC545-'Data-CostAssumptions'!$G$4),-3)</f>
        <v>34000</v>
      </c>
      <c r="AH545" s="19">
        <f>ROUND((Z545)*(1+'Data-CostAssumptions'!$G$3)^(AE545-'Data-CostAssumptions'!$G$4),-3)</f>
        <v>154000</v>
      </c>
    </row>
    <row r="546" spans="1:34" ht="15" customHeight="1" x14ac:dyDescent="0.2">
      <c r="A546" s="11"/>
      <c r="B546" s="11" t="s">
        <v>1211</v>
      </c>
      <c r="C546" s="13">
        <v>334</v>
      </c>
      <c r="D546" s="13" t="s">
        <v>420</v>
      </c>
      <c r="E546" s="20">
        <v>371</v>
      </c>
      <c r="F546" s="20">
        <v>159</v>
      </c>
      <c r="G546" s="20">
        <v>545</v>
      </c>
      <c r="H546" s="13" t="s">
        <v>1744</v>
      </c>
      <c r="I546" s="13" t="str">
        <f t="shared" si="16"/>
        <v>Bailey Rd (State Rd 7/US 441 to NW 42nd Av)</v>
      </c>
      <c r="J546" s="13" t="s">
        <v>27</v>
      </c>
      <c r="K546" s="13" t="str">
        <f>VLOOKUP(J546,'Data-ProjectTypes'!A$3:B$13,2,FALSE)</f>
        <v>Program</v>
      </c>
      <c r="L546" s="21" t="s">
        <v>348</v>
      </c>
      <c r="M546" s="13" t="s">
        <v>1773</v>
      </c>
      <c r="N546" s="13" t="s">
        <v>2213</v>
      </c>
      <c r="O546" s="13" t="s">
        <v>285</v>
      </c>
      <c r="P546" s="13" t="s">
        <v>285</v>
      </c>
      <c r="Q546" s="22">
        <v>0.2</v>
      </c>
      <c r="R546" s="23">
        <v>55776</v>
      </c>
      <c r="S546" s="21"/>
      <c r="T546" s="21"/>
      <c r="U546" s="21"/>
      <c r="V546" s="24"/>
      <c r="W546" s="24"/>
      <c r="X546" s="24"/>
      <c r="Y546" s="17"/>
      <c r="Z546" s="18">
        <f>ROUND(R546*'Data-CostAssumptions'!$C$3,-3)</f>
        <v>77000</v>
      </c>
      <c r="AA546" s="11">
        <f t="shared" si="17"/>
        <v>0</v>
      </c>
      <c r="AB546" s="11">
        <v>2041</v>
      </c>
      <c r="AC546" s="11">
        <v>2041</v>
      </c>
      <c r="AD546" s="11">
        <v>2041</v>
      </c>
      <c r="AE546" s="11">
        <v>2041</v>
      </c>
      <c r="AF546" s="11">
        <v>0</v>
      </c>
      <c r="AG546" s="19">
        <f>ROUND((Z546*'Data-CostAssumptions'!$G$5)*(1+'Data-CostAssumptions'!$G$3)^(AC546-'Data-CostAssumptions'!$G$4),-3)</f>
        <v>43000</v>
      </c>
      <c r="AH546" s="19">
        <f>ROUND((Z546)*(1+'Data-CostAssumptions'!$G$3)^(AE546-'Data-CostAssumptions'!$G$4),-3)</f>
        <v>197000</v>
      </c>
    </row>
    <row r="547" spans="1:34" ht="15" customHeight="1" x14ac:dyDescent="0.2">
      <c r="A547" s="11"/>
      <c r="B547" s="11" t="s">
        <v>1211</v>
      </c>
      <c r="C547" s="13">
        <v>335</v>
      </c>
      <c r="D547" s="13" t="s">
        <v>420</v>
      </c>
      <c r="E547" s="20">
        <v>383</v>
      </c>
      <c r="F547" s="20">
        <v>159</v>
      </c>
      <c r="G547" s="20">
        <v>546</v>
      </c>
      <c r="H547" s="13" t="s">
        <v>1965</v>
      </c>
      <c r="I547" s="13" t="str">
        <f t="shared" si="16"/>
        <v>SW 6th St (Flagler Av to Dixie Hwy)</v>
      </c>
      <c r="J547" s="13" t="s">
        <v>27</v>
      </c>
      <c r="K547" s="13" t="str">
        <f>VLOOKUP(J547,'Data-ProjectTypes'!A$3:B$13,2,FALSE)</f>
        <v>Program</v>
      </c>
      <c r="L547" s="21" t="s">
        <v>348</v>
      </c>
      <c r="M547" s="13" t="s">
        <v>2019</v>
      </c>
      <c r="N547" s="13" t="s">
        <v>728</v>
      </c>
      <c r="O547" s="13" t="s">
        <v>275</v>
      </c>
      <c r="P547" s="13" t="s">
        <v>275</v>
      </c>
      <c r="Q547" s="22">
        <v>0.1</v>
      </c>
      <c r="R547" s="23">
        <v>50877</v>
      </c>
      <c r="S547" s="21"/>
      <c r="T547" s="21"/>
      <c r="U547" s="21"/>
      <c r="V547" s="24"/>
      <c r="W547" s="24"/>
      <c r="X547" s="24" t="s">
        <v>764</v>
      </c>
      <c r="Y547" s="17" t="s">
        <v>765</v>
      </c>
      <c r="Z547" s="18">
        <f>ROUND(R547*'Data-CostAssumptions'!$C$3,-3)</f>
        <v>70000</v>
      </c>
      <c r="AA547" s="11">
        <f t="shared" si="17"/>
        <v>0</v>
      </c>
      <c r="AB547" s="11">
        <v>2041</v>
      </c>
      <c r="AC547" s="11">
        <v>2041</v>
      </c>
      <c r="AD547" s="11">
        <v>2041</v>
      </c>
      <c r="AE547" s="11">
        <v>2041</v>
      </c>
      <c r="AF547" s="11">
        <v>0</v>
      </c>
      <c r="AG547" s="19">
        <f>ROUND((Z547*'Data-CostAssumptions'!$G$5)*(1+'Data-CostAssumptions'!$G$3)^(AC547-'Data-CostAssumptions'!$G$4),-3)</f>
        <v>39000</v>
      </c>
      <c r="AH547" s="19">
        <f>ROUND((Z547)*(1+'Data-CostAssumptions'!$G$3)^(AE547-'Data-CostAssumptions'!$G$4),-3)</f>
        <v>179000</v>
      </c>
    </row>
    <row r="548" spans="1:34" ht="15" customHeight="1" x14ac:dyDescent="0.2">
      <c r="A548" s="11"/>
      <c r="B548" s="11" t="s">
        <v>1211</v>
      </c>
      <c r="C548" s="13">
        <v>336</v>
      </c>
      <c r="D548" s="13" t="s">
        <v>420</v>
      </c>
      <c r="E548" s="20">
        <v>386</v>
      </c>
      <c r="F548" s="20">
        <v>159</v>
      </c>
      <c r="G548" s="20">
        <v>547</v>
      </c>
      <c r="H548" s="13" t="s">
        <v>1909</v>
      </c>
      <c r="I548" s="13" t="str">
        <f t="shared" si="16"/>
        <v>NW 15th St (Dixie Hwy to NW 3rd Av)</v>
      </c>
      <c r="J548" s="13" t="s">
        <v>27</v>
      </c>
      <c r="K548" s="13" t="str">
        <f>VLOOKUP(J548,'Data-ProjectTypes'!A$3:B$13,2,FALSE)</f>
        <v>Program</v>
      </c>
      <c r="L548" s="21" t="s">
        <v>348</v>
      </c>
      <c r="M548" s="13" t="s">
        <v>728</v>
      </c>
      <c r="N548" s="13" t="s">
        <v>2067</v>
      </c>
      <c r="O548" s="13" t="s">
        <v>273</v>
      </c>
      <c r="P548" s="13" t="s">
        <v>273</v>
      </c>
      <c r="Q548" s="22">
        <v>0.3</v>
      </c>
      <c r="R548" s="23">
        <v>112456</v>
      </c>
      <c r="S548" s="21"/>
      <c r="T548" s="21"/>
      <c r="U548" s="21"/>
      <c r="V548" s="24"/>
      <c r="W548" s="24"/>
      <c r="X548" s="24" t="s">
        <v>764</v>
      </c>
      <c r="Y548" s="17" t="s">
        <v>765</v>
      </c>
      <c r="Z548" s="18">
        <f>ROUND(R548*'Data-CostAssumptions'!$C$3,-3)</f>
        <v>156000</v>
      </c>
      <c r="AA548" s="11">
        <f t="shared" si="17"/>
        <v>0</v>
      </c>
      <c r="AB548" s="11">
        <v>2041</v>
      </c>
      <c r="AC548" s="11">
        <v>2041</v>
      </c>
      <c r="AD548" s="11">
        <v>2041</v>
      </c>
      <c r="AE548" s="11">
        <v>2041</v>
      </c>
      <c r="AF548" s="11">
        <v>0</v>
      </c>
      <c r="AG548" s="19">
        <f>ROUND((Z548*'Data-CostAssumptions'!$G$5)*(1+'Data-CostAssumptions'!$G$3)^(AC548-'Data-CostAssumptions'!$G$4),-3)</f>
        <v>88000</v>
      </c>
      <c r="AH548" s="19">
        <f>ROUND((Z548)*(1+'Data-CostAssumptions'!$G$3)^(AE548-'Data-CostAssumptions'!$G$4),-3)</f>
        <v>400000</v>
      </c>
    </row>
    <row r="549" spans="1:34" ht="15" customHeight="1" x14ac:dyDescent="0.2">
      <c r="A549" s="11"/>
      <c r="B549" s="11" t="s">
        <v>1211</v>
      </c>
      <c r="C549" s="13">
        <v>337</v>
      </c>
      <c r="D549" s="13" t="s">
        <v>420</v>
      </c>
      <c r="E549" s="20">
        <v>414</v>
      </c>
      <c r="F549" s="20">
        <v>159</v>
      </c>
      <c r="G549" s="20">
        <v>548</v>
      </c>
      <c r="H549" s="13" t="s">
        <v>2123</v>
      </c>
      <c r="I549" s="13" t="str">
        <f t="shared" si="16"/>
        <v>SW 3rd Av (SW 9th St to SW 8th St)</v>
      </c>
      <c r="J549" s="13" t="s">
        <v>27</v>
      </c>
      <c r="K549" s="13" t="str">
        <f>VLOOKUP(J549,'Data-ProjectTypes'!A$3:B$13,2,FALSE)</f>
        <v>Program</v>
      </c>
      <c r="L549" s="21" t="s">
        <v>348</v>
      </c>
      <c r="M549" s="13" t="s">
        <v>1967</v>
      </c>
      <c r="N549" s="13" t="s">
        <v>1966</v>
      </c>
      <c r="O549" s="13" t="s">
        <v>275</v>
      </c>
      <c r="P549" s="13" t="s">
        <v>275</v>
      </c>
      <c r="Q549" s="22">
        <v>0.1</v>
      </c>
      <c r="R549" s="23">
        <v>31724</v>
      </c>
      <c r="S549" s="21"/>
      <c r="T549" s="21"/>
      <c r="U549" s="21"/>
      <c r="V549" s="24"/>
      <c r="W549" s="24"/>
      <c r="X549" s="24"/>
      <c r="Y549" s="17"/>
      <c r="Z549" s="18">
        <f>ROUND(R549*'Data-CostAssumptions'!$C$3,-3)</f>
        <v>44000</v>
      </c>
      <c r="AA549" s="11">
        <f t="shared" si="17"/>
        <v>0</v>
      </c>
      <c r="AB549" s="11">
        <v>2041</v>
      </c>
      <c r="AC549" s="11">
        <v>2041</v>
      </c>
      <c r="AD549" s="11">
        <v>2041</v>
      </c>
      <c r="AE549" s="11">
        <v>2041</v>
      </c>
      <c r="AF549" s="11">
        <v>0</v>
      </c>
      <c r="AG549" s="19">
        <f>ROUND((Z549*'Data-CostAssumptions'!$G$5)*(1+'Data-CostAssumptions'!$G$3)^(AC549-'Data-CostAssumptions'!$G$4),-3)</f>
        <v>25000</v>
      </c>
      <c r="AH549" s="19">
        <f>ROUND((Z549)*(1+'Data-CostAssumptions'!$G$3)^(AE549-'Data-CostAssumptions'!$G$4),-3)</f>
        <v>113000</v>
      </c>
    </row>
    <row r="550" spans="1:34" ht="15" customHeight="1" x14ac:dyDescent="0.2">
      <c r="A550" s="11"/>
      <c r="B550" s="11" t="s">
        <v>1211</v>
      </c>
      <c r="C550" s="13">
        <v>338</v>
      </c>
      <c r="D550" s="13" t="s">
        <v>420</v>
      </c>
      <c r="E550" s="20">
        <v>417</v>
      </c>
      <c r="F550" s="20">
        <v>159</v>
      </c>
      <c r="G550" s="20">
        <v>549</v>
      </c>
      <c r="H550" s="13" t="s">
        <v>2035</v>
      </c>
      <c r="I550" s="13" t="str">
        <f t="shared" si="16"/>
        <v>NE 5th Av (NE 33rd St to Sample Rd)</v>
      </c>
      <c r="J550" s="13" t="s">
        <v>27</v>
      </c>
      <c r="K550" s="13" t="str">
        <f>VLOOKUP(J550,'Data-ProjectTypes'!A$3:B$13,2,FALSE)</f>
        <v>Program</v>
      </c>
      <c r="L550" s="21" t="s">
        <v>348</v>
      </c>
      <c r="M550" s="13" t="s">
        <v>1889</v>
      </c>
      <c r="N550" s="13" t="s">
        <v>1864</v>
      </c>
      <c r="O550" s="13" t="s">
        <v>275</v>
      </c>
      <c r="P550" s="13" t="s">
        <v>275</v>
      </c>
      <c r="Q550" s="22">
        <v>0.2</v>
      </c>
      <c r="R550" s="23">
        <v>88127</v>
      </c>
      <c r="S550" s="21"/>
      <c r="T550" s="21"/>
      <c r="U550" s="21"/>
      <c r="V550" s="24"/>
      <c r="W550" s="24"/>
      <c r="X550" s="24"/>
      <c r="Y550" s="17"/>
      <c r="Z550" s="18">
        <f>ROUND(R550*'Data-CostAssumptions'!$C$3,-3)</f>
        <v>122000</v>
      </c>
      <c r="AA550" s="11">
        <f t="shared" si="17"/>
        <v>0</v>
      </c>
      <c r="AB550" s="11">
        <v>2041</v>
      </c>
      <c r="AC550" s="11">
        <v>2041</v>
      </c>
      <c r="AD550" s="11">
        <v>2041</v>
      </c>
      <c r="AE550" s="11">
        <v>2041</v>
      </c>
      <c r="AF550" s="11">
        <v>0</v>
      </c>
      <c r="AG550" s="19">
        <f>ROUND((Z550*'Data-CostAssumptions'!$G$5)*(1+'Data-CostAssumptions'!$G$3)^(AC550-'Data-CostAssumptions'!$G$4),-3)</f>
        <v>69000</v>
      </c>
      <c r="AH550" s="19">
        <f>ROUND((Z550)*(1+'Data-CostAssumptions'!$G$3)^(AE550-'Data-CostAssumptions'!$G$4),-3)</f>
        <v>313000</v>
      </c>
    </row>
    <row r="551" spans="1:34" ht="15" customHeight="1" x14ac:dyDescent="0.2">
      <c r="A551" s="11"/>
      <c r="B551" s="11" t="s">
        <v>1211</v>
      </c>
      <c r="C551" s="13">
        <v>339</v>
      </c>
      <c r="D551" s="13" t="s">
        <v>420</v>
      </c>
      <c r="E551" s="20">
        <v>420</v>
      </c>
      <c r="F551" s="20">
        <v>159</v>
      </c>
      <c r="G551" s="20">
        <v>550</v>
      </c>
      <c r="H551" s="13" t="s">
        <v>2056</v>
      </c>
      <c r="I551" s="13" t="str">
        <f t="shared" si="16"/>
        <v>NW 1st Av (Copans Rd to NW 25th Court)</v>
      </c>
      <c r="J551" s="13" t="s">
        <v>27</v>
      </c>
      <c r="K551" s="13" t="str">
        <f>VLOOKUP(J551,'Data-ProjectTypes'!A$3:B$13,2,FALSE)</f>
        <v>Program</v>
      </c>
      <c r="L551" s="21" t="s">
        <v>348</v>
      </c>
      <c r="M551" s="13" t="s">
        <v>1836</v>
      </c>
      <c r="N551" s="13" t="s">
        <v>108</v>
      </c>
      <c r="O551" s="13" t="s">
        <v>273</v>
      </c>
      <c r="P551" s="13" t="s">
        <v>273</v>
      </c>
      <c r="Q551" s="22">
        <v>0.1</v>
      </c>
      <c r="R551" s="23">
        <v>37600</v>
      </c>
      <c r="S551" s="21"/>
      <c r="T551" s="21"/>
      <c r="U551" s="21"/>
      <c r="V551" s="24"/>
      <c r="W551" s="24"/>
      <c r="X551" s="24"/>
      <c r="Y551" s="17"/>
      <c r="Z551" s="18">
        <f>ROUND(R551*'Data-CostAssumptions'!$C$3,-3)</f>
        <v>52000</v>
      </c>
      <c r="AA551" s="11">
        <f t="shared" si="17"/>
        <v>0</v>
      </c>
      <c r="AB551" s="11">
        <v>2041</v>
      </c>
      <c r="AC551" s="11">
        <v>2041</v>
      </c>
      <c r="AD551" s="11">
        <v>2041</v>
      </c>
      <c r="AE551" s="11">
        <v>2041</v>
      </c>
      <c r="AF551" s="11">
        <v>0</v>
      </c>
      <c r="AG551" s="19">
        <f>ROUND((Z551*'Data-CostAssumptions'!$G$5)*(1+'Data-CostAssumptions'!$G$3)^(AC551-'Data-CostAssumptions'!$G$4),-3)</f>
        <v>29000</v>
      </c>
      <c r="AH551" s="19">
        <f>ROUND((Z551)*(1+'Data-CostAssumptions'!$G$3)^(AE551-'Data-CostAssumptions'!$G$4),-3)</f>
        <v>133000</v>
      </c>
    </row>
    <row r="552" spans="1:34" ht="15" customHeight="1" x14ac:dyDescent="0.2">
      <c r="A552" s="11"/>
      <c r="B552" s="11" t="s">
        <v>1211</v>
      </c>
      <c r="C552" s="13">
        <v>340</v>
      </c>
      <c r="D552" s="13" t="s">
        <v>420</v>
      </c>
      <c r="E552" s="20">
        <v>421</v>
      </c>
      <c r="F552" s="20">
        <v>160</v>
      </c>
      <c r="G552" s="20">
        <v>551</v>
      </c>
      <c r="H552" s="13" t="s">
        <v>2027</v>
      </c>
      <c r="I552" s="13" t="str">
        <f t="shared" si="16"/>
        <v>NE 1st Av (Copans Rd to NE 25th Court)</v>
      </c>
      <c r="J552" s="13" t="s">
        <v>27</v>
      </c>
      <c r="K552" s="13" t="str">
        <f>VLOOKUP(J552,'Data-ProjectTypes'!A$3:B$13,2,FALSE)</f>
        <v>Program</v>
      </c>
      <c r="L552" s="21" t="s">
        <v>348</v>
      </c>
      <c r="M552" s="13" t="s">
        <v>1836</v>
      </c>
      <c r="N552" s="13" t="s">
        <v>106</v>
      </c>
      <c r="O552" s="13" t="s">
        <v>273</v>
      </c>
      <c r="P552" s="13" t="s">
        <v>273</v>
      </c>
      <c r="Q552" s="22">
        <v>0.1</v>
      </c>
      <c r="R552" s="23">
        <v>44994</v>
      </c>
      <c r="S552" s="21"/>
      <c r="T552" s="21"/>
      <c r="U552" s="21"/>
      <c r="V552" s="24"/>
      <c r="W552" s="24"/>
      <c r="X552" s="24" t="s">
        <v>764</v>
      </c>
      <c r="Y552" s="17" t="s">
        <v>765</v>
      </c>
      <c r="Z552" s="18">
        <f>ROUND(R552*'Data-CostAssumptions'!$C$3,-3)</f>
        <v>62000</v>
      </c>
      <c r="AA552" s="11">
        <f t="shared" si="17"/>
        <v>0</v>
      </c>
      <c r="AB552" s="11">
        <v>2041</v>
      </c>
      <c r="AC552" s="11">
        <v>2041</v>
      </c>
      <c r="AD552" s="11">
        <v>2041</v>
      </c>
      <c r="AE552" s="11">
        <v>2041</v>
      </c>
      <c r="AF552" s="11">
        <v>0</v>
      </c>
      <c r="AG552" s="19">
        <f>ROUND((Z552*'Data-CostAssumptions'!$G$5)*(1+'Data-CostAssumptions'!$G$3)^(AC552-'Data-CostAssumptions'!$G$4),-3)</f>
        <v>35000</v>
      </c>
      <c r="AH552" s="19">
        <f>ROUND((Z552)*(1+'Data-CostAssumptions'!$G$3)^(AE552-'Data-CostAssumptions'!$G$4),-3)</f>
        <v>159000</v>
      </c>
    </row>
    <row r="553" spans="1:34" ht="15" customHeight="1" x14ac:dyDescent="0.2">
      <c r="A553" s="11"/>
      <c r="B553" s="11" t="s">
        <v>1211</v>
      </c>
      <c r="C553" s="13">
        <v>341</v>
      </c>
      <c r="D553" s="13" t="s">
        <v>420</v>
      </c>
      <c r="E553" s="20">
        <v>422</v>
      </c>
      <c r="F553" s="20">
        <v>160</v>
      </c>
      <c r="G553" s="20">
        <v>552</v>
      </c>
      <c r="H553" s="13" t="s">
        <v>2033</v>
      </c>
      <c r="I553" s="13" t="str">
        <f t="shared" si="16"/>
        <v>NE 3rd Av (NE 25th Court to NE 26th St)</v>
      </c>
      <c r="J553" s="13" t="s">
        <v>27</v>
      </c>
      <c r="K553" s="13" t="str">
        <f>VLOOKUP(J553,'Data-ProjectTypes'!A$3:B$13,2,FALSE)</f>
        <v>Program</v>
      </c>
      <c r="L553" s="21" t="s">
        <v>348</v>
      </c>
      <c r="M553" s="13" t="s">
        <v>106</v>
      </c>
      <c r="N553" s="13" t="s">
        <v>1887</v>
      </c>
      <c r="O553" s="13" t="s">
        <v>275</v>
      </c>
      <c r="P553" s="13" t="s">
        <v>275</v>
      </c>
      <c r="Q553" s="22">
        <v>0</v>
      </c>
      <c r="R553" s="23">
        <v>16681</v>
      </c>
      <c r="S553" s="21"/>
      <c r="T553" s="21"/>
      <c r="U553" s="21"/>
      <c r="V553" s="24"/>
      <c r="W553" s="24"/>
      <c r="X553" s="24" t="s">
        <v>764</v>
      </c>
      <c r="Y553" s="17" t="s">
        <v>765</v>
      </c>
      <c r="Z553" s="18">
        <f>ROUND(R553*'Data-CostAssumptions'!$C$3,-3)</f>
        <v>23000</v>
      </c>
      <c r="AA553" s="11">
        <f t="shared" si="17"/>
        <v>0</v>
      </c>
      <c r="AB553" s="11">
        <v>2041</v>
      </c>
      <c r="AC553" s="11">
        <v>2041</v>
      </c>
      <c r="AD553" s="11">
        <v>2041</v>
      </c>
      <c r="AE553" s="11">
        <v>2041</v>
      </c>
      <c r="AF553" s="11">
        <v>0</v>
      </c>
      <c r="AG553" s="19">
        <f>ROUND((Z553*'Data-CostAssumptions'!$G$5)*(1+'Data-CostAssumptions'!$G$3)^(AC553-'Data-CostAssumptions'!$G$4),-3)</f>
        <v>13000</v>
      </c>
      <c r="AH553" s="19">
        <f>ROUND((Z553)*(1+'Data-CostAssumptions'!$G$3)^(AE553-'Data-CostAssumptions'!$G$4),-3)</f>
        <v>59000</v>
      </c>
    </row>
    <row r="554" spans="1:34" ht="15" customHeight="1" x14ac:dyDescent="0.2">
      <c r="A554" s="11"/>
      <c r="B554" s="11" t="s">
        <v>1211</v>
      </c>
      <c r="C554" s="13">
        <v>342</v>
      </c>
      <c r="D554" s="13" t="s">
        <v>420</v>
      </c>
      <c r="E554" s="20">
        <v>429</v>
      </c>
      <c r="F554" s="20">
        <v>160</v>
      </c>
      <c r="G554" s="20">
        <v>553</v>
      </c>
      <c r="H554" s="13" t="s">
        <v>2709</v>
      </c>
      <c r="I554" s="13" t="str">
        <f t="shared" si="16"/>
        <v>SR 817/University Dr (Peters Rd to Federated Rd)</v>
      </c>
      <c r="J554" s="13" t="s">
        <v>27</v>
      </c>
      <c r="K554" s="13" t="str">
        <f>VLOOKUP(J554,'Data-ProjectTypes'!A$3:B$13,2,FALSE)</f>
        <v>Program</v>
      </c>
      <c r="L554" s="21" t="s">
        <v>348</v>
      </c>
      <c r="M554" s="13" t="s">
        <v>1763</v>
      </c>
      <c r="N554" s="13" t="s">
        <v>2463</v>
      </c>
      <c r="O554" s="13" t="s">
        <v>270</v>
      </c>
      <c r="P554" s="13" t="s">
        <v>270</v>
      </c>
      <c r="Q554" s="22">
        <v>0.7</v>
      </c>
      <c r="R554" s="23">
        <v>234693</v>
      </c>
      <c r="S554" s="21"/>
      <c r="T554" s="21"/>
      <c r="U554" s="21"/>
      <c r="V554" s="24"/>
      <c r="W554" s="24"/>
      <c r="X554" s="24"/>
      <c r="Y554" s="17"/>
      <c r="Z554" s="18">
        <f>ROUND(R554*'Data-CostAssumptions'!$C$3,-3)</f>
        <v>325000</v>
      </c>
      <c r="AA554" s="11">
        <f t="shared" si="17"/>
        <v>0</v>
      </c>
      <c r="AB554" s="11">
        <v>2041</v>
      </c>
      <c r="AC554" s="11">
        <v>2041</v>
      </c>
      <c r="AD554" s="11">
        <v>2041</v>
      </c>
      <c r="AE554" s="11">
        <v>2041</v>
      </c>
      <c r="AF554" s="11">
        <v>0</v>
      </c>
      <c r="AG554" s="19">
        <f>ROUND((Z554*'Data-CostAssumptions'!$G$5)*(1+'Data-CostAssumptions'!$G$3)^(AC554-'Data-CostAssumptions'!$G$4),-3)</f>
        <v>183000</v>
      </c>
      <c r="AH554" s="19">
        <f>ROUND((Z554)*(1+'Data-CostAssumptions'!$G$3)^(AE554-'Data-CostAssumptions'!$G$4),-3)</f>
        <v>833000</v>
      </c>
    </row>
    <row r="555" spans="1:34" ht="15" customHeight="1" x14ac:dyDescent="0.2">
      <c r="A555" s="11"/>
      <c r="B555" s="11" t="s">
        <v>1211</v>
      </c>
      <c r="C555" s="13">
        <v>343</v>
      </c>
      <c r="D555" s="13" t="s">
        <v>420</v>
      </c>
      <c r="E555" s="20">
        <v>432</v>
      </c>
      <c r="F555" s="20">
        <v>160</v>
      </c>
      <c r="G555" s="20">
        <v>554</v>
      </c>
      <c r="H555" s="13" t="s">
        <v>1967</v>
      </c>
      <c r="I555" s="13" t="str">
        <f t="shared" si="16"/>
        <v>SW 9th St (Cypress Rd to SW 3rd Av)</v>
      </c>
      <c r="J555" s="13" t="s">
        <v>27</v>
      </c>
      <c r="K555" s="13" t="str">
        <f>VLOOKUP(J555,'Data-ProjectTypes'!A$3:B$13,2,FALSE)</f>
        <v>Program</v>
      </c>
      <c r="L555" s="21" t="s">
        <v>348</v>
      </c>
      <c r="M555" s="13" t="s">
        <v>1843</v>
      </c>
      <c r="N555" s="13" t="s">
        <v>2123</v>
      </c>
      <c r="O555" s="13" t="s">
        <v>275</v>
      </c>
      <c r="P555" s="13" t="s">
        <v>275</v>
      </c>
      <c r="Q555" s="22">
        <v>0.2</v>
      </c>
      <c r="R555" s="23">
        <v>89432</v>
      </c>
      <c r="S555" s="21"/>
      <c r="T555" s="21"/>
      <c r="U555" s="21"/>
      <c r="V555" s="24"/>
      <c r="W555" s="24"/>
      <c r="X555" s="24"/>
      <c r="Y555" s="17"/>
      <c r="Z555" s="18">
        <f>ROUND(R555*'Data-CostAssumptions'!$C$3,-3)</f>
        <v>124000</v>
      </c>
      <c r="AA555" s="11">
        <f t="shared" si="17"/>
        <v>0</v>
      </c>
      <c r="AB555" s="11">
        <v>2041</v>
      </c>
      <c r="AC555" s="11">
        <v>2041</v>
      </c>
      <c r="AD555" s="11">
        <v>2041</v>
      </c>
      <c r="AE555" s="11">
        <v>2041</v>
      </c>
      <c r="AF555" s="11">
        <v>0</v>
      </c>
      <c r="AG555" s="19">
        <f>ROUND((Z555*'Data-CostAssumptions'!$G$5)*(1+'Data-CostAssumptions'!$G$3)^(AC555-'Data-CostAssumptions'!$G$4),-3)</f>
        <v>70000</v>
      </c>
      <c r="AH555" s="19">
        <f>ROUND((Z555)*(1+'Data-CostAssumptions'!$G$3)^(AE555-'Data-CostAssumptions'!$G$4),-3)</f>
        <v>318000</v>
      </c>
    </row>
    <row r="556" spans="1:34" ht="15" customHeight="1" x14ac:dyDescent="0.2">
      <c r="A556" s="11"/>
      <c r="B556" s="11" t="s">
        <v>1211</v>
      </c>
      <c r="C556" s="13">
        <v>344</v>
      </c>
      <c r="D556" s="13" t="s">
        <v>420</v>
      </c>
      <c r="E556" s="20">
        <v>433</v>
      </c>
      <c r="F556" s="20">
        <v>160</v>
      </c>
      <c r="G556" s="20">
        <v>555</v>
      </c>
      <c r="H556" s="13" t="s">
        <v>2022</v>
      </c>
      <c r="I556" s="13" t="str">
        <f t="shared" si="16"/>
        <v>NE 13th Av (Atlantic Bl to NE 1st St)</v>
      </c>
      <c r="J556" s="13" t="s">
        <v>27</v>
      </c>
      <c r="K556" s="13" t="str">
        <f>VLOOKUP(J556,'Data-ProjectTypes'!A$3:B$13,2,FALSE)</f>
        <v>Program</v>
      </c>
      <c r="L556" s="21" t="s">
        <v>348</v>
      </c>
      <c r="M556" s="13" t="s">
        <v>1809</v>
      </c>
      <c r="N556" s="13" t="s">
        <v>2482</v>
      </c>
      <c r="O556" s="13" t="s">
        <v>270</v>
      </c>
      <c r="P556" s="13" t="s">
        <v>270</v>
      </c>
      <c r="Q556" s="22">
        <v>0.1</v>
      </c>
      <c r="R556" s="23">
        <v>21339</v>
      </c>
      <c r="S556" s="21"/>
      <c r="T556" s="21"/>
      <c r="U556" s="21"/>
      <c r="V556" s="24"/>
      <c r="W556" s="24"/>
      <c r="X556" s="24" t="s">
        <v>764</v>
      </c>
      <c r="Y556" s="17" t="s">
        <v>765</v>
      </c>
      <c r="Z556" s="18">
        <f>ROUND(R556*'Data-CostAssumptions'!$C$3,-3)</f>
        <v>30000</v>
      </c>
      <c r="AA556" s="11">
        <f t="shared" si="17"/>
        <v>0</v>
      </c>
      <c r="AB556" s="11">
        <v>2041</v>
      </c>
      <c r="AC556" s="11">
        <v>2041</v>
      </c>
      <c r="AD556" s="11">
        <v>2041</v>
      </c>
      <c r="AE556" s="11">
        <v>2041</v>
      </c>
      <c r="AF556" s="11">
        <v>0</v>
      </c>
      <c r="AG556" s="19">
        <f>ROUND((Z556*'Data-CostAssumptions'!$G$5)*(1+'Data-CostAssumptions'!$G$3)^(AC556-'Data-CostAssumptions'!$G$4),-3)</f>
        <v>17000</v>
      </c>
      <c r="AH556" s="19">
        <f>ROUND((Z556)*(1+'Data-CostAssumptions'!$G$3)^(AE556-'Data-CostAssumptions'!$G$4),-3)</f>
        <v>77000</v>
      </c>
    </row>
    <row r="557" spans="1:34" ht="15" customHeight="1" x14ac:dyDescent="0.2">
      <c r="A557" s="11"/>
      <c r="B557" s="11" t="s">
        <v>1211</v>
      </c>
      <c r="C557" s="13">
        <v>345</v>
      </c>
      <c r="D557" s="13" t="s">
        <v>420</v>
      </c>
      <c r="E557" s="20">
        <v>436</v>
      </c>
      <c r="F557" s="20">
        <v>160</v>
      </c>
      <c r="G557" s="20">
        <v>556</v>
      </c>
      <c r="H557" s="13" t="s">
        <v>1897</v>
      </c>
      <c r="I557" s="13" t="str">
        <f t="shared" si="16"/>
        <v>NE 4th St (US 1/Federal Hwy to NE 14th Av)</v>
      </c>
      <c r="J557" s="13" t="s">
        <v>27</v>
      </c>
      <c r="K557" s="13" t="str">
        <f>VLOOKUP(J557,'Data-ProjectTypes'!A$3:B$13,2,FALSE)</f>
        <v>Program</v>
      </c>
      <c r="L557" s="21" t="s">
        <v>348</v>
      </c>
      <c r="M557" s="13" t="s">
        <v>2594</v>
      </c>
      <c r="N557" s="13" t="s">
        <v>2235</v>
      </c>
      <c r="O557" s="13" t="s">
        <v>270</v>
      </c>
      <c r="P557" s="13" t="s">
        <v>270</v>
      </c>
      <c r="Q557" s="22">
        <v>0.5</v>
      </c>
      <c r="R557" s="23">
        <v>174088</v>
      </c>
      <c r="S557" s="21"/>
      <c r="T557" s="21"/>
      <c r="U557" s="21"/>
      <c r="V557" s="24"/>
      <c r="W557" s="24"/>
      <c r="X557" s="24"/>
      <c r="Y557" s="17"/>
      <c r="Z557" s="18">
        <f>ROUND(R557*'Data-CostAssumptions'!$C$3,-3)</f>
        <v>241000</v>
      </c>
      <c r="AA557" s="11">
        <f t="shared" si="17"/>
        <v>0</v>
      </c>
      <c r="AB557" s="11">
        <v>2041</v>
      </c>
      <c r="AC557" s="11">
        <v>2041</v>
      </c>
      <c r="AD557" s="11">
        <v>2041</v>
      </c>
      <c r="AE557" s="11">
        <v>2041</v>
      </c>
      <c r="AF557" s="11">
        <v>0</v>
      </c>
      <c r="AG557" s="19">
        <f>ROUND((Z557*'Data-CostAssumptions'!$G$5)*(1+'Data-CostAssumptions'!$G$3)^(AC557-'Data-CostAssumptions'!$G$4),-3)</f>
        <v>136000</v>
      </c>
      <c r="AH557" s="19">
        <f>ROUND((Z557)*(1+'Data-CostAssumptions'!$G$3)^(AE557-'Data-CostAssumptions'!$G$4),-3)</f>
        <v>618000</v>
      </c>
    </row>
    <row r="558" spans="1:34" ht="15" customHeight="1" x14ac:dyDescent="0.2">
      <c r="A558" s="11"/>
      <c r="B558" s="11" t="s">
        <v>1211</v>
      </c>
      <c r="C558" s="13">
        <v>346</v>
      </c>
      <c r="D558" s="13" t="s">
        <v>420</v>
      </c>
      <c r="E558" s="20">
        <v>3</v>
      </c>
      <c r="F558" s="20">
        <v>160</v>
      </c>
      <c r="G558" s="20">
        <v>557</v>
      </c>
      <c r="H558" s="13" t="s">
        <v>2108</v>
      </c>
      <c r="I558" s="13" t="str">
        <f t="shared" si="16"/>
        <v>SW 160th Av/Weston Rd (Arvida Parkway to Blatt Bl)</v>
      </c>
      <c r="J558" s="13" t="s">
        <v>27</v>
      </c>
      <c r="K558" s="13" t="str">
        <f>VLOOKUP(J558,'Data-ProjectTypes'!A$3:B$13,2,FALSE)</f>
        <v>Program</v>
      </c>
      <c r="L558" s="21" t="s">
        <v>833</v>
      </c>
      <c r="M558" s="13" t="s">
        <v>38</v>
      </c>
      <c r="N558" s="13" t="s">
        <v>2287</v>
      </c>
      <c r="O558" s="13" t="s">
        <v>272</v>
      </c>
      <c r="P558" s="13" t="s">
        <v>272</v>
      </c>
      <c r="Q558" s="22">
        <v>2.5</v>
      </c>
      <c r="R558" s="23">
        <v>878561</v>
      </c>
      <c r="S558" s="21" t="s">
        <v>24</v>
      </c>
      <c r="T558" s="21" t="s">
        <v>25</v>
      </c>
      <c r="U558" s="21" t="s">
        <v>24</v>
      </c>
      <c r="V558" s="24" t="s">
        <v>832</v>
      </c>
      <c r="W558" s="24"/>
      <c r="X558" s="28"/>
      <c r="Y558" s="17" t="s">
        <v>831</v>
      </c>
      <c r="Z558" s="18">
        <f>ROUND(R558*'Data-CostAssumptions'!$C$3,-3)</f>
        <v>1216000</v>
      </c>
      <c r="AA558" s="11">
        <f t="shared" si="17"/>
        <v>1</v>
      </c>
      <c r="AB558" s="11">
        <v>2041</v>
      </c>
      <c r="AC558" s="11">
        <v>2041</v>
      </c>
      <c r="AD558" s="11">
        <v>2041</v>
      </c>
      <c r="AE558" s="11">
        <v>2041</v>
      </c>
      <c r="AF558" s="11">
        <v>0</v>
      </c>
      <c r="AG558" s="19">
        <f>ROUND((Z558*'Data-CostAssumptions'!$G$5)*(1+'Data-CostAssumptions'!$G$3)^(AC558-'Data-CostAssumptions'!$G$4),-3)</f>
        <v>686000</v>
      </c>
      <c r="AH558" s="19">
        <f>ROUND((Z558)*(1+'Data-CostAssumptions'!$G$3)^(AE558-'Data-CostAssumptions'!$G$4),-3)</f>
        <v>3118000</v>
      </c>
    </row>
    <row r="559" spans="1:34" ht="15" customHeight="1" x14ac:dyDescent="0.2">
      <c r="A559" s="11"/>
      <c r="B559" s="11" t="s">
        <v>1211</v>
      </c>
      <c r="C559" s="13">
        <v>347</v>
      </c>
      <c r="D559" s="13" t="s">
        <v>420</v>
      </c>
      <c r="E559" s="20">
        <v>13</v>
      </c>
      <c r="F559" s="20">
        <v>160</v>
      </c>
      <c r="G559" s="20">
        <v>558</v>
      </c>
      <c r="H559" s="13" t="s">
        <v>2102</v>
      </c>
      <c r="I559" s="13" t="str">
        <f t="shared" si="16"/>
        <v>SW 136th Av (SW 10th St to Pines Bl)</v>
      </c>
      <c r="J559" s="13" t="s">
        <v>27</v>
      </c>
      <c r="K559" s="13" t="str">
        <f>VLOOKUP(J559,'Data-ProjectTypes'!A$3:B$13,2,FALSE)</f>
        <v>Program</v>
      </c>
      <c r="L559" s="21" t="s">
        <v>348</v>
      </c>
      <c r="M559" s="13" t="s">
        <v>1954</v>
      </c>
      <c r="N559" s="13" t="s">
        <v>1826</v>
      </c>
      <c r="O559" s="13" t="s">
        <v>271</v>
      </c>
      <c r="P559" s="13" t="s">
        <v>271</v>
      </c>
      <c r="Q559" s="22">
        <v>0.6</v>
      </c>
      <c r="R559" s="23">
        <v>202367</v>
      </c>
      <c r="S559" s="21"/>
      <c r="T559" s="21"/>
      <c r="U559" s="21"/>
      <c r="V559" s="24"/>
      <c r="W559" s="24"/>
      <c r="X559" s="24"/>
      <c r="Y559" s="17"/>
      <c r="Z559" s="18">
        <f>ROUND(R559*'Data-CostAssumptions'!$C$3,-3)</f>
        <v>280000</v>
      </c>
      <c r="AA559" s="11">
        <f t="shared" si="17"/>
        <v>0</v>
      </c>
      <c r="AB559" s="11">
        <v>2041</v>
      </c>
      <c r="AC559" s="11">
        <v>2041</v>
      </c>
      <c r="AD559" s="11">
        <v>2041</v>
      </c>
      <c r="AE559" s="11">
        <v>2041</v>
      </c>
      <c r="AF559" s="11">
        <v>0</v>
      </c>
      <c r="AG559" s="19">
        <f>ROUND((Z559*'Data-CostAssumptions'!$G$5)*(1+'Data-CostAssumptions'!$G$3)^(AC559-'Data-CostAssumptions'!$G$4),-3)</f>
        <v>158000</v>
      </c>
      <c r="AH559" s="19">
        <f>ROUND((Z559)*(1+'Data-CostAssumptions'!$G$3)^(AE559-'Data-CostAssumptions'!$G$4),-3)</f>
        <v>718000</v>
      </c>
    </row>
    <row r="560" spans="1:34" ht="15" customHeight="1" x14ac:dyDescent="0.2">
      <c r="A560" s="11"/>
      <c r="B560" s="11" t="s">
        <v>1211</v>
      </c>
      <c r="C560" s="13">
        <v>348</v>
      </c>
      <c r="D560" s="13" t="s">
        <v>420</v>
      </c>
      <c r="E560" s="20">
        <v>20</v>
      </c>
      <c r="F560" s="20">
        <v>160</v>
      </c>
      <c r="G560" s="20">
        <v>559</v>
      </c>
      <c r="H560" s="13" t="s">
        <v>159</v>
      </c>
      <c r="I560" s="13" t="str">
        <f t="shared" si="16"/>
        <v>Flamingo Rd (Homestead Turnpike Extension to Miramar Parkway)</v>
      </c>
      <c r="J560" s="13" t="s">
        <v>27</v>
      </c>
      <c r="K560" s="13" t="str">
        <f>VLOOKUP(J560,'Data-ProjectTypes'!A$3:B$13,2,FALSE)</f>
        <v>Program</v>
      </c>
      <c r="L560" s="21" t="s">
        <v>348</v>
      </c>
      <c r="M560" s="13" t="s">
        <v>165</v>
      </c>
      <c r="N560" s="13" t="s">
        <v>39</v>
      </c>
      <c r="O560" s="13" t="s">
        <v>273</v>
      </c>
      <c r="P560" s="13" t="s">
        <v>273</v>
      </c>
      <c r="Q560" s="22">
        <v>0.6</v>
      </c>
      <c r="R560" s="23">
        <v>203811</v>
      </c>
      <c r="S560" s="21" t="s">
        <v>24</v>
      </c>
      <c r="T560" s="21" t="s">
        <v>684</v>
      </c>
      <c r="U560" s="21" t="s">
        <v>684</v>
      </c>
      <c r="V560" s="24"/>
      <c r="W560" s="24"/>
      <c r="X560" s="24"/>
      <c r="Y560" s="17" t="s">
        <v>685</v>
      </c>
      <c r="Z560" s="18">
        <f>ROUND(R560*'Data-CostAssumptions'!$C$3,-3)</f>
        <v>282000</v>
      </c>
      <c r="AA560" s="11">
        <f t="shared" si="17"/>
        <v>0</v>
      </c>
      <c r="AB560" s="11">
        <v>2041</v>
      </c>
      <c r="AC560" s="11">
        <v>2041</v>
      </c>
      <c r="AD560" s="11">
        <v>2041</v>
      </c>
      <c r="AE560" s="11">
        <v>2041</v>
      </c>
      <c r="AF560" s="11">
        <v>0</v>
      </c>
      <c r="AG560" s="19">
        <f>ROUND((Z560*'Data-CostAssumptions'!$G$5)*(1+'Data-CostAssumptions'!$G$3)^(AC560-'Data-CostAssumptions'!$G$4),-3)</f>
        <v>159000</v>
      </c>
      <c r="AH560" s="19">
        <f>ROUND((Z560)*(1+'Data-CostAssumptions'!$G$3)^(AE560-'Data-CostAssumptions'!$G$4),-3)</f>
        <v>723000</v>
      </c>
    </row>
    <row r="561" spans="1:34" ht="15" customHeight="1" x14ac:dyDescent="0.2">
      <c r="A561" s="11"/>
      <c r="B561" s="11" t="s">
        <v>1211</v>
      </c>
      <c r="C561" s="13">
        <v>349</v>
      </c>
      <c r="D561" s="13" t="s">
        <v>420</v>
      </c>
      <c r="E561" s="20">
        <v>36</v>
      </c>
      <c r="F561" s="20">
        <v>160</v>
      </c>
      <c r="G561" s="20">
        <v>560</v>
      </c>
      <c r="H561" s="13" t="s">
        <v>1968</v>
      </c>
      <c r="I561" s="13" t="str">
        <f t="shared" si="16"/>
        <v>Taft St (NW 93rd Av to Hiatus Rd)</v>
      </c>
      <c r="J561" s="13" t="s">
        <v>27</v>
      </c>
      <c r="K561" s="13" t="str">
        <f>VLOOKUP(J561,'Data-ProjectTypes'!A$3:B$13,2,FALSE)</f>
        <v>Program</v>
      </c>
      <c r="L561" s="21" t="s">
        <v>348</v>
      </c>
      <c r="M561" s="13" t="s">
        <v>2395</v>
      </c>
      <c r="N561" s="13" t="s">
        <v>1752</v>
      </c>
      <c r="O561" s="13" t="s">
        <v>271</v>
      </c>
      <c r="P561" s="13" t="s">
        <v>271</v>
      </c>
      <c r="Q561" s="22">
        <v>1.9</v>
      </c>
      <c r="R561" s="23">
        <v>679043</v>
      </c>
      <c r="S561" s="21"/>
      <c r="T561" s="21"/>
      <c r="U561" s="21"/>
      <c r="V561" s="24"/>
      <c r="W561" s="24"/>
      <c r="X561" s="28"/>
      <c r="Y561" s="17"/>
      <c r="Z561" s="18">
        <f>ROUND(R561*'Data-CostAssumptions'!$C$3,-3)</f>
        <v>940000</v>
      </c>
      <c r="AA561" s="11">
        <f t="shared" si="17"/>
        <v>0</v>
      </c>
      <c r="AB561" s="11">
        <v>2041</v>
      </c>
      <c r="AC561" s="11">
        <v>2041</v>
      </c>
      <c r="AD561" s="11">
        <v>2041</v>
      </c>
      <c r="AE561" s="11">
        <v>2041</v>
      </c>
      <c r="AF561" s="11">
        <v>0</v>
      </c>
      <c r="AG561" s="19">
        <f>ROUND((Z561*'Data-CostAssumptions'!$G$5)*(1+'Data-CostAssumptions'!$G$3)^(AC561-'Data-CostAssumptions'!$G$4),-3)</f>
        <v>530000</v>
      </c>
      <c r="AH561" s="19">
        <f>ROUND((Z561)*(1+'Data-CostAssumptions'!$G$3)^(AE561-'Data-CostAssumptions'!$G$4),-3)</f>
        <v>2410000</v>
      </c>
    </row>
    <row r="562" spans="1:34" ht="15" customHeight="1" x14ac:dyDescent="0.2">
      <c r="A562" s="11"/>
      <c r="B562" s="11" t="s">
        <v>1211</v>
      </c>
      <c r="C562" s="13">
        <v>350</v>
      </c>
      <c r="D562" s="13" t="s">
        <v>420</v>
      </c>
      <c r="E562" s="20">
        <v>37</v>
      </c>
      <c r="F562" s="20">
        <v>160</v>
      </c>
      <c r="G562" s="20">
        <v>561</v>
      </c>
      <c r="H562" s="13" t="s">
        <v>177</v>
      </c>
      <c r="I562" s="13" t="str">
        <f t="shared" si="16"/>
        <v>Stirling Rd (University Dr to Just east of NW 90th Av)</v>
      </c>
      <c r="J562" s="13" t="s">
        <v>27</v>
      </c>
      <c r="K562" s="13" t="str">
        <f>VLOOKUP(J562,'Data-ProjectTypes'!A$3:B$13,2,FALSE)</f>
        <v>Program</v>
      </c>
      <c r="L562" s="21" t="s">
        <v>348</v>
      </c>
      <c r="M562" s="13" t="s">
        <v>1804</v>
      </c>
      <c r="N562" s="13" t="s">
        <v>2267</v>
      </c>
      <c r="O562" s="13" t="s">
        <v>273</v>
      </c>
      <c r="P562" s="13" t="s">
        <v>273</v>
      </c>
      <c r="Q562" s="22">
        <v>0.9</v>
      </c>
      <c r="R562" s="23">
        <v>326150</v>
      </c>
      <c r="S562" s="21" t="s">
        <v>24</v>
      </c>
      <c r="T562" s="21" t="s">
        <v>25</v>
      </c>
      <c r="U562" s="21"/>
      <c r="V562" s="24"/>
      <c r="W562" s="24"/>
      <c r="X562" s="24"/>
      <c r="Y562" s="17" t="s">
        <v>469</v>
      </c>
      <c r="Z562" s="18">
        <f>ROUND(R562*'Data-CostAssumptions'!$C$3,-3)</f>
        <v>451000</v>
      </c>
      <c r="AA562" s="11">
        <f t="shared" si="17"/>
        <v>0</v>
      </c>
      <c r="AB562" s="11">
        <v>2041</v>
      </c>
      <c r="AC562" s="11">
        <v>2041</v>
      </c>
      <c r="AD562" s="11">
        <v>2041</v>
      </c>
      <c r="AE562" s="11">
        <v>2041</v>
      </c>
      <c r="AF562" s="11">
        <v>0</v>
      </c>
      <c r="AG562" s="19">
        <f>ROUND((Z562*'Data-CostAssumptions'!$G$5)*(1+'Data-CostAssumptions'!$G$3)^(AC562-'Data-CostAssumptions'!$G$4),-3)</f>
        <v>254000</v>
      </c>
      <c r="AH562" s="19">
        <f>ROUND((Z562)*(1+'Data-CostAssumptions'!$G$3)^(AE562-'Data-CostAssumptions'!$G$4),-3)</f>
        <v>1156000</v>
      </c>
    </row>
    <row r="563" spans="1:34" ht="15" customHeight="1" x14ac:dyDescent="0.2">
      <c r="A563" s="11"/>
      <c r="B563" s="11" t="s">
        <v>1211</v>
      </c>
      <c r="C563" s="13">
        <v>351</v>
      </c>
      <c r="D563" s="13" t="s">
        <v>420</v>
      </c>
      <c r="E563" s="20">
        <v>38</v>
      </c>
      <c r="F563" s="20">
        <v>160</v>
      </c>
      <c r="G563" s="20">
        <v>562</v>
      </c>
      <c r="H563" s="13" t="s">
        <v>266</v>
      </c>
      <c r="I563" s="13" t="str">
        <f t="shared" si="16"/>
        <v>Pine Island Rd (SW 57th St to Griffin Rd)</v>
      </c>
      <c r="J563" s="13" t="s">
        <v>27</v>
      </c>
      <c r="K563" s="13" t="str">
        <f>VLOOKUP(J563,'Data-ProjectTypes'!A$3:B$13,2,FALSE)</f>
        <v>Program</v>
      </c>
      <c r="L563" s="21" t="s">
        <v>348</v>
      </c>
      <c r="M563" s="13" t="s">
        <v>2553</v>
      </c>
      <c r="N563" s="13" t="s">
        <v>1750</v>
      </c>
      <c r="O563" s="13" t="s">
        <v>273</v>
      </c>
      <c r="P563" s="13" t="s">
        <v>273</v>
      </c>
      <c r="Q563" s="22">
        <v>1</v>
      </c>
      <c r="R563" s="23">
        <v>366964</v>
      </c>
      <c r="S563" s="21"/>
      <c r="T563" s="21"/>
      <c r="U563" s="21"/>
      <c r="V563" s="24"/>
      <c r="W563" s="24"/>
      <c r="X563" s="24"/>
      <c r="Y563" s="17"/>
      <c r="Z563" s="18">
        <f>ROUND(R563*'Data-CostAssumptions'!$C$3,-3)</f>
        <v>508000</v>
      </c>
      <c r="AA563" s="11">
        <f t="shared" si="17"/>
        <v>0</v>
      </c>
      <c r="AB563" s="11">
        <v>2041</v>
      </c>
      <c r="AC563" s="11">
        <v>2041</v>
      </c>
      <c r="AD563" s="11">
        <v>2041</v>
      </c>
      <c r="AE563" s="11">
        <v>2041</v>
      </c>
      <c r="AF563" s="11">
        <v>0</v>
      </c>
      <c r="AG563" s="19">
        <f>ROUND((Z563*'Data-CostAssumptions'!$G$5)*(1+'Data-CostAssumptions'!$G$3)^(AC563-'Data-CostAssumptions'!$G$4),-3)</f>
        <v>287000</v>
      </c>
      <c r="AH563" s="19">
        <f>ROUND((Z563)*(1+'Data-CostAssumptions'!$G$3)^(AE563-'Data-CostAssumptions'!$G$4),-3)</f>
        <v>1302000</v>
      </c>
    </row>
    <row r="564" spans="1:34" ht="15" customHeight="1" x14ac:dyDescent="0.2">
      <c r="A564" s="11"/>
      <c r="B564" s="11" t="s">
        <v>1211</v>
      </c>
      <c r="C564" s="13">
        <v>352</v>
      </c>
      <c r="D564" s="13" t="s">
        <v>420</v>
      </c>
      <c r="E564" s="20">
        <v>67</v>
      </c>
      <c r="F564" s="20">
        <v>160</v>
      </c>
      <c r="G564" s="20">
        <v>563</v>
      </c>
      <c r="H564" s="13" t="s">
        <v>2037</v>
      </c>
      <c r="I564" s="13" t="str">
        <f t="shared" si="16"/>
        <v>NE 7th Av (Just south of Taylor Lane to Eller Dr)</v>
      </c>
      <c r="J564" s="13" t="s">
        <v>27</v>
      </c>
      <c r="K564" s="13" t="str">
        <f>VLOOKUP(J564,'Data-ProjectTypes'!A$3:B$13,2,FALSE)</f>
        <v>Program</v>
      </c>
      <c r="L564" s="21" t="s">
        <v>348</v>
      </c>
      <c r="M564" s="13" t="s">
        <v>257</v>
      </c>
      <c r="N564" s="13" t="s">
        <v>1789</v>
      </c>
      <c r="O564" s="13" t="s">
        <v>286</v>
      </c>
      <c r="P564" s="13" t="s">
        <v>286</v>
      </c>
      <c r="Q564" s="22">
        <v>1.5</v>
      </c>
      <c r="R564" s="23">
        <v>531720</v>
      </c>
      <c r="S564" s="21"/>
      <c r="T564" s="21"/>
      <c r="U564" s="21"/>
      <c r="V564" s="24"/>
      <c r="W564" s="24"/>
      <c r="X564" s="34" t="s">
        <v>1174</v>
      </c>
      <c r="Y564" s="17" t="s">
        <v>1171</v>
      </c>
      <c r="Z564" s="18">
        <f>ROUND(R564*'Data-CostAssumptions'!$C$3,-3)</f>
        <v>736000</v>
      </c>
      <c r="AA564" s="11">
        <f t="shared" si="17"/>
        <v>0</v>
      </c>
      <c r="AB564" s="11">
        <v>2041</v>
      </c>
      <c r="AC564" s="11">
        <v>2041</v>
      </c>
      <c r="AD564" s="11">
        <v>2041</v>
      </c>
      <c r="AE564" s="11">
        <v>2041</v>
      </c>
      <c r="AF564" s="11">
        <v>0</v>
      </c>
      <c r="AG564" s="19">
        <f>ROUND((Z564*'Data-CostAssumptions'!$G$5)*(1+'Data-CostAssumptions'!$G$3)^(AC564-'Data-CostAssumptions'!$G$4),-3)</f>
        <v>415000</v>
      </c>
      <c r="AH564" s="19">
        <f>ROUND((Z564)*(1+'Data-CostAssumptions'!$G$3)^(AE564-'Data-CostAssumptions'!$G$4),-3)</f>
        <v>1887000</v>
      </c>
    </row>
    <row r="565" spans="1:34" ht="15" customHeight="1" x14ac:dyDescent="0.2">
      <c r="A565" s="11"/>
      <c r="B565" s="11" t="s">
        <v>1211</v>
      </c>
      <c r="C565" s="13">
        <v>353</v>
      </c>
      <c r="D565" s="13" t="s">
        <v>420</v>
      </c>
      <c r="E565" s="20">
        <v>69</v>
      </c>
      <c r="F565" s="20">
        <v>160</v>
      </c>
      <c r="G565" s="20">
        <v>564</v>
      </c>
      <c r="H565" s="13" t="s">
        <v>1789</v>
      </c>
      <c r="I565" s="13" t="str">
        <f t="shared" si="16"/>
        <v>Eller Dr (I-595 Ramp to Andrews Av Intersection)</v>
      </c>
      <c r="J565" s="13" t="s">
        <v>27</v>
      </c>
      <c r="K565" s="13" t="str">
        <f>VLOOKUP(J565,'Data-ProjectTypes'!A$3:B$13,2,FALSE)</f>
        <v>Program</v>
      </c>
      <c r="L565" s="21" t="s">
        <v>348</v>
      </c>
      <c r="M565" s="13" t="s">
        <v>219</v>
      </c>
      <c r="N565" s="13" t="s">
        <v>2218</v>
      </c>
      <c r="O565" s="13" t="s">
        <v>272</v>
      </c>
      <c r="P565" s="13" t="s">
        <v>272</v>
      </c>
      <c r="Q565" s="22">
        <v>0.6</v>
      </c>
      <c r="R565" s="23">
        <v>203531</v>
      </c>
      <c r="S565" s="21"/>
      <c r="T565" s="21"/>
      <c r="U565" s="21"/>
      <c r="V565" s="24"/>
      <c r="W565" s="24"/>
      <c r="X565" s="24"/>
      <c r="Y565" s="17"/>
      <c r="Z565" s="18">
        <f>ROUND(R565*'Data-CostAssumptions'!$C$3,-3)</f>
        <v>282000</v>
      </c>
      <c r="AA565" s="11">
        <f t="shared" si="17"/>
        <v>0</v>
      </c>
      <c r="AB565" s="11">
        <v>2041</v>
      </c>
      <c r="AC565" s="11">
        <v>2041</v>
      </c>
      <c r="AD565" s="11">
        <v>2041</v>
      </c>
      <c r="AE565" s="11">
        <v>2041</v>
      </c>
      <c r="AF565" s="11">
        <v>0</v>
      </c>
      <c r="AG565" s="19">
        <f>ROUND((Z565*'Data-CostAssumptions'!$G$5)*(1+'Data-CostAssumptions'!$G$3)^(AC565-'Data-CostAssumptions'!$G$4),-3)</f>
        <v>159000</v>
      </c>
      <c r="AH565" s="19">
        <f>ROUND((Z565)*(1+'Data-CostAssumptions'!$G$3)^(AE565-'Data-CostAssumptions'!$G$4),-3)</f>
        <v>723000</v>
      </c>
    </row>
    <row r="566" spans="1:34" ht="15" customHeight="1" x14ac:dyDescent="0.2">
      <c r="A566" s="11"/>
      <c r="B566" s="11" t="s">
        <v>1211</v>
      </c>
      <c r="C566" s="13">
        <v>354</v>
      </c>
      <c r="D566" s="13" t="s">
        <v>420</v>
      </c>
      <c r="E566" s="20">
        <v>77</v>
      </c>
      <c r="F566" s="20">
        <v>160</v>
      </c>
      <c r="G566" s="20">
        <v>565</v>
      </c>
      <c r="H566" s="13" t="s">
        <v>2048</v>
      </c>
      <c r="I566" s="13" t="str">
        <f t="shared" si="16"/>
        <v>NW 11th Av (SW 5th Place to NW 4th St)</v>
      </c>
      <c r="J566" s="13" t="s">
        <v>27</v>
      </c>
      <c r="K566" s="13" t="str">
        <f>VLOOKUP(J566,'Data-ProjectTypes'!A$3:B$13,2,FALSE)</f>
        <v>Program</v>
      </c>
      <c r="L566" s="21" t="s">
        <v>348</v>
      </c>
      <c r="M566" s="13" t="s">
        <v>218</v>
      </c>
      <c r="N566" s="13" t="s">
        <v>2536</v>
      </c>
      <c r="O566" s="13" t="s">
        <v>276</v>
      </c>
      <c r="P566" s="13" t="s">
        <v>276</v>
      </c>
      <c r="Q566" s="22">
        <v>0.7</v>
      </c>
      <c r="R566" s="23">
        <v>264401</v>
      </c>
      <c r="S566" s="21"/>
      <c r="T566" s="21"/>
      <c r="U566" s="21"/>
      <c r="V566" s="24"/>
      <c r="W566" s="24"/>
      <c r="X566" s="24"/>
      <c r="Y566" s="17"/>
      <c r="Z566" s="18">
        <f>ROUND(R566*'Data-CostAssumptions'!$C$3,-3)</f>
        <v>366000</v>
      </c>
      <c r="AA566" s="11">
        <f t="shared" si="17"/>
        <v>0</v>
      </c>
      <c r="AB566" s="11">
        <v>2041</v>
      </c>
      <c r="AC566" s="11">
        <v>2041</v>
      </c>
      <c r="AD566" s="11">
        <v>2041</v>
      </c>
      <c r="AE566" s="11">
        <v>2041</v>
      </c>
      <c r="AF566" s="11">
        <v>0</v>
      </c>
      <c r="AG566" s="19">
        <f>ROUND((Z566*'Data-CostAssumptions'!$G$5)*(1+'Data-CostAssumptions'!$G$3)^(AC566-'Data-CostAssumptions'!$G$4),-3)</f>
        <v>206000</v>
      </c>
      <c r="AH566" s="19">
        <f>ROUND((Z566)*(1+'Data-CostAssumptions'!$G$3)^(AE566-'Data-CostAssumptions'!$G$4),-3)</f>
        <v>938000</v>
      </c>
    </row>
    <row r="567" spans="1:34" ht="15" customHeight="1" x14ac:dyDescent="0.2">
      <c r="A567" s="11"/>
      <c r="B567" s="11" t="s">
        <v>1211</v>
      </c>
      <c r="C567" s="13">
        <v>355</v>
      </c>
      <c r="D567" s="13" t="s">
        <v>420</v>
      </c>
      <c r="E567" s="20">
        <v>78</v>
      </c>
      <c r="F567" s="20">
        <v>160</v>
      </c>
      <c r="G567" s="20">
        <v>566</v>
      </c>
      <c r="H567" s="13" t="s">
        <v>1982</v>
      </c>
      <c r="I567" s="13" t="str">
        <f t="shared" si="16"/>
        <v>NW 7th Av (Sunrise Bl to NW 18th St)</v>
      </c>
      <c r="J567" s="13" t="s">
        <v>27</v>
      </c>
      <c r="K567" s="13" t="str">
        <f>VLOOKUP(J567,'Data-ProjectTypes'!A$3:B$13,2,FALSE)</f>
        <v>Program</v>
      </c>
      <c r="L567" s="21" t="s">
        <v>348</v>
      </c>
      <c r="M567" s="13" t="s">
        <v>1830</v>
      </c>
      <c r="N567" s="13" t="s">
        <v>2480</v>
      </c>
      <c r="O567" s="13" t="s">
        <v>276</v>
      </c>
      <c r="P567" s="13" t="s">
        <v>276</v>
      </c>
      <c r="Q567" s="22">
        <v>1</v>
      </c>
      <c r="R567" s="23">
        <v>370638</v>
      </c>
      <c r="S567" s="21"/>
      <c r="T567" s="21"/>
      <c r="U567" s="21"/>
      <c r="V567" s="24"/>
      <c r="W567" s="24"/>
      <c r="X567" s="24"/>
      <c r="Y567" s="17"/>
      <c r="Z567" s="18">
        <f>ROUND(R567*'Data-CostAssumptions'!$C$3,-3)</f>
        <v>513000</v>
      </c>
      <c r="AA567" s="11">
        <f t="shared" si="17"/>
        <v>0</v>
      </c>
      <c r="AB567" s="11">
        <v>2041</v>
      </c>
      <c r="AC567" s="11">
        <v>2041</v>
      </c>
      <c r="AD567" s="11">
        <v>2041</v>
      </c>
      <c r="AE567" s="11">
        <v>2041</v>
      </c>
      <c r="AF567" s="11">
        <v>0</v>
      </c>
      <c r="AG567" s="19">
        <f>ROUND((Z567*'Data-CostAssumptions'!$G$5)*(1+'Data-CostAssumptions'!$G$3)^(AC567-'Data-CostAssumptions'!$G$4),-3)</f>
        <v>289000</v>
      </c>
      <c r="AH567" s="19">
        <f>ROUND((Z567)*(1+'Data-CostAssumptions'!$G$3)^(AE567-'Data-CostAssumptions'!$G$4),-3)</f>
        <v>1315000</v>
      </c>
    </row>
    <row r="568" spans="1:34" ht="15" customHeight="1" x14ac:dyDescent="0.2">
      <c r="A568" s="11"/>
      <c r="B568" s="11" t="s">
        <v>1211</v>
      </c>
      <c r="C568" s="13">
        <v>356</v>
      </c>
      <c r="D568" s="13" t="s">
        <v>420</v>
      </c>
      <c r="E568" s="20">
        <v>81</v>
      </c>
      <c r="F568" s="20">
        <v>160</v>
      </c>
      <c r="G568" s="20">
        <v>567</v>
      </c>
      <c r="H568" s="13" t="s">
        <v>1781</v>
      </c>
      <c r="I568" s="13" t="str">
        <f t="shared" si="16"/>
        <v>Bayview Dr (Middle River Dr to NE 30th Place)</v>
      </c>
      <c r="J568" s="13" t="s">
        <v>27</v>
      </c>
      <c r="K568" s="13" t="str">
        <f>VLOOKUP(J568,'Data-ProjectTypes'!A$3:B$13,2,FALSE)</f>
        <v>Program</v>
      </c>
      <c r="L568" s="21" t="s">
        <v>348</v>
      </c>
      <c r="M568" s="13" t="s">
        <v>2646</v>
      </c>
      <c r="N568" s="13" t="s">
        <v>216</v>
      </c>
      <c r="O568" s="13" t="s">
        <v>276</v>
      </c>
      <c r="P568" s="13" t="s">
        <v>276</v>
      </c>
      <c r="Q568" s="22">
        <v>1.9</v>
      </c>
      <c r="R568" s="23">
        <v>693756</v>
      </c>
      <c r="S568" s="21"/>
      <c r="T568" s="21"/>
      <c r="U568" s="21"/>
      <c r="V568" s="24"/>
      <c r="W568" s="24"/>
      <c r="X568" s="24"/>
      <c r="Y568" s="17"/>
      <c r="Z568" s="18">
        <f>ROUND(R568*'Data-CostAssumptions'!$C$3,-3)</f>
        <v>960000</v>
      </c>
      <c r="AA568" s="11">
        <f t="shared" si="17"/>
        <v>0</v>
      </c>
      <c r="AB568" s="11">
        <v>2041</v>
      </c>
      <c r="AC568" s="11">
        <v>2041</v>
      </c>
      <c r="AD568" s="11">
        <v>2041</v>
      </c>
      <c r="AE568" s="11">
        <v>2041</v>
      </c>
      <c r="AF568" s="11">
        <v>0</v>
      </c>
      <c r="AG568" s="19">
        <f>ROUND((Z568*'Data-CostAssumptions'!$G$5)*(1+'Data-CostAssumptions'!$G$3)^(AC568-'Data-CostAssumptions'!$G$4),-3)</f>
        <v>542000</v>
      </c>
      <c r="AH568" s="19">
        <f>ROUND((Z568)*(1+'Data-CostAssumptions'!$G$3)^(AE568-'Data-CostAssumptions'!$G$4),-3)</f>
        <v>2461000</v>
      </c>
    </row>
    <row r="569" spans="1:34" ht="15" customHeight="1" x14ac:dyDescent="0.2">
      <c r="A569" s="11"/>
      <c r="B569" s="11" t="s">
        <v>1211</v>
      </c>
      <c r="C569" s="13">
        <v>357</v>
      </c>
      <c r="D569" s="13" t="s">
        <v>420</v>
      </c>
      <c r="E569" s="20">
        <v>82</v>
      </c>
      <c r="F569" s="20">
        <v>160</v>
      </c>
      <c r="G569" s="20">
        <v>568</v>
      </c>
      <c r="H569" s="13" t="s">
        <v>1884</v>
      </c>
      <c r="I569" s="13" t="str">
        <f t="shared" si="16"/>
        <v>NE 12th St/Middle River Dr (NE 11th St to Oakland Park Bl)</v>
      </c>
      <c r="J569" s="13" t="s">
        <v>27</v>
      </c>
      <c r="K569" s="13" t="str">
        <f>VLOOKUP(J569,'Data-ProjectTypes'!A$3:B$13,2,FALSE)</f>
        <v>Program</v>
      </c>
      <c r="L569" s="21" t="s">
        <v>348</v>
      </c>
      <c r="M569" s="13" t="s">
        <v>2503</v>
      </c>
      <c r="N569" s="13" t="s">
        <v>1825</v>
      </c>
      <c r="O569" s="13" t="s">
        <v>276</v>
      </c>
      <c r="P569" s="13" t="s">
        <v>276</v>
      </c>
      <c r="Q569" s="22">
        <v>2</v>
      </c>
      <c r="R569" s="23">
        <v>731431</v>
      </c>
      <c r="S569" s="21"/>
      <c r="T569" s="21"/>
      <c r="U569" s="21"/>
      <c r="V569" s="24"/>
      <c r="W569" s="24"/>
      <c r="X569" s="24"/>
      <c r="Y569" s="17"/>
      <c r="Z569" s="18">
        <f>ROUND(R569*'Data-CostAssumptions'!$C$3,-3)</f>
        <v>1012000</v>
      </c>
      <c r="AA569" s="11">
        <f t="shared" si="17"/>
        <v>0</v>
      </c>
      <c r="AB569" s="11">
        <v>2041</v>
      </c>
      <c r="AC569" s="11">
        <v>2041</v>
      </c>
      <c r="AD569" s="11">
        <v>2041</v>
      </c>
      <c r="AE569" s="11">
        <v>2041</v>
      </c>
      <c r="AF569" s="11">
        <v>0</v>
      </c>
      <c r="AG569" s="19">
        <f>ROUND((Z569*'Data-CostAssumptions'!$G$5)*(1+'Data-CostAssumptions'!$G$3)^(AC569-'Data-CostAssumptions'!$G$4),-3)</f>
        <v>571000</v>
      </c>
      <c r="AH569" s="19">
        <f>ROUND((Z569)*(1+'Data-CostAssumptions'!$G$3)^(AE569-'Data-CostAssumptions'!$G$4),-3)</f>
        <v>2595000</v>
      </c>
    </row>
    <row r="570" spans="1:34" ht="15" customHeight="1" x14ac:dyDescent="0.2">
      <c r="A570" s="11"/>
      <c r="B570" s="11" t="s">
        <v>1211</v>
      </c>
      <c r="C570" s="13">
        <v>358</v>
      </c>
      <c r="D570" s="13" t="s">
        <v>420</v>
      </c>
      <c r="E570" s="20">
        <v>84</v>
      </c>
      <c r="F570" s="20">
        <v>160</v>
      </c>
      <c r="G570" s="20">
        <v>569</v>
      </c>
      <c r="H570" s="13" t="s">
        <v>2710</v>
      </c>
      <c r="I570" s="13" t="str">
        <f t="shared" si="16"/>
        <v>SR 816/Oakland Park Bl (Access Rd to Federal Hwy)</v>
      </c>
      <c r="J570" s="13" t="s">
        <v>27</v>
      </c>
      <c r="K570" s="13" t="str">
        <f>VLOOKUP(J570,'Data-ProjectTypes'!A$3:B$13,2,FALSE)</f>
        <v>Program</v>
      </c>
      <c r="L570" s="21" t="s">
        <v>348</v>
      </c>
      <c r="M570" s="13" t="s">
        <v>1743</v>
      </c>
      <c r="N570" s="13" t="s">
        <v>2595</v>
      </c>
      <c r="O570" s="13" t="s">
        <v>270</v>
      </c>
      <c r="P570" s="13" t="s">
        <v>270</v>
      </c>
      <c r="Q570" s="22">
        <v>0.8</v>
      </c>
      <c r="R570" s="23">
        <v>298804</v>
      </c>
      <c r="S570" s="21"/>
      <c r="T570" s="21"/>
      <c r="U570" s="21"/>
      <c r="V570" s="24"/>
      <c r="W570" s="24"/>
      <c r="X570" s="24"/>
      <c r="Y570" s="17"/>
      <c r="Z570" s="18">
        <f>ROUND(R570*'Data-CostAssumptions'!$C$3,-3)</f>
        <v>414000</v>
      </c>
      <c r="AA570" s="11">
        <f t="shared" si="17"/>
        <v>0</v>
      </c>
      <c r="AB570" s="11">
        <v>2041</v>
      </c>
      <c r="AC570" s="11">
        <v>2041</v>
      </c>
      <c r="AD570" s="11">
        <v>2041</v>
      </c>
      <c r="AE570" s="11">
        <v>2041</v>
      </c>
      <c r="AF570" s="11">
        <v>0</v>
      </c>
      <c r="AG570" s="19">
        <f>ROUND((Z570*'Data-CostAssumptions'!$G$5)*(1+'Data-CostAssumptions'!$G$3)^(AC570-'Data-CostAssumptions'!$G$4),-3)</f>
        <v>234000</v>
      </c>
      <c r="AH570" s="19">
        <f>ROUND((Z570)*(1+'Data-CostAssumptions'!$G$3)^(AE570-'Data-CostAssumptions'!$G$4),-3)</f>
        <v>1061000</v>
      </c>
    </row>
    <row r="571" spans="1:34" ht="15" customHeight="1" x14ac:dyDescent="0.2">
      <c r="A571" s="11"/>
      <c r="B571" s="11" t="s">
        <v>1211</v>
      </c>
      <c r="C571" s="13">
        <v>359</v>
      </c>
      <c r="D571" s="13" t="s">
        <v>420</v>
      </c>
      <c r="E571" s="20">
        <v>94</v>
      </c>
      <c r="F571" s="20">
        <v>161</v>
      </c>
      <c r="G571" s="20">
        <v>570</v>
      </c>
      <c r="H571" s="13" t="s">
        <v>1948</v>
      </c>
      <c r="I571" s="13" t="str">
        <f t="shared" si="16"/>
        <v>SE 6th St/SE 5th Court (Just east of SE 10th Av to Cypress Rd)</v>
      </c>
      <c r="J571" s="13" t="s">
        <v>27</v>
      </c>
      <c r="K571" s="13" t="str">
        <f>VLOOKUP(J571,'Data-ProjectTypes'!A$3:B$13,2,FALSE)</f>
        <v>Program</v>
      </c>
      <c r="L571" s="21" t="s">
        <v>348</v>
      </c>
      <c r="M571" s="13" t="s">
        <v>2378</v>
      </c>
      <c r="N571" s="13" t="s">
        <v>1843</v>
      </c>
      <c r="O571" s="13" t="s">
        <v>275</v>
      </c>
      <c r="P571" s="13" t="s">
        <v>275</v>
      </c>
      <c r="Q571" s="22">
        <v>1.4</v>
      </c>
      <c r="R571" s="23">
        <v>519108</v>
      </c>
      <c r="S571" s="21"/>
      <c r="T571" s="21"/>
      <c r="U571" s="21"/>
      <c r="V571" s="24"/>
      <c r="W571" s="24"/>
      <c r="X571" s="24" t="s">
        <v>767</v>
      </c>
      <c r="Y571" s="17" t="s">
        <v>765</v>
      </c>
      <c r="Z571" s="18">
        <f>ROUND(R571*'Data-CostAssumptions'!$C$3,-3)</f>
        <v>718000</v>
      </c>
      <c r="AA571" s="11">
        <f t="shared" si="17"/>
        <v>0</v>
      </c>
      <c r="AB571" s="11">
        <v>2041</v>
      </c>
      <c r="AC571" s="11">
        <v>2041</v>
      </c>
      <c r="AD571" s="11">
        <v>2041</v>
      </c>
      <c r="AE571" s="11">
        <v>2041</v>
      </c>
      <c r="AF571" s="11">
        <v>0</v>
      </c>
      <c r="AG571" s="19">
        <f>ROUND((Z571*'Data-CostAssumptions'!$G$5)*(1+'Data-CostAssumptions'!$G$3)^(AC571-'Data-CostAssumptions'!$G$4),-3)</f>
        <v>405000</v>
      </c>
      <c r="AH571" s="19">
        <f>ROUND((Z571)*(1+'Data-CostAssumptions'!$G$3)^(AE571-'Data-CostAssumptions'!$G$4),-3)</f>
        <v>1841000</v>
      </c>
    </row>
    <row r="572" spans="1:34" ht="15" customHeight="1" x14ac:dyDescent="0.2">
      <c r="A572" s="11"/>
      <c r="B572" s="11" t="s">
        <v>1211</v>
      </c>
      <c r="C572" s="13">
        <v>360</v>
      </c>
      <c r="D572" s="13" t="s">
        <v>420</v>
      </c>
      <c r="E572" s="20">
        <v>104</v>
      </c>
      <c r="F572" s="20">
        <v>161</v>
      </c>
      <c r="G572" s="20">
        <v>571</v>
      </c>
      <c r="H572" s="13" t="s">
        <v>1940</v>
      </c>
      <c r="I572" s="13" t="str">
        <f t="shared" si="16"/>
        <v>SE 15th St/NE 54th St (Federal Hwy to NE 15th Av)</v>
      </c>
      <c r="J572" s="13" t="s">
        <v>27</v>
      </c>
      <c r="K572" s="13" t="str">
        <f>VLOOKUP(J572,'Data-ProjectTypes'!A$3:B$13,2,FALSE)</f>
        <v>Program</v>
      </c>
      <c r="L572" s="21" t="s">
        <v>348</v>
      </c>
      <c r="M572" s="13" t="s">
        <v>2595</v>
      </c>
      <c r="N572" s="13" t="s">
        <v>2024</v>
      </c>
      <c r="O572" s="13" t="s">
        <v>289</v>
      </c>
      <c r="P572" s="13" t="s">
        <v>289</v>
      </c>
      <c r="Q572" s="22">
        <v>0.4</v>
      </c>
      <c r="R572" s="23">
        <v>157302</v>
      </c>
      <c r="S572" s="21" t="s">
        <v>24</v>
      </c>
      <c r="T572" s="21" t="s">
        <v>25</v>
      </c>
      <c r="U572" s="21"/>
      <c r="V572" s="24"/>
      <c r="W572" s="24"/>
      <c r="X572" s="24"/>
      <c r="Y572" s="17" t="s">
        <v>492</v>
      </c>
      <c r="Z572" s="18">
        <f>ROUND(R572*'Data-CostAssumptions'!$C$3,-3)</f>
        <v>218000</v>
      </c>
      <c r="AA572" s="11">
        <f t="shared" si="17"/>
        <v>0</v>
      </c>
      <c r="AB572" s="11">
        <v>2041</v>
      </c>
      <c r="AC572" s="11">
        <v>2041</v>
      </c>
      <c r="AD572" s="11">
        <v>2041</v>
      </c>
      <c r="AE572" s="11">
        <v>2041</v>
      </c>
      <c r="AF572" s="11">
        <v>0</v>
      </c>
      <c r="AG572" s="19">
        <f>ROUND((Z572*'Data-CostAssumptions'!$G$5)*(1+'Data-CostAssumptions'!$G$3)^(AC572-'Data-CostAssumptions'!$G$4),-3)</f>
        <v>123000</v>
      </c>
      <c r="AH572" s="19">
        <f>ROUND((Z572)*(1+'Data-CostAssumptions'!$G$3)^(AE572-'Data-CostAssumptions'!$G$4),-3)</f>
        <v>559000</v>
      </c>
    </row>
    <row r="573" spans="1:34" ht="15" customHeight="1" x14ac:dyDescent="0.2">
      <c r="A573" s="11"/>
      <c r="B573" s="11" t="s">
        <v>1211</v>
      </c>
      <c r="C573" s="13">
        <v>361</v>
      </c>
      <c r="D573" s="13" t="s">
        <v>420</v>
      </c>
      <c r="E573" s="20">
        <v>106</v>
      </c>
      <c r="F573" s="20">
        <v>161</v>
      </c>
      <c r="G573" s="20">
        <v>572</v>
      </c>
      <c r="H573" s="13" t="s">
        <v>2755</v>
      </c>
      <c r="I573" s="13" t="str">
        <f t="shared" si="16"/>
        <v>SR 811/Dixie Hwy (Sample Rd to NE 48th St)</v>
      </c>
      <c r="J573" s="13" t="s">
        <v>27</v>
      </c>
      <c r="K573" s="13" t="str">
        <f>VLOOKUP(J573,'Data-ProjectTypes'!A$3:B$13,2,FALSE)</f>
        <v>Program</v>
      </c>
      <c r="L573" s="21" t="s">
        <v>348</v>
      </c>
      <c r="M573" s="13" t="s">
        <v>1864</v>
      </c>
      <c r="N573" s="13" t="s">
        <v>1895</v>
      </c>
      <c r="O573" s="13" t="s">
        <v>270</v>
      </c>
      <c r="P573" s="13" t="s">
        <v>270</v>
      </c>
      <c r="Q573" s="22">
        <v>1</v>
      </c>
      <c r="R573" s="23">
        <v>376314</v>
      </c>
      <c r="S573" s="21"/>
      <c r="T573" s="21"/>
      <c r="U573" s="21"/>
      <c r="V573" s="24"/>
      <c r="W573" s="24" t="s">
        <v>491</v>
      </c>
      <c r="X573" s="24"/>
      <c r="Y573" s="17" t="s">
        <v>492</v>
      </c>
      <c r="Z573" s="18">
        <f>ROUND(R573*'Data-CostAssumptions'!$C$3,-3)</f>
        <v>521000</v>
      </c>
      <c r="AA573" s="11">
        <f t="shared" si="17"/>
        <v>1</v>
      </c>
      <c r="AB573" s="11">
        <v>2041</v>
      </c>
      <c r="AC573" s="11">
        <v>2041</v>
      </c>
      <c r="AD573" s="11">
        <v>2041</v>
      </c>
      <c r="AE573" s="11">
        <v>2041</v>
      </c>
      <c r="AF573" s="11">
        <v>0</v>
      </c>
      <c r="AG573" s="19">
        <f>ROUND((Z573*'Data-CostAssumptions'!$G$5)*(1+'Data-CostAssumptions'!$G$3)^(AC573-'Data-CostAssumptions'!$G$4),-3)</f>
        <v>294000</v>
      </c>
      <c r="AH573" s="19">
        <f>ROUND((Z573)*(1+'Data-CostAssumptions'!$G$3)^(AE573-'Data-CostAssumptions'!$G$4),-3)</f>
        <v>1336000</v>
      </c>
    </row>
    <row r="574" spans="1:34" ht="15" customHeight="1" x14ac:dyDescent="0.2">
      <c r="A574" s="11"/>
      <c r="B574" s="11" t="s">
        <v>1211</v>
      </c>
      <c r="C574" s="13">
        <v>362</v>
      </c>
      <c r="D574" s="13" t="s">
        <v>420</v>
      </c>
      <c r="E574" s="20">
        <v>115</v>
      </c>
      <c r="F574" s="20">
        <v>161</v>
      </c>
      <c r="G574" s="20">
        <v>573</v>
      </c>
      <c r="H574" s="13" t="s">
        <v>2734</v>
      </c>
      <c r="I574" s="13" t="str">
        <f t="shared" si="16"/>
        <v>SR 814/Atlantic Bl (I-95 to Powerline Rd)</v>
      </c>
      <c r="J574" s="13" t="s">
        <v>27</v>
      </c>
      <c r="K574" s="13" t="str">
        <f>VLOOKUP(J574,'Data-ProjectTypes'!A$3:B$13,2,FALSE)</f>
        <v>Program</v>
      </c>
      <c r="L574" s="21" t="s">
        <v>348</v>
      </c>
      <c r="M574" s="13" t="s">
        <v>41</v>
      </c>
      <c r="N574" s="13" t="s">
        <v>1858</v>
      </c>
      <c r="O574" s="13" t="s">
        <v>270</v>
      </c>
      <c r="P574" s="13" t="s">
        <v>270</v>
      </c>
      <c r="Q574" s="22">
        <v>1.3</v>
      </c>
      <c r="R574" s="23">
        <v>451321</v>
      </c>
      <c r="S574" s="21"/>
      <c r="T574" s="21"/>
      <c r="U574" s="21"/>
      <c r="V574" s="24"/>
      <c r="W574" s="24"/>
      <c r="X574" s="24"/>
      <c r="Y574" s="17"/>
      <c r="Z574" s="18">
        <f>ROUND(R574*'Data-CostAssumptions'!$C$3,-3)</f>
        <v>625000</v>
      </c>
      <c r="AA574" s="11">
        <f t="shared" si="17"/>
        <v>0</v>
      </c>
      <c r="AB574" s="11">
        <v>2041</v>
      </c>
      <c r="AC574" s="11">
        <v>2041</v>
      </c>
      <c r="AD574" s="11">
        <v>2041</v>
      </c>
      <c r="AE574" s="11">
        <v>2041</v>
      </c>
      <c r="AF574" s="11">
        <v>0</v>
      </c>
      <c r="AG574" s="19">
        <f>ROUND((Z574*'Data-CostAssumptions'!$G$5)*(1+'Data-CostAssumptions'!$G$3)^(AC574-'Data-CostAssumptions'!$G$4),-3)</f>
        <v>353000</v>
      </c>
      <c r="AH574" s="19">
        <f>ROUND((Z574)*(1+'Data-CostAssumptions'!$G$3)^(AE574-'Data-CostAssumptions'!$G$4),-3)</f>
        <v>1602000</v>
      </c>
    </row>
    <row r="575" spans="1:34" ht="15" customHeight="1" x14ac:dyDescent="0.2">
      <c r="A575" s="11"/>
      <c r="B575" s="11" t="s">
        <v>1211</v>
      </c>
      <c r="C575" s="13">
        <v>363</v>
      </c>
      <c r="D575" s="13" t="s">
        <v>420</v>
      </c>
      <c r="E575" s="20">
        <v>116</v>
      </c>
      <c r="F575" s="20">
        <v>161</v>
      </c>
      <c r="G575" s="20">
        <v>574</v>
      </c>
      <c r="H575" s="13" t="s">
        <v>2734</v>
      </c>
      <c r="I575" s="13" t="str">
        <f t="shared" si="16"/>
        <v>SR 814/Atlantic Bl (SR 845 / Powerline Rd to NW 31st Rd)</v>
      </c>
      <c r="J575" s="13" t="s">
        <v>27</v>
      </c>
      <c r="K575" s="13" t="str">
        <f>VLOOKUP(J575,'Data-ProjectTypes'!A$3:B$13,2,FALSE)</f>
        <v>Program</v>
      </c>
      <c r="L575" s="21" t="s">
        <v>348</v>
      </c>
      <c r="M575" s="13" t="s">
        <v>2210</v>
      </c>
      <c r="N575" s="13" t="s">
        <v>2401</v>
      </c>
      <c r="O575" s="13" t="s">
        <v>270</v>
      </c>
      <c r="P575" s="13" t="s">
        <v>270</v>
      </c>
      <c r="Q575" s="22">
        <v>0.5</v>
      </c>
      <c r="R575" s="23">
        <v>195026</v>
      </c>
      <c r="S575" s="21"/>
      <c r="T575" s="21"/>
      <c r="U575" s="21"/>
      <c r="V575" s="24"/>
      <c r="W575" s="24"/>
      <c r="X575" s="24"/>
      <c r="Y575" s="17"/>
      <c r="Z575" s="18">
        <f>ROUND(R575*'Data-CostAssumptions'!$C$3,-3)</f>
        <v>270000</v>
      </c>
      <c r="AA575" s="11">
        <f t="shared" si="17"/>
        <v>0</v>
      </c>
      <c r="AB575" s="11">
        <v>2041</v>
      </c>
      <c r="AC575" s="11">
        <v>2041</v>
      </c>
      <c r="AD575" s="11">
        <v>2041</v>
      </c>
      <c r="AE575" s="11">
        <v>2041</v>
      </c>
      <c r="AF575" s="11">
        <v>0</v>
      </c>
      <c r="AG575" s="19">
        <f>ROUND((Z575*'Data-CostAssumptions'!$G$5)*(1+'Data-CostAssumptions'!$G$3)^(AC575-'Data-CostAssumptions'!$G$4),-3)</f>
        <v>152000</v>
      </c>
      <c r="AH575" s="19">
        <f>ROUND((Z575)*(1+'Data-CostAssumptions'!$G$3)^(AE575-'Data-CostAssumptions'!$G$4),-3)</f>
        <v>692000</v>
      </c>
    </row>
    <row r="576" spans="1:34" ht="15" customHeight="1" x14ac:dyDescent="0.2">
      <c r="A576" s="11"/>
      <c r="B576" s="11" t="s">
        <v>1211</v>
      </c>
      <c r="C576" s="13">
        <v>364</v>
      </c>
      <c r="D576" s="13" t="s">
        <v>420</v>
      </c>
      <c r="E576" s="20">
        <v>118</v>
      </c>
      <c r="F576" s="20">
        <v>161</v>
      </c>
      <c r="G576" s="20">
        <v>575</v>
      </c>
      <c r="H576" s="13" t="s">
        <v>1751</v>
      </c>
      <c r="I576" s="13" t="str">
        <f t="shared" si="16"/>
        <v>Hammondville Rd (SR 845 / Powerline Rd to NW 31st Av)</v>
      </c>
      <c r="J576" s="13" t="s">
        <v>27</v>
      </c>
      <c r="K576" s="13" t="str">
        <f>VLOOKUP(J576,'Data-ProjectTypes'!A$3:B$13,2,FALSE)</f>
        <v>Program</v>
      </c>
      <c r="L576" s="21" t="s">
        <v>348</v>
      </c>
      <c r="M576" s="13" t="s">
        <v>2210</v>
      </c>
      <c r="N576" s="13" t="s">
        <v>2062</v>
      </c>
      <c r="O576" s="13" t="s">
        <v>275</v>
      </c>
      <c r="P576" s="13" t="s">
        <v>275</v>
      </c>
      <c r="Q576" s="22">
        <v>0.9</v>
      </c>
      <c r="R576" s="23">
        <v>305108</v>
      </c>
      <c r="S576" s="21"/>
      <c r="T576" s="21"/>
      <c r="U576" s="21"/>
      <c r="V576" s="24"/>
      <c r="W576" s="24"/>
      <c r="X576" s="24"/>
      <c r="Y576" s="17"/>
      <c r="Z576" s="18">
        <f>ROUND(R576*'Data-CostAssumptions'!$C$3,-3)</f>
        <v>422000</v>
      </c>
      <c r="AA576" s="11">
        <f t="shared" si="17"/>
        <v>0</v>
      </c>
      <c r="AB576" s="11">
        <v>2041</v>
      </c>
      <c r="AC576" s="11">
        <v>2041</v>
      </c>
      <c r="AD576" s="11">
        <v>2041</v>
      </c>
      <c r="AE576" s="11">
        <v>2041</v>
      </c>
      <c r="AF576" s="11">
        <v>0</v>
      </c>
      <c r="AG576" s="19">
        <f>ROUND((Z576*'Data-CostAssumptions'!$G$5)*(1+'Data-CostAssumptions'!$G$3)^(AC576-'Data-CostAssumptions'!$G$4),-3)</f>
        <v>238000</v>
      </c>
      <c r="AH576" s="19">
        <f>ROUND((Z576)*(1+'Data-CostAssumptions'!$G$3)^(AE576-'Data-CostAssumptions'!$G$4),-3)</f>
        <v>1082000</v>
      </c>
    </row>
    <row r="577" spans="1:34" ht="15" customHeight="1" x14ac:dyDescent="0.2">
      <c r="A577" s="11"/>
      <c r="B577" s="11" t="s">
        <v>1211</v>
      </c>
      <c r="C577" s="13">
        <v>365</v>
      </c>
      <c r="D577" s="13" t="s">
        <v>420</v>
      </c>
      <c r="E577" s="20">
        <v>125</v>
      </c>
      <c r="F577" s="20">
        <v>161</v>
      </c>
      <c r="G577" s="20">
        <v>576</v>
      </c>
      <c r="H577" s="13" t="s">
        <v>1979</v>
      </c>
      <c r="I577" s="13" t="str">
        <f t="shared" si="16"/>
        <v>Pompano Pkwy/Powerline Rd (McNab Rd to Atlantic Bl)</v>
      </c>
      <c r="J577" s="13" t="s">
        <v>27</v>
      </c>
      <c r="K577" s="13" t="str">
        <f>VLOOKUP(J577,'Data-ProjectTypes'!A$3:B$13,2,FALSE)</f>
        <v>Program</v>
      </c>
      <c r="L577" s="21" t="s">
        <v>348</v>
      </c>
      <c r="M577" s="13" t="s">
        <v>1854</v>
      </c>
      <c r="N577" s="13" t="s">
        <v>1809</v>
      </c>
      <c r="O577" s="13" t="s">
        <v>270</v>
      </c>
      <c r="P577" s="13" t="s">
        <v>270</v>
      </c>
      <c r="Q577" s="22">
        <v>1.2</v>
      </c>
      <c r="R577" s="23">
        <v>434030</v>
      </c>
      <c r="S577" s="21"/>
      <c r="T577" s="21"/>
      <c r="U577" s="21"/>
      <c r="V577" s="24"/>
      <c r="W577" s="24"/>
      <c r="X577" s="24"/>
      <c r="Y577" s="17"/>
      <c r="Z577" s="18">
        <f>ROUND(R577*'Data-CostAssumptions'!$C$3,-3)</f>
        <v>601000</v>
      </c>
      <c r="AA577" s="11">
        <f t="shared" si="17"/>
        <v>0</v>
      </c>
      <c r="AB577" s="11">
        <v>2041</v>
      </c>
      <c r="AC577" s="11">
        <v>2041</v>
      </c>
      <c r="AD577" s="11">
        <v>2041</v>
      </c>
      <c r="AE577" s="11">
        <v>2041</v>
      </c>
      <c r="AF577" s="11">
        <v>0</v>
      </c>
      <c r="AG577" s="19">
        <f>ROUND((Z577*'Data-CostAssumptions'!$G$5)*(1+'Data-CostAssumptions'!$G$3)^(AC577-'Data-CostAssumptions'!$G$4),-3)</f>
        <v>339000</v>
      </c>
      <c r="AH577" s="19">
        <f>ROUND((Z577)*(1+'Data-CostAssumptions'!$G$3)^(AE577-'Data-CostAssumptions'!$G$4),-3)</f>
        <v>1541000</v>
      </c>
    </row>
    <row r="578" spans="1:34" ht="15" customHeight="1" x14ac:dyDescent="0.2">
      <c r="A578" s="11"/>
      <c r="B578" s="11" t="s">
        <v>1211</v>
      </c>
      <c r="C578" s="13">
        <v>366</v>
      </c>
      <c r="D578" s="13" t="s">
        <v>420</v>
      </c>
      <c r="E578" s="20">
        <v>126</v>
      </c>
      <c r="F578" s="20">
        <v>161</v>
      </c>
      <c r="G578" s="20">
        <v>577</v>
      </c>
      <c r="H578" s="13" t="s">
        <v>1777</v>
      </c>
      <c r="I578" s="13" t="str">
        <f t="shared" ref="I578:I641" si="18">IF(M578="@",H578&amp;" ("&amp;M578&amp;"  "&amp;N578&amp;")",H578&amp;" ("&amp;M578&amp;" to "&amp;N578&amp;")")</f>
        <v>West McNab Rd (Powerline Rd to NW 21st Av)</v>
      </c>
      <c r="J578" s="13" t="s">
        <v>27</v>
      </c>
      <c r="K578" s="13" t="str">
        <f>VLOOKUP(J578,'Data-ProjectTypes'!A$3:B$13,2,FALSE)</f>
        <v>Program</v>
      </c>
      <c r="L578" s="21" t="s">
        <v>348</v>
      </c>
      <c r="M578" s="13" t="s">
        <v>1858</v>
      </c>
      <c r="N578" s="13" t="s">
        <v>2057</v>
      </c>
      <c r="O578" s="13" t="s">
        <v>273</v>
      </c>
      <c r="P578" s="13" t="s">
        <v>273</v>
      </c>
      <c r="Q578" s="22">
        <v>1</v>
      </c>
      <c r="R578" s="23">
        <v>353507</v>
      </c>
      <c r="S578" s="21"/>
      <c r="T578" s="21"/>
      <c r="U578" s="21"/>
      <c r="V578" s="24"/>
      <c r="W578" s="24"/>
      <c r="X578" s="24"/>
      <c r="Y578" s="17"/>
      <c r="Z578" s="18">
        <f>ROUND(R578*'Data-CostAssumptions'!$C$3,-3)</f>
        <v>489000</v>
      </c>
      <c r="AA578" s="11">
        <f t="shared" si="17"/>
        <v>0</v>
      </c>
      <c r="AB578" s="11">
        <v>2041</v>
      </c>
      <c r="AC578" s="11">
        <v>2041</v>
      </c>
      <c r="AD578" s="11">
        <v>2041</v>
      </c>
      <c r="AE578" s="11">
        <v>2041</v>
      </c>
      <c r="AF578" s="11">
        <v>0</v>
      </c>
      <c r="AG578" s="19">
        <f>ROUND((Z578*'Data-CostAssumptions'!$G$5)*(1+'Data-CostAssumptions'!$G$3)^(AC578-'Data-CostAssumptions'!$G$4),-3)</f>
        <v>276000</v>
      </c>
      <c r="AH578" s="19">
        <f>ROUND((Z578)*(1+'Data-CostAssumptions'!$G$3)^(AE578-'Data-CostAssumptions'!$G$4),-3)</f>
        <v>1254000</v>
      </c>
    </row>
    <row r="579" spans="1:34" ht="15" customHeight="1" x14ac:dyDescent="0.2">
      <c r="A579" s="11"/>
      <c r="B579" s="11" t="s">
        <v>1211</v>
      </c>
      <c r="C579" s="13">
        <v>367</v>
      </c>
      <c r="D579" s="13" t="s">
        <v>420</v>
      </c>
      <c r="E579" s="20">
        <v>128</v>
      </c>
      <c r="F579" s="20">
        <v>161</v>
      </c>
      <c r="G579" s="20">
        <v>578</v>
      </c>
      <c r="H579" s="13" t="s">
        <v>2054</v>
      </c>
      <c r="I579" s="13" t="str">
        <f t="shared" si="18"/>
        <v>NW 15th Av (NW 62nd St/Cypress Creek Rd to McNab Rd)</v>
      </c>
      <c r="J579" s="13" t="s">
        <v>27</v>
      </c>
      <c r="K579" s="13" t="str">
        <f>VLOOKUP(J579,'Data-ProjectTypes'!A$3:B$13,2,FALSE)</f>
        <v>Program</v>
      </c>
      <c r="L579" s="21" t="s">
        <v>348</v>
      </c>
      <c r="M579" s="13" t="s">
        <v>1928</v>
      </c>
      <c r="N579" s="13" t="s">
        <v>1854</v>
      </c>
      <c r="O579" s="13" t="s">
        <v>273</v>
      </c>
      <c r="P579" s="13" t="s">
        <v>273</v>
      </c>
      <c r="Q579" s="22">
        <v>0.5</v>
      </c>
      <c r="R579" s="23">
        <v>182971</v>
      </c>
      <c r="S579" s="21"/>
      <c r="T579" s="21"/>
      <c r="U579" s="21"/>
      <c r="V579" s="24"/>
      <c r="W579" s="24"/>
      <c r="X579" s="24"/>
      <c r="Y579" s="17"/>
      <c r="Z579" s="18">
        <f>ROUND(R579*'Data-CostAssumptions'!$C$3,-3)</f>
        <v>253000</v>
      </c>
      <c r="AA579" s="11">
        <f t="shared" ref="AA579:AA642" si="19">IF(V579="",IF(W579="",0,1),1)</f>
        <v>0</v>
      </c>
      <c r="AB579" s="11">
        <v>2041</v>
      </c>
      <c r="AC579" s="11">
        <v>2041</v>
      </c>
      <c r="AD579" s="11">
        <v>2041</v>
      </c>
      <c r="AE579" s="11">
        <v>2041</v>
      </c>
      <c r="AF579" s="11">
        <v>0</v>
      </c>
      <c r="AG579" s="19">
        <f>ROUND((Z579*'Data-CostAssumptions'!$G$5)*(1+'Data-CostAssumptions'!$G$3)^(AC579-'Data-CostAssumptions'!$G$4),-3)</f>
        <v>143000</v>
      </c>
      <c r="AH579" s="19">
        <f>ROUND((Z579)*(1+'Data-CostAssumptions'!$G$3)^(AE579-'Data-CostAssumptions'!$G$4),-3)</f>
        <v>649000</v>
      </c>
    </row>
    <row r="580" spans="1:34" ht="15" customHeight="1" x14ac:dyDescent="0.2">
      <c r="A580" s="11"/>
      <c r="B580" s="11" t="s">
        <v>1211</v>
      </c>
      <c r="C580" s="13">
        <v>368</v>
      </c>
      <c r="D580" s="13" t="s">
        <v>420</v>
      </c>
      <c r="E580" s="20">
        <v>129</v>
      </c>
      <c r="F580" s="20">
        <v>161</v>
      </c>
      <c r="G580" s="20">
        <v>579</v>
      </c>
      <c r="H580" s="13" t="s">
        <v>2051</v>
      </c>
      <c r="I580" s="13" t="str">
        <f t="shared" si="18"/>
        <v>NW 12th Av (NW 62nd St/Cypress Creek Rd to McNab Rd)</v>
      </c>
      <c r="J580" s="13" t="s">
        <v>27</v>
      </c>
      <c r="K580" s="13" t="str">
        <f>VLOOKUP(J580,'Data-ProjectTypes'!A$3:B$13,2,FALSE)</f>
        <v>Program</v>
      </c>
      <c r="L580" s="21" t="s">
        <v>348</v>
      </c>
      <c r="M580" s="13" t="s">
        <v>1928</v>
      </c>
      <c r="N580" s="13" t="s">
        <v>1854</v>
      </c>
      <c r="O580" s="13" t="s">
        <v>273</v>
      </c>
      <c r="P580" s="13" t="s">
        <v>273</v>
      </c>
      <c r="Q580" s="22">
        <v>0.5</v>
      </c>
      <c r="R580" s="23">
        <v>185455</v>
      </c>
      <c r="S580" s="21"/>
      <c r="T580" s="21"/>
      <c r="U580" s="21"/>
      <c r="V580" s="24"/>
      <c r="W580" s="24"/>
      <c r="X580" s="24"/>
      <c r="Y580" s="17"/>
      <c r="Z580" s="18">
        <f>ROUND(R580*'Data-CostAssumptions'!$C$3,-3)</f>
        <v>257000</v>
      </c>
      <c r="AA580" s="11">
        <f t="shared" si="19"/>
        <v>0</v>
      </c>
      <c r="AB580" s="11">
        <v>2041</v>
      </c>
      <c r="AC580" s="11">
        <v>2041</v>
      </c>
      <c r="AD580" s="11">
        <v>2041</v>
      </c>
      <c r="AE580" s="11">
        <v>2041</v>
      </c>
      <c r="AF580" s="11">
        <v>0</v>
      </c>
      <c r="AG580" s="19">
        <f>ROUND((Z580*'Data-CostAssumptions'!$G$5)*(1+'Data-CostAssumptions'!$G$3)^(AC580-'Data-CostAssumptions'!$G$4),-3)</f>
        <v>145000</v>
      </c>
      <c r="AH580" s="19">
        <f>ROUND((Z580)*(1+'Data-CostAssumptions'!$G$3)^(AE580-'Data-CostAssumptions'!$G$4),-3)</f>
        <v>659000</v>
      </c>
    </row>
    <row r="581" spans="1:34" ht="15" customHeight="1" x14ac:dyDescent="0.2">
      <c r="A581" s="11"/>
      <c r="B581" s="11" t="s">
        <v>1211</v>
      </c>
      <c r="C581" s="13">
        <v>369</v>
      </c>
      <c r="D581" s="13" t="s">
        <v>420</v>
      </c>
      <c r="E581" s="20">
        <v>135</v>
      </c>
      <c r="F581" s="20">
        <v>161</v>
      </c>
      <c r="G581" s="20">
        <v>580</v>
      </c>
      <c r="H581" s="13" t="s">
        <v>2062</v>
      </c>
      <c r="I581" s="13" t="str">
        <f t="shared" si="18"/>
        <v>NW 31st Av (NW 39th Av to Commercial Bl)</v>
      </c>
      <c r="J581" s="13" t="s">
        <v>27</v>
      </c>
      <c r="K581" s="13" t="str">
        <f>VLOOKUP(J581,'Data-ProjectTypes'!A$3:B$13,2,FALSE)</f>
        <v>Program</v>
      </c>
      <c r="L581" s="21" t="s">
        <v>348</v>
      </c>
      <c r="M581" s="13" t="s">
        <v>2266</v>
      </c>
      <c r="N581" s="13" t="s">
        <v>1813</v>
      </c>
      <c r="O581" s="13" t="s">
        <v>273</v>
      </c>
      <c r="P581" s="13" t="s">
        <v>273</v>
      </c>
      <c r="Q581" s="22">
        <v>0.8</v>
      </c>
      <c r="R581" s="23">
        <v>285091</v>
      </c>
      <c r="S581" s="21"/>
      <c r="T581" s="21"/>
      <c r="U581" s="21"/>
      <c r="V581" s="24"/>
      <c r="W581" s="24" t="s">
        <v>696</v>
      </c>
      <c r="X581" s="24"/>
      <c r="Y581" s="17" t="s">
        <v>287</v>
      </c>
      <c r="Z581" s="18">
        <f>ROUND(R581*'Data-CostAssumptions'!$C$3,-3)</f>
        <v>395000</v>
      </c>
      <c r="AA581" s="11">
        <f t="shared" si="19"/>
        <v>1</v>
      </c>
      <c r="AB581" s="11">
        <v>2041</v>
      </c>
      <c r="AC581" s="11">
        <v>2041</v>
      </c>
      <c r="AD581" s="11">
        <v>2041</v>
      </c>
      <c r="AE581" s="11">
        <v>2041</v>
      </c>
      <c r="AF581" s="11">
        <v>0</v>
      </c>
      <c r="AG581" s="19">
        <f>ROUND((Z581*'Data-CostAssumptions'!$G$5)*(1+'Data-CostAssumptions'!$G$3)^(AC581-'Data-CostAssumptions'!$G$4),-3)</f>
        <v>223000</v>
      </c>
      <c r="AH581" s="19">
        <f>ROUND((Z581)*(1+'Data-CostAssumptions'!$G$3)^(AE581-'Data-CostAssumptions'!$G$4),-3)</f>
        <v>1013000</v>
      </c>
    </row>
    <row r="582" spans="1:34" ht="15" customHeight="1" x14ac:dyDescent="0.2">
      <c r="A582" s="11"/>
      <c r="B582" s="11" t="s">
        <v>1211</v>
      </c>
      <c r="C582" s="13">
        <v>370</v>
      </c>
      <c r="D582" s="13" t="s">
        <v>420</v>
      </c>
      <c r="E582" s="20">
        <v>151</v>
      </c>
      <c r="F582" s="20">
        <v>161</v>
      </c>
      <c r="G582" s="20">
        <v>581</v>
      </c>
      <c r="H582" s="13" t="s">
        <v>2080</v>
      </c>
      <c r="I582" s="13" t="str">
        <f t="shared" si="18"/>
        <v>NW 80th Av/Lagos De Campo Bl (Pine Island Rd to Nob Hill Rd)</v>
      </c>
      <c r="J582" s="13" t="s">
        <v>27</v>
      </c>
      <c r="K582" s="13" t="str">
        <f>VLOOKUP(J582,'Data-ProjectTypes'!A$3:B$13,2,FALSE)</f>
        <v>Program</v>
      </c>
      <c r="L582" s="21" t="s">
        <v>348</v>
      </c>
      <c r="M582" s="13" t="s">
        <v>266</v>
      </c>
      <c r="N582" s="13" t="s">
        <v>1755</v>
      </c>
      <c r="O582" s="13" t="s">
        <v>280</v>
      </c>
      <c r="P582" s="13" t="s">
        <v>280</v>
      </c>
      <c r="Q582" s="22">
        <v>3.5</v>
      </c>
      <c r="R582" s="23">
        <v>1269952</v>
      </c>
      <c r="S582" s="21"/>
      <c r="T582" s="21"/>
      <c r="U582" s="21"/>
      <c r="V582" s="24"/>
      <c r="W582" s="24"/>
      <c r="X582" s="24"/>
      <c r="Y582" s="17"/>
      <c r="Z582" s="18">
        <f>ROUND(R582*'Data-CostAssumptions'!$C$3,-3)</f>
        <v>1758000</v>
      </c>
      <c r="AA582" s="11">
        <f t="shared" si="19"/>
        <v>0</v>
      </c>
      <c r="AB582" s="11">
        <v>2041</v>
      </c>
      <c r="AC582" s="11">
        <v>2041</v>
      </c>
      <c r="AD582" s="11">
        <v>2041</v>
      </c>
      <c r="AE582" s="11">
        <v>2041</v>
      </c>
      <c r="AF582" s="11">
        <v>0</v>
      </c>
      <c r="AG582" s="19">
        <f>ROUND((Z582*'Data-CostAssumptions'!$G$5)*(1+'Data-CostAssumptions'!$G$3)^(AC582-'Data-CostAssumptions'!$G$4),-3)</f>
        <v>992000</v>
      </c>
      <c r="AH582" s="19">
        <f>ROUND((Z582)*(1+'Data-CostAssumptions'!$G$3)^(AE582-'Data-CostAssumptions'!$G$4),-3)</f>
        <v>4507000</v>
      </c>
    </row>
    <row r="583" spans="1:34" ht="15" customHeight="1" x14ac:dyDescent="0.2">
      <c r="A583" s="11"/>
      <c r="B583" s="11" t="s">
        <v>1211</v>
      </c>
      <c r="C583" s="13">
        <v>371</v>
      </c>
      <c r="D583" s="13" t="s">
        <v>420</v>
      </c>
      <c r="E583" s="20">
        <v>161</v>
      </c>
      <c r="F583" s="20">
        <v>161</v>
      </c>
      <c r="G583" s="20">
        <v>582</v>
      </c>
      <c r="H583" s="13" t="s">
        <v>1799</v>
      </c>
      <c r="I583" s="13" t="str">
        <f t="shared" si="18"/>
        <v>Riverside Dr (Shadowwood Bl to Royal Palm Bl)</v>
      </c>
      <c r="J583" s="13" t="s">
        <v>27</v>
      </c>
      <c r="K583" s="13" t="str">
        <f>VLOOKUP(J583,'Data-ProjectTypes'!A$3:B$13,2,FALSE)</f>
        <v>Program</v>
      </c>
      <c r="L583" s="21" t="s">
        <v>348</v>
      </c>
      <c r="M583" s="13" t="s">
        <v>2331</v>
      </c>
      <c r="N583" s="13" t="s">
        <v>1827</v>
      </c>
      <c r="O583" s="13" t="s">
        <v>273</v>
      </c>
      <c r="P583" s="13" t="s">
        <v>273</v>
      </c>
      <c r="Q583" s="22">
        <v>0.9</v>
      </c>
      <c r="R583" s="23">
        <v>306608</v>
      </c>
      <c r="S583" s="21"/>
      <c r="T583" s="21"/>
      <c r="U583" s="21"/>
      <c r="V583" s="24"/>
      <c r="W583" s="24"/>
      <c r="X583" s="24"/>
      <c r="Y583" s="17"/>
      <c r="Z583" s="18">
        <f>ROUND(R583*'Data-CostAssumptions'!$C$3,-3)</f>
        <v>424000</v>
      </c>
      <c r="AA583" s="11">
        <f t="shared" si="19"/>
        <v>0</v>
      </c>
      <c r="AB583" s="11">
        <v>2041</v>
      </c>
      <c r="AC583" s="11">
        <v>2041</v>
      </c>
      <c r="AD583" s="11">
        <v>2041</v>
      </c>
      <c r="AE583" s="11">
        <v>2041</v>
      </c>
      <c r="AF583" s="11">
        <v>0</v>
      </c>
      <c r="AG583" s="19">
        <f>ROUND((Z583*'Data-CostAssumptions'!$G$5)*(1+'Data-CostAssumptions'!$G$3)^(AC583-'Data-CostAssumptions'!$G$4),-3)</f>
        <v>239000</v>
      </c>
      <c r="AH583" s="19">
        <f>ROUND((Z583)*(1+'Data-CostAssumptions'!$G$3)^(AE583-'Data-CostAssumptions'!$G$4),-3)</f>
        <v>1087000</v>
      </c>
    </row>
    <row r="584" spans="1:34" ht="15" customHeight="1" x14ac:dyDescent="0.2">
      <c r="A584" s="11"/>
      <c r="B584" s="11" t="s">
        <v>1211</v>
      </c>
      <c r="C584" s="13">
        <v>372</v>
      </c>
      <c r="D584" s="13" t="s">
        <v>420</v>
      </c>
      <c r="E584" s="20">
        <v>171</v>
      </c>
      <c r="F584" s="20">
        <v>161</v>
      </c>
      <c r="G584" s="20">
        <v>583</v>
      </c>
      <c r="H584" s="13" t="s">
        <v>57</v>
      </c>
      <c r="I584" s="13" t="str">
        <f t="shared" si="18"/>
        <v>SR 7/US 441 (Johnson Rd to North of Loxahatchee Rd)</v>
      </c>
      <c r="J584" s="13" t="s">
        <v>27</v>
      </c>
      <c r="K584" s="13" t="str">
        <f>VLOOKUP(J584,'Data-ProjectTypes'!A$3:B$13,2,FALSE)</f>
        <v>Program</v>
      </c>
      <c r="L584" s="21" t="s">
        <v>348</v>
      </c>
      <c r="M584" s="13" t="s">
        <v>1850</v>
      </c>
      <c r="N584" s="13" t="s">
        <v>2431</v>
      </c>
      <c r="O584" s="13" t="s">
        <v>270</v>
      </c>
      <c r="P584" s="13" t="s">
        <v>270</v>
      </c>
      <c r="Q584" s="22">
        <v>1.1000000000000001</v>
      </c>
      <c r="R584" s="23">
        <v>409067</v>
      </c>
      <c r="S584" s="21"/>
      <c r="T584" s="21"/>
      <c r="U584" s="21"/>
      <c r="V584" s="24"/>
      <c r="W584" s="24"/>
      <c r="X584" s="24"/>
      <c r="Y584" s="17"/>
      <c r="Z584" s="18">
        <f>ROUND(R584*'Data-CostAssumptions'!$C$3,-3)</f>
        <v>566000</v>
      </c>
      <c r="AA584" s="11">
        <f t="shared" si="19"/>
        <v>0</v>
      </c>
      <c r="AB584" s="11">
        <v>2041</v>
      </c>
      <c r="AC584" s="11">
        <v>2041</v>
      </c>
      <c r="AD584" s="11">
        <v>2041</v>
      </c>
      <c r="AE584" s="11">
        <v>2041</v>
      </c>
      <c r="AF584" s="11">
        <v>0</v>
      </c>
      <c r="AG584" s="19">
        <f>ROUND((Z584*'Data-CostAssumptions'!$G$5)*(1+'Data-CostAssumptions'!$G$3)^(AC584-'Data-CostAssumptions'!$G$4),-3)</f>
        <v>319000</v>
      </c>
      <c r="AH584" s="19">
        <f>ROUND((Z584)*(1+'Data-CostAssumptions'!$G$3)^(AE584-'Data-CostAssumptions'!$G$4),-3)</f>
        <v>1451000</v>
      </c>
    </row>
    <row r="585" spans="1:34" ht="15" customHeight="1" x14ac:dyDescent="0.2">
      <c r="A585" s="11"/>
      <c r="B585" s="11" t="s">
        <v>1211</v>
      </c>
      <c r="C585" s="13">
        <v>373</v>
      </c>
      <c r="D585" s="13" t="s">
        <v>420</v>
      </c>
      <c r="E585" s="20">
        <v>192</v>
      </c>
      <c r="F585" s="20">
        <v>161</v>
      </c>
      <c r="G585" s="20">
        <v>584</v>
      </c>
      <c r="H585" s="13" t="s">
        <v>1951</v>
      </c>
      <c r="I585" s="13" t="str">
        <f t="shared" si="18"/>
        <v>Sheridan St (Flamingo Rd to Just west of I-75 west ramps)</v>
      </c>
      <c r="J585" s="13" t="s">
        <v>27</v>
      </c>
      <c r="K585" s="13" t="str">
        <f>VLOOKUP(J585,'Data-ProjectTypes'!A$3:B$13,2,FALSE)</f>
        <v>Program</v>
      </c>
      <c r="L585" s="21" t="s">
        <v>348</v>
      </c>
      <c r="M585" s="13" t="s">
        <v>159</v>
      </c>
      <c r="N585" s="13" t="s">
        <v>94</v>
      </c>
      <c r="O585" s="13" t="s">
        <v>273</v>
      </c>
      <c r="P585" s="13" t="s">
        <v>273</v>
      </c>
      <c r="Q585" s="22">
        <v>2.8</v>
      </c>
      <c r="R585" s="23">
        <v>992795</v>
      </c>
      <c r="S585" s="21" t="s">
        <v>24</v>
      </c>
      <c r="T585" s="21" t="s">
        <v>25</v>
      </c>
      <c r="U585" s="21"/>
      <c r="V585" s="24"/>
      <c r="W585" s="24"/>
      <c r="X585" s="24"/>
      <c r="Y585" s="17" t="s">
        <v>469</v>
      </c>
      <c r="Z585" s="18">
        <f>ROUND(R585*'Data-CostAssumptions'!$C$3,-3)</f>
        <v>1374000</v>
      </c>
      <c r="AA585" s="11">
        <f t="shared" si="19"/>
        <v>0</v>
      </c>
      <c r="AB585" s="11">
        <v>2041</v>
      </c>
      <c r="AC585" s="11">
        <v>2041</v>
      </c>
      <c r="AD585" s="11">
        <v>2041</v>
      </c>
      <c r="AE585" s="11">
        <v>2041</v>
      </c>
      <c r="AF585" s="11">
        <v>0</v>
      </c>
      <c r="AG585" s="19">
        <f>ROUND((Z585*'Data-CostAssumptions'!$G$5)*(1+'Data-CostAssumptions'!$G$3)^(AC585-'Data-CostAssumptions'!$G$4),-3)</f>
        <v>775000</v>
      </c>
      <c r="AH585" s="19">
        <f>ROUND((Z585)*(1+'Data-CostAssumptions'!$G$3)^(AE585-'Data-CostAssumptions'!$G$4),-3)</f>
        <v>3523000</v>
      </c>
    </row>
    <row r="586" spans="1:34" ht="15" customHeight="1" x14ac:dyDescent="0.2">
      <c r="A586" s="11"/>
      <c r="B586" s="11" t="s">
        <v>1211</v>
      </c>
      <c r="C586" s="13">
        <v>374</v>
      </c>
      <c r="D586" s="13" t="s">
        <v>420</v>
      </c>
      <c r="E586" s="20">
        <v>193</v>
      </c>
      <c r="F586" s="20">
        <v>162</v>
      </c>
      <c r="G586" s="20">
        <v>585</v>
      </c>
      <c r="H586" s="13" t="s">
        <v>1757</v>
      </c>
      <c r="I586" s="13" t="str">
        <f t="shared" si="18"/>
        <v>North Flamingo Rd (Pines Bl to Sheridan St)</v>
      </c>
      <c r="J586" s="13" t="s">
        <v>27</v>
      </c>
      <c r="K586" s="13" t="str">
        <f>VLOOKUP(J586,'Data-ProjectTypes'!A$3:B$13,2,FALSE)</f>
        <v>Program</v>
      </c>
      <c r="L586" s="21" t="s">
        <v>348</v>
      </c>
      <c r="M586" s="13" t="s">
        <v>1826</v>
      </c>
      <c r="N586" s="13" t="s">
        <v>1951</v>
      </c>
      <c r="O586" s="13" t="s">
        <v>270</v>
      </c>
      <c r="P586" s="13" t="s">
        <v>270</v>
      </c>
      <c r="Q586" s="22">
        <v>1</v>
      </c>
      <c r="R586" s="23">
        <v>359831</v>
      </c>
      <c r="S586" s="21"/>
      <c r="T586" s="21"/>
      <c r="U586" s="21"/>
      <c r="V586" s="24"/>
      <c r="W586" s="24"/>
      <c r="X586" s="24"/>
      <c r="Y586" s="17"/>
      <c r="Z586" s="18">
        <f>ROUND(R586*'Data-CostAssumptions'!$C$3,-3)</f>
        <v>498000</v>
      </c>
      <c r="AA586" s="11">
        <f t="shared" si="19"/>
        <v>0</v>
      </c>
      <c r="AB586" s="11">
        <v>2041</v>
      </c>
      <c r="AC586" s="11">
        <v>2041</v>
      </c>
      <c r="AD586" s="11">
        <v>2041</v>
      </c>
      <c r="AE586" s="11">
        <v>2041</v>
      </c>
      <c r="AF586" s="11">
        <v>0</v>
      </c>
      <c r="AG586" s="19">
        <f>ROUND((Z586*'Data-CostAssumptions'!$G$5)*(1+'Data-CostAssumptions'!$G$3)^(AC586-'Data-CostAssumptions'!$G$4),-3)</f>
        <v>281000</v>
      </c>
      <c r="AH586" s="19">
        <f>ROUND((Z586)*(1+'Data-CostAssumptions'!$G$3)^(AE586-'Data-CostAssumptions'!$G$4),-3)</f>
        <v>1277000</v>
      </c>
    </row>
    <row r="587" spans="1:34" ht="15" customHeight="1" x14ac:dyDescent="0.2">
      <c r="A587" s="11"/>
      <c r="B587" s="11" t="s">
        <v>1211</v>
      </c>
      <c r="C587" s="13">
        <v>375</v>
      </c>
      <c r="D587" s="13" t="s">
        <v>420</v>
      </c>
      <c r="E587" s="20">
        <v>203</v>
      </c>
      <c r="F587" s="20">
        <v>162</v>
      </c>
      <c r="G587" s="20">
        <v>586</v>
      </c>
      <c r="H587" s="13" t="s">
        <v>2709</v>
      </c>
      <c r="I587" s="13" t="str">
        <f t="shared" si="18"/>
        <v>SR 817/University Dr (Pines Bl to Just south of University Dr)</v>
      </c>
      <c r="J587" s="13" t="s">
        <v>27</v>
      </c>
      <c r="K587" s="13" t="str">
        <f>VLOOKUP(J587,'Data-ProjectTypes'!A$3:B$13,2,FALSE)</f>
        <v>Program</v>
      </c>
      <c r="L587" s="21" t="s">
        <v>348</v>
      </c>
      <c r="M587" s="13" t="s">
        <v>1826</v>
      </c>
      <c r="N587" s="13" t="s">
        <v>2662</v>
      </c>
      <c r="O587" s="13" t="s">
        <v>270</v>
      </c>
      <c r="P587" s="13" t="s">
        <v>270</v>
      </c>
      <c r="Q587" s="22">
        <v>0.3</v>
      </c>
      <c r="R587" s="23">
        <v>117449</v>
      </c>
      <c r="S587" s="21"/>
      <c r="T587" s="21"/>
      <c r="U587" s="21"/>
      <c r="V587" s="24"/>
      <c r="W587" s="24"/>
      <c r="X587" s="24"/>
      <c r="Y587" s="17"/>
      <c r="Z587" s="18">
        <f>ROUND(R587*'Data-CostAssumptions'!$C$3,-3)</f>
        <v>163000</v>
      </c>
      <c r="AA587" s="11">
        <f t="shared" si="19"/>
        <v>0</v>
      </c>
      <c r="AB587" s="11">
        <v>2041</v>
      </c>
      <c r="AC587" s="11">
        <v>2041</v>
      </c>
      <c r="AD587" s="11">
        <v>2041</v>
      </c>
      <c r="AE587" s="11">
        <v>2041</v>
      </c>
      <c r="AF587" s="11">
        <v>0</v>
      </c>
      <c r="AG587" s="19">
        <f>ROUND((Z587*'Data-CostAssumptions'!$G$5)*(1+'Data-CostAssumptions'!$G$3)^(AC587-'Data-CostAssumptions'!$G$4),-3)</f>
        <v>92000</v>
      </c>
      <c r="AH587" s="19">
        <f>ROUND((Z587)*(1+'Data-CostAssumptions'!$G$3)^(AE587-'Data-CostAssumptions'!$G$4),-3)</f>
        <v>418000</v>
      </c>
    </row>
    <row r="588" spans="1:34" ht="15" customHeight="1" x14ac:dyDescent="0.2">
      <c r="A588" s="11"/>
      <c r="B588" s="11" t="s">
        <v>1211</v>
      </c>
      <c r="C588" s="13">
        <v>376</v>
      </c>
      <c r="D588" s="13" t="s">
        <v>420</v>
      </c>
      <c r="E588" s="20">
        <v>214</v>
      </c>
      <c r="F588" s="20">
        <v>162</v>
      </c>
      <c r="G588" s="20">
        <v>587</v>
      </c>
      <c r="H588" s="13" t="s">
        <v>2738</v>
      </c>
      <c r="I588" s="13" t="str">
        <f t="shared" si="18"/>
        <v>SR 834/West Sample Rd (Just west of Lyons Rd to Turtle Creek Rd)</v>
      </c>
      <c r="J588" s="13" t="s">
        <v>27</v>
      </c>
      <c r="K588" s="13" t="str">
        <f>VLOOKUP(J588,'Data-ProjectTypes'!A$3:B$13,2,FALSE)</f>
        <v>Program</v>
      </c>
      <c r="L588" s="21" t="s">
        <v>348</v>
      </c>
      <c r="M588" s="13" t="s">
        <v>2470</v>
      </c>
      <c r="N588" s="13" t="s">
        <v>2469</v>
      </c>
      <c r="O588" s="13" t="s">
        <v>270</v>
      </c>
      <c r="P588" s="13" t="s">
        <v>270</v>
      </c>
      <c r="Q588" s="22">
        <v>0.8</v>
      </c>
      <c r="R588" s="23">
        <v>291887</v>
      </c>
      <c r="S588" s="21"/>
      <c r="T588" s="21"/>
      <c r="U588" s="21"/>
      <c r="V588" s="24"/>
      <c r="W588" s="24"/>
      <c r="X588" s="24"/>
      <c r="Y588" s="17"/>
      <c r="Z588" s="18">
        <f>ROUND(R588*'Data-CostAssumptions'!$C$3,-3)</f>
        <v>404000</v>
      </c>
      <c r="AA588" s="11">
        <f t="shared" si="19"/>
        <v>0</v>
      </c>
      <c r="AB588" s="11">
        <v>2041</v>
      </c>
      <c r="AC588" s="11">
        <v>2041</v>
      </c>
      <c r="AD588" s="11">
        <v>2041</v>
      </c>
      <c r="AE588" s="11">
        <v>2041</v>
      </c>
      <c r="AF588" s="11">
        <v>0</v>
      </c>
      <c r="AG588" s="19">
        <f>ROUND((Z588*'Data-CostAssumptions'!$G$5)*(1+'Data-CostAssumptions'!$G$3)^(AC588-'Data-CostAssumptions'!$G$4),-3)</f>
        <v>228000</v>
      </c>
      <c r="AH588" s="19">
        <f>ROUND((Z588)*(1+'Data-CostAssumptions'!$G$3)^(AE588-'Data-CostAssumptions'!$G$4),-3)</f>
        <v>1036000</v>
      </c>
    </row>
    <row r="589" spans="1:34" ht="15" customHeight="1" x14ac:dyDescent="0.2">
      <c r="A589" s="11"/>
      <c r="B589" s="11" t="s">
        <v>1211</v>
      </c>
      <c r="C589" s="13">
        <v>377</v>
      </c>
      <c r="D589" s="13" t="s">
        <v>420</v>
      </c>
      <c r="E589" s="20">
        <v>224</v>
      </c>
      <c r="F589" s="20">
        <v>162</v>
      </c>
      <c r="G589" s="20">
        <v>588</v>
      </c>
      <c r="H589" s="13" t="s">
        <v>2070</v>
      </c>
      <c r="I589" s="13" t="str">
        <f t="shared" si="18"/>
        <v>NW 47th Av (NW 16th St to NW 21st Av)</v>
      </c>
      <c r="J589" s="13" t="s">
        <v>27</v>
      </c>
      <c r="K589" s="13" t="str">
        <f>VLOOKUP(J589,'Data-ProjectTypes'!A$3:B$13,2,FALSE)</f>
        <v>Program</v>
      </c>
      <c r="L589" s="21" t="s">
        <v>348</v>
      </c>
      <c r="M589" s="13" t="s">
        <v>1910</v>
      </c>
      <c r="N589" s="13" t="s">
        <v>2057</v>
      </c>
      <c r="O589" s="13" t="s">
        <v>281</v>
      </c>
      <c r="P589" s="13" t="s">
        <v>281</v>
      </c>
      <c r="Q589" s="22">
        <v>0.6</v>
      </c>
      <c r="R589" s="23">
        <v>198445</v>
      </c>
      <c r="S589" s="21"/>
      <c r="T589" s="21"/>
      <c r="U589" s="21"/>
      <c r="V589" s="24"/>
      <c r="W589" s="24"/>
      <c r="X589" s="24"/>
      <c r="Y589" s="17"/>
      <c r="Z589" s="18">
        <f>ROUND(R589*'Data-CostAssumptions'!$C$3,-3)</f>
        <v>275000</v>
      </c>
      <c r="AA589" s="11">
        <f t="shared" si="19"/>
        <v>0</v>
      </c>
      <c r="AB589" s="11">
        <v>2041</v>
      </c>
      <c r="AC589" s="11">
        <v>2041</v>
      </c>
      <c r="AD589" s="11">
        <v>2041</v>
      </c>
      <c r="AE589" s="11">
        <v>2041</v>
      </c>
      <c r="AF589" s="11">
        <v>0</v>
      </c>
      <c r="AG589" s="19">
        <f>ROUND((Z589*'Data-CostAssumptions'!$G$5)*(1+'Data-CostAssumptions'!$G$3)^(AC589-'Data-CostAssumptions'!$G$4),-3)</f>
        <v>155000</v>
      </c>
      <c r="AH589" s="19">
        <f>ROUND((Z589)*(1+'Data-CostAssumptions'!$G$3)^(AE589-'Data-CostAssumptions'!$G$4),-3)</f>
        <v>705000</v>
      </c>
    </row>
    <row r="590" spans="1:34" ht="15" customHeight="1" x14ac:dyDescent="0.2">
      <c r="A590" s="11"/>
      <c r="B590" s="11" t="s">
        <v>1211</v>
      </c>
      <c r="C590" s="13">
        <v>378</v>
      </c>
      <c r="D590" s="13" t="s">
        <v>420</v>
      </c>
      <c r="E590" s="20">
        <v>239</v>
      </c>
      <c r="F590" s="20">
        <v>162</v>
      </c>
      <c r="G590" s="20">
        <v>589</v>
      </c>
      <c r="H590" s="13" t="s">
        <v>2709</v>
      </c>
      <c r="I590" s="13" t="str">
        <f t="shared" si="18"/>
        <v>SR 817/University Dr (NW 11th St to Marcano Bl)</v>
      </c>
      <c r="J590" s="13" t="s">
        <v>27</v>
      </c>
      <c r="K590" s="13" t="str">
        <f>VLOOKUP(J590,'Data-ProjectTypes'!A$3:B$13,2,FALSE)</f>
        <v>Program</v>
      </c>
      <c r="L590" s="21" t="s">
        <v>348</v>
      </c>
      <c r="M590" s="13" t="s">
        <v>2485</v>
      </c>
      <c r="N590" s="13" t="s">
        <v>2275</v>
      </c>
      <c r="O590" s="13" t="s">
        <v>270</v>
      </c>
      <c r="P590" s="13" t="s">
        <v>270</v>
      </c>
      <c r="Q590" s="22">
        <v>0.4</v>
      </c>
      <c r="R590" s="23">
        <v>135093</v>
      </c>
      <c r="S590" s="21"/>
      <c r="T590" s="21"/>
      <c r="U590" s="21"/>
      <c r="V590" s="24"/>
      <c r="W590" s="24"/>
      <c r="X590" s="24"/>
      <c r="Y590" s="17"/>
      <c r="Z590" s="18">
        <f>ROUND(R590*'Data-CostAssumptions'!$C$3,-3)</f>
        <v>187000</v>
      </c>
      <c r="AA590" s="11">
        <f t="shared" si="19"/>
        <v>0</v>
      </c>
      <c r="AB590" s="11">
        <v>2041</v>
      </c>
      <c r="AC590" s="11">
        <v>2041</v>
      </c>
      <c r="AD590" s="11">
        <v>2041</v>
      </c>
      <c r="AE590" s="11">
        <v>2041</v>
      </c>
      <c r="AF590" s="11">
        <v>0</v>
      </c>
      <c r="AG590" s="19">
        <f>ROUND((Z590*'Data-CostAssumptions'!$G$5)*(1+'Data-CostAssumptions'!$G$3)^(AC590-'Data-CostAssumptions'!$G$4),-3)</f>
        <v>105000</v>
      </c>
      <c r="AH590" s="19">
        <f>ROUND((Z590)*(1+'Data-CostAssumptions'!$G$3)^(AE590-'Data-CostAssumptions'!$G$4),-3)</f>
        <v>479000</v>
      </c>
    </row>
    <row r="591" spans="1:34" ht="15" customHeight="1" x14ac:dyDescent="0.2">
      <c r="A591" s="11"/>
      <c r="B591" s="11" t="s">
        <v>1211</v>
      </c>
      <c r="C591" s="13">
        <v>379</v>
      </c>
      <c r="D591" s="13" t="s">
        <v>420</v>
      </c>
      <c r="E591" s="20">
        <v>240</v>
      </c>
      <c r="F591" s="20">
        <v>162</v>
      </c>
      <c r="G591" s="20">
        <v>590</v>
      </c>
      <c r="H591" s="13" t="s">
        <v>1812</v>
      </c>
      <c r="I591" s="13" t="str">
        <f t="shared" si="18"/>
        <v>Cleary Bl (University Dr to American Expressway)</v>
      </c>
      <c r="J591" s="13" t="s">
        <v>27</v>
      </c>
      <c r="K591" s="13" t="str">
        <f>VLOOKUP(J591,'Data-ProjectTypes'!A$3:B$13,2,FALSE)</f>
        <v>Program</v>
      </c>
      <c r="L591" s="21" t="s">
        <v>348</v>
      </c>
      <c r="M591" s="13" t="s">
        <v>1804</v>
      </c>
      <c r="N591" s="13" t="s">
        <v>124</v>
      </c>
      <c r="O591" s="13" t="s">
        <v>284</v>
      </c>
      <c r="P591" s="13" t="s">
        <v>284</v>
      </c>
      <c r="Q591" s="22">
        <v>0.3</v>
      </c>
      <c r="R591" s="23">
        <v>104604</v>
      </c>
      <c r="S591" s="21"/>
      <c r="T591" s="21"/>
      <c r="U591" s="21"/>
      <c r="V591" s="24"/>
      <c r="W591" s="24"/>
      <c r="X591" s="28"/>
      <c r="Y591" s="17"/>
      <c r="Z591" s="18">
        <f>ROUND(R591*'Data-CostAssumptions'!$C$3,-3)</f>
        <v>145000</v>
      </c>
      <c r="AA591" s="11">
        <f t="shared" si="19"/>
        <v>0</v>
      </c>
      <c r="AB591" s="11">
        <v>2041</v>
      </c>
      <c r="AC591" s="11">
        <v>2041</v>
      </c>
      <c r="AD591" s="11">
        <v>2041</v>
      </c>
      <c r="AE591" s="11">
        <v>2041</v>
      </c>
      <c r="AF591" s="11">
        <v>0</v>
      </c>
      <c r="AG591" s="19">
        <f>ROUND((Z591*'Data-CostAssumptions'!$G$5)*(1+'Data-CostAssumptions'!$G$3)^(AC591-'Data-CostAssumptions'!$G$4),-3)</f>
        <v>82000</v>
      </c>
      <c r="AH591" s="19">
        <f>ROUND((Z591)*(1+'Data-CostAssumptions'!$G$3)^(AE591-'Data-CostAssumptions'!$G$4),-3)</f>
        <v>372000</v>
      </c>
    </row>
    <row r="592" spans="1:34" ht="15" customHeight="1" x14ac:dyDescent="0.2">
      <c r="A592" s="11"/>
      <c r="B592" s="11" t="s">
        <v>1211</v>
      </c>
      <c r="C592" s="13">
        <v>380</v>
      </c>
      <c r="D592" s="13" t="s">
        <v>420</v>
      </c>
      <c r="E592" s="20">
        <v>242</v>
      </c>
      <c r="F592" s="20">
        <v>162</v>
      </c>
      <c r="G592" s="20">
        <v>591</v>
      </c>
      <c r="H592" s="13" t="s">
        <v>2079</v>
      </c>
      <c r="I592" s="13" t="str">
        <f t="shared" si="18"/>
        <v>NW 72nd Av (NW 11th Place to NW 13th St)</v>
      </c>
      <c r="J592" s="13" t="s">
        <v>27</v>
      </c>
      <c r="K592" s="13" t="str">
        <f>VLOOKUP(J592,'Data-ProjectTypes'!A$3:B$13,2,FALSE)</f>
        <v>Program</v>
      </c>
      <c r="L592" s="21" t="s">
        <v>348</v>
      </c>
      <c r="M592" s="13" t="s">
        <v>123</v>
      </c>
      <c r="N592" s="13" t="s">
        <v>1908</v>
      </c>
      <c r="O592" s="13" t="s">
        <v>284</v>
      </c>
      <c r="P592" s="13" t="s">
        <v>284</v>
      </c>
      <c r="Q592" s="22">
        <v>0.2</v>
      </c>
      <c r="R592" s="23">
        <v>59802</v>
      </c>
      <c r="S592" s="21"/>
      <c r="T592" s="21"/>
      <c r="U592" s="21"/>
      <c r="V592" s="24"/>
      <c r="W592" s="24"/>
      <c r="X592" s="24"/>
      <c r="Y592" s="17"/>
      <c r="Z592" s="18">
        <f>ROUND(R592*'Data-CostAssumptions'!$C$3,-3)</f>
        <v>83000</v>
      </c>
      <c r="AA592" s="11">
        <f t="shared" si="19"/>
        <v>0</v>
      </c>
      <c r="AB592" s="11">
        <v>2041</v>
      </c>
      <c r="AC592" s="11">
        <v>2041</v>
      </c>
      <c r="AD592" s="11">
        <v>2041</v>
      </c>
      <c r="AE592" s="11">
        <v>2041</v>
      </c>
      <c r="AF592" s="11">
        <v>0</v>
      </c>
      <c r="AG592" s="19">
        <f>ROUND((Z592*'Data-CostAssumptions'!$G$5)*(1+'Data-CostAssumptions'!$G$3)^(AC592-'Data-CostAssumptions'!$G$4),-3)</f>
        <v>47000</v>
      </c>
      <c r="AH592" s="19">
        <f>ROUND((Z592)*(1+'Data-CostAssumptions'!$G$3)^(AE592-'Data-CostAssumptions'!$G$4),-3)</f>
        <v>213000</v>
      </c>
    </row>
    <row r="593" spans="1:34" ht="15" customHeight="1" x14ac:dyDescent="0.2">
      <c r="A593" s="11"/>
      <c r="B593" s="11" t="s">
        <v>1211</v>
      </c>
      <c r="C593" s="13">
        <v>381</v>
      </c>
      <c r="D593" s="13" t="s">
        <v>420</v>
      </c>
      <c r="E593" s="20">
        <v>244</v>
      </c>
      <c r="F593" s="20">
        <v>162</v>
      </c>
      <c r="G593" s="20">
        <v>592</v>
      </c>
      <c r="H593" s="13" t="s">
        <v>1910</v>
      </c>
      <c r="I593" s="13" t="str">
        <f t="shared" si="18"/>
        <v>NW 16th St (Sunrise Bl to NW 70th Av)</v>
      </c>
      <c r="J593" s="13" t="s">
        <v>27</v>
      </c>
      <c r="K593" s="13" t="str">
        <f>VLOOKUP(J593,'Data-ProjectTypes'!A$3:B$13,2,FALSE)</f>
        <v>Program</v>
      </c>
      <c r="L593" s="21" t="s">
        <v>348</v>
      </c>
      <c r="M593" s="13" t="s">
        <v>1830</v>
      </c>
      <c r="N593" s="13" t="s">
        <v>2078</v>
      </c>
      <c r="O593" s="13" t="s">
        <v>284</v>
      </c>
      <c r="P593" s="13" t="s">
        <v>284</v>
      </c>
      <c r="Q593" s="22">
        <v>0.2</v>
      </c>
      <c r="R593" s="23">
        <v>73086</v>
      </c>
      <c r="S593" s="21"/>
      <c r="T593" s="21"/>
      <c r="U593" s="21"/>
      <c r="V593" s="24"/>
      <c r="W593" s="24"/>
      <c r="X593" s="24"/>
      <c r="Y593" s="17"/>
      <c r="Z593" s="18">
        <f>ROUND(R593*'Data-CostAssumptions'!$C$3,-3)</f>
        <v>101000</v>
      </c>
      <c r="AA593" s="11">
        <f t="shared" si="19"/>
        <v>0</v>
      </c>
      <c r="AB593" s="11">
        <v>2041</v>
      </c>
      <c r="AC593" s="11">
        <v>2041</v>
      </c>
      <c r="AD593" s="11">
        <v>2041</v>
      </c>
      <c r="AE593" s="11">
        <v>2041</v>
      </c>
      <c r="AF593" s="11">
        <v>0</v>
      </c>
      <c r="AG593" s="19">
        <f>ROUND((Z593*'Data-CostAssumptions'!$G$5)*(1+'Data-CostAssumptions'!$G$3)^(AC593-'Data-CostAssumptions'!$G$4),-3)</f>
        <v>57000</v>
      </c>
      <c r="AH593" s="19">
        <f>ROUND((Z593)*(1+'Data-CostAssumptions'!$G$3)^(AE593-'Data-CostAssumptions'!$G$4),-3)</f>
        <v>259000</v>
      </c>
    </row>
    <row r="594" spans="1:34" ht="15" customHeight="1" x14ac:dyDescent="0.2">
      <c r="A594" s="11"/>
      <c r="B594" s="11" t="s">
        <v>1211</v>
      </c>
      <c r="C594" s="13">
        <v>382</v>
      </c>
      <c r="D594" s="13" t="s">
        <v>420</v>
      </c>
      <c r="E594" s="20">
        <v>263</v>
      </c>
      <c r="F594" s="20">
        <v>162</v>
      </c>
      <c r="G594" s="20">
        <v>593</v>
      </c>
      <c r="H594" s="13" t="s">
        <v>487</v>
      </c>
      <c r="I594" s="13" t="str">
        <f t="shared" si="18"/>
        <v>Nova Dr (Davie Rd to College Av)</v>
      </c>
      <c r="J594" s="13" t="s">
        <v>27</v>
      </c>
      <c r="K594" s="13" t="str">
        <f>VLOOKUP(J594,'Data-ProjectTypes'!A$3:B$13,2,FALSE)</f>
        <v>Program</v>
      </c>
      <c r="L594" s="21" t="s">
        <v>348</v>
      </c>
      <c r="M594" s="13" t="s">
        <v>1845</v>
      </c>
      <c r="N594" s="13" t="s">
        <v>2016</v>
      </c>
      <c r="O594" s="13" t="s">
        <v>273</v>
      </c>
      <c r="P594" s="13" t="s">
        <v>273</v>
      </c>
      <c r="Q594" s="22">
        <v>0.5</v>
      </c>
      <c r="R594" s="23">
        <v>162106</v>
      </c>
      <c r="S594" s="21" t="s">
        <v>24</v>
      </c>
      <c r="T594" s="21" t="s">
        <v>24</v>
      </c>
      <c r="U594" s="21"/>
      <c r="V594" s="24"/>
      <c r="W594" s="24"/>
      <c r="X594" s="28"/>
      <c r="Y594" s="17" t="s">
        <v>469</v>
      </c>
      <c r="Z594" s="18">
        <f>ROUND(R594*'Data-CostAssumptions'!$C$3,-3)</f>
        <v>224000</v>
      </c>
      <c r="AA594" s="11">
        <f t="shared" si="19"/>
        <v>0</v>
      </c>
      <c r="AB594" s="11">
        <v>2041</v>
      </c>
      <c r="AC594" s="11">
        <v>2041</v>
      </c>
      <c r="AD594" s="11">
        <v>2041</v>
      </c>
      <c r="AE594" s="11">
        <v>2041</v>
      </c>
      <c r="AF594" s="11">
        <v>0</v>
      </c>
      <c r="AG594" s="19">
        <f>ROUND((Z594*'Data-CostAssumptions'!$G$5)*(1+'Data-CostAssumptions'!$G$3)^(AC594-'Data-CostAssumptions'!$G$4),-3)</f>
        <v>126000</v>
      </c>
      <c r="AH594" s="19">
        <f>ROUND((Z594)*(1+'Data-CostAssumptions'!$G$3)^(AE594-'Data-CostAssumptions'!$G$4),-3)</f>
        <v>574000</v>
      </c>
    </row>
    <row r="595" spans="1:34" ht="15" customHeight="1" x14ac:dyDescent="0.2">
      <c r="A595" s="11"/>
      <c r="B595" s="11" t="s">
        <v>1211</v>
      </c>
      <c r="C595" s="13">
        <v>383</v>
      </c>
      <c r="D595" s="13" t="s">
        <v>420</v>
      </c>
      <c r="E595" s="20">
        <v>268</v>
      </c>
      <c r="F595" s="20">
        <v>162</v>
      </c>
      <c r="G595" s="20">
        <v>594</v>
      </c>
      <c r="H595" s="13" t="s">
        <v>1963</v>
      </c>
      <c r="I595" s="13" t="str">
        <f t="shared" si="18"/>
        <v>SW 45th St (Pine Island Rd to Nob Hill Rd)</v>
      </c>
      <c r="J595" s="13" t="s">
        <v>27</v>
      </c>
      <c r="K595" s="13" t="str">
        <f>VLOOKUP(J595,'Data-ProjectTypes'!A$3:B$13,2,FALSE)</f>
        <v>Program</v>
      </c>
      <c r="L595" s="21" t="s">
        <v>348</v>
      </c>
      <c r="M595" s="13" t="s">
        <v>266</v>
      </c>
      <c r="N595" s="13" t="s">
        <v>1755</v>
      </c>
      <c r="O595" s="13" t="s">
        <v>279</v>
      </c>
      <c r="P595" s="13" t="s">
        <v>279</v>
      </c>
      <c r="Q595" s="22">
        <v>1.2</v>
      </c>
      <c r="R595" s="23">
        <v>446956</v>
      </c>
      <c r="S595" s="21" t="s">
        <v>24</v>
      </c>
      <c r="T595" s="21" t="s">
        <v>25</v>
      </c>
      <c r="U595" s="21"/>
      <c r="V595" s="24"/>
      <c r="W595" s="24"/>
      <c r="X595" s="24"/>
      <c r="Y595" s="17" t="s">
        <v>469</v>
      </c>
      <c r="Z595" s="18">
        <f>ROUND(R595*'Data-CostAssumptions'!$C$3,-3)</f>
        <v>619000</v>
      </c>
      <c r="AA595" s="11">
        <f t="shared" si="19"/>
        <v>0</v>
      </c>
      <c r="AB595" s="11">
        <v>2041</v>
      </c>
      <c r="AC595" s="11">
        <v>2041</v>
      </c>
      <c r="AD595" s="11">
        <v>2041</v>
      </c>
      <c r="AE595" s="11">
        <v>2041</v>
      </c>
      <c r="AF595" s="11">
        <v>0</v>
      </c>
      <c r="AG595" s="19">
        <f>ROUND((Z595*'Data-CostAssumptions'!$G$5)*(1+'Data-CostAssumptions'!$G$3)^(AC595-'Data-CostAssumptions'!$G$4),-3)</f>
        <v>349000</v>
      </c>
      <c r="AH595" s="19">
        <f>ROUND((Z595)*(1+'Data-CostAssumptions'!$G$3)^(AE595-'Data-CostAssumptions'!$G$4),-3)</f>
        <v>1587000</v>
      </c>
    </row>
    <row r="596" spans="1:34" ht="15" customHeight="1" x14ac:dyDescent="0.2">
      <c r="A596" s="11"/>
      <c r="B596" s="11" t="s">
        <v>1211</v>
      </c>
      <c r="C596" s="13">
        <v>384</v>
      </c>
      <c r="D596" s="13" t="s">
        <v>420</v>
      </c>
      <c r="E596" s="20">
        <v>270</v>
      </c>
      <c r="F596" s="20">
        <v>162</v>
      </c>
      <c r="G596" s="20">
        <v>595</v>
      </c>
      <c r="H596" s="13" t="s">
        <v>2784</v>
      </c>
      <c r="I596" s="13" t="str">
        <f t="shared" si="18"/>
        <v>SR 818/Griffin Rd (Florida's Turnpike to Davie Rd)</v>
      </c>
      <c r="J596" s="13" t="s">
        <v>27</v>
      </c>
      <c r="K596" s="13" t="str">
        <f>VLOOKUP(J596,'Data-ProjectTypes'!A$3:B$13,2,FALSE)</f>
        <v>Program</v>
      </c>
      <c r="L596" s="21" t="s">
        <v>348</v>
      </c>
      <c r="M596" s="13" t="s">
        <v>42</v>
      </c>
      <c r="N596" s="13" t="s">
        <v>1845</v>
      </c>
      <c r="O596" s="13" t="s">
        <v>270</v>
      </c>
      <c r="P596" s="13" t="s">
        <v>270</v>
      </c>
      <c r="Q596" s="22">
        <v>1</v>
      </c>
      <c r="R596" s="23">
        <v>374782</v>
      </c>
      <c r="S596" s="21" t="s">
        <v>24</v>
      </c>
      <c r="T596" s="21"/>
      <c r="U596" s="21"/>
      <c r="V596" s="24"/>
      <c r="W596" s="24"/>
      <c r="X596" s="24"/>
      <c r="Y596" s="17" t="s">
        <v>469</v>
      </c>
      <c r="Z596" s="18">
        <f>ROUND(R596*'Data-CostAssumptions'!$C$3,-3)</f>
        <v>519000</v>
      </c>
      <c r="AA596" s="11">
        <f t="shared" si="19"/>
        <v>0</v>
      </c>
      <c r="AB596" s="11">
        <v>2041</v>
      </c>
      <c r="AC596" s="11">
        <v>2041</v>
      </c>
      <c r="AD596" s="11">
        <v>2041</v>
      </c>
      <c r="AE596" s="11">
        <v>2041</v>
      </c>
      <c r="AF596" s="11">
        <v>0</v>
      </c>
      <c r="AG596" s="19">
        <f>ROUND((Z596*'Data-CostAssumptions'!$G$5)*(1+'Data-CostAssumptions'!$G$3)^(AC596-'Data-CostAssumptions'!$G$4),-3)</f>
        <v>293000</v>
      </c>
      <c r="AH596" s="19">
        <f>ROUND((Z596)*(1+'Data-CostAssumptions'!$G$3)^(AE596-'Data-CostAssumptions'!$G$4),-3)</f>
        <v>1331000</v>
      </c>
    </row>
    <row r="597" spans="1:34" ht="15" customHeight="1" x14ac:dyDescent="0.2">
      <c r="A597" s="11"/>
      <c r="B597" s="11" t="s">
        <v>1211</v>
      </c>
      <c r="C597" s="13">
        <v>385</v>
      </c>
      <c r="D597" s="13" t="s">
        <v>420</v>
      </c>
      <c r="E597" s="20">
        <v>294</v>
      </c>
      <c r="F597" s="20">
        <v>162</v>
      </c>
      <c r="G597" s="20">
        <v>596</v>
      </c>
      <c r="H597" s="13" t="s">
        <v>2127</v>
      </c>
      <c r="I597" s="13" t="str">
        <f t="shared" si="18"/>
        <v>SW 4th Av (Just north of SW 33rd St to SW 34th St)</v>
      </c>
      <c r="J597" s="13" t="s">
        <v>27</v>
      </c>
      <c r="K597" s="13" t="str">
        <f>VLOOKUP(J597,'Data-ProjectTypes'!A$3:B$13,2,FALSE)</f>
        <v>Program</v>
      </c>
      <c r="L597" s="21" t="s">
        <v>348</v>
      </c>
      <c r="M597" s="13" t="s">
        <v>2581</v>
      </c>
      <c r="N597" s="13" t="s">
        <v>2580</v>
      </c>
      <c r="O597" s="13" t="s">
        <v>276</v>
      </c>
      <c r="P597" s="13" t="s">
        <v>276</v>
      </c>
      <c r="Q597" s="22">
        <v>0.3</v>
      </c>
      <c r="R597" s="23">
        <v>104391</v>
      </c>
      <c r="S597" s="21"/>
      <c r="T597" s="21"/>
      <c r="U597" s="21"/>
      <c r="V597" s="24"/>
      <c r="W597" s="24"/>
      <c r="X597" s="24"/>
      <c r="Y597" s="17"/>
      <c r="Z597" s="18">
        <f>ROUND(R597*'Data-CostAssumptions'!$C$3,-3)</f>
        <v>144000</v>
      </c>
      <c r="AA597" s="11">
        <f t="shared" si="19"/>
        <v>0</v>
      </c>
      <c r="AB597" s="11">
        <v>2041</v>
      </c>
      <c r="AC597" s="11">
        <v>2041</v>
      </c>
      <c r="AD597" s="11">
        <v>2041</v>
      </c>
      <c r="AE597" s="11">
        <v>2041</v>
      </c>
      <c r="AF597" s="11">
        <v>0</v>
      </c>
      <c r="AG597" s="19">
        <f>ROUND((Z597*'Data-CostAssumptions'!$G$5)*(1+'Data-CostAssumptions'!$G$3)^(AC597-'Data-CostAssumptions'!$G$4),-3)</f>
        <v>81000</v>
      </c>
      <c r="AH597" s="19">
        <f>ROUND((Z597)*(1+'Data-CostAssumptions'!$G$3)^(AE597-'Data-CostAssumptions'!$G$4),-3)</f>
        <v>369000</v>
      </c>
    </row>
    <row r="598" spans="1:34" ht="15" customHeight="1" x14ac:dyDescent="0.2">
      <c r="A598" s="11"/>
      <c r="B598" s="11" t="s">
        <v>1211</v>
      </c>
      <c r="C598" s="13">
        <v>386</v>
      </c>
      <c r="D598" s="13" t="s">
        <v>420</v>
      </c>
      <c r="E598" s="20">
        <v>299</v>
      </c>
      <c r="F598" s="20">
        <v>162</v>
      </c>
      <c r="G598" s="20">
        <v>597</v>
      </c>
      <c r="H598" s="13" t="s">
        <v>1747</v>
      </c>
      <c r="I598" s="13" t="str">
        <f t="shared" si="18"/>
        <v>Cordova Rd (SE 15th St to SE 9th St)</v>
      </c>
      <c r="J598" s="13" t="s">
        <v>27</v>
      </c>
      <c r="K598" s="13" t="str">
        <f>VLOOKUP(J598,'Data-ProjectTypes'!A$3:B$13,2,FALSE)</f>
        <v>Program</v>
      </c>
      <c r="L598" s="21" t="s">
        <v>348</v>
      </c>
      <c r="M598" s="13" t="s">
        <v>1939</v>
      </c>
      <c r="N598" s="13" t="s">
        <v>2479</v>
      </c>
      <c r="O598" s="13" t="s">
        <v>276</v>
      </c>
      <c r="P598" s="13" t="s">
        <v>276</v>
      </c>
      <c r="Q598" s="22">
        <v>0.6</v>
      </c>
      <c r="R598" s="23">
        <v>205231</v>
      </c>
      <c r="S598" s="21"/>
      <c r="T598" s="21"/>
      <c r="U598" s="21"/>
      <c r="V598" s="24"/>
      <c r="W598" s="24"/>
      <c r="X598" s="28"/>
      <c r="Y598" s="17"/>
      <c r="Z598" s="18">
        <f>ROUND(R598*'Data-CostAssumptions'!$C$3,-3)</f>
        <v>284000</v>
      </c>
      <c r="AA598" s="11">
        <f t="shared" si="19"/>
        <v>0</v>
      </c>
      <c r="AB598" s="11">
        <v>2041</v>
      </c>
      <c r="AC598" s="11">
        <v>2041</v>
      </c>
      <c r="AD598" s="11">
        <v>2041</v>
      </c>
      <c r="AE598" s="11">
        <v>2041</v>
      </c>
      <c r="AF598" s="11">
        <v>0</v>
      </c>
      <c r="AG598" s="19">
        <f>ROUND((Z598*'Data-CostAssumptions'!$G$5)*(1+'Data-CostAssumptions'!$G$3)^(AC598-'Data-CostAssumptions'!$G$4),-3)</f>
        <v>160000</v>
      </c>
      <c r="AH598" s="19">
        <f>ROUND((Z598)*(1+'Data-CostAssumptions'!$G$3)^(AE598-'Data-CostAssumptions'!$G$4),-3)</f>
        <v>728000</v>
      </c>
    </row>
    <row r="599" spans="1:34" ht="15" customHeight="1" x14ac:dyDescent="0.2">
      <c r="A599" s="11"/>
      <c r="B599" s="11" t="s">
        <v>1211</v>
      </c>
      <c r="C599" s="13">
        <v>387</v>
      </c>
      <c r="D599" s="13" t="s">
        <v>420</v>
      </c>
      <c r="E599" s="20">
        <v>300</v>
      </c>
      <c r="F599" s="20">
        <v>162</v>
      </c>
      <c r="G599" s="20">
        <v>598</v>
      </c>
      <c r="H599" s="13" t="s">
        <v>1994</v>
      </c>
      <c r="I599" s="13" t="str">
        <f t="shared" si="18"/>
        <v>Eisenhower Bl/Marriot Dr (East end of Portside Dr to SE 17th St)</v>
      </c>
      <c r="J599" s="13" t="s">
        <v>27</v>
      </c>
      <c r="K599" s="13" t="str">
        <f>VLOOKUP(J599,'Data-ProjectTypes'!A$3:B$13,2,FALSE)</f>
        <v>Program</v>
      </c>
      <c r="L599" s="21" t="s">
        <v>348</v>
      </c>
      <c r="M599" s="13" t="s">
        <v>2652</v>
      </c>
      <c r="N599" s="13" t="s">
        <v>182</v>
      </c>
      <c r="O599" s="13" t="s">
        <v>270</v>
      </c>
      <c r="P599" s="13" t="s">
        <v>270</v>
      </c>
      <c r="Q599" s="22">
        <v>0.3</v>
      </c>
      <c r="R599" s="23">
        <v>111639</v>
      </c>
      <c r="S599" s="21"/>
      <c r="T599" s="21"/>
      <c r="U599" s="21"/>
      <c r="V599" s="24"/>
      <c r="W599" s="24"/>
      <c r="X599" s="24"/>
      <c r="Y599" s="17"/>
      <c r="Z599" s="18">
        <f>ROUND(R599*'Data-CostAssumptions'!$C$3,-3)</f>
        <v>155000</v>
      </c>
      <c r="AA599" s="11">
        <f t="shared" si="19"/>
        <v>0</v>
      </c>
      <c r="AB599" s="11">
        <v>2041</v>
      </c>
      <c r="AC599" s="11">
        <v>2041</v>
      </c>
      <c r="AD599" s="11">
        <v>2041</v>
      </c>
      <c r="AE599" s="11">
        <v>2041</v>
      </c>
      <c r="AF599" s="11">
        <v>0</v>
      </c>
      <c r="AG599" s="19">
        <f>ROUND((Z599*'Data-CostAssumptions'!$G$5)*(1+'Data-CostAssumptions'!$G$3)^(AC599-'Data-CostAssumptions'!$G$4),-3)</f>
        <v>87000</v>
      </c>
      <c r="AH599" s="19">
        <f>ROUND((Z599)*(1+'Data-CostAssumptions'!$G$3)^(AE599-'Data-CostAssumptions'!$G$4),-3)</f>
        <v>397000</v>
      </c>
    </row>
    <row r="600" spans="1:34" ht="15" customHeight="1" x14ac:dyDescent="0.2">
      <c r="A600" s="11"/>
      <c r="B600" s="11" t="s">
        <v>1211</v>
      </c>
      <c r="C600" s="13">
        <v>388</v>
      </c>
      <c r="D600" s="13" t="s">
        <v>420</v>
      </c>
      <c r="E600" s="20">
        <v>301</v>
      </c>
      <c r="F600" s="20">
        <v>163</v>
      </c>
      <c r="G600" s="20">
        <v>599</v>
      </c>
      <c r="H600" s="13" t="s">
        <v>2127</v>
      </c>
      <c r="I600" s="13" t="str">
        <f t="shared" si="18"/>
        <v>SW 4th Av (SW 10th St to SW 9th St)</v>
      </c>
      <c r="J600" s="13" t="s">
        <v>27</v>
      </c>
      <c r="K600" s="13" t="str">
        <f>VLOOKUP(J600,'Data-ProjectTypes'!A$3:B$13,2,FALSE)</f>
        <v>Program</v>
      </c>
      <c r="L600" s="21" t="s">
        <v>348</v>
      </c>
      <c r="M600" s="13" t="s">
        <v>1954</v>
      </c>
      <c r="N600" s="13" t="s">
        <v>1967</v>
      </c>
      <c r="O600" s="13" t="s">
        <v>273</v>
      </c>
      <c r="P600" s="13" t="s">
        <v>273</v>
      </c>
      <c r="Q600" s="22">
        <v>0.1</v>
      </c>
      <c r="R600" s="23">
        <v>22547</v>
      </c>
      <c r="S600" s="21"/>
      <c r="T600" s="21"/>
      <c r="U600" s="21"/>
      <c r="V600" s="24"/>
      <c r="W600" s="24"/>
      <c r="X600" s="24"/>
      <c r="Y600" s="17"/>
      <c r="Z600" s="18">
        <f>ROUND(R600*'Data-CostAssumptions'!$C$3,-3)</f>
        <v>31000</v>
      </c>
      <c r="AA600" s="11">
        <f t="shared" si="19"/>
        <v>0</v>
      </c>
      <c r="AB600" s="11">
        <v>2041</v>
      </c>
      <c r="AC600" s="11">
        <v>2041</v>
      </c>
      <c r="AD600" s="11">
        <v>2041</v>
      </c>
      <c r="AE600" s="11">
        <v>2041</v>
      </c>
      <c r="AF600" s="11">
        <v>0</v>
      </c>
      <c r="AG600" s="19">
        <f>ROUND((Z600*'Data-CostAssumptions'!$G$5)*(1+'Data-CostAssumptions'!$G$3)^(AC600-'Data-CostAssumptions'!$G$4),-3)</f>
        <v>17000</v>
      </c>
      <c r="AH600" s="19">
        <f>ROUND((Z600)*(1+'Data-CostAssumptions'!$G$3)^(AE600-'Data-CostAssumptions'!$G$4),-3)</f>
        <v>79000</v>
      </c>
    </row>
    <row r="601" spans="1:34" ht="15" customHeight="1" x14ac:dyDescent="0.2">
      <c r="A601" s="11"/>
      <c r="B601" s="11" t="s">
        <v>1211</v>
      </c>
      <c r="C601" s="13">
        <v>389</v>
      </c>
      <c r="D601" s="13" t="s">
        <v>420</v>
      </c>
      <c r="E601" s="20">
        <v>303</v>
      </c>
      <c r="F601" s="20">
        <v>163</v>
      </c>
      <c r="G601" s="20">
        <v>600</v>
      </c>
      <c r="H601" s="13" t="s">
        <v>1938</v>
      </c>
      <c r="I601" s="13" t="str">
        <f t="shared" si="18"/>
        <v>SE 12th St (SE 10th Av to Miami Rd)</v>
      </c>
      <c r="J601" s="13" t="s">
        <v>27</v>
      </c>
      <c r="K601" s="13" t="str">
        <f>VLOOKUP(J601,'Data-ProjectTypes'!A$3:B$13,2,FALSE)</f>
        <v>Program</v>
      </c>
      <c r="L601" s="21" t="s">
        <v>348</v>
      </c>
      <c r="M601" s="13" t="s">
        <v>2087</v>
      </c>
      <c r="N601" s="13" t="s">
        <v>2451</v>
      </c>
      <c r="O601" s="13" t="s">
        <v>276</v>
      </c>
      <c r="P601" s="13" t="s">
        <v>276</v>
      </c>
      <c r="Q601" s="22">
        <v>0.2</v>
      </c>
      <c r="R601" s="23">
        <v>83750</v>
      </c>
      <c r="S601" s="21"/>
      <c r="T601" s="21"/>
      <c r="U601" s="21"/>
      <c r="V601" s="24"/>
      <c r="W601" s="24"/>
      <c r="X601" s="24"/>
      <c r="Y601" s="17"/>
      <c r="Z601" s="18">
        <f>ROUND(R601*'Data-CostAssumptions'!$C$3,-3)</f>
        <v>116000</v>
      </c>
      <c r="AA601" s="11">
        <f t="shared" si="19"/>
        <v>0</v>
      </c>
      <c r="AB601" s="11">
        <v>2041</v>
      </c>
      <c r="AC601" s="11">
        <v>2041</v>
      </c>
      <c r="AD601" s="11">
        <v>2041</v>
      </c>
      <c r="AE601" s="11">
        <v>2041</v>
      </c>
      <c r="AF601" s="11">
        <v>0</v>
      </c>
      <c r="AG601" s="19">
        <f>ROUND((Z601*'Data-CostAssumptions'!$G$5)*(1+'Data-CostAssumptions'!$G$3)^(AC601-'Data-CostAssumptions'!$G$4),-3)</f>
        <v>65000</v>
      </c>
      <c r="AH601" s="19">
        <f>ROUND((Z601)*(1+'Data-CostAssumptions'!$G$3)^(AE601-'Data-CostAssumptions'!$G$4),-3)</f>
        <v>297000</v>
      </c>
    </row>
    <row r="602" spans="1:34" ht="15" customHeight="1" x14ac:dyDescent="0.2">
      <c r="A602" s="11"/>
      <c r="B602" s="11" t="s">
        <v>1211</v>
      </c>
      <c r="C602" s="13">
        <v>390</v>
      </c>
      <c r="D602" s="13" t="s">
        <v>420</v>
      </c>
      <c r="E602" s="20">
        <v>304</v>
      </c>
      <c r="F602" s="20">
        <v>163</v>
      </c>
      <c r="G602" s="20">
        <v>601</v>
      </c>
      <c r="H602" s="13" t="s">
        <v>2087</v>
      </c>
      <c r="I602" s="13" t="str">
        <f t="shared" si="18"/>
        <v>SE 10th Av (SE 17th St to SE 12th St)</v>
      </c>
      <c r="J602" s="13" t="s">
        <v>27</v>
      </c>
      <c r="K602" s="13" t="str">
        <f>VLOOKUP(J602,'Data-ProjectTypes'!A$3:B$13,2,FALSE)</f>
        <v>Program</v>
      </c>
      <c r="L602" s="21" t="s">
        <v>348</v>
      </c>
      <c r="M602" s="13" t="s">
        <v>182</v>
      </c>
      <c r="N602" s="13" t="s">
        <v>1938</v>
      </c>
      <c r="O602" s="13" t="s">
        <v>276</v>
      </c>
      <c r="P602" s="13" t="s">
        <v>276</v>
      </c>
      <c r="Q602" s="22">
        <v>0.5</v>
      </c>
      <c r="R602" s="23">
        <v>183244</v>
      </c>
      <c r="S602" s="21"/>
      <c r="T602" s="21"/>
      <c r="U602" s="21"/>
      <c r="V602" s="24"/>
      <c r="W602" s="24"/>
      <c r="X602" s="24"/>
      <c r="Y602" s="17"/>
      <c r="Z602" s="18">
        <f>ROUND(R602*'Data-CostAssumptions'!$C$3,-3)</f>
        <v>254000</v>
      </c>
      <c r="AA602" s="11">
        <f t="shared" si="19"/>
        <v>0</v>
      </c>
      <c r="AB602" s="11">
        <v>2041</v>
      </c>
      <c r="AC602" s="11">
        <v>2041</v>
      </c>
      <c r="AD602" s="11">
        <v>2041</v>
      </c>
      <c r="AE602" s="11">
        <v>2041</v>
      </c>
      <c r="AF602" s="11">
        <v>0</v>
      </c>
      <c r="AG602" s="19">
        <f>ROUND((Z602*'Data-CostAssumptions'!$G$5)*(1+'Data-CostAssumptions'!$G$3)^(AC602-'Data-CostAssumptions'!$G$4),-3)</f>
        <v>143000</v>
      </c>
      <c r="AH602" s="19">
        <f>ROUND((Z602)*(1+'Data-CostAssumptions'!$G$3)^(AE602-'Data-CostAssumptions'!$G$4),-3)</f>
        <v>651000</v>
      </c>
    </row>
    <row r="603" spans="1:34" ht="15" customHeight="1" x14ac:dyDescent="0.2">
      <c r="A603" s="11"/>
      <c r="B603" s="11" t="s">
        <v>1211</v>
      </c>
      <c r="C603" s="13">
        <v>391</v>
      </c>
      <c r="D603" s="13" t="s">
        <v>420</v>
      </c>
      <c r="E603" s="20">
        <v>350</v>
      </c>
      <c r="F603" s="20">
        <v>163</v>
      </c>
      <c r="G603" s="20">
        <v>602</v>
      </c>
      <c r="H603" s="13" t="s">
        <v>2710</v>
      </c>
      <c r="I603" s="13" t="str">
        <f t="shared" si="18"/>
        <v>SR 816/Oakland Park Bl (Just west of NW 43rd Av to NW 46th Av)</v>
      </c>
      <c r="J603" s="13" t="s">
        <v>27</v>
      </c>
      <c r="K603" s="13" t="str">
        <f>VLOOKUP(J603,'Data-ProjectTypes'!A$3:B$13,2,FALSE)</f>
        <v>Program</v>
      </c>
      <c r="L603" s="21" t="s">
        <v>348</v>
      </c>
      <c r="M603" s="13" t="s">
        <v>2370</v>
      </c>
      <c r="N603" s="13" t="s">
        <v>2250</v>
      </c>
      <c r="O603" s="13" t="s">
        <v>270</v>
      </c>
      <c r="P603" s="13" t="s">
        <v>270</v>
      </c>
      <c r="Q603" s="22">
        <v>0.3</v>
      </c>
      <c r="R603" s="23">
        <v>99781</v>
      </c>
      <c r="S603" s="21"/>
      <c r="T603" s="21"/>
      <c r="U603" s="21"/>
      <c r="V603" s="24"/>
      <c r="W603" s="24"/>
      <c r="X603" s="24"/>
      <c r="Y603" s="17"/>
      <c r="Z603" s="18">
        <f>ROUND(R603*'Data-CostAssumptions'!$C$3,-3)</f>
        <v>138000</v>
      </c>
      <c r="AA603" s="11">
        <f t="shared" si="19"/>
        <v>0</v>
      </c>
      <c r="AB603" s="11">
        <v>2041</v>
      </c>
      <c r="AC603" s="11">
        <v>2041</v>
      </c>
      <c r="AD603" s="11">
        <v>2041</v>
      </c>
      <c r="AE603" s="11">
        <v>2041</v>
      </c>
      <c r="AF603" s="11">
        <v>0</v>
      </c>
      <c r="AG603" s="19">
        <f>ROUND((Z603*'Data-CostAssumptions'!$G$5)*(1+'Data-CostAssumptions'!$G$3)^(AC603-'Data-CostAssumptions'!$G$4),-3)</f>
        <v>78000</v>
      </c>
      <c r="AH603" s="19">
        <f>ROUND((Z603)*(1+'Data-CostAssumptions'!$G$3)^(AE603-'Data-CostAssumptions'!$G$4),-3)</f>
        <v>354000</v>
      </c>
    </row>
    <row r="604" spans="1:34" ht="15" customHeight="1" x14ac:dyDescent="0.2">
      <c r="A604" s="11"/>
      <c r="B604" s="11" t="s">
        <v>1211</v>
      </c>
      <c r="C604" s="13">
        <v>392</v>
      </c>
      <c r="D604" s="13" t="s">
        <v>420</v>
      </c>
      <c r="E604" s="20">
        <v>373</v>
      </c>
      <c r="F604" s="20">
        <v>163</v>
      </c>
      <c r="G604" s="20">
        <v>603</v>
      </c>
      <c r="H604" s="13" t="s">
        <v>1822</v>
      </c>
      <c r="I604" s="13" t="str">
        <f t="shared" si="18"/>
        <v>Kimberly Bl (SW 73rd Av to SW 75th Av)</v>
      </c>
      <c r="J604" s="13" t="s">
        <v>27</v>
      </c>
      <c r="K604" s="13" t="str">
        <f>VLOOKUP(J604,'Data-ProjectTypes'!A$3:B$13,2,FALSE)</f>
        <v>Program</v>
      </c>
      <c r="L604" s="21" t="s">
        <v>348</v>
      </c>
      <c r="M604" s="13" t="s">
        <v>2359</v>
      </c>
      <c r="N604" s="13" t="s">
        <v>2229</v>
      </c>
      <c r="O604" s="13" t="s">
        <v>285</v>
      </c>
      <c r="P604" s="13" t="s">
        <v>285</v>
      </c>
      <c r="Q604" s="22">
        <v>0.2</v>
      </c>
      <c r="R604" s="23">
        <v>55779</v>
      </c>
      <c r="S604" s="21"/>
      <c r="T604" s="21"/>
      <c r="U604" s="21"/>
      <c r="V604" s="24"/>
      <c r="W604" s="24"/>
      <c r="X604" s="24"/>
      <c r="Y604" s="17"/>
      <c r="Z604" s="18">
        <f>ROUND(R604*'Data-CostAssumptions'!$C$3,-3)</f>
        <v>77000</v>
      </c>
      <c r="AA604" s="11">
        <f t="shared" si="19"/>
        <v>0</v>
      </c>
      <c r="AB604" s="11">
        <v>2041</v>
      </c>
      <c r="AC604" s="11">
        <v>2041</v>
      </c>
      <c r="AD604" s="11">
        <v>2041</v>
      </c>
      <c r="AE604" s="11">
        <v>2041</v>
      </c>
      <c r="AF604" s="11">
        <v>0</v>
      </c>
      <c r="AG604" s="19">
        <f>ROUND((Z604*'Data-CostAssumptions'!$G$5)*(1+'Data-CostAssumptions'!$G$3)^(AC604-'Data-CostAssumptions'!$G$4),-3)</f>
        <v>43000</v>
      </c>
      <c r="AH604" s="19">
        <f>ROUND((Z604)*(1+'Data-CostAssumptions'!$G$3)^(AE604-'Data-CostAssumptions'!$G$4),-3)</f>
        <v>197000</v>
      </c>
    </row>
    <row r="605" spans="1:34" ht="15" customHeight="1" x14ac:dyDescent="0.2">
      <c r="A605" s="11"/>
      <c r="B605" s="11" t="s">
        <v>1211</v>
      </c>
      <c r="C605" s="13">
        <v>393</v>
      </c>
      <c r="D605" s="13" t="s">
        <v>420</v>
      </c>
      <c r="E605" s="20">
        <v>382</v>
      </c>
      <c r="F605" s="20">
        <v>163</v>
      </c>
      <c r="G605" s="20">
        <v>604</v>
      </c>
      <c r="H605" s="13" t="s">
        <v>143</v>
      </c>
      <c r="I605" s="13" t="str">
        <f t="shared" si="18"/>
        <v>Park and Ride Lot (I-95 Ramp to NE 62nd St)</v>
      </c>
      <c r="J605" s="13" t="s">
        <v>27</v>
      </c>
      <c r="K605" s="13" t="str">
        <f>VLOOKUP(J605,'Data-ProjectTypes'!A$3:B$13,2,FALSE)</f>
        <v>Program</v>
      </c>
      <c r="L605" s="21" t="s">
        <v>348</v>
      </c>
      <c r="M605" s="13" t="s">
        <v>142</v>
      </c>
      <c r="N605" s="13" t="s">
        <v>1900</v>
      </c>
      <c r="O605" s="13" t="s">
        <v>270</v>
      </c>
      <c r="P605" s="13" t="s">
        <v>270</v>
      </c>
      <c r="Q605" s="22">
        <v>0.1</v>
      </c>
      <c r="R605" s="23">
        <v>51353</v>
      </c>
      <c r="S605" s="21"/>
      <c r="T605" s="21"/>
      <c r="U605" s="21"/>
      <c r="V605" s="24"/>
      <c r="W605" s="24" t="s">
        <v>698</v>
      </c>
      <c r="X605" s="24"/>
      <c r="Y605" s="17" t="s">
        <v>287</v>
      </c>
      <c r="Z605" s="18">
        <f>ROUND(R605*'Data-CostAssumptions'!$C$3,-3)</f>
        <v>71000</v>
      </c>
      <c r="AA605" s="11">
        <f t="shared" si="19"/>
        <v>1</v>
      </c>
      <c r="AB605" s="11">
        <v>2041</v>
      </c>
      <c r="AC605" s="11">
        <v>2041</v>
      </c>
      <c r="AD605" s="11">
        <v>2041</v>
      </c>
      <c r="AE605" s="11">
        <v>2041</v>
      </c>
      <c r="AF605" s="11">
        <v>0</v>
      </c>
      <c r="AG605" s="19">
        <f>ROUND((Z605*'Data-CostAssumptions'!$G$5)*(1+'Data-CostAssumptions'!$G$3)^(AC605-'Data-CostAssumptions'!$G$4),-3)</f>
        <v>40000</v>
      </c>
      <c r="AH605" s="19">
        <f>ROUND((Z605)*(1+'Data-CostAssumptions'!$G$3)^(AE605-'Data-CostAssumptions'!$G$4),-3)</f>
        <v>182000</v>
      </c>
    </row>
    <row r="606" spans="1:34" ht="15" customHeight="1" x14ac:dyDescent="0.2">
      <c r="A606" s="11"/>
      <c r="B606" s="11" t="s">
        <v>1211</v>
      </c>
      <c r="C606" s="13">
        <v>394</v>
      </c>
      <c r="D606" s="13" t="s">
        <v>420</v>
      </c>
      <c r="E606" s="20">
        <v>384</v>
      </c>
      <c r="F606" s="20">
        <v>163</v>
      </c>
      <c r="G606" s="20">
        <v>605</v>
      </c>
      <c r="H606" s="13" t="s">
        <v>2088</v>
      </c>
      <c r="I606" s="13" t="str">
        <f t="shared" si="18"/>
        <v>SE 11th Av (Just south of Pine Dr to Atlantic Bl)</v>
      </c>
      <c r="J606" s="13" t="s">
        <v>27</v>
      </c>
      <c r="K606" s="13" t="str">
        <f>VLOOKUP(J606,'Data-ProjectTypes'!A$3:B$13,2,FALSE)</f>
        <v>Program</v>
      </c>
      <c r="L606" s="21" t="s">
        <v>348</v>
      </c>
      <c r="M606" s="13" t="s">
        <v>2674</v>
      </c>
      <c r="N606" s="13" t="s">
        <v>1809</v>
      </c>
      <c r="O606" s="13" t="s">
        <v>275</v>
      </c>
      <c r="P606" s="13" t="s">
        <v>275</v>
      </c>
      <c r="Q606" s="22">
        <v>0.4</v>
      </c>
      <c r="R606" s="23">
        <v>129864</v>
      </c>
      <c r="S606" s="21"/>
      <c r="T606" s="21"/>
      <c r="U606" s="21"/>
      <c r="V606" s="24"/>
      <c r="W606" s="24"/>
      <c r="X606" s="32" t="s">
        <v>764</v>
      </c>
      <c r="Y606" s="17" t="s">
        <v>765</v>
      </c>
      <c r="Z606" s="18">
        <f>ROUND(R606*'Data-CostAssumptions'!$C$3,-3)</f>
        <v>180000</v>
      </c>
      <c r="AA606" s="11">
        <f t="shared" si="19"/>
        <v>0</v>
      </c>
      <c r="AB606" s="11">
        <v>2041</v>
      </c>
      <c r="AC606" s="11">
        <v>2041</v>
      </c>
      <c r="AD606" s="11">
        <v>2041</v>
      </c>
      <c r="AE606" s="11">
        <v>2041</v>
      </c>
      <c r="AF606" s="11">
        <v>0</v>
      </c>
      <c r="AG606" s="19">
        <f>ROUND((Z606*'Data-CostAssumptions'!$G$5)*(1+'Data-CostAssumptions'!$G$3)^(AC606-'Data-CostAssumptions'!$G$4),-3)</f>
        <v>102000</v>
      </c>
      <c r="AH606" s="19">
        <f>ROUND((Z606)*(1+'Data-CostAssumptions'!$G$3)^(AE606-'Data-CostAssumptions'!$G$4),-3)</f>
        <v>462000</v>
      </c>
    </row>
    <row r="607" spans="1:34" ht="15" customHeight="1" x14ac:dyDescent="0.2">
      <c r="A607" s="11"/>
      <c r="B607" s="11" t="s">
        <v>1211</v>
      </c>
      <c r="C607" s="13">
        <v>395</v>
      </c>
      <c r="D607" s="13" t="s">
        <v>420</v>
      </c>
      <c r="E607" s="20">
        <v>389</v>
      </c>
      <c r="F607" s="20">
        <v>163</v>
      </c>
      <c r="G607" s="20">
        <v>606</v>
      </c>
      <c r="H607" s="13" t="s">
        <v>1895</v>
      </c>
      <c r="I607" s="13" t="str">
        <f t="shared" si="18"/>
        <v>NE 48th St (NE 14th Av to Dixie Hwy)</v>
      </c>
      <c r="J607" s="13" t="s">
        <v>27</v>
      </c>
      <c r="K607" s="13" t="str">
        <f>VLOOKUP(J607,'Data-ProjectTypes'!A$3:B$13,2,FALSE)</f>
        <v>Program</v>
      </c>
      <c r="L607" s="21" t="s">
        <v>348</v>
      </c>
      <c r="M607" s="13" t="s">
        <v>2235</v>
      </c>
      <c r="N607" s="13" t="s">
        <v>728</v>
      </c>
      <c r="O607" s="13" t="s">
        <v>273</v>
      </c>
      <c r="P607" s="13" t="s">
        <v>273</v>
      </c>
      <c r="Q607" s="22">
        <v>0.3</v>
      </c>
      <c r="R607" s="23">
        <v>101601</v>
      </c>
      <c r="S607" s="21"/>
      <c r="T607" s="21"/>
      <c r="U607" s="21"/>
      <c r="V607" s="24"/>
      <c r="W607" s="24"/>
      <c r="X607" s="17" t="s">
        <v>769</v>
      </c>
      <c r="Y607" s="17" t="s">
        <v>768</v>
      </c>
      <c r="Z607" s="18">
        <f>ROUND(R607*'Data-CostAssumptions'!$C$3,-3)</f>
        <v>141000</v>
      </c>
      <c r="AA607" s="11">
        <f t="shared" si="19"/>
        <v>0</v>
      </c>
      <c r="AB607" s="11">
        <v>2041</v>
      </c>
      <c r="AC607" s="11">
        <v>2041</v>
      </c>
      <c r="AD607" s="11">
        <v>2041</v>
      </c>
      <c r="AE607" s="11">
        <v>2041</v>
      </c>
      <c r="AF607" s="11">
        <v>0</v>
      </c>
      <c r="AG607" s="19">
        <f>ROUND((Z607*'Data-CostAssumptions'!$G$5)*(1+'Data-CostAssumptions'!$G$3)^(AC607-'Data-CostAssumptions'!$G$4),-3)</f>
        <v>80000</v>
      </c>
      <c r="AH607" s="19">
        <f>ROUND((Z607)*(1+'Data-CostAssumptions'!$G$3)^(AE607-'Data-CostAssumptions'!$G$4),-3)</f>
        <v>362000</v>
      </c>
    </row>
    <row r="608" spans="1:34" ht="15" customHeight="1" x14ac:dyDescent="0.2">
      <c r="A608" s="11"/>
      <c r="B608" s="11" t="s">
        <v>1211</v>
      </c>
      <c r="C608" s="13">
        <v>398</v>
      </c>
      <c r="D608" s="13" t="s">
        <v>420</v>
      </c>
      <c r="E608" s="20">
        <v>400</v>
      </c>
      <c r="F608" s="20">
        <v>163</v>
      </c>
      <c r="G608" s="20">
        <v>607</v>
      </c>
      <c r="H608" s="13" t="s">
        <v>2062</v>
      </c>
      <c r="I608" s="13" t="str">
        <f t="shared" si="18"/>
        <v>NW 31st Av (Atlantic Bl to Hammondville Bl)</v>
      </c>
      <c r="J608" s="13" t="s">
        <v>27</v>
      </c>
      <c r="K608" s="13" t="str">
        <f>VLOOKUP(J608,'Data-ProjectTypes'!A$3:B$13,2,FALSE)</f>
        <v>Program</v>
      </c>
      <c r="L608" s="21" t="s">
        <v>348</v>
      </c>
      <c r="M608" s="13" t="s">
        <v>1809</v>
      </c>
      <c r="N608" s="13" t="s">
        <v>2276</v>
      </c>
      <c r="O608" s="13" t="s">
        <v>270</v>
      </c>
      <c r="P608" s="13" t="s">
        <v>270</v>
      </c>
      <c r="Q608" s="22">
        <v>1</v>
      </c>
      <c r="R608" s="23">
        <v>342820</v>
      </c>
      <c r="S608" s="21"/>
      <c r="T608" s="21"/>
      <c r="U608" s="21"/>
      <c r="V608" s="24"/>
      <c r="W608" s="24"/>
      <c r="X608" s="28" t="s">
        <v>771</v>
      </c>
      <c r="Y608" s="17" t="s">
        <v>765</v>
      </c>
      <c r="Z608" s="18">
        <f>ROUND(R608*'Data-CostAssumptions'!$C$3,-3)</f>
        <v>474000</v>
      </c>
      <c r="AA608" s="11">
        <f t="shared" si="19"/>
        <v>0</v>
      </c>
      <c r="AB608" s="11">
        <v>2041</v>
      </c>
      <c r="AC608" s="11">
        <v>2041</v>
      </c>
      <c r="AD608" s="11">
        <v>2041</v>
      </c>
      <c r="AE608" s="11">
        <v>2041</v>
      </c>
      <c r="AF608" s="11">
        <v>0</v>
      </c>
      <c r="AG608" s="19">
        <f>ROUND((Z608*'Data-CostAssumptions'!$G$5)*(1+'Data-CostAssumptions'!$G$3)^(AC608-'Data-CostAssumptions'!$G$4),-3)</f>
        <v>267000</v>
      </c>
      <c r="AH608" s="19">
        <f>ROUND((Z608)*(1+'Data-CostAssumptions'!$G$3)^(AE608-'Data-CostAssumptions'!$G$4),-3)</f>
        <v>1215000</v>
      </c>
    </row>
    <row r="609" spans="1:34" ht="15" customHeight="1" x14ac:dyDescent="0.2">
      <c r="A609" s="11"/>
      <c r="B609" s="11" t="s">
        <v>1211</v>
      </c>
      <c r="C609" s="13">
        <v>399</v>
      </c>
      <c r="D609" s="13" t="s">
        <v>420</v>
      </c>
      <c r="E609" s="20">
        <v>410</v>
      </c>
      <c r="F609" s="20">
        <v>163</v>
      </c>
      <c r="G609" s="20">
        <v>608</v>
      </c>
      <c r="H609" s="13" t="s">
        <v>2136</v>
      </c>
      <c r="I609" s="13" t="str">
        <f t="shared" si="18"/>
        <v>SW 82nd Av (University Dr to Broward Bl)</v>
      </c>
      <c r="J609" s="13" t="s">
        <v>27</v>
      </c>
      <c r="K609" s="13" t="str">
        <f>VLOOKUP(J609,'Data-ProjectTypes'!A$3:B$13,2,FALSE)</f>
        <v>Program</v>
      </c>
      <c r="L609" s="21" t="s">
        <v>348</v>
      </c>
      <c r="M609" s="13" t="s">
        <v>1804</v>
      </c>
      <c r="N609" s="13" t="s">
        <v>1811</v>
      </c>
      <c r="O609" s="13" t="s">
        <v>284</v>
      </c>
      <c r="P609" s="13" t="s">
        <v>284</v>
      </c>
      <c r="Q609" s="22">
        <v>0.8</v>
      </c>
      <c r="R609" s="23">
        <v>285756</v>
      </c>
      <c r="S609" s="21"/>
      <c r="T609" s="21"/>
      <c r="U609" s="21"/>
      <c r="V609" s="24"/>
      <c r="W609" s="24"/>
      <c r="X609" s="24"/>
      <c r="Y609" s="17"/>
      <c r="Z609" s="18">
        <f>ROUND(R609*'Data-CostAssumptions'!$C$3,-3)</f>
        <v>395000</v>
      </c>
      <c r="AA609" s="11">
        <f t="shared" si="19"/>
        <v>0</v>
      </c>
      <c r="AB609" s="11">
        <v>2041</v>
      </c>
      <c r="AC609" s="11">
        <v>2041</v>
      </c>
      <c r="AD609" s="11">
        <v>2041</v>
      </c>
      <c r="AE609" s="11">
        <v>2041</v>
      </c>
      <c r="AF609" s="11">
        <v>0</v>
      </c>
      <c r="AG609" s="19">
        <f>ROUND((Z609*'Data-CostAssumptions'!$G$5)*(1+'Data-CostAssumptions'!$G$3)^(AC609-'Data-CostAssumptions'!$G$4),-3)</f>
        <v>223000</v>
      </c>
      <c r="AH609" s="19">
        <f>ROUND((Z609)*(1+'Data-CostAssumptions'!$G$3)^(AE609-'Data-CostAssumptions'!$G$4),-3)</f>
        <v>1013000</v>
      </c>
    </row>
    <row r="610" spans="1:34" ht="15" customHeight="1" x14ac:dyDescent="0.2">
      <c r="A610" s="11"/>
      <c r="B610" s="11" t="s">
        <v>1211</v>
      </c>
      <c r="C610" s="13">
        <v>401</v>
      </c>
      <c r="D610" s="13" t="s">
        <v>420</v>
      </c>
      <c r="E610" s="20">
        <v>4</v>
      </c>
      <c r="F610" s="20">
        <v>163</v>
      </c>
      <c r="G610" s="20">
        <v>609</v>
      </c>
      <c r="H610" s="13" t="s">
        <v>1999</v>
      </c>
      <c r="I610" s="13" t="str">
        <f t="shared" si="18"/>
        <v>Sawgrass Exit Ramp/Sunrise Bl (Midpoint of Sawgrass Corporate Parkway and NW 136th Av to Sawgrass Expressway)</v>
      </c>
      <c r="J610" s="13" t="s">
        <v>27</v>
      </c>
      <c r="K610" s="13" t="str">
        <f>VLOOKUP(J610,'Data-ProjectTypes'!A$3:B$13,2,FALSE)</f>
        <v>Program</v>
      </c>
      <c r="L610" s="21" t="s">
        <v>348</v>
      </c>
      <c r="M610" s="13" t="s">
        <v>2376</v>
      </c>
      <c r="N610" s="13" t="s">
        <v>72</v>
      </c>
      <c r="O610" s="13" t="s">
        <v>273</v>
      </c>
      <c r="P610" s="13" t="s">
        <v>273</v>
      </c>
      <c r="Q610" s="22">
        <v>0.4</v>
      </c>
      <c r="R610" s="23">
        <v>159678</v>
      </c>
      <c r="S610" s="21"/>
      <c r="T610" s="21"/>
      <c r="U610" s="21"/>
      <c r="V610" s="24"/>
      <c r="W610" s="24"/>
      <c r="X610" s="24"/>
      <c r="Y610" s="17"/>
      <c r="Z610" s="18">
        <f>ROUND(R610*'Data-CostAssumptions'!$C$3,-3)</f>
        <v>221000</v>
      </c>
      <c r="AA610" s="11">
        <f t="shared" si="19"/>
        <v>0</v>
      </c>
      <c r="AB610" s="11">
        <v>2041</v>
      </c>
      <c r="AC610" s="11">
        <v>2041</v>
      </c>
      <c r="AD610" s="11">
        <v>2041</v>
      </c>
      <c r="AE610" s="11">
        <v>2041</v>
      </c>
      <c r="AF610" s="11">
        <v>0</v>
      </c>
      <c r="AG610" s="19">
        <f>ROUND((Z610*'Data-CostAssumptions'!$G$5)*(1+'Data-CostAssumptions'!$G$3)^(AC610-'Data-CostAssumptions'!$G$4),-3)</f>
        <v>125000</v>
      </c>
      <c r="AH610" s="19">
        <f>ROUND((Z610)*(1+'Data-CostAssumptions'!$G$3)^(AE610-'Data-CostAssumptions'!$G$4),-3)</f>
        <v>567000</v>
      </c>
    </row>
    <row r="611" spans="1:34" ht="15" customHeight="1" x14ac:dyDescent="0.2">
      <c r="A611" s="11"/>
      <c r="B611" s="11" t="s">
        <v>1211</v>
      </c>
      <c r="C611" s="13">
        <v>402</v>
      </c>
      <c r="D611" s="13" t="s">
        <v>420</v>
      </c>
      <c r="E611" s="20">
        <v>19</v>
      </c>
      <c r="F611" s="20">
        <v>163</v>
      </c>
      <c r="G611" s="20">
        <v>610</v>
      </c>
      <c r="H611" s="13" t="s">
        <v>2104</v>
      </c>
      <c r="I611" s="13" t="str">
        <f t="shared" si="18"/>
        <v>SW 148th Av (Miramar Parkway to North of SW 27th St)</v>
      </c>
      <c r="J611" s="13" t="s">
        <v>27</v>
      </c>
      <c r="K611" s="13" t="str">
        <f>VLOOKUP(J611,'Data-ProjectTypes'!A$3:B$13,2,FALSE)</f>
        <v>Program</v>
      </c>
      <c r="L611" s="21" t="s">
        <v>348</v>
      </c>
      <c r="M611" s="13" t="s">
        <v>39</v>
      </c>
      <c r="N611" s="13" t="s">
        <v>2569</v>
      </c>
      <c r="O611" s="13" t="s">
        <v>274</v>
      </c>
      <c r="P611" s="13" t="s">
        <v>274</v>
      </c>
      <c r="Q611" s="22">
        <v>0.5</v>
      </c>
      <c r="R611" s="23">
        <v>175663</v>
      </c>
      <c r="S611" s="21" t="s">
        <v>24</v>
      </c>
      <c r="T611" s="21" t="s">
        <v>25</v>
      </c>
      <c r="U611" s="21" t="s">
        <v>684</v>
      </c>
      <c r="V611" s="24"/>
      <c r="W611" s="24"/>
      <c r="X611" s="24"/>
      <c r="Y611" s="17" t="s">
        <v>685</v>
      </c>
      <c r="Z611" s="18">
        <f>ROUND(R611*'Data-CostAssumptions'!$C$3,-3)</f>
        <v>243000</v>
      </c>
      <c r="AA611" s="11">
        <f t="shared" si="19"/>
        <v>0</v>
      </c>
      <c r="AB611" s="11">
        <v>2041</v>
      </c>
      <c r="AC611" s="11">
        <v>2041</v>
      </c>
      <c r="AD611" s="11">
        <v>2041</v>
      </c>
      <c r="AE611" s="11">
        <v>2041</v>
      </c>
      <c r="AF611" s="11">
        <v>0</v>
      </c>
      <c r="AG611" s="19">
        <f>ROUND((Z611*'Data-CostAssumptions'!$G$5)*(1+'Data-CostAssumptions'!$G$3)^(AC611-'Data-CostAssumptions'!$G$4),-3)</f>
        <v>137000</v>
      </c>
      <c r="AH611" s="19">
        <f>ROUND((Z611)*(1+'Data-CostAssumptions'!$G$3)^(AE611-'Data-CostAssumptions'!$G$4),-3)</f>
        <v>623000</v>
      </c>
    </row>
    <row r="612" spans="1:34" ht="15" customHeight="1" x14ac:dyDescent="0.2">
      <c r="A612" s="11"/>
      <c r="B612" s="11" t="s">
        <v>1211</v>
      </c>
      <c r="C612" s="13">
        <v>403</v>
      </c>
      <c r="D612" s="13" t="s">
        <v>420</v>
      </c>
      <c r="E612" s="20">
        <v>22</v>
      </c>
      <c r="F612" s="20">
        <v>163</v>
      </c>
      <c r="G612" s="20">
        <v>611</v>
      </c>
      <c r="H612" s="13" t="s">
        <v>2792</v>
      </c>
      <c r="I612" s="13" t="str">
        <f t="shared" si="18"/>
        <v>SR 827/Pembroke Rd (Flamingo Rd to SW 127th Av)</v>
      </c>
      <c r="J612" s="13" t="s">
        <v>27</v>
      </c>
      <c r="K612" s="13" t="str">
        <f>VLOOKUP(J612,'Data-ProjectTypes'!A$3:B$13,2,FALSE)</f>
        <v>Program</v>
      </c>
      <c r="L612" s="21" t="s">
        <v>348</v>
      </c>
      <c r="M612" s="13" t="s">
        <v>159</v>
      </c>
      <c r="N612" s="13" t="s">
        <v>2252</v>
      </c>
      <c r="O612" s="13" t="s">
        <v>274</v>
      </c>
      <c r="P612" s="13" t="s">
        <v>274</v>
      </c>
      <c r="Q612" s="22">
        <v>0.2</v>
      </c>
      <c r="R612" s="23">
        <v>88970</v>
      </c>
      <c r="S612" s="21" t="s">
        <v>24</v>
      </c>
      <c r="T612" s="21" t="s">
        <v>684</v>
      </c>
      <c r="U612" s="21" t="s">
        <v>684</v>
      </c>
      <c r="V612" s="24"/>
      <c r="W612" s="24"/>
      <c r="X612" s="24"/>
      <c r="Y612" s="17" t="s">
        <v>685</v>
      </c>
      <c r="Z612" s="18">
        <f>ROUND(R612*'Data-CostAssumptions'!$C$3,-3)</f>
        <v>123000</v>
      </c>
      <c r="AA612" s="11">
        <f t="shared" si="19"/>
        <v>0</v>
      </c>
      <c r="AB612" s="11">
        <v>2041</v>
      </c>
      <c r="AC612" s="11">
        <v>2041</v>
      </c>
      <c r="AD612" s="11">
        <v>2041</v>
      </c>
      <c r="AE612" s="11">
        <v>2041</v>
      </c>
      <c r="AF612" s="11">
        <v>0</v>
      </c>
      <c r="AG612" s="19">
        <f>ROUND((Z612*'Data-CostAssumptions'!$G$5)*(1+'Data-CostAssumptions'!$G$3)^(AC612-'Data-CostAssumptions'!$G$4),-3)</f>
        <v>69000</v>
      </c>
      <c r="AH612" s="19">
        <f>ROUND((Z612)*(1+'Data-CostAssumptions'!$G$3)^(AE612-'Data-CostAssumptions'!$G$4),-3)</f>
        <v>315000</v>
      </c>
    </row>
    <row r="613" spans="1:34" ht="15" customHeight="1" x14ac:dyDescent="0.2">
      <c r="A613" s="11"/>
      <c r="B613" s="11" t="s">
        <v>1211</v>
      </c>
      <c r="C613" s="13">
        <v>404</v>
      </c>
      <c r="D613" s="13" t="s">
        <v>420</v>
      </c>
      <c r="E613" s="20">
        <v>30</v>
      </c>
      <c r="F613" s="20">
        <v>163</v>
      </c>
      <c r="G613" s="20">
        <v>612</v>
      </c>
      <c r="H613" s="13" t="s">
        <v>2787</v>
      </c>
      <c r="I613" s="13" t="str">
        <f t="shared" si="18"/>
        <v>SR 822/Sheridan St (Palm Av to Lake Bl)</v>
      </c>
      <c r="J613" s="13" t="s">
        <v>27</v>
      </c>
      <c r="K613" s="13" t="str">
        <f>VLOOKUP(J613,'Data-ProjectTypes'!A$3:B$13,2,FALSE)</f>
        <v>Program</v>
      </c>
      <c r="L613" s="21" t="s">
        <v>348</v>
      </c>
      <c r="M613" s="13" t="s">
        <v>2083</v>
      </c>
      <c r="N613" s="13" t="s">
        <v>2282</v>
      </c>
      <c r="O613" s="13" t="s">
        <v>271</v>
      </c>
      <c r="P613" s="13" t="s">
        <v>271</v>
      </c>
      <c r="Q613" s="22">
        <v>1.7</v>
      </c>
      <c r="R613" s="23">
        <v>623245</v>
      </c>
      <c r="S613" s="21"/>
      <c r="T613" s="21"/>
      <c r="U613" s="21"/>
      <c r="V613" s="24"/>
      <c r="W613" s="24"/>
      <c r="X613" s="24"/>
      <c r="Y613" s="17"/>
      <c r="Z613" s="18">
        <f>ROUND(R613*'Data-CostAssumptions'!$C$3,-3)</f>
        <v>863000</v>
      </c>
      <c r="AA613" s="11">
        <f t="shared" si="19"/>
        <v>0</v>
      </c>
      <c r="AB613" s="11">
        <v>2041</v>
      </c>
      <c r="AC613" s="11">
        <v>2041</v>
      </c>
      <c r="AD613" s="11">
        <v>2041</v>
      </c>
      <c r="AE613" s="11">
        <v>2041</v>
      </c>
      <c r="AF613" s="11">
        <v>0</v>
      </c>
      <c r="AG613" s="19">
        <f>ROUND((Z613*'Data-CostAssumptions'!$G$5)*(1+'Data-CostAssumptions'!$G$3)^(AC613-'Data-CostAssumptions'!$G$4),-3)</f>
        <v>487000</v>
      </c>
      <c r="AH613" s="19">
        <f>ROUND((Z613)*(1+'Data-CostAssumptions'!$G$3)^(AE613-'Data-CostAssumptions'!$G$4),-3)</f>
        <v>2213000</v>
      </c>
    </row>
    <row r="614" spans="1:34" ht="15" customHeight="1" x14ac:dyDescent="0.2">
      <c r="A614" s="11"/>
      <c r="B614" s="11" t="s">
        <v>1211</v>
      </c>
      <c r="C614" s="13">
        <v>405</v>
      </c>
      <c r="D614" s="13" t="s">
        <v>420</v>
      </c>
      <c r="E614" s="20">
        <v>31</v>
      </c>
      <c r="F614" s="20">
        <v>163</v>
      </c>
      <c r="G614" s="20">
        <v>613</v>
      </c>
      <c r="H614" s="13" t="s">
        <v>1752</v>
      </c>
      <c r="I614" s="13" t="str">
        <f t="shared" si="18"/>
        <v>Hiatus Rd (Pines Bl to Lakeview North Dr)</v>
      </c>
      <c r="J614" s="13" t="s">
        <v>27</v>
      </c>
      <c r="K614" s="13" t="str">
        <f>VLOOKUP(J614,'Data-ProjectTypes'!A$3:B$13,2,FALSE)</f>
        <v>Program</v>
      </c>
      <c r="L614" s="21" t="s">
        <v>348</v>
      </c>
      <c r="M614" s="13" t="s">
        <v>1826</v>
      </c>
      <c r="N614" s="13" t="s">
        <v>2654</v>
      </c>
      <c r="O614" s="13" t="s">
        <v>271</v>
      </c>
      <c r="P614" s="13" t="s">
        <v>271</v>
      </c>
      <c r="Q614" s="22">
        <v>0.1</v>
      </c>
      <c r="R614" s="23">
        <v>45234</v>
      </c>
      <c r="S614" s="21"/>
      <c r="T614" s="21"/>
      <c r="U614" s="21"/>
      <c r="V614" s="24"/>
      <c r="W614" s="24"/>
      <c r="X614" s="24"/>
      <c r="Y614" s="17"/>
      <c r="Z614" s="18">
        <f>ROUND(R614*'Data-CostAssumptions'!$C$3,-3)</f>
        <v>63000</v>
      </c>
      <c r="AA614" s="11">
        <f t="shared" si="19"/>
        <v>0</v>
      </c>
      <c r="AB614" s="11">
        <v>2041</v>
      </c>
      <c r="AC614" s="11">
        <v>2041</v>
      </c>
      <c r="AD614" s="11">
        <v>2041</v>
      </c>
      <c r="AE614" s="11">
        <v>2041</v>
      </c>
      <c r="AF614" s="11">
        <v>0</v>
      </c>
      <c r="AG614" s="19">
        <f>ROUND((Z614*'Data-CostAssumptions'!$G$5)*(1+'Data-CostAssumptions'!$G$3)^(AC614-'Data-CostAssumptions'!$G$4),-3)</f>
        <v>36000</v>
      </c>
      <c r="AH614" s="19">
        <f>ROUND((Z614)*(1+'Data-CostAssumptions'!$G$3)^(AE614-'Data-CostAssumptions'!$G$4),-3)</f>
        <v>162000</v>
      </c>
    </row>
    <row r="615" spans="1:34" ht="15" customHeight="1" x14ac:dyDescent="0.2">
      <c r="A615" s="11"/>
      <c r="B615" s="11" t="s">
        <v>1211</v>
      </c>
      <c r="C615" s="13">
        <v>406</v>
      </c>
      <c r="D615" s="13" t="s">
        <v>420</v>
      </c>
      <c r="E615" s="20">
        <v>34</v>
      </c>
      <c r="F615" s="20">
        <v>164</v>
      </c>
      <c r="G615" s="20">
        <v>614</v>
      </c>
      <c r="H615" s="13" t="s">
        <v>1880</v>
      </c>
      <c r="I615" s="13" t="str">
        <f t="shared" si="18"/>
        <v>Johnson St (University Dr to Douglas Rd)</v>
      </c>
      <c r="J615" s="13" t="s">
        <v>27</v>
      </c>
      <c r="K615" s="13" t="str">
        <f>VLOOKUP(J615,'Data-ProjectTypes'!A$3:B$13,2,FALSE)</f>
        <v>Program</v>
      </c>
      <c r="L615" s="21" t="s">
        <v>348</v>
      </c>
      <c r="M615" s="13" t="s">
        <v>1804</v>
      </c>
      <c r="N615" s="13" t="s">
        <v>2425</v>
      </c>
      <c r="O615" s="13" t="s">
        <v>271</v>
      </c>
      <c r="P615" s="13" t="s">
        <v>271</v>
      </c>
      <c r="Q615" s="22">
        <v>1</v>
      </c>
      <c r="R615" s="23">
        <v>350312</v>
      </c>
      <c r="S615" s="21"/>
      <c r="T615" s="21"/>
      <c r="U615" s="21"/>
      <c r="V615" s="24"/>
      <c r="W615" s="24"/>
      <c r="X615" s="24"/>
      <c r="Y615" s="17"/>
      <c r="Z615" s="18">
        <f>ROUND(R615*'Data-CostAssumptions'!$C$3,-3)</f>
        <v>485000</v>
      </c>
      <c r="AA615" s="11">
        <f t="shared" si="19"/>
        <v>0</v>
      </c>
      <c r="AB615" s="11">
        <v>2041</v>
      </c>
      <c r="AC615" s="11">
        <v>2041</v>
      </c>
      <c r="AD615" s="11">
        <v>2041</v>
      </c>
      <c r="AE615" s="11">
        <v>2041</v>
      </c>
      <c r="AF615" s="11">
        <v>0</v>
      </c>
      <c r="AG615" s="19">
        <f>ROUND((Z615*'Data-CostAssumptions'!$G$5)*(1+'Data-CostAssumptions'!$G$3)^(AC615-'Data-CostAssumptions'!$G$4),-3)</f>
        <v>274000</v>
      </c>
      <c r="AH615" s="19">
        <f>ROUND((Z615)*(1+'Data-CostAssumptions'!$G$3)^(AE615-'Data-CostAssumptions'!$G$4),-3)</f>
        <v>1244000</v>
      </c>
    </row>
    <row r="616" spans="1:34" ht="15" customHeight="1" x14ac:dyDescent="0.2">
      <c r="A616" s="11"/>
      <c r="B616" s="11" t="s">
        <v>1211</v>
      </c>
      <c r="C616" s="13">
        <v>407</v>
      </c>
      <c r="D616" s="13" t="s">
        <v>420</v>
      </c>
      <c r="E616" s="20">
        <v>40</v>
      </c>
      <c r="F616" s="20">
        <v>164</v>
      </c>
      <c r="G616" s="20">
        <v>615</v>
      </c>
      <c r="H616" s="13" t="s">
        <v>2709</v>
      </c>
      <c r="I616" s="13" t="str">
        <f t="shared" si="18"/>
        <v>SR 817/University Dr (Sheridan St to Stirling Rd)</v>
      </c>
      <c r="J616" s="13" t="s">
        <v>27</v>
      </c>
      <c r="K616" s="13" t="str">
        <f>VLOOKUP(J616,'Data-ProjectTypes'!A$3:B$13,2,FALSE)</f>
        <v>Program</v>
      </c>
      <c r="L616" s="21" t="s">
        <v>348</v>
      </c>
      <c r="M616" s="13" t="s">
        <v>1951</v>
      </c>
      <c r="N616" s="13" t="s">
        <v>177</v>
      </c>
      <c r="O616" s="13" t="s">
        <v>270</v>
      </c>
      <c r="P616" s="13" t="s">
        <v>270</v>
      </c>
      <c r="Q616" s="22">
        <v>1</v>
      </c>
      <c r="R616" s="23">
        <v>369318</v>
      </c>
      <c r="S616" s="21" t="s">
        <v>24</v>
      </c>
      <c r="T616" s="21"/>
      <c r="U616" s="21"/>
      <c r="V616" s="24"/>
      <c r="W616" s="24" t="s">
        <v>546</v>
      </c>
      <c r="X616" s="24"/>
      <c r="Y616" s="17" t="s">
        <v>547</v>
      </c>
      <c r="Z616" s="18">
        <f>ROUND(R616*'Data-CostAssumptions'!$C$3,-3)</f>
        <v>511000</v>
      </c>
      <c r="AA616" s="11">
        <f t="shared" si="19"/>
        <v>1</v>
      </c>
      <c r="AB616" s="11">
        <v>2041</v>
      </c>
      <c r="AC616" s="11">
        <v>2041</v>
      </c>
      <c r="AD616" s="11">
        <v>2041</v>
      </c>
      <c r="AE616" s="11">
        <v>2041</v>
      </c>
      <c r="AF616" s="11">
        <v>0</v>
      </c>
      <c r="AG616" s="19">
        <f>ROUND((Z616*'Data-CostAssumptions'!$G$5)*(1+'Data-CostAssumptions'!$G$3)^(AC616-'Data-CostAssumptions'!$G$4),-3)</f>
        <v>288000</v>
      </c>
      <c r="AH616" s="19">
        <f>ROUND((Z616)*(1+'Data-CostAssumptions'!$G$3)^(AE616-'Data-CostAssumptions'!$G$4),-3)</f>
        <v>1310000</v>
      </c>
    </row>
    <row r="617" spans="1:34" ht="15" customHeight="1" x14ac:dyDescent="0.2">
      <c r="A617" s="11"/>
      <c r="B617" s="11" t="s">
        <v>1211</v>
      </c>
      <c r="C617" s="13">
        <v>408</v>
      </c>
      <c r="D617" s="13" t="s">
        <v>420</v>
      </c>
      <c r="E617" s="20">
        <v>41</v>
      </c>
      <c r="F617" s="20">
        <v>164</v>
      </c>
      <c r="G617" s="20">
        <v>616</v>
      </c>
      <c r="H617" s="13" t="s">
        <v>2838</v>
      </c>
      <c r="I617" s="13" t="str">
        <f t="shared" si="18"/>
        <v>Davie Rd Ext. (Stirling Rd to University Dr)</v>
      </c>
      <c r="J617" s="13" t="s">
        <v>27</v>
      </c>
      <c r="K617" s="13" t="str">
        <f>VLOOKUP(J617,'Data-ProjectTypes'!A$3:B$13,2,FALSE)</f>
        <v>Program</v>
      </c>
      <c r="L617" s="21" t="s">
        <v>348</v>
      </c>
      <c r="M617" s="13" t="s">
        <v>177</v>
      </c>
      <c r="N617" s="13" t="s">
        <v>1804</v>
      </c>
      <c r="O617" s="13" t="s">
        <v>273</v>
      </c>
      <c r="P617" s="13" t="s">
        <v>273</v>
      </c>
      <c r="Q617" s="22">
        <v>1.3</v>
      </c>
      <c r="R617" s="23">
        <v>452201</v>
      </c>
      <c r="S617" s="21" t="s">
        <v>24</v>
      </c>
      <c r="T617" s="21" t="s">
        <v>25</v>
      </c>
      <c r="U617" s="21"/>
      <c r="V617" s="24"/>
      <c r="W617" s="24" t="s">
        <v>546</v>
      </c>
      <c r="X617" s="24"/>
      <c r="Y617" s="17" t="s">
        <v>547</v>
      </c>
      <c r="Z617" s="18">
        <f>ROUND(R617*'Data-CostAssumptions'!$C$3,-3)</f>
        <v>626000</v>
      </c>
      <c r="AA617" s="11">
        <f t="shared" si="19"/>
        <v>1</v>
      </c>
      <c r="AB617" s="11">
        <v>2041</v>
      </c>
      <c r="AC617" s="11">
        <v>2041</v>
      </c>
      <c r="AD617" s="11">
        <v>2041</v>
      </c>
      <c r="AE617" s="11">
        <v>2041</v>
      </c>
      <c r="AF617" s="11">
        <v>0</v>
      </c>
      <c r="AG617" s="19">
        <f>ROUND((Z617*'Data-CostAssumptions'!$G$5)*(1+'Data-CostAssumptions'!$G$3)^(AC617-'Data-CostAssumptions'!$G$4),-3)</f>
        <v>353000</v>
      </c>
      <c r="AH617" s="19">
        <f>ROUND((Z617)*(1+'Data-CostAssumptions'!$G$3)^(AE617-'Data-CostAssumptions'!$G$4),-3)</f>
        <v>1605000</v>
      </c>
    </row>
    <row r="618" spans="1:34" ht="15" customHeight="1" x14ac:dyDescent="0.2">
      <c r="A618" s="11"/>
      <c r="B618" s="11" t="s">
        <v>1211</v>
      </c>
      <c r="C618" s="13">
        <v>409</v>
      </c>
      <c r="D618" s="13" t="s">
        <v>420</v>
      </c>
      <c r="E618" s="20">
        <v>45</v>
      </c>
      <c r="F618" s="20">
        <v>164</v>
      </c>
      <c r="G618" s="20">
        <v>617</v>
      </c>
      <c r="H618" s="13" t="s">
        <v>193</v>
      </c>
      <c r="I618" s="13" t="str">
        <f t="shared" si="18"/>
        <v>North 69th Way/North 66th Terrace Loop (Arthur St to Johnson St)</v>
      </c>
      <c r="J618" s="13" t="s">
        <v>27</v>
      </c>
      <c r="K618" s="13" t="str">
        <f>VLOOKUP(J618,'Data-ProjectTypes'!A$3:B$13,2,FALSE)</f>
        <v>Program</v>
      </c>
      <c r="L618" s="21" t="s">
        <v>543</v>
      </c>
      <c r="M618" s="13" t="s">
        <v>2518</v>
      </c>
      <c r="N618" s="13" t="s">
        <v>1880</v>
      </c>
      <c r="O618" s="13" t="s">
        <v>282</v>
      </c>
      <c r="P618" s="13" t="s">
        <v>282</v>
      </c>
      <c r="Q618" s="22">
        <v>0.9</v>
      </c>
      <c r="R618" s="23">
        <v>313021</v>
      </c>
      <c r="S618" s="21" t="s">
        <v>24</v>
      </c>
      <c r="T618" s="21" t="s">
        <v>25</v>
      </c>
      <c r="U618" s="21" t="s">
        <v>24</v>
      </c>
      <c r="V618" s="24"/>
      <c r="W618" s="24" t="s">
        <v>549</v>
      </c>
      <c r="X618" s="24"/>
      <c r="Y618" s="17" t="s">
        <v>538</v>
      </c>
      <c r="Z618" s="18">
        <f>ROUND(R618*'Data-CostAssumptions'!$C$3,-3)</f>
        <v>433000</v>
      </c>
      <c r="AA618" s="11">
        <f t="shared" si="19"/>
        <v>1</v>
      </c>
      <c r="AB618" s="11">
        <v>2041</v>
      </c>
      <c r="AC618" s="11">
        <v>2041</v>
      </c>
      <c r="AD618" s="11">
        <v>2041</v>
      </c>
      <c r="AE618" s="11">
        <v>2041</v>
      </c>
      <c r="AF618" s="11">
        <v>0</v>
      </c>
      <c r="AG618" s="19">
        <f>ROUND((Z618*'Data-CostAssumptions'!$G$5)*(1+'Data-CostAssumptions'!$G$3)^(AC618-'Data-CostAssumptions'!$G$4),-3)</f>
        <v>244000</v>
      </c>
      <c r="AH618" s="19">
        <f>ROUND((Z618)*(1+'Data-CostAssumptions'!$G$3)^(AE618-'Data-CostAssumptions'!$G$4),-3)</f>
        <v>1110000</v>
      </c>
    </row>
    <row r="619" spans="1:34" ht="15" customHeight="1" x14ac:dyDescent="0.2">
      <c r="A619" s="11"/>
      <c r="B619" s="11" t="s">
        <v>1211</v>
      </c>
      <c r="C619" s="13">
        <v>410</v>
      </c>
      <c r="D619" s="13" t="s">
        <v>420</v>
      </c>
      <c r="E619" s="20">
        <v>46</v>
      </c>
      <c r="F619" s="20">
        <v>164</v>
      </c>
      <c r="G619" s="20">
        <v>618</v>
      </c>
      <c r="H619" s="13" t="s">
        <v>1880</v>
      </c>
      <c r="I619" s="13" t="str">
        <f t="shared" si="18"/>
        <v>Johnson St (North 62nd Av to North 73rd Av)</v>
      </c>
      <c r="J619" s="13" t="s">
        <v>27</v>
      </c>
      <c r="K619" s="13" t="str">
        <f>VLOOKUP(J619,'Data-ProjectTypes'!A$3:B$13,2,FALSE)</f>
        <v>Program</v>
      </c>
      <c r="L619" s="21" t="s">
        <v>543</v>
      </c>
      <c r="M619" s="13" t="s">
        <v>2354</v>
      </c>
      <c r="N619" s="13" t="s">
        <v>2223</v>
      </c>
      <c r="O619" s="13" t="s">
        <v>282</v>
      </c>
      <c r="P619" s="13" t="s">
        <v>282</v>
      </c>
      <c r="Q619" s="22">
        <v>1.4</v>
      </c>
      <c r="R619" s="23">
        <v>501718</v>
      </c>
      <c r="S619" s="21" t="s">
        <v>24</v>
      </c>
      <c r="T619" s="21" t="s">
        <v>25</v>
      </c>
      <c r="U619" s="21" t="s">
        <v>24</v>
      </c>
      <c r="V619" s="24"/>
      <c r="W619" s="24"/>
      <c r="X619" s="24"/>
      <c r="Y619" s="17" t="s">
        <v>538</v>
      </c>
      <c r="Z619" s="18">
        <f>ROUND(R619*'Data-CostAssumptions'!$C$3,-3)</f>
        <v>694000</v>
      </c>
      <c r="AA619" s="11">
        <f t="shared" si="19"/>
        <v>0</v>
      </c>
      <c r="AB619" s="11">
        <v>2041</v>
      </c>
      <c r="AC619" s="11">
        <v>2041</v>
      </c>
      <c r="AD619" s="11">
        <v>2041</v>
      </c>
      <c r="AE619" s="11">
        <v>2041</v>
      </c>
      <c r="AF619" s="11">
        <v>0</v>
      </c>
      <c r="AG619" s="19">
        <f>ROUND((Z619*'Data-CostAssumptions'!$G$5)*(1+'Data-CostAssumptions'!$G$3)^(AC619-'Data-CostAssumptions'!$G$4),-3)</f>
        <v>391000</v>
      </c>
      <c r="AH619" s="19">
        <f>ROUND((Z619)*(1+'Data-CostAssumptions'!$G$3)^(AE619-'Data-CostAssumptions'!$G$4),-3)</f>
        <v>1779000</v>
      </c>
    </row>
    <row r="620" spans="1:34" ht="15" customHeight="1" x14ac:dyDescent="0.2">
      <c r="A620" s="11"/>
      <c r="B620" s="11" t="s">
        <v>1211</v>
      </c>
      <c r="C620" s="13">
        <v>411</v>
      </c>
      <c r="D620" s="13" t="s">
        <v>420</v>
      </c>
      <c r="E620" s="20">
        <v>47</v>
      </c>
      <c r="F620" s="20">
        <v>164</v>
      </c>
      <c r="G620" s="20">
        <v>619</v>
      </c>
      <c r="H620" s="13" t="s">
        <v>1951</v>
      </c>
      <c r="I620" s="13" t="str">
        <f t="shared" si="18"/>
        <v>Sheridan St (North 66th Av to North 72nd Av)</v>
      </c>
      <c r="J620" s="13" t="s">
        <v>27</v>
      </c>
      <c r="K620" s="13" t="str">
        <f>VLOOKUP(J620,'Data-ProjectTypes'!A$3:B$13,2,FALSE)</f>
        <v>Program</v>
      </c>
      <c r="L620" s="21" t="s">
        <v>348</v>
      </c>
      <c r="M620" s="13" t="s">
        <v>2382</v>
      </c>
      <c r="N620" s="13" t="s">
        <v>2045</v>
      </c>
      <c r="O620" s="13" t="s">
        <v>273</v>
      </c>
      <c r="P620" s="13" t="s">
        <v>273</v>
      </c>
      <c r="Q620" s="22">
        <v>0.7</v>
      </c>
      <c r="R620" s="23">
        <v>259363</v>
      </c>
      <c r="S620" s="21" t="s">
        <v>24</v>
      </c>
      <c r="T620" s="21"/>
      <c r="U620" s="21"/>
      <c r="V620" s="24"/>
      <c r="W620" s="24" t="s">
        <v>550</v>
      </c>
      <c r="X620" s="24"/>
      <c r="Y620" s="17" t="s">
        <v>538</v>
      </c>
      <c r="Z620" s="18">
        <f>ROUND(R620*'Data-CostAssumptions'!$C$3,-3)</f>
        <v>359000</v>
      </c>
      <c r="AA620" s="11">
        <f t="shared" si="19"/>
        <v>1</v>
      </c>
      <c r="AB620" s="11">
        <v>2041</v>
      </c>
      <c r="AC620" s="11">
        <v>2041</v>
      </c>
      <c r="AD620" s="11">
        <v>2041</v>
      </c>
      <c r="AE620" s="11">
        <v>2041</v>
      </c>
      <c r="AF620" s="11">
        <v>0</v>
      </c>
      <c r="AG620" s="19">
        <f>ROUND((Z620*'Data-CostAssumptions'!$G$5)*(1+'Data-CostAssumptions'!$G$3)^(AC620-'Data-CostAssumptions'!$G$4),-3)</f>
        <v>203000</v>
      </c>
      <c r="AH620" s="19">
        <f>ROUND((Z620)*(1+'Data-CostAssumptions'!$G$3)^(AE620-'Data-CostAssumptions'!$G$4),-3)</f>
        <v>920000</v>
      </c>
    </row>
    <row r="621" spans="1:34" ht="15" customHeight="1" x14ac:dyDescent="0.2">
      <c r="A621" s="11"/>
      <c r="B621" s="11" t="s">
        <v>1211</v>
      </c>
      <c r="C621" s="13">
        <v>412</v>
      </c>
      <c r="D621" s="13" t="s">
        <v>420</v>
      </c>
      <c r="E621" s="20">
        <v>48</v>
      </c>
      <c r="F621" s="20">
        <v>164</v>
      </c>
      <c r="G621" s="20">
        <v>620</v>
      </c>
      <c r="H621" s="13" t="s">
        <v>191</v>
      </c>
      <c r="I621" s="13" t="str">
        <f t="shared" si="18"/>
        <v>North 72nd Terrace/North 70th Terrace Loop (Lee St to Sheridan St)</v>
      </c>
      <c r="J621" s="13" t="s">
        <v>27</v>
      </c>
      <c r="K621" s="13" t="str">
        <f>VLOOKUP(J621,'Data-ProjectTypes'!A$3:B$13,2,FALSE)</f>
        <v>Program</v>
      </c>
      <c r="L621" s="21" t="s">
        <v>551</v>
      </c>
      <c r="M621" s="13" t="s">
        <v>2527</v>
      </c>
      <c r="N621" s="13" t="s">
        <v>1951</v>
      </c>
      <c r="O621" s="13" t="s">
        <v>282</v>
      </c>
      <c r="P621" s="13" t="s">
        <v>282</v>
      </c>
      <c r="Q621" s="22">
        <v>0.5</v>
      </c>
      <c r="R621" s="23">
        <v>172824</v>
      </c>
      <c r="S621" s="21" t="s">
        <v>24</v>
      </c>
      <c r="T621" s="21" t="s">
        <v>25</v>
      </c>
      <c r="U621" s="21" t="s">
        <v>24</v>
      </c>
      <c r="V621" s="24"/>
      <c r="W621" s="24"/>
      <c r="X621" s="24"/>
      <c r="Y621" s="17" t="s">
        <v>538</v>
      </c>
      <c r="Z621" s="18">
        <f>ROUND(R621*'Data-CostAssumptions'!$C$3,-3)</f>
        <v>239000</v>
      </c>
      <c r="AA621" s="11">
        <f t="shared" si="19"/>
        <v>0</v>
      </c>
      <c r="AB621" s="11">
        <v>2041</v>
      </c>
      <c r="AC621" s="11">
        <v>2041</v>
      </c>
      <c r="AD621" s="11">
        <v>2041</v>
      </c>
      <c r="AE621" s="11">
        <v>2041</v>
      </c>
      <c r="AF621" s="11">
        <v>0</v>
      </c>
      <c r="AG621" s="19">
        <f>ROUND((Z621*'Data-CostAssumptions'!$G$5)*(1+'Data-CostAssumptions'!$G$3)^(AC621-'Data-CostAssumptions'!$G$4),-3)</f>
        <v>135000</v>
      </c>
      <c r="AH621" s="19">
        <f>ROUND((Z621)*(1+'Data-CostAssumptions'!$G$3)^(AE621-'Data-CostAssumptions'!$G$4),-3)</f>
        <v>613000</v>
      </c>
    </row>
    <row r="622" spans="1:34" ht="15" customHeight="1" x14ac:dyDescent="0.2">
      <c r="A622" s="11"/>
      <c r="B622" s="11" t="s">
        <v>1211</v>
      </c>
      <c r="C622" s="13">
        <v>413</v>
      </c>
      <c r="D622" s="13" t="s">
        <v>420</v>
      </c>
      <c r="E622" s="20">
        <v>49</v>
      </c>
      <c r="F622" s="20">
        <v>164</v>
      </c>
      <c r="G622" s="20">
        <v>621</v>
      </c>
      <c r="H622" s="13" t="s">
        <v>2044</v>
      </c>
      <c r="I622" s="13" t="str">
        <f t="shared" si="18"/>
        <v>North 68th Av (Douglas Rd to Taft St)</v>
      </c>
      <c r="J622" s="13" t="s">
        <v>27</v>
      </c>
      <c r="K622" s="13" t="str">
        <f>VLOOKUP(J622,'Data-ProjectTypes'!A$3:B$13,2,FALSE)</f>
        <v>Program</v>
      </c>
      <c r="L622" s="21" t="s">
        <v>543</v>
      </c>
      <c r="M622" s="13" t="s">
        <v>2425</v>
      </c>
      <c r="N622" s="13" t="s">
        <v>1968</v>
      </c>
      <c r="O622" s="13" t="s">
        <v>282</v>
      </c>
      <c r="P622" s="13" t="s">
        <v>282</v>
      </c>
      <c r="Q622" s="22">
        <v>1.5</v>
      </c>
      <c r="R622" s="23">
        <v>534540</v>
      </c>
      <c r="S622" s="21" t="s">
        <v>24</v>
      </c>
      <c r="T622" s="21" t="s">
        <v>25</v>
      </c>
      <c r="U622" s="21" t="s">
        <v>24</v>
      </c>
      <c r="V622" s="24"/>
      <c r="W622" s="24"/>
      <c r="X622" s="24"/>
      <c r="Y622" s="17" t="s">
        <v>538</v>
      </c>
      <c r="Z622" s="18">
        <f>ROUND(R622*'Data-CostAssumptions'!$C$3,-3)</f>
        <v>740000</v>
      </c>
      <c r="AA622" s="11">
        <f t="shared" si="19"/>
        <v>0</v>
      </c>
      <c r="AB622" s="11">
        <v>2041</v>
      </c>
      <c r="AC622" s="11">
        <v>2041</v>
      </c>
      <c r="AD622" s="11">
        <v>2041</v>
      </c>
      <c r="AE622" s="11">
        <v>2041</v>
      </c>
      <c r="AF622" s="11">
        <v>0</v>
      </c>
      <c r="AG622" s="19">
        <f>ROUND((Z622*'Data-CostAssumptions'!$G$5)*(1+'Data-CostAssumptions'!$G$3)^(AC622-'Data-CostAssumptions'!$G$4),-3)</f>
        <v>417000</v>
      </c>
      <c r="AH622" s="19">
        <f>ROUND((Z622)*(1+'Data-CostAssumptions'!$G$3)^(AE622-'Data-CostAssumptions'!$G$4),-3)</f>
        <v>1897000</v>
      </c>
    </row>
    <row r="623" spans="1:34" ht="15" customHeight="1" x14ac:dyDescent="0.2">
      <c r="A623" s="11"/>
      <c r="B623" s="11" t="s">
        <v>1211</v>
      </c>
      <c r="C623" s="13">
        <v>414</v>
      </c>
      <c r="D623" s="13" t="s">
        <v>420</v>
      </c>
      <c r="E623" s="20">
        <v>54</v>
      </c>
      <c r="F623" s="20">
        <v>164</v>
      </c>
      <c r="G623" s="20">
        <v>622</v>
      </c>
      <c r="H623" s="13" t="s">
        <v>57</v>
      </c>
      <c r="I623" s="13" t="str">
        <f t="shared" si="18"/>
        <v>SR 7/US 441 (SW 25th St to Plunkett St)</v>
      </c>
      <c r="J623" s="13" t="s">
        <v>27</v>
      </c>
      <c r="K623" s="13" t="str">
        <f>VLOOKUP(J623,'Data-ProjectTypes'!A$3:B$13,2,FALSE)</f>
        <v>Program</v>
      </c>
      <c r="L623" s="21" t="s">
        <v>348</v>
      </c>
      <c r="M623" s="13" t="s">
        <v>1958</v>
      </c>
      <c r="N623" s="13" t="s">
        <v>2565</v>
      </c>
      <c r="O623" s="13" t="s">
        <v>270</v>
      </c>
      <c r="P623" s="13" t="s">
        <v>270</v>
      </c>
      <c r="Q623" s="22">
        <v>0.8</v>
      </c>
      <c r="R623" s="23">
        <v>272233</v>
      </c>
      <c r="S623" s="29" t="s">
        <v>1103</v>
      </c>
      <c r="T623" s="21" t="s">
        <v>684</v>
      </c>
      <c r="U623" s="21" t="s">
        <v>684</v>
      </c>
      <c r="V623" s="24"/>
      <c r="W623" s="24" t="s">
        <v>1104</v>
      </c>
      <c r="X623" s="24" t="s">
        <v>1105</v>
      </c>
      <c r="Y623" s="17" t="s">
        <v>1111</v>
      </c>
      <c r="Z623" s="18">
        <f>ROUND(R623*'Data-CostAssumptions'!$C$3,-3)</f>
        <v>377000</v>
      </c>
      <c r="AA623" s="11">
        <f t="shared" si="19"/>
        <v>1</v>
      </c>
      <c r="AB623" s="11">
        <v>2041</v>
      </c>
      <c r="AC623" s="11">
        <v>2041</v>
      </c>
      <c r="AD623" s="11">
        <v>2041</v>
      </c>
      <c r="AE623" s="11">
        <v>2041</v>
      </c>
      <c r="AF623" s="11">
        <v>0</v>
      </c>
      <c r="AG623" s="19">
        <f>ROUND((Z623*'Data-CostAssumptions'!$G$5)*(1+'Data-CostAssumptions'!$G$3)^(AC623-'Data-CostAssumptions'!$G$4),-3)</f>
        <v>213000</v>
      </c>
      <c r="AH623" s="19">
        <f>ROUND((Z623)*(1+'Data-CostAssumptions'!$G$3)^(AE623-'Data-CostAssumptions'!$G$4),-3)</f>
        <v>967000</v>
      </c>
    </row>
    <row r="624" spans="1:34" ht="15" customHeight="1" x14ac:dyDescent="0.2">
      <c r="A624" s="11"/>
      <c r="B624" s="11" t="s">
        <v>1213</v>
      </c>
      <c r="C624" s="13">
        <v>621</v>
      </c>
      <c r="D624" s="13" t="s">
        <v>420</v>
      </c>
      <c r="E624" s="20">
        <v>186</v>
      </c>
      <c r="F624" s="20">
        <v>176</v>
      </c>
      <c r="G624" s="20">
        <v>623</v>
      </c>
      <c r="H624" s="13" t="s">
        <v>95</v>
      </c>
      <c r="I624" s="13" t="str">
        <f t="shared" si="18"/>
        <v>Holatee Trail (Stirling Rd to Palomino Dr)</v>
      </c>
      <c r="J624" s="13" t="s">
        <v>27</v>
      </c>
      <c r="K624" s="13" t="str">
        <f>VLOOKUP(J624,'Data-ProjectTypes'!A$3:B$13,2,FALSE)</f>
        <v>Program</v>
      </c>
      <c r="L624" s="21" t="s">
        <v>348</v>
      </c>
      <c r="M624" s="13" t="s">
        <v>177</v>
      </c>
      <c r="N624" s="13" t="s">
        <v>2655</v>
      </c>
      <c r="O624" s="13" t="s">
        <v>272</v>
      </c>
      <c r="P624" s="13" t="s">
        <v>272</v>
      </c>
      <c r="Q624" s="22">
        <v>0.9</v>
      </c>
      <c r="R624" s="23">
        <v>335914</v>
      </c>
      <c r="S624" s="21" t="s">
        <v>25</v>
      </c>
      <c r="T624" s="21" t="s">
        <v>684</v>
      </c>
      <c r="U624" s="21" t="s">
        <v>684</v>
      </c>
      <c r="W624" s="24" t="s">
        <v>784</v>
      </c>
      <c r="X624" s="37" t="s">
        <v>3236</v>
      </c>
      <c r="Y624" s="17" t="s">
        <v>783</v>
      </c>
      <c r="Z624" s="18">
        <f>ROUND(R624*'Data-CostAssumptions'!$C$3,-3)</f>
        <v>465000</v>
      </c>
      <c r="AA624" s="11">
        <f t="shared" si="19"/>
        <v>1</v>
      </c>
      <c r="AB624" s="11">
        <v>2041</v>
      </c>
      <c r="AC624" s="11">
        <v>2041</v>
      </c>
      <c r="AD624" s="11">
        <v>2041</v>
      </c>
      <c r="AE624" s="11">
        <v>2041</v>
      </c>
      <c r="AF624" s="11">
        <v>0</v>
      </c>
      <c r="AG624" s="19">
        <f>ROUND((Z624*'Data-CostAssumptions'!$G$5)*(1+'Data-CostAssumptions'!$G$3)^(AC624-'Data-CostAssumptions'!$G$4),-3)</f>
        <v>262000</v>
      </c>
      <c r="AH624" s="19">
        <f>ROUND((Z624)*(1+'Data-CostAssumptions'!$G$3)^(AE624-'Data-CostAssumptions'!$G$4),-3)</f>
        <v>1192000</v>
      </c>
    </row>
    <row r="625" spans="1:34" ht="15" customHeight="1" x14ac:dyDescent="0.2">
      <c r="A625" s="11"/>
      <c r="B625" s="11" t="s">
        <v>1211</v>
      </c>
      <c r="C625" s="13">
        <v>415</v>
      </c>
      <c r="D625" s="13" t="s">
        <v>420</v>
      </c>
      <c r="E625" s="20">
        <v>57</v>
      </c>
      <c r="F625" s="20">
        <v>164</v>
      </c>
      <c r="G625" s="20">
        <v>624</v>
      </c>
      <c r="H625" s="13" t="s">
        <v>1977</v>
      </c>
      <c r="I625" s="13" t="str">
        <f t="shared" si="18"/>
        <v>Miramar Pkwy (SW 58th Av to SW 64th Av)</v>
      </c>
      <c r="J625" s="13" t="s">
        <v>27</v>
      </c>
      <c r="K625" s="13" t="str">
        <f>VLOOKUP(J625,'Data-ProjectTypes'!A$3:B$13,2,FALSE)</f>
        <v>Program</v>
      </c>
      <c r="L625" s="21" t="s">
        <v>348</v>
      </c>
      <c r="M625" s="13" t="s">
        <v>2129</v>
      </c>
      <c r="N625" s="13" t="s">
        <v>2230</v>
      </c>
      <c r="O625" s="13" t="s">
        <v>273</v>
      </c>
      <c r="P625" s="13" t="s">
        <v>273</v>
      </c>
      <c r="Q625" s="22">
        <v>0.8</v>
      </c>
      <c r="R625" s="23">
        <v>271379</v>
      </c>
      <c r="S625" s="29" t="s">
        <v>1106</v>
      </c>
      <c r="T625" s="21" t="s">
        <v>684</v>
      </c>
      <c r="U625" s="21" t="s">
        <v>684</v>
      </c>
      <c r="V625" s="24"/>
      <c r="W625" s="24" t="s">
        <v>1108</v>
      </c>
      <c r="X625" s="24" t="s">
        <v>1109</v>
      </c>
      <c r="Y625" s="17" t="s">
        <v>1110</v>
      </c>
      <c r="Z625" s="18">
        <f>ROUND(R625*'Data-CostAssumptions'!$C$3,-3)</f>
        <v>376000</v>
      </c>
      <c r="AA625" s="11">
        <f t="shared" si="19"/>
        <v>1</v>
      </c>
      <c r="AB625" s="11">
        <v>2041</v>
      </c>
      <c r="AC625" s="11">
        <v>2041</v>
      </c>
      <c r="AD625" s="11">
        <v>2041</v>
      </c>
      <c r="AE625" s="11">
        <v>2041</v>
      </c>
      <c r="AF625" s="11">
        <v>0</v>
      </c>
      <c r="AG625" s="19">
        <f>ROUND((Z625*'Data-CostAssumptions'!$G$5)*(1+'Data-CostAssumptions'!$G$3)^(AC625-'Data-CostAssumptions'!$G$4),-3)</f>
        <v>212000</v>
      </c>
      <c r="AH625" s="19">
        <f>ROUND((Z625)*(1+'Data-CostAssumptions'!$G$3)^(AE625-'Data-CostAssumptions'!$G$4),-3)</f>
        <v>964000</v>
      </c>
    </row>
    <row r="626" spans="1:34" ht="15" customHeight="1" x14ac:dyDescent="0.2">
      <c r="A626" s="11"/>
      <c r="B626" s="11" t="s">
        <v>1211</v>
      </c>
      <c r="C626" s="13">
        <v>416</v>
      </c>
      <c r="D626" s="13" t="s">
        <v>420</v>
      </c>
      <c r="E626" s="20">
        <v>61</v>
      </c>
      <c r="F626" s="20">
        <v>164</v>
      </c>
      <c r="G626" s="20">
        <v>625</v>
      </c>
      <c r="H626" s="13" t="s">
        <v>2787</v>
      </c>
      <c r="I626" s="13" t="str">
        <f t="shared" si="18"/>
        <v>SR 822/Sheridan St (Just west of SR A1A to Just west of Watermark Bl)</v>
      </c>
      <c r="J626" s="13" t="s">
        <v>27</v>
      </c>
      <c r="K626" s="13" t="str">
        <f>VLOOKUP(J626,'Data-ProjectTypes'!A$3:B$13,2,FALSE)</f>
        <v>Program</v>
      </c>
      <c r="L626" s="21" t="s">
        <v>348</v>
      </c>
      <c r="M626" s="13" t="s">
        <v>190</v>
      </c>
      <c r="N626" s="13" t="s">
        <v>2283</v>
      </c>
      <c r="O626" s="13" t="s">
        <v>270</v>
      </c>
      <c r="P626" s="13" t="s">
        <v>270</v>
      </c>
      <c r="Q626" s="22">
        <v>0.9</v>
      </c>
      <c r="R626" s="23">
        <v>304916</v>
      </c>
      <c r="S626" s="21" t="s">
        <v>24</v>
      </c>
      <c r="T626" s="21"/>
      <c r="U626" s="21"/>
      <c r="V626" s="24"/>
      <c r="W626" s="24"/>
      <c r="X626" s="24"/>
      <c r="Y626" s="17" t="s">
        <v>538</v>
      </c>
      <c r="Z626" s="18">
        <f>ROUND(R626*'Data-CostAssumptions'!$C$3,-3)</f>
        <v>422000</v>
      </c>
      <c r="AA626" s="11">
        <f t="shared" si="19"/>
        <v>0</v>
      </c>
      <c r="AB626" s="11">
        <v>2041</v>
      </c>
      <c r="AC626" s="11">
        <v>2041</v>
      </c>
      <c r="AD626" s="11">
        <v>2041</v>
      </c>
      <c r="AE626" s="11">
        <v>2041</v>
      </c>
      <c r="AF626" s="11">
        <v>0</v>
      </c>
      <c r="AG626" s="19">
        <f>ROUND((Z626*'Data-CostAssumptions'!$G$5)*(1+'Data-CostAssumptions'!$G$3)^(AC626-'Data-CostAssumptions'!$G$4),-3)</f>
        <v>238000</v>
      </c>
      <c r="AH626" s="19">
        <f>ROUND((Z626)*(1+'Data-CostAssumptions'!$G$3)^(AE626-'Data-CostAssumptions'!$G$4),-3)</f>
        <v>1082000</v>
      </c>
    </row>
    <row r="627" spans="1:34" ht="15" customHeight="1" x14ac:dyDescent="0.2">
      <c r="A627" s="11"/>
      <c r="B627" s="11" t="s">
        <v>1211</v>
      </c>
      <c r="C627" s="13">
        <v>417</v>
      </c>
      <c r="D627" s="13" t="s">
        <v>420</v>
      </c>
      <c r="E627" s="20">
        <v>70</v>
      </c>
      <c r="F627" s="20">
        <v>164</v>
      </c>
      <c r="G627" s="20">
        <v>626</v>
      </c>
      <c r="H627" s="13" t="s">
        <v>1789</v>
      </c>
      <c r="I627" s="13" t="str">
        <f t="shared" si="18"/>
        <v>Eller Dr (Just north of access Rd to NE 7th Av)</v>
      </c>
      <c r="J627" s="13" t="s">
        <v>27</v>
      </c>
      <c r="K627" s="13" t="str">
        <f>VLOOKUP(J627,'Data-ProjectTypes'!A$3:B$13,2,FALSE)</f>
        <v>Program</v>
      </c>
      <c r="L627" s="21" t="s">
        <v>348</v>
      </c>
      <c r="M627" s="13" t="s">
        <v>2408</v>
      </c>
      <c r="N627" s="13" t="s">
        <v>2037</v>
      </c>
      <c r="O627" s="13" t="s">
        <v>272</v>
      </c>
      <c r="P627" s="13" t="s">
        <v>272</v>
      </c>
      <c r="Q627" s="22">
        <v>1.3</v>
      </c>
      <c r="R627" s="23">
        <v>460478</v>
      </c>
      <c r="S627" s="21" t="s">
        <v>24</v>
      </c>
      <c r="T627" s="21"/>
      <c r="U627" s="21"/>
      <c r="V627" s="24"/>
      <c r="W627" s="24" t="s">
        <v>552</v>
      </c>
      <c r="X627" s="24"/>
      <c r="Y627" s="17" t="s">
        <v>538</v>
      </c>
      <c r="Z627" s="18">
        <f>ROUND(R627*'Data-CostAssumptions'!$C$3,-3)</f>
        <v>637000</v>
      </c>
      <c r="AA627" s="11">
        <f t="shared" si="19"/>
        <v>1</v>
      </c>
      <c r="AB627" s="11">
        <v>2041</v>
      </c>
      <c r="AC627" s="11">
        <v>2041</v>
      </c>
      <c r="AD627" s="11">
        <v>2041</v>
      </c>
      <c r="AE627" s="11">
        <v>2041</v>
      </c>
      <c r="AF627" s="11">
        <v>0</v>
      </c>
      <c r="AG627" s="19">
        <f>ROUND((Z627*'Data-CostAssumptions'!$G$5)*(1+'Data-CostAssumptions'!$G$3)^(AC627-'Data-CostAssumptions'!$G$4),-3)</f>
        <v>359000</v>
      </c>
      <c r="AH627" s="19">
        <f>ROUND((Z627)*(1+'Data-CostAssumptions'!$G$3)^(AE627-'Data-CostAssumptions'!$G$4),-3)</f>
        <v>1633000</v>
      </c>
    </row>
    <row r="628" spans="1:34" ht="15" customHeight="1" x14ac:dyDescent="0.2">
      <c r="A628" s="11"/>
      <c r="B628" s="11" t="s">
        <v>1211</v>
      </c>
      <c r="C628" s="13">
        <v>418</v>
      </c>
      <c r="D628" s="13" t="s">
        <v>420</v>
      </c>
      <c r="E628" s="20">
        <v>73</v>
      </c>
      <c r="F628" s="20">
        <v>164</v>
      </c>
      <c r="G628" s="20">
        <v>627</v>
      </c>
      <c r="H628" s="13" t="s">
        <v>2112</v>
      </c>
      <c r="I628" s="13" t="str">
        <f t="shared" si="18"/>
        <v>SW 18th Av/Lauder Way (Just south of SW 32nd St to SW 20th St)</v>
      </c>
      <c r="J628" s="13" t="s">
        <v>27</v>
      </c>
      <c r="K628" s="13" t="str">
        <f>VLOOKUP(J628,'Data-ProjectTypes'!A$3:B$13,2,FALSE)</f>
        <v>Program</v>
      </c>
      <c r="L628" s="21" t="s">
        <v>348</v>
      </c>
      <c r="M628" s="13" t="s">
        <v>2573</v>
      </c>
      <c r="N628" s="13" t="s">
        <v>1957</v>
      </c>
      <c r="O628" s="13" t="s">
        <v>270</v>
      </c>
      <c r="P628" s="13" t="s">
        <v>270</v>
      </c>
      <c r="Q628" s="22">
        <v>0.8</v>
      </c>
      <c r="R628" s="23">
        <v>294660</v>
      </c>
      <c r="S628" s="21"/>
      <c r="T628" s="21"/>
      <c r="U628" s="21"/>
      <c r="V628" s="24"/>
      <c r="W628" s="24"/>
      <c r="X628" s="24"/>
      <c r="Y628" s="17"/>
      <c r="Z628" s="18">
        <f>ROUND(R628*'Data-CostAssumptions'!$C$3,-3)</f>
        <v>408000</v>
      </c>
      <c r="AA628" s="11">
        <f t="shared" si="19"/>
        <v>0</v>
      </c>
      <c r="AB628" s="11">
        <v>2041</v>
      </c>
      <c r="AC628" s="11">
        <v>2041</v>
      </c>
      <c r="AD628" s="11">
        <v>2041</v>
      </c>
      <c r="AE628" s="11">
        <v>2041</v>
      </c>
      <c r="AF628" s="11">
        <v>0</v>
      </c>
      <c r="AG628" s="19">
        <f>ROUND((Z628*'Data-CostAssumptions'!$G$5)*(1+'Data-CostAssumptions'!$G$3)^(AC628-'Data-CostAssumptions'!$G$4),-3)</f>
        <v>230000</v>
      </c>
      <c r="AH628" s="19">
        <f>ROUND((Z628)*(1+'Data-CostAssumptions'!$G$3)^(AE628-'Data-CostAssumptions'!$G$4),-3)</f>
        <v>1046000</v>
      </c>
    </row>
    <row r="629" spans="1:34" ht="15" customHeight="1" x14ac:dyDescent="0.2">
      <c r="A629" s="11"/>
      <c r="B629" s="11" t="s">
        <v>1211</v>
      </c>
      <c r="C629" s="13">
        <v>419</v>
      </c>
      <c r="D629" s="13" t="s">
        <v>420</v>
      </c>
      <c r="E629" s="20">
        <v>75</v>
      </c>
      <c r="F629" s="20">
        <v>164</v>
      </c>
      <c r="G629" s="20">
        <v>628</v>
      </c>
      <c r="H629" s="13" t="s">
        <v>2106</v>
      </c>
      <c r="I629" s="13" t="str">
        <f t="shared" si="18"/>
        <v>SW 15th Av (SW 16th St to SW 7th St)</v>
      </c>
      <c r="J629" s="13" t="s">
        <v>27</v>
      </c>
      <c r="K629" s="13" t="str">
        <f>VLOOKUP(J629,'Data-ProjectTypes'!A$3:B$13,2,FALSE)</f>
        <v>Program</v>
      </c>
      <c r="L629" s="21" t="s">
        <v>348</v>
      </c>
      <c r="M629" s="13" t="s">
        <v>2571</v>
      </c>
      <c r="N629" s="13" t="s">
        <v>2570</v>
      </c>
      <c r="O629" s="13" t="s">
        <v>276</v>
      </c>
      <c r="P629" s="13" t="s">
        <v>276</v>
      </c>
      <c r="Q629" s="22">
        <v>0.8</v>
      </c>
      <c r="R629" s="23">
        <v>285876</v>
      </c>
      <c r="S629" s="21"/>
      <c r="T629" s="21"/>
      <c r="U629" s="21"/>
      <c r="V629" s="24"/>
      <c r="W629" s="24"/>
      <c r="X629" s="24"/>
      <c r="Y629" s="17"/>
      <c r="Z629" s="18">
        <f>ROUND(R629*'Data-CostAssumptions'!$C$3,-3)</f>
        <v>396000</v>
      </c>
      <c r="AA629" s="11">
        <f t="shared" si="19"/>
        <v>0</v>
      </c>
      <c r="AB629" s="11">
        <v>2041</v>
      </c>
      <c r="AC629" s="11">
        <v>2041</v>
      </c>
      <c r="AD629" s="11">
        <v>2041</v>
      </c>
      <c r="AE629" s="11">
        <v>2041</v>
      </c>
      <c r="AF629" s="11">
        <v>0</v>
      </c>
      <c r="AG629" s="19">
        <f>ROUND((Z629*'Data-CostAssumptions'!$G$5)*(1+'Data-CostAssumptions'!$G$3)^(AC629-'Data-CostAssumptions'!$G$4),-3)</f>
        <v>223000</v>
      </c>
      <c r="AH629" s="19">
        <f>ROUND((Z629)*(1+'Data-CostAssumptions'!$G$3)^(AE629-'Data-CostAssumptions'!$G$4),-3)</f>
        <v>1015000</v>
      </c>
    </row>
    <row r="630" spans="1:34" ht="15" customHeight="1" x14ac:dyDescent="0.2">
      <c r="A630" s="11"/>
      <c r="B630" s="11" t="s">
        <v>1211</v>
      </c>
      <c r="C630" s="13">
        <v>420</v>
      </c>
      <c r="D630" s="13" t="s">
        <v>420</v>
      </c>
      <c r="E630" s="20">
        <v>85</v>
      </c>
      <c r="F630" s="20">
        <v>164</v>
      </c>
      <c r="G630" s="20">
        <v>629</v>
      </c>
      <c r="H630" s="13" t="s">
        <v>1894</v>
      </c>
      <c r="I630" s="13" t="str">
        <f t="shared" si="18"/>
        <v>NE 45th St/Floranada Rd (Federal Hwy to NE 12th Terrace)</v>
      </c>
      <c r="J630" s="13" t="s">
        <v>27</v>
      </c>
      <c r="K630" s="13" t="str">
        <f>VLOOKUP(J630,'Data-ProjectTypes'!A$3:B$13,2,FALSE)</f>
        <v>Program</v>
      </c>
      <c r="L630" s="21" t="s">
        <v>700</v>
      </c>
      <c r="M630" s="13" t="s">
        <v>2595</v>
      </c>
      <c r="N630" s="13" t="s">
        <v>151</v>
      </c>
      <c r="O630" s="13" t="s">
        <v>272</v>
      </c>
      <c r="P630" s="13" t="s">
        <v>272</v>
      </c>
      <c r="Q630" s="22">
        <v>0.7</v>
      </c>
      <c r="R630" s="23">
        <v>262363</v>
      </c>
      <c r="S630" s="21" t="s">
        <v>24</v>
      </c>
      <c r="T630" s="21" t="s">
        <v>24</v>
      </c>
      <c r="U630" s="21" t="s">
        <v>24</v>
      </c>
      <c r="V630" s="24" t="s">
        <v>699</v>
      </c>
      <c r="W630" s="24"/>
      <c r="X630" s="29" t="s">
        <v>773</v>
      </c>
      <c r="Y630" s="17" t="s">
        <v>772</v>
      </c>
      <c r="Z630" s="18">
        <f>ROUND(R630*'Data-CostAssumptions'!$C$3,-3)</f>
        <v>363000</v>
      </c>
      <c r="AA630" s="11">
        <f t="shared" si="19"/>
        <v>1</v>
      </c>
      <c r="AB630" s="11">
        <v>2041</v>
      </c>
      <c r="AC630" s="11">
        <v>2041</v>
      </c>
      <c r="AD630" s="11">
        <v>2041</v>
      </c>
      <c r="AE630" s="11">
        <v>2041</v>
      </c>
      <c r="AF630" s="11">
        <v>0</v>
      </c>
      <c r="AG630" s="19">
        <f>ROUND((Z630*'Data-CostAssumptions'!$G$5)*(1+'Data-CostAssumptions'!$G$3)^(AC630-'Data-CostAssumptions'!$G$4),-3)</f>
        <v>205000</v>
      </c>
      <c r="AH630" s="19">
        <f>ROUND((Z630)*(1+'Data-CostAssumptions'!$G$3)^(AE630-'Data-CostAssumptions'!$G$4),-3)</f>
        <v>931000</v>
      </c>
    </row>
    <row r="631" spans="1:34" ht="15" customHeight="1" x14ac:dyDescent="0.2">
      <c r="A631" s="11"/>
      <c r="B631" s="11" t="s">
        <v>1211</v>
      </c>
      <c r="C631" s="13">
        <v>421</v>
      </c>
      <c r="D631" s="13" t="s">
        <v>420</v>
      </c>
      <c r="E631" s="20">
        <v>99</v>
      </c>
      <c r="F631" s="20">
        <v>164</v>
      </c>
      <c r="G631" s="20">
        <v>630</v>
      </c>
      <c r="H631" s="13" t="s">
        <v>2031</v>
      </c>
      <c r="I631" s="13" t="str">
        <f t="shared" si="18"/>
        <v>NE 26th Av/NE 23rd Av (NE 12th St to NE 24th St)</v>
      </c>
      <c r="J631" s="13" t="s">
        <v>27</v>
      </c>
      <c r="K631" s="13" t="str">
        <f>VLOOKUP(J631,'Data-ProjectTypes'!A$3:B$13,2,FALSE)</f>
        <v>Program</v>
      </c>
      <c r="L631" s="21" t="s">
        <v>348</v>
      </c>
      <c r="M631" s="13" t="s">
        <v>1883</v>
      </c>
      <c r="N631" s="13" t="s">
        <v>2511</v>
      </c>
      <c r="O631" s="13" t="s">
        <v>275</v>
      </c>
      <c r="P631" s="13" t="s">
        <v>275</v>
      </c>
      <c r="Q631" s="22">
        <v>1.3</v>
      </c>
      <c r="R631" s="23">
        <v>463104</v>
      </c>
      <c r="S631" s="21"/>
      <c r="T631" s="21"/>
      <c r="U631" s="21"/>
      <c r="V631" s="24"/>
      <c r="W631" s="24"/>
      <c r="X631" s="24" t="s">
        <v>774</v>
      </c>
      <c r="Y631" s="17" t="s">
        <v>765</v>
      </c>
      <c r="Z631" s="18">
        <f>ROUND(R631*'Data-CostAssumptions'!$C$3,-3)</f>
        <v>641000</v>
      </c>
      <c r="AA631" s="11">
        <f t="shared" si="19"/>
        <v>0</v>
      </c>
      <c r="AB631" s="11">
        <v>2041</v>
      </c>
      <c r="AC631" s="11">
        <v>2041</v>
      </c>
      <c r="AD631" s="11">
        <v>2041</v>
      </c>
      <c r="AE631" s="11">
        <v>2041</v>
      </c>
      <c r="AF631" s="11">
        <v>0</v>
      </c>
      <c r="AG631" s="19">
        <f>ROUND((Z631*'Data-CostAssumptions'!$G$5)*(1+'Data-CostAssumptions'!$G$3)^(AC631-'Data-CostAssumptions'!$G$4),-3)</f>
        <v>362000</v>
      </c>
      <c r="AH631" s="19">
        <f>ROUND((Z631)*(1+'Data-CostAssumptions'!$G$3)^(AE631-'Data-CostAssumptions'!$G$4),-3)</f>
        <v>1643000</v>
      </c>
    </row>
    <row r="632" spans="1:34" ht="15" customHeight="1" x14ac:dyDescent="0.2">
      <c r="A632" s="11"/>
      <c r="B632" s="11" t="s">
        <v>1211</v>
      </c>
      <c r="C632" s="13">
        <v>422</v>
      </c>
      <c r="D632" s="13" t="s">
        <v>420</v>
      </c>
      <c r="E632" s="20">
        <v>100</v>
      </c>
      <c r="F632" s="20">
        <v>164</v>
      </c>
      <c r="G632" s="20">
        <v>631</v>
      </c>
      <c r="H632" s="13" t="s">
        <v>2029</v>
      </c>
      <c r="I632" s="13" t="str">
        <f t="shared" si="18"/>
        <v>NE 23rd Av (NE 24th St to NE 22nd Av)</v>
      </c>
      <c r="J632" s="13" t="s">
        <v>27</v>
      </c>
      <c r="K632" s="13" t="str">
        <f>VLOOKUP(J632,'Data-ProjectTypes'!A$3:B$13,2,FALSE)</f>
        <v>Program</v>
      </c>
      <c r="L632" s="21" t="s">
        <v>348</v>
      </c>
      <c r="M632" s="13" t="s">
        <v>2511</v>
      </c>
      <c r="N632" s="13" t="s">
        <v>2217</v>
      </c>
      <c r="O632" s="13" t="s">
        <v>272</v>
      </c>
      <c r="P632" s="13" t="s">
        <v>272</v>
      </c>
      <c r="Q632" s="22">
        <v>2.6</v>
      </c>
      <c r="R632" s="23">
        <v>943441</v>
      </c>
      <c r="S632" s="21"/>
      <c r="T632" s="21"/>
      <c r="U632" s="21"/>
      <c r="V632" s="24" t="s">
        <v>671</v>
      </c>
      <c r="W632" s="24"/>
      <c r="X632" s="24"/>
      <c r="Y632" s="17" t="s">
        <v>670</v>
      </c>
      <c r="Z632" s="18">
        <f>ROUND(R632*'Data-CostAssumptions'!$C$3,-3)</f>
        <v>1306000</v>
      </c>
      <c r="AA632" s="11">
        <f t="shared" si="19"/>
        <v>1</v>
      </c>
      <c r="AB632" s="11">
        <v>2041</v>
      </c>
      <c r="AC632" s="11">
        <v>2041</v>
      </c>
      <c r="AD632" s="11">
        <v>2041</v>
      </c>
      <c r="AE632" s="11">
        <v>2041</v>
      </c>
      <c r="AF632" s="11">
        <v>0</v>
      </c>
      <c r="AG632" s="19">
        <f>ROUND((Z632*'Data-CostAssumptions'!$G$5)*(1+'Data-CostAssumptions'!$G$3)^(AC632-'Data-CostAssumptions'!$G$4),-3)</f>
        <v>737000</v>
      </c>
      <c r="AH632" s="19">
        <f>ROUND((Z632)*(1+'Data-CostAssumptions'!$G$3)^(AE632-'Data-CostAssumptions'!$G$4),-3)</f>
        <v>3349000</v>
      </c>
    </row>
    <row r="633" spans="1:34" ht="15" customHeight="1" x14ac:dyDescent="0.2">
      <c r="A633" s="11"/>
      <c r="B633" s="11" t="s">
        <v>1211</v>
      </c>
      <c r="C633" s="13">
        <v>423</v>
      </c>
      <c r="D633" s="13" t="s">
        <v>420</v>
      </c>
      <c r="E633" s="20">
        <v>102</v>
      </c>
      <c r="F633" s="20">
        <v>164</v>
      </c>
      <c r="G633" s="20">
        <v>632</v>
      </c>
      <c r="H633" s="13" t="s">
        <v>2089</v>
      </c>
      <c r="I633" s="13" t="str">
        <f t="shared" si="18"/>
        <v>SE 12th Av (NE 49th St to Hillboro Bl)</v>
      </c>
      <c r="J633" s="13" t="s">
        <v>27</v>
      </c>
      <c r="K633" s="13" t="str">
        <f>VLOOKUP(J633,'Data-ProjectTypes'!A$3:B$13,2,FALSE)</f>
        <v>Program</v>
      </c>
      <c r="L633" s="21" t="s">
        <v>348</v>
      </c>
      <c r="M633" s="13" t="s">
        <v>1896</v>
      </c>
      <c r="N633" s="13" t="s">
        <v>2281</v>
      </c>
      <c r="O633" s="13" t="s">
        <v>272</v>
      </c>
      <c r="P633" s="13" t="s">
        <v>272</v>
      </c>
      <c r="Q633" s="22">
        <v>1.6</v>
      </c>
      <c r="R633" s="23">
        <v>587499</v>
      </c>
      <c r="S633" s="21" t="s">
        <v>24</v>
      </c>
      <c r="T633" s="21" t="s">
        <v>25</v>
      </c>
      <c r="U633" s="21"/>
      <c r="V633" s="24" t="s">
        <v>672</v>
      </c>
      <c r="W633" s="24" t="s">
        <v>491</v>
      </c>
      <c r="X633" s="24"/>
      <c r="Y633" s="17" t="s">
        <v>673</v>
      </c>
      <c r="Z633" s="18">
        <f>ROUND(R633*'Data-CostAssumptions'!$C$3,-3)</f>
        <v>813000</v>
      </c>
      <c r="AA633" s="11">
        <f t="shared" si="19"/>
        <v>1</v>
      </c>
      <c r="AB633" s="11">
        <v>2041</v>
      </c>
      <c r="AC633" s="11">
        <v>2041</v>
      </c>
      <c r="AD633" s="11">
        <v>2041</v>
      </c>
      <c r="AE633" s="11">
        <v>2041</v>
      </c>
      <c r="AF633" s="11">
        <v>0</v>
      </c>
      <c r="AG633" s="19">
        <f>ROUND((Z633*'Data-CostAssumptions'!$G$5)*(1+'Data-CostAssumptions'!$G$3)^(AC633-'Data-CostAssumptions'!$G$4),-3)</f>
        <v>459000</v>
      </c>
      <c r="AH633" s="19">
        <f>ROUND((Z633)*(1+'Data-CostAssumptions'!$G$3)^(AE633-'Data-CostAssumptions'!$G$4),-3)</f>
        <v>2084000</v>
      </c>
    </row>
    <row r="634" spans="1:34" ht="15" customHeight="1" x14ac:dyDescent="0.2">
      <c r="A634" s="11"/>
      <c r="B634" s="11" t="s">
        <v>1211</v>
      </c>
      <c r="C634" s="13">
        <v>424</v>
      </c>
      <c r="D634" s="13" t="s">
        <v>420</v>
      </c>
      <c r="E634" s="20">
        <v>119</v>
      </c>
      <c r="F634" s="20">
        <v>165</v>
      </c>
      <c r="G634" s="20">
        <v>633</v>
      </c>
      <c r="H634" s="13" t="s">
        <v>1972</v>
      </c>
      <c r="I634" s="13" t="str">
        <f t="shared" si="18"/>
        <v>Coconut Creek Pkwy (NW 31st Av to NW 45th Av)</v>
      </c>
      <c r="J634" s="13" t="s">
        <v>27</v>
      </c>
      <c r="K634" s="13" t="str">
        <f>VLOOKUP(J634,'Data-ProjectTypes'!A$3:B$13,2,FALSE)</f>
        <v>Program</v>
      </c>
      <c r="L634" s="21" t="s">
        <v>348</v>
      </c>
      <c r="M634" s="13" t="s">
        <v>2062</v>
      </c>
      <c r="N634" s="13" t="s">
        <v>2069</v>
      </c>
      <c r="O634" s="13" t="s">
        <v>273</v>
      </c>
      <c r="P634" s="13" t="s">
        <v>273</v>
      </c>
      <c r="Q634" s="22">
        <v>1.2</v>
      </c>
      <c r="R634" s="23">
        <v>429358</v>
      </c>
      <c r="S634" s="21"/>
      <c r="T634" s="21"/>
      <c r="U634" s="21"/>
      <c r="V634" s="24"/>
      <c r="W634" s="24"/>
      <c r="X634" s="24"/>
      <c r="Y634" s="17"/>
      <c r="Z634" s="18">
        <f>ROUND(R634*'Data-CostAssumptions'!$C$3,-3)</f>
        <v>594000</v>
      </c>
      <c r="AA634" s="11">
        <f t="shared" si="19"/>
        <v>0</v>
      </c>
      <c r="AB634" s="11">
        <v>2041</v>
      </c>
      <c r="AC634" s="11">
        <v>2041</v>
      </c>
      <c r="AD634" s="11">
        <v>2041</v>
      </c>
      <c r="AE634" s="11">
        <v>2041</v>
      </c>
      <c r="AF634" s="11">
        <v>0</v>
      </c>
      <c r="AG634" s="19">
        <f>ROUND((Z634*'Data-CostAssumptions'!$G$5)*(1+'Data-CostAssumptions'!$G$3)^(AC634-'Data-CostAssumptions'!$G$4),-3)</f>
        <v>335000</v>
      </c>
      <c r="AH634" s="19">
        <f>ROUND((Z634)*(1+'Data-CostAssumptions'!$G$3)^(AE634-'Data-CostAssumptions'!$G$4),-3)</f>
        <v>1523000</v>
      </c>
    </row>
    <row r="635" spans="1:34" ht="15" customHeight="1" x14ac:dyDescent="0.2">
      <c r="A635" s="11"/>
      <c r="B635" s="11" t="s">
        <v>1211</v>
      </c>
      <c r="C635" s="13">
        <v>425</v>
      </c>
      <c r="D635" s="13" t="s">
        <v>420</v>
      </c>
      <c r="E635" s="20">
        <v>121</v>
      </c>
      <c r="F635" s="20">
        <v>165</v>
      </c>
      <c r="G635" s="20">
        <v>634</v>
      </c>
      <c r="H635" s="13" t="s">
        <v>2726</v>
      </c>
      <c r="I635" s="13" t="str">
        <f t="shared" si="18"/>
        <v>SR 7/US 441/Coconut Creek Pkwy (Lakeside Dr to Margate Bl)</v>
      </c>
      <c r="J635" s="13" t="s">
        <v>27</v>
      </c>
      <c r="K635" s="13" t="str">
        <f>VLOOKUP(J635,'Data-ProjectTypes'!A$3:B$13,2,FALSE)</f>
        <v>Program</v>
      </c>
      <c r="L635" s="21" t="s">
        <v>348</v>
      </c>
      <c r="M635" s="13" t="s">
        <v>2679</v>
      </c>
      <c r="N635" s="13" t="s">
        <v>2285</v>
      </c>
      <c r="O635" s="13" t="s">
        <v>270</v>
      </c>
      <c r="P635" s="13" t="s">
        <v>270</v>
      </c>
      <c r="Q635" s="22">
        <v>0.5</v>
      </c>
      <c r="R635" s="23">
        <v>175792</v>
      </c>
      <c r="S635" s="21"/>
      <c r="T635" s="21"/>
      <c r="U635" s="21"/>
      <c r="V635" s="24"/>
      <c r="W635" s="24"/>
      <c r="X635" s="24"/>
      <c r="Y635" s="17"/>
      <c r="Z635" s="18">
        <f>ROUND(R635*'Data-CostAssumptions'!$C$3,-3)</f>
        <v>243000</v>
      </c>
      <c r="AA635" s="11">
        <f t="shared" si="19"/>
        <v>0</v>
      </c>
      <c r="AB635" s="11">
        <v>2041</v>
      </c>
      <c r="AC635" s="11">
        <v>2041</v>
      </c>
      <c r="AD635" s="11">
        <v>2041</v>
      </c>
      <c r="AE635" s="11">
        <v>2041</v>
      </c>
      <c r="AF635" s="11">
        <v>0</v>
      </c>
      <c r="AG635" s="19">
        <f>ROUND((Z635*'Data-CostAssumptions'!$G$5)*(1+'Data-CostAssumptions'!$G$3)^(AC635-'Data-CostAssumptions'!$G$4),-3)</f>
        <v>137000</v>
      </c>
      <c r="AH635" s="19">
        <f>ROUND((Z635)*(1+'Data-CostAssumptions'!$G$3)^(AE635-'Data-CostAssumptions'!$G$4),-3)</f>
        <v>623000</v>
      </c>
    </row>
    <row r="636" spans="1:34" ht="15" customHeight="1" x14ac:dyDescent="0.2">
      <c r="A636" s="11"/>
      <c r="B636" s="11" t="s">
        <v>1213</v>
      </c>
      <c r="C636" s="13">
        <v>237</v>
      </c>
      <c r="D636" s="13" t="s">
        <v>420</v>
      </c>
      <c r="E636" s="20">
        <v>184</v>
      </c>
      <c r="F636" s="20">
        <v>153</v>
      </c>
      <c r="G636" s="20">
        <v>635</v>
      </c>
      <c r="H636" s="13" t="s">
        <v>1880</v>
      </c>
      <c r="I636" s="13" t="str">
        <f t="shared" si="18"/>
        <v>Johnson St (North 19th Av to Knights Rd)</v>
      </c>
      <c r="J636" s="13" t="s">
        <v>27</v>
      </c>
      <c r="K636" s="13" t="str">
        <f>VLOOKUP(J636,'Data-ProjectTypes'!A$3:B$13,2,FALSE)</f>
        <v>Program</v>
      </c>
      <c r="L636" s="21" t="s">
        <v>544</v>
      </c>
      <c r="M636" s="13" t="s">
        <v>2353</v>
      </c>
      <c r="N636" s="13" t="s">
        <v>2423</v>
      </c>
      <c r="O636" s="13" t="s">
        <v>282</v>
      </c>
      <c r="P636" s="13" t="s">
        <v>282</v>
      </c>
      <c r="Q636" s="22">
        <v>1.5</v>
      </c>
      <c r="R636" s="23">
        <v>544468</v>
      </c>
      <c r="S636" s="21" t="s">
        <v>25</v>
      </c>
      <c r="T636" s="21" t="s">
        <v>24</v>
      </c>
      <c r="U636" s="21"/>
      <c r="V636" s="24"/>
      <c r="W636" s="24" t="s">
        <v>540</v>
      </c>
      <c r="X636" s="24"/>
      <c r="Y636" s="17" t="s">
        <v>538</v>
      </c>
      <c r="Z636" s="18">
        <f>ROUND(R636*'Data-CostAssumptions'!$C$3,-3)</f>
        <v>754000</v>
      </c>
      <c r="AA636" s="11">
        <f t="shared" si="19"/>
        <v>1</v>
      </c>
      <c r="AB636" s="11">
        <v>2041</v>
      </c>
      <c r="AC636" s="11">
        <v>2041</v>
      </c>
      <c r="AD636" s="11">
        <v>2041</v>
      </c>
      <c r="AE636" s="11">
        <v>2041</v>
      </c>
      <c r="AF636" s="11">
        <v>0</v>
      </c>
      <c r="AG636" s="19">
        <f>ROUND((Z636*'Data-CostAssumptions'!$G$5)*(1+'Data-CostAssumptions'!$G$3)^(AC636-'Data-CostAssumptions'!$G$4),-3)</f>
        <v>425000</v>
      </c>
      <c r="AH636" s="19">
        <f>ROUND((Z636)*(1+'Data-CostAssumptions'!$G$3)^(AE636-'Data-CostAssumptions'!$G$4),-3)</f>
        <v>1933000</v>
      </c>
    </row>
    <row r="637" spans="1:34" ht="15" customHeight="1" x14ac:dyDescent="0.2">
      <c r="A637" s="11"/>
      <c r="B637" s="11" t="s">
        <v>1211</v>
      </c>
      <c r="C637" s="13">
        <v>426</v>
      </c>
      <c r="D637" s="13" t="s">
        <v>420</v>
      </c>
      <c r="E637" s="20">
        <v>122</v>
      </c>
      <c r="F637" s="20">
        <v>165</v>
      </c>
      <c r="G637" s="20">
        <v>636</v>
      </c>
      <c r="H637" s="13" t="s">
        <v>2778</v>
      </c>
      <c r="I637" s="13" t="str">
        <f t="shared" si="18"/>
        <v>SR 814/Atlantic Av/NW 31st Av (Florida's Turnpike Overpass to Just east of Hemingway Circle)</v>
      </c>
      <c r="J637" s="13" t="s">
        <v>27</v>
      </c>
      <c r="K637" s="13" t="str">
        <f>VLOOKUP(J637,'Data-ProjectTypes'!A$3:B$13,2,FALSE)</f>
        <v>Program</v>
      </c>
      <c r="L637" s="21" t="s">
        <v>348</v>
      </c>
      <c r="M637" s="13" t="s">
        <v>67</v>
      </c>
      <c r="N637" s="13" t="s">
        <v>68</v>
      </c>
      <c r="O637" s="13" t="s">
        <v>273</v>
      </c>
      <c r="P637" s="13" t="s">
        <v>273</v>
      </c>
      <c r="Q637" s="22">
        <v>1.4</v>
      </c>
      <c r="R637" s="23">
        <v>507962</v>
      </c>
      <c r="S637" s="21"/>
      <c r="T637" s="21"/>
      <c r="U637" s="21"/>
      <c r="V637" s="24"/>
      <c r="W637" s="24"/>
      <c r="X637" s="24"/>
      <c r="Y637" s="17"/>
      <c r="Z637" s="18">
        <f>ROUND(R637*'Data-CostAssumptions'!$C$3,-3)</f>
        <v>703000</v>
      </c>
      <c r="AA637" s="11">
        <f t="shared" si="19"/>
        <v>0</v>
      </c>
      <c r="AB637" s="11">
        <v>2041</v>
      </c>
      <c r="AC637" s="11">
        <v>2041</v>
      </c>
      <c r="AD637" s="11">
        <v>2041</v>
      </c>
      <c r="AE637" s="11">
        <v>2041</v>
      </c>
      <c r="AF637" s="11">
        <v>0</v>
      </c>
      <c r="AG637" s="19">
        <f>ROUND((Z637*'Data-CostAssumptions'!$G$5)*(1+'Data-CostAssumptions'!$G$3)^(AC637-'Data-CostAssumptions'!$G$4),-3)</f>
        <v>397000</v>
      </c>
      <c r="AH637" s="19">
        <f>ROUND((Z637)*(1+'Data-CostAssumptions'!$G$3)^(AE637-'Data-CostAssumptions'!$G$4),-3)</f>
        <v>1802000</v>
      </c>
    </row>
    <row r="638" spans="1:34" ht="15" customHeight="1" x14ac:dyDescent="0.2">
      <c r="A638" s="11"/>
      <c r="B638" s="11" t="s">
        <v>1211</v>
      </c>
      <c r="C638" s="13">
        <v>427</v>
      </c>
      <c r="D638" s="13" t="s">
        <v>420</v>
      </c>
      <c r="E638" s="20">
        <v>123</v>
      </c>
      <c r="F638" s="20">
        <v>165</v>
      </c>
      <c r="G638" s="20">
        <v>637</v>
      </c>
      <c r="H638" s="13" t="s">
        <v>2121</v>
      </c>
      <c r="I638" s="13" t="str">
        <f t="shared" si="18"/>
        <v>SW 36th Av/North Palm Aire Dr (Powerline Rd to McNab Rd)</v>
      </c>
      <c r="J638" s="13" t="s">
        <v>27</v>
      </c>
      <c r="K638" s="13" t="str">
        <f>VLOOKUP(J638,'Data-ProjectTypes'!A$3:B$13,2,FALSE)</f>
        <v>Program</v>
      </c>
      <c r="L638" s="21" t="s">
        <v>348</v>
      </c>
      <c r="M638" s="13" t="s">
        <v>1858</v>
      </c>
      <c r="N638" s="13" t="s">
        <v>1854</v>
      </c>
      <c r="O638" s="13" t="s">
        <v>275</v>
      </c>
      <c r="P638" s="13" t="s">
        <v>275</v>
      </c>
      <c r="Q638" s="22">
        <v>1.8</v>
      </c>
      <c r="R638" s="23">
        <v>662646</v>
      </c>
      <c r="S638" s="21"/>
      <c r="T638" s="21"/>
      <c r="U638" s="21"/>
      <c r="V638" s="24"/>
      <c r="W638" s="24"/>
      <c r="X638" s="24"/>
      <c r="Y638" s="17"/>
      <c r="Z638" s="18">
        <f>ROUND(R638*'Data-CostAssumptions'!$C$3,-3)</f>
        <v>917000</v>
      </c>
      <c r="AA638" s="11">
        <f t="shared" si="19"/>
        <v>0</v>
      </c>
      <c r="AB638" s="11">
        <v>2041</v>
      </c>
      <c r="AC638" s="11">
        <v>2041</v>
      </c>
      <c r="AD638" s="11">
        <v>2041</v>
      </c>
      <c r="AE638" s="11">
        <v>2041</v>
      </c>
      <c r="AF638" s="11">
        <v>0</v>
      </c>
      <c r="AG638" s="19">
        <f>ROUND((Z638*'Data-CostAssumptions'!$G$5)*(1+'Data-CostAssumptions'!$G$3)^(AC638-'Data-CostAssumptions'!$G$4),-3)</f>
        <v>517000</v>
      </c>
      <c r="AH638" s="19">
        <f>ROUND((Z638)*(1+'Data-CostAssumptions'!$G$3)^(AE638-'Data-CostAssumptions'!$G$4),-3)</f>
        <v>2351000</v>
      </c>
    </row>
    <row r="639" spans="1:34" ht="15" customHeight="1" x14ac:dyDescent="0.2">
      <c r="A639" s="11"/>
      <c r="B639" s="11" t="s">
        <v>1211</v>
      </c>
      <c r="C639" s="13">
        <v>428</v>
      </c>
      <c r="D639" s="13" t="s">
        <v>420</v>
      </c>
      <c r="E639" s="20">
        <v>138</v>
      </c>
      <c r="F639" s="20">
        <v>165</v>
      </c>
      <c r="G639" s="20">
        <v>638</v>
      </c>
      <c r="H639" s="13" t="s">
        <v>1778</v>
      </c>
      <c r="I639" s="13" t="str">
        <f t="shared" si="18"/>
        <v>West Prospect Rd (NW 31st Av to State Rd 7/US 441)</v>
      </c>
      <c r="J639" s="13" t="s">
        <v>27</v>
      </c>
      <c r="K639" s="13" t="str">
        <f>VLOOKUP(J639,'Data-ProjectTypes'!A$3:B$13,2,FALSE)</f>
        <v>Program</v>
      </c>
      <c r="L639" s="21" t="s">
        <v>348</v>
      </c>
      <c r="M639" s="13" t="s">
        <v>2062</v>
      </c>
      <c r="N639" s="13" t="s">
        <v>1773</v>
      </c>
      <c r="O639" s="13" t="s">
        <v>273</v>
      </c>
      <c r="P639" s="13" t="s">
        <v>273</v>
      </c>
      <c r="Q639" s="22">
        <v>1</v>
      </c>
      <c r="R639" s="23">
        <v>359390</v>
      </c>
      <c r="S639" s="21"/>
      <c r="T639" s="21"/>
      <c r="U639" s="21"/>
      <c r="V639" s="24"/>
      <c r="W639" s="24"/>
      <c r="X639" s="24"/>
      <c r="Y639" s="17"/>
      <c r="Z639" s="18">
        <f>ROUND(R639*'Data-CostAssumptions'!$C$3,-3)</f>
        <v>497000</v>
      </c>
      <c r="AA639" s="11">
        <f t="shared" si="19"/>
        <v>0</v>
      </c>
      <c r="AB639" s="11">
        <v>2041</v>
      </c>
      <c r="AC639" s="11">
        <v>2041</v>
      </c>
      <c r="AD639" s="11">
        <v>2041</v>
      </c>
      <c r="AE639" s="11">
        <v>2041</v>
      </c>
      <c r="AF639" s="11">
        <v>0</v>
      </c>
      <c r="AG639" s="19">
        <f>ROUND((Z639*'Data-CostAssumptions'!$G$5)*(1+'Data-CostAssumptions'!$G$3)^(AC639-'Data-CostAssumptions'!$G$4),-3)</f>
        <v>280000</v>
      </c>
      <c r="AH639" s="19">
        <f>ROUND((Z639)*(1+'Data-CostAssumptions'!$G$3)^(AE639-'Data-CostAssumptions'!$G$4),-3)</f>
        <v>1274000</v>
      </c>
    </row>
    <row r="640" spans="1:34" ht="15" customHeight="1" x14ac:dyDescent="0.2">
      <c r="A640" s="11"/>
      <c r="B640" s="11" t="s">
        <v>1211</v>
      </c>
      <c r="C640" s="13">
        <v>429</v>
      </c>
      <c r="D640" s="13" t="s">
        <v>420</v>
      </c>
      <c r="E640" s="20">
        <v>140</v>
      </c>
      <c r="F640" s="20">
        <v>165</v>
      </c>
      <c r="G640" s="20">
        <v>639</v>
      </c>
      <c r="H640" s="13" t="s">
        <v>1743</v>
      </c>
      <c r="I640" s="13" t="str">
        <f t="shared" si="18"/>
        <v>Access Rd (McNab Rd to State Rd 7/US 441)</v>
      </c>
      <c r="J640" s="13" t="s">
        <v>27</v>
      </c>
      <c r="K640" s="13" t="str">
        <f>VLOOKUP(J640,'Data-ProjectTypes'!A$3:B$13,2,FALSE)</f>
        <v>Program</v>
      </c>
      <c r="L640" s="21" t="s">
        <v>348</v>
      </c>
      <c r="M640" s="13" t="s">
        <v>1854</v>
      </c>
      <c r="N640" s="13" t="s">
        <v>1773</v>
      </c>
      <c r="O640" s="13" t="s">
        <v>273</v>
      </c>
      <c r="P640" s="13" t="s">
        <v>273</v>
      </c>
      <c r="Q640" s="22">
        <v>0.2</v>
      </c>
      <c r="R640" s="23">
        <v>64557</v>
      </c>
      <c r="S640" s="21"/>
      <c r="T640" s="21"/>
      <c r="U640" s="21"/>
      <c r="V640" s="24"/>
      <c r="W640" s="24"/>
      <c r="X640" s="24"/>
      <c r="Y640" s="17"/>
      <c r="Z640" s="18">
        <f>ROUND(R640*'Data-CostAssumptions'!$C$3,-3)</f>
        <v>89000</v>
      </c>
      <c r="AA640" s="11">
        <f t="shared" si="19"/>
        <v>0</v>
      </c>
      <c r="AB640" s="11">
        <v>2041</v>
      </c>
      <c r="AC640" s="11">
        <v>2041</v>
      </c>
      <c r="AD640" s="11">
        <v>2041</v>
      </c>
      <c r="AE640" s="11">
        <v>2041</v>
      </c>
      <c r="AF640" s="11">
        <v>0</v>
      </c>
      <c r="AG640" s="19">
        <f>ROUND((Z640*'Data-CostAssumptions'!$G$5)*(1+'Data-CostAssumptions'!$G$3)^(AC640-'Data-CostAssumptions'!$G$4),-3)</f>
        <v>50000</v>
      </c>
      <c r="AH640" s="19">
        <f>ROUND((Z640)*(1+'Data-CostAssumptions'!$G$3)^(AE640-'Data-CostAssumptions'!$G$4),-3)</f>
        <v>228000</v>
      </c>
    </row>
    <row r="641" spans="1:34" ht="15" customHeight="1" x14ac:dyDescent="0.2">
      <c r="A641" s="11"/>
      <c r="B641" s="11" t="s">
        <v>1211</v>
      </c>
      <c r="C641" s="13">
        <v>430</v>
      </c>
      <c r="D641" s="13" t="s">
        <v>420</v>
      </c>
      <c r="E641" s="20">
        <v>144</v>
      </c>
      <c r="F641" s="20">
        <v>165</v>
      </c>
      <c r="G641" s="20">
        <v>640</v>
      </c>
      <c r="H641" s="13" t="s">
        <v>2004</v>
      </c>
      <c r="I641" s="13" t="str">
        <f t="shared" si="18"/>
        <v>West Inverrary Bl (Oakland Park Bl to Just south of NW 42nd St)</v>
      </c>
      <c r="J641" s="13" t="s">
        <v>27</v>
      </c>
      <c r="K641" s="13" t="str">
        <f>VLOOKUP(J641,'Data-ProjectTypes'!A$3:B$13,2,FALSE)</f>
        <v>Program</v>
      </c>
      <c r="L641" s="21" t="s">
        <v>348</v>
      </c>
      <c r="M641" s="13" t="s">
        <v>1825</v>
      </c>
      <c r="N641" s="13" t="s">
        <v>2591</v>
      </c>
      <c r="O641" s="13" t="s">
        <v>281</v>
      </c>
      <c r="P641" s="13" t="s">
        <v>281</v>
      </c>
      <c r="Q641" s="22">
        <v>0.8</v>
      </c>
      <c r="R641" s="23">
        <v>285688</v>
      </c>
      <c r="S641" s="21"/>
      <c r="T641" s="21"/>
      <c r="U641" s="21"/>
      <c r="V641" s="24"/>
      <c r="W641" s="24"/>
      <c r="X641" s="24"/>
      <c r="Y641" s="17"/>
      <c r="Z641" s="18">
        <f>ROUND(R641*'Data-CostAssumptions'!$C$3,-3)</f>
        <v>395000</v>
      </c>
      <c r="AA641" s="11">
        <f t="shared" si="19"/>
        <v>0</v>
      </c>
      <c r="AB641" s="11">
        <v>2041</v>
      </c>
      <c r="AC641" s="11">
        <v>2041</v>
      </c>
      <c r="AD641" s="11">
        <v>2041</v>
      </c>
      <c r="AE641" s="11">
        <v>2041</v>
      </c>
      <c r="AF641" s="11">
        <v>0</v>
      </c>
      <c r="AG641" s="19">
        <f>ROUND((Z641*'Data-CostAssumptions'!$G$5)*(1+'Data-CostAssumptions'!$G$3)^(AC641-'Data-CostAssumptions'!$G$4),-3)</f>
        <v>223000</v>
      </c>
      <c r="AH641" s="19">
        <f>ROUND((Z641)*(1+'Data-CostAssumptions'!$G$3)^(AE641-'Data-CostAssumptions'!$G$4),-3)</f>
        <v>1013000</v>
      </c>
    </row>
    <row r="642" spans="1:34" ht="15" customHeight="1" x14ac:dyDescent="0.2">
      <c r="A642" s="11"/>
      <c r="B642" s="11" t="s">
        <v>1211</v>
      </c>
      <c r="C642" s="13">
        <v>431</v>
      </c>
      <c r="D642" s="13" t="s">
        <v>420</v>
      </c>
      <c r="E642" s="20">
        <v>155</v>
      </c>
      <c r="F642" s="20">
        <v>165</v>
      </c>
      <c r="G642" s="20">
        <v>641</v>
      </c>
      <c r="H642" s="13" t="s">
        <v>1931</v>
      </c>
      <c r="I642" s="13" t="str">
        <f t="shared" ref="I642:I705" si="20">IF(M642="@",H642&amp;" ("&amp;M642&amp;"  "&amp;N642&amp;")",H642&amp;" ("&amp;M642&amp;" to "&amp;N642&amp;")")</f>
        <v>NW 76th St (NW 70th Av to University Dr)</v>
      </c>
      <c r="J642" s="13" t="s">
        <v>27</v>
      </c>
      <c r="K642" s="13" t="str">
        <f>VLOOKUP(J642,'Data-ProjectTypes'!A$3:B$13,2,FALSE)</f>
        <v>Program</v>
      </c>
      <c r="L642" s="21" t="s">
        <v>348</v>
      </c>
      <c r="M642" s="13" t="s">
        <v>2078</v>
      </c>
      <c r="N642" s="13" t="s">
        <v>1804</v>
      </c>
      <c r="O642" s="13" t="s">
        <v>280</v>
      </c>
      <c r="P642" s="13" t="s">
        <v>280</v>
      </c>
      <c r="Q642" s="22">
        <v>0.5</v>
      </c>
      <c r="R642" s="23">
        <v>178572</v>
      </c>
      <c r="S642" s="21"/>
      <c r="T642" s="21"/>
      <c r="U642" s="21"/>
      <c r="V642" s="24"/>
      <c r="W642" s="24"/>
      <c r="X642" s="24"/>
      <c r="Y642" s="17"/>
      <c r="Z642" s="18">
        <f>ROUND(R642*'Data-CostAssumptions'!$C$3,-3)</f>
        <v>247000</v>
      </c>
      <c r="AA642" s="11">
        <f t="shared" si="19"/>
        <v>0</v>
      </c>
      <c r="AB642" s="11">
        <v>2041</v>
      </c>
      <c r="AC642" s="11">
        <v>2041</v>
      </c>
      <c r="AD642" s="11">
        <v>2041</v>
      </c>
      <c r="AE642" s="11">
        <v>2041</v>
      </c>
      <c r="AF642" s="11">
        <v>0</v>
      </c>
      <c r="AG642" s="19">
        <f>ROUND((Z642*'Data-CostAssumptions'!$G$5)*(1+'Data-CostAssumptions'!$G$3)^(AC642-'Data-CostAssumptions'!$G$4),-3)</f>
        <v>139000</v>
      </c>
      <c r="AH642" s="19">
        <f>ROUND((Z642)*(1+'Data-CostAssumptions'!$G$3)^(AE642-'Data-CostAssumptions'!$G$4),-3)</f>
        <v>633000</v>
      </c>
    </row>
    <row r="643" spans="1:34" ht="15" customHeight="1" x14ac:dyDescent="0.2">
      <c r="A643" s="11"/>
      <c r="B643" s="11" t="s">
        <v>1211</v>
      </c>
      <c r="C643" s="13">
        <v>432</v>
      </c>
      <c r="D643" s="13" t="s">
        <v>420</v>
      </c>
      <c r="E643" s="20">
        <v>156</v>
      </c>
      <c r="F643" s="20">
        <v>165</v>
      </c>
      <c r="G643" s="20">
        <v>642</v>
      </c>
      <c r="H643" s="13" t="s">
        <v>1829</v>
      </c>
      <c r="I643" s="13" t="str">
        <f t="shared" si="20"/>
        <v>Southgate Bl (SW 73rd Terrace to Just west of SW 79th Av)</v>
      </c>
      <c r="J643" s="13" t="s">
        <v>27</v>
      </c>
      <c r="K643" s="13" t="str">
        <f>VLOOKUP(J643,'Data-ProjectTypes'!A$3:B$13,2,FALSE)</f>
        <v>Program</v>
      </c>
      <c r="L643" s="21" t="s">
        <v>348</v>
      </c>
      <c r="M643" s="13" t="s">
        <v>154</v>
      </c>
      <c r="N643" s="13" t="s">
        <v>2265</v>
      </c>
      <c r="O643" s="13" t="s">
        <v>272</v>
      </c>
      <c r="P643" s="13" t="s">
        <v>272</v>
      </c>
      <c r="Q643" s="22">
        <v>0.6</v>
      </c>
      <c r="R643" s="23">
        <v>200860</v>
      </c>
      <c r="S643" s="21"/>
      <c r="T643" s="21"/>
      <c r="U643" s="21"/>
      <c r="V643" s="24"/>
      <c r="W643" s="24"/>
      <c r="X643" s="24"/>
      <c r="Y643" s="17"/>
      <c r="Z643" s="18">
        <f>ROUND(R643*'Data-CostAssumptions'!$C$3,-3)</f>
        <v>278000</v>
      </c>
      <c r="AA643" s="11">
        <f t="shared" ref="AA643:AA706" si="21">IF(V643="",IF(W643="",0,1),1)</f>
        <v>0</v>
      </c>
      <c r="AB643" s="11">
        <v>2041</v>
      </c>
      <c r="AC643" s="11">
        <v>2041</v>
      </c>
      <c r="AD643" s="11">
        <v>2041</v>
      </c>
      <c r="AE643" s="11">
        <v>2041</v>
      </c>
      <c r="AF643" s="11">
        <v>0</v>
      </c>
      <c r="AG643" s="19">
        <f>ROUND((Z643*'Data-CostAssumptions'!$G$5)*(1+'Data-CostAssumptions'!$G$3)^(AC643-'Data-CostAssumptions'!$G$4),-3)</f>
        <v>157000</v>
      </c>
      <c r="AH643" s="19">
        <f>ROUND((Z643)*(1+'Data-CostAssumptions'!$G$3)^(AE643-'Data-CostAssumptions'!$G$4),-3)</f>
        <v>713000</v>
      </c>
    </row>
    <row r="644" spans="1:34" ht="15" customHeight="1" x14ac:dyDescent="0.2">
      <c r="A644" s="11"/>
      <c r="B644" s="11" t="s">
        <v>1211</v>
      </c>
      <c r="C644" s="13">
        <v>433</v>
      </c>
      <c r="D644" s="13" t="s">
        <v>420</v>
      </c>
      <c r="E644" s="20">
        <v>157</v>
      </c>
      <c r="F644" s="20">
        <v>165</v>
      </c>
      <c r="G644" s="20">
        <v>643</v>
      </c>
      <c r="H644" s="13" t="s">
        <v>1829</v>
      </c>
      <c r="I644" s="13" t="str">
        <f t="shared" si="20"/>
        <v>Southgate Bl (Just east of SW 83rd Av to University Dr)</v>
      </c>
      <c r="J644" s="13" t="s">
        <v>27</v>
      </c>
      <c r="K644" s="13" t="str">
        <f>VLOOKUP(J644,'Data-ProjectTypes'!A$3:B$13,2,FALSE)</f>
        <v>Program</v>
      </c>
      <c r="L644" s="21" t="s">
        <v>348</v>
      </c>
      <c r="M644" s="13" t="s">
        <v>2386</v>
      </c>
      <c r="N644" s="13" t="s">
        <v>1804</v>
      </c>
      <c r="O644" s="13" t="s">
        <v>272</v>
      </c>
      <c r="P644" s="13" t="s">
        <v>272</v>
      </c>
      <c r="Q644" s="22">
        <v>0.9</v>
      </c>
      <c r="R644" s="23">
        <v>306840</v>
      </c>
      <c r="S644" s="21"/>
      <c r="T644" s="21"/>
      <c r="U644" s="21"/>
      <c r="V644" s="24"/>
      <c r="W644" s="24"/>
      <c r="X644" s="24"/>
      <c r="Y644" s="17"/>
      <c r="Z644" s="18">
        <f>ROUND(R644*'Data-CostAssumptions'!$C$3,-3)</f>
        <v>425000</v>
      </c>
      <c r="AA644" s="11">
        <f t="shared" si="21"/>
        <v>0</v>
      </c>
      <c r="AB644" s="11">
        <v>2041</v>
      </c>
      <c r="AC644" s="11">
        <v>2041</v>
      </c>
      <c r="AD644" s="11">
        <v>2041</v>
      </c>
      <c r="AE644" s="11">
        <v>2041</v>
      </c>
      <c r="AF644" s="11">
        <v>0</v>
      </c>
      <c r="AG644" s="19">
        <f>ROUND((Z644*'Data-CostAssumptions'!$G$5)*(1+'Data-CostAssumptions'!$G$3)^(AC644-'Data-CostAssumptions'!$G$4),-3)</f>
        <v>240000</v>
      </c>
      <c r="AH644" s="19">
        <f>ROUND((Z644)*(1+'Data-CostAssumptions'!$G$3)^(AE644-'Data-CostAssumptions'!$G$4),-3)</f>
        <v>1090000</v>
      </c>
    </row>
    <row r="645" spans="1:34" ht="15" customHeight="1" x14ac:dyDescent="0.2">
      <c r="A645" s="11"/>
      <c r="B645" s="11" t="s">
        <v>1211</v>
      </c>
      <c r="C645" s="13">
        <v>434</v>
      </c>
      <c r="D645" s="13" t="s">
        <v>420</v>
      </c>
      <c r="E645" s="20">
        <v>159</v>
      </c>
      <c r="F645" s="20">
        <v>165</v>
      </c>
      <c r="G645" s="20">
        <v>644</v>
      </c>
      <c r="H645" s="13" t="s">
        <v>1829</v>
      </c>
      <c r="I645" s="13" t="str">
        <f t="shared" si="20"/>
        <v>Southgate Bl (Pine Island Rd to Just west of Sanibel Dr)</v>
      </c>
      <c r="J645" s="13" t="s">
        <v>27</v>
      </c>
      <c r="K645" s="13" t="str">
        <f>VLOOKUP(J645,'Data-ProjectTypes'!A$3:B$13,2,FALSE)</f>
        <v>Program</v>
      </c>
      <c r="L645" s="21" t="s">
        <v>348</v>
      </c>
      <c r="M645" s="13" t="s">
        <v>266</v>
      </c>
      <c r="N645" s="13" t="s">
        <v>2676</v>
      </c>
      <c r="O645" s="13" t="s">
        <v>280</v>
      </c>
      <c r="P645" s="13" t="s">
        <v>280</v>
      </c>
      <c r="Q645" s="22">
        <v>1.6</v>
      </c>
      <c r="R645" s="23">
        <v>561115</v>
      </c>
      <c r="S645" s="21"/>
      <c r="T645" s="21"/>
      <c r="U645" s="21"/>
      <c r="V645" s="24"/>
      <c r="W645" s="24"/>
      <c r="X645" s="24"/>
      <c r="Y645" s="17"/>
      <c r="Z645" s="18">
        <f>ROUND(R645*'Data-CostAssumptions'!$C$3,-3)</f>
        <v>777000</v>
      </c>
      <c r="AA645" s="11">
        <f t="shared" si="21"/>
        <v>0</v>
      </c>
      <c r="AB645" s="11">
        <v>2041</v>
      </c>
      <c r="AC645" s="11">
        <v>2041</v>
      </c>
      <c r="AD645" s="11">
        <v>2041</v>
      </c>
      <c r="AE645" s="11">
        <v>2041</v>
      </c>
      <c r="AF645" s="11">
        <v>0</v>
      </c>
      <c r="AG645" s="19">
        <f>ROUND((Z645*'Data-CostAssumptions'!$G$5)*(1+'Data-CostAssumptions'!$G$3)^(AC645-'Data-CostAssumptions'!$G$4),-3)</f>
        <v>438000</v>
      </c>
      <c r="AH645" s="19">
        <f>ROUND((Z645)*(1+'Data-CostAssumptions'!$G$3)^(AE645-'Data-CostAssumptions'!$G$4),-3)</f>
        <v>1992000</v>
      </c>
    </row>
    <row r="646" spans="1:34" ht="15" customHeight="1" x14ac:dyDescent="0.2">
      <c r="A646" s="11"/>
      <c r="B646" s="11" t="s">
        <v>1211</v>
      </c>
      <c r="C646" s="13">
        <v>435</v>
      </c>
      <c r="D646" s="13" t="s">
        <v>420</v>
      </c>
      <c r="E646" s="20">
        <v>167</v>
      </c>
      <c r="F646" s="20">
        <v>165</v>
      </c>
      <c r="G646" s="20">
        <v>645</v>
      </c>
      <c r="H646" s="13" t="s">
        <v>1921</v>
      </c>
      <c r="I646" s="13" t="str">
        <f t="shared" si="20"/>
        <v>NW 40th St (Woodside Dr to NW 90th Av)</v>
      </c>
      <c r="J646" s="13" t="s">
        <v>27</v>
      </c>
      <c r="K646" s="13" t="str">
        <f>VLOOKUP(J646,'Data-ProjectTypes'!A$3:B$13,2,FALSE)</f>
        <v>Program</v>
      </c>
      <c r="L646" s="21" t="s">
        <v>348</v>
      </c>
      <c r="M646" s="13" t="s">
        <v>2665</v>
      </c>
      <c r="N646" s="13" t="s">
        <v>2244</v>
      </c>
      <c r="O646" s="13" t="s">
        <v>292</v>
      </c>
      <c r="P646" s="13" t="s">
        <v>292</v>
      </c>
      <c r="Q646" s="22">
        <v>1.1000000000000001</v>
      </c>
      <c r="R646" s="23">
        <v>383518</v>
      </c>
      <c r="S646" s="21" t="s">
        <v>24</v>
      </c>
      <c r="T646" s="21"/>
      <c r="U646" s="21"/>
      <c r="V646" s="24"/>
      <c r="W646" s="24"/>
      <c r="X646" s="24"/>
      <c r="Y646" s="17" t="s">
        <v>460</v>
      </c>
      <c r="Z646" s="18">
        <f>ROUND(R646*'Data-CostAssumptions'!$C$3,-3)</f>
        <v>531000</v>
      </c>
      <c r="AA646" s="11">
        <f t="shared" si="21"/>
        <v>0</v>
      </c>
      <c r="AB646" s="11">
        <v>2041</v>
      </c>
      <c r="AC646" s="11">
        <v>2041</v>
      </c>
      <c r="AD646" s="11">
        <v>2041</v>
      </c>
      <c r="AE646" s="11">
        <v>2041</v>
      </c>
      <c r="AF646" s="11">
        <v>0</v>
      </c>
      <c r="AG646" s="19">
        <f>ROUND((Z646*'Data-CostAssumptions'!$G$5)*(1+'Data-CostAssumptions'!$G$3)^(AC646-'Data-CostAssumptions'!$G$4),-3)</f>
        <v>300000</v>
      </c>
      <c r="AH646" s="19">
        <f>ROUND((Z646)*(1+'Data-CostAssumptions'!$G$3)^(AE646-'Data-CostAssumptions'!$G$4),-3)</f>
        <v>1361000</v>
      </c>
    </row>
    <row r="647" spans="1:34" ht="15" customHeight="1" x14ac:dyDescent="0.2">
      <c r="A647" s="11"/>
      <c r="B647" s="11" t="s">
        <v>1211</v>
      </c>
      <c r="C647" s="13">
        <v>436</v>
      </c>
      <c r="D647" s="13" t="s">
        <v>420</v>
      </c>
      <c r="E647" s="20">
        <v>172</v>
      </c>
      <c r="F647" s="20">
        <v>165</v>
      </c>
      <c r="G647" s="20">
        <v>646</v>
      </c>
      <c r="H647" s="13" t="s">
        <v>1753</v>
      </c>
      <c r="I647" s="13" t="str">
        <f t="shared" si="20"/>
        <v>Locahatchee Rd (State Rd 7/US 441 to West end of Loxahatchee Rd)</v>
      </c>
      <c r="J647" s="13" t="s">
        <v>27</v>
      </c>
      <c r="K647" s="13" t="str">
        <f>VLOOKUP(J647,'Data-ProjectTypes'!A$3:B$13,2,FALSE)</f>
        <v>Program</v>
      </c>
      <c r="L647" s="21" t="s">
        <v>348</v>
      </c>
      <c r="M647" s="13" t="s">
        <v>1773</v>
      </c>
      <c r="N647" s="13" t="s">
        <v>2427</v>
      </c>
      <c r="O647" s="13" t="s">
        <v>272</v>
      </c>
      <c r="P647" s="13" t="s">
        <v>272</v>
      </c>
      <c r="Q647" s="22">
        <v>1.8</v>
      </c>
      <c r="R647" s="23">
        <v>636251</v>
      </c>
      <c r="S647" s="21" t="s">
        <v>24</v>
      </c>
      <c r="T647" s="21"/>
      <c r="U647" s="21"/>
      <c r="V647" s="24"/>
      <c r="W647" s="24"/>
      <c r="X647" s="31" t="s">
        <v>737</v>
      </c>
      <c r="Y647" s="17" t="s">
        <v>735</v>
      </c>
      <c r="Z647" s="18">
        <f>ROUND(R647*'Data-CostAssumptions'!$C$3,-3)</f>
        <v>881000</v>
      </c>
      <c r="AA647" s="11">
        <f t="shared" si="21"/>
        <v>0</v>
      </c>
      <c r="AB647" s="11">
        <v>2041</v>
      </c>
      <c r="AC647" s="11">
        <v>2041</v>
      </c>
      <c r="AD647" s="11">
        <v>2041</v>
      </c>
      <c r="AE647" s="11">
        <v>2041</v>
      </c>
      <c r="AF647" s="11">
        <v>0</v>
      </c>
      <c r="AG647" s="19">
        <f>ROUND((Z647*'Data-CostAssumptions'!$G$5)*(1+'Data-CostAssumptions'!$G$3)^(AC647-'Data-CostAssumptions'!$G$4),-3)</f>
        <v>497000</v>
      </c>
      <c r="AH647" s="19">
        <f>ROUND((Z647)*(1+'Data-CostAssumptions'!$G$3)^(AE647-'Data-CostAssumptions'!$G$4),-3)</f>
        <v>2259000</v>
      </c>
    </row>
    <row r="648" spans="1:34" ht="15" customHeight="1" x14ac:dyDescent="0.2">
      <c r="A648" s="11"/>
      <c r="B648" s="11" t="s">
        <v>1211</v>
      </c>
      <c r="C648" s="13">
        <v>438</v>
      </c>
      <c r="D648" s="13" t="s">
        <v>420</v>
      </c>
      <c r="E648" s="20">
        <v>180</v>
      </c>
      <c r="F648" s="20">
        <v>165</v>
      </c>
      <c r="G648" s="20">
        <v>647</v>
      </c>
      <c r="H648" s="13" t="s">
        <v>2738</v>
      </c>
      <c r="I648" s="13" t="str">
        <f t="shared" si="20"/>
        <v>SR 834/West Sample Rd (Powerline Rd to Sample Rd Ramp)</v>
      </c>
      <c r="J648" s="13" t="s">
        <v>27</v>
      </c>
      <c r="K648" s="13" t="str">
        <f>VLOOKUP(J648,'Data-ProjectTypes'!A$3:B$13,2,FALSE)</f>
        <v>Program</v>
      </c>
      <c r="L648" s="21" t="s">
        <v>348</v>
      </c>
      <c r="M648" s="13" t="s">
        <v>1858</v>
      </c>
      <c r="N648" s="13" t="s">
        <v>2407</v>
      </c>
      <c r="O648" s="13" t="s">
        <v>270</v>
      </c>
      <c r="P648" s="13" t="s">
        <v>270</v>
      </c>
      <c r="Q648" s="22">
        <v>0.9</v>
      </c>
      <c r="R648" s="23">
        <v>307242</v>
      </c>
      <c r="S648" s="21"/>
      <c r="T648" s="21"/>
      <c r="U648" s="21"/>
      <c r="V648" s="24"/>
      <c r="W648" s="24"/>
      <c r="X648" s="28"/>
      <c r="Y648" s="17"/>
      <c r="Z648" s="18">
        <f>ROUND(R648*'Data-CostAssumptions'!$C$3,-3)</f>
        <v>425000</v>
      </c>
      <c r="AA648" s="11">
        <f t="shared" si="21"/>
        <v>0</v>
      </c>
      <c r="AB648" s="11">
        <v>2041</v>
      </c>
      <c r="AC648" s="11">
        <v>2041</v>
      </c>
      <c r="AD648" s="11">
        <v>2041</v>
      </c>
      <c r="AE648" s="11">
        <v>2041</v>
      </c>
      <c r="AF648" s="11">
        <v>0</v>
      </c>
      <c r="AG648" s="19">
        <f>ROUND((Z648*'Data-CostAssumptions'!$G$5)*(1+'Data-CostAssumptions'!$G$3)^(AC648-'Data-CostAssumptions'!$G$4),-3)</f>
        <v>240000</v>
      </c>
      <c r="AH648" s="19">
        <f>ROUND((Z648)*(1+'Data-CostAssumptions'!$G$3)^(AE648-'Data-CostAssumptions'!$G$4),-3)</f>
        <v>1090000</v>
      </c>
    </row>
    <row r="649" spans="1:34" ht="15" customHeight="1" x14ac:dyDescent="0.2">
      <c r="A649" s="11"/>
      <c r="B649" s="11" t="s">
        <v>1211</v>
      </c>
      <c r="C649" s="13">
        <v>440</v>
      </c>
      <c r="D649" s="13" t="s">
        <v>420</v>
      </c>
      <c r="E649" s="20">
        <v>195</v>
      </c>
      <c r="F649" s="20">
        <v>166</v>
      </c>
      <c r="G649" s="20">
        <v>648</v>
      </c>
      <c r="H649" s="13" t="s">
        <v>2735</v>
      </c>
      <c r="I649" s="13" t="str">
        <f t="shared" si="20"/>
        <v>SR 842/West Broward Bl (Just east of Wimbledon Lakes Dr to Just east of NW 122nd Terrace)</v>
      </c>
      <c r="J649" s="13" t="s">
        <v>27</v>
      </c>
      <c r="K649" s="13" t="str">
        <f>VLOOKUP(J649,'Data-ProjectTypes'!A$3:B$13,2,FALSE)</f>
        <v>Program</v>
      </c>
      <c r="L649" s="21" t="s">
        <v>348</v>
      </c>
      <c r="M649" s="13" t="s">
        <v>2683</v>
      </c>
      <c r="N649" s="13" t="s">
        <v>126</v>
      </c>
      <c r="O649" s="13" t="s">
        <v>273</v>
      </c>
      <c r="P649" s="13" t="s">
        <v>273</v>
      </c>
      <c r="Q649" s="22">
        <v>2.2999999999999998</v>
      </c>
      <c r="R649" s="23">
        <v>810138</v>
      </c>
      <c r="S649" s="21"/>
      <c r="T649" s="21"/>
      <c r="U649" s="21"/>
      <c r="V649" s="24"/>
      <c r="W649" s="24"/>
      <c r="X649" s="24"/>
      <c r="Y649" s="17"/>
      <c r="Z649" s="18">
        <f>ROUND(R649*'Data-CostAssumptions'!$C$3,-3)</f>
        <v>1121000</v>
      </c>
      <c r="AA649" s="11">
        <f t="shared" si="21"/>
        <v>0</v>
      </c>
      <c r="AB649" s="11">
        <v>2041</v>
      </c>
      <c r="AC649" s="11">
        <v>2041</v>
      </c>
      <c r="AD649" s="11">
        <v>2041</v>
      </c>
      <c r="AE649" s="11">
        <v>2041</v>
      </c>
      <c r="AF649" s="11">
        <v>0</v>
      </c>
      <c r="AG649" s="19">
        <f>ROUND((Z649*'Data-CostAssumptions'!$G$5)*(1+'Data-CostAssumptions'!$G$3)^(AC649-'Data-CostAssumptions'!$G$4),-3)</f>
        <v>632000</v>
      </c>
      <c r="AH649" s="19">
        <f>ROUND((Z649)*(1+'Data-CostAssumptions'!$G$3)^(AE649-'Data-CostAssumptions'!$G$4),-3)</f>
        <v>2874000</v>
      </c>
    </row>
    <row r="650" spans="1:34" ht="15" customHeight="1" x14ac:dyDescent="0.2">
      <c r="A650" s="11"/>
      <c r="B650" s="11" t="s">
        <v>1211</v>
      </c>
      <c r="C650" s="13">
        <v>441</v>
      </c>
      <c r="D650" s="13" t="s">
        <v>420</v>
      </c>
      <c r="E650" s="20">
        <v>199</v>
      </c>
      <c r="F650" s="20">
        <v>166</v>
      </c>
      <c r="G650" s="20">
        <v>649</v>
      </c>
      <c r="H650" s="13" t="s">
        <v>1752</v>
      </c>
      <c r="I650" s="13" t="str">
        <f t="shared" si="20"/>
        <v>Hiatus Rd (Pembroke Rd to Washington St)</v>
      </c>
      <c r="J650" s="13" t="s">
        <v>27</v>
      </c>
      <c r="K650" s="13" t="str">
        <f>VLOOKUP(J650,'Data-ProjectTypes'!A$3:B$13,2,FALSE)</f>
        <v>Program</v>
      </c>
      <c r="L650" s="21" t="s">
        <v>348</v>
      </c>
      <c r="M650" s="13" t="s">
        <v>1760</v>
      </c>
      <c r="N650" s="13" t="s">
        <v>1971</v>
      </c>
      <c r="O650" s="13" t="s">
        <v>272</v>
      </c>
      <c r="P650" s="13" t="s">
        <v>272</v>
      </c>
      <c r="Q650" s="22">
        <v>0.5</v>
      </c>
      <c r="R650" s="23">
        <v>180840</v>
      </c>
      <c r="S650" s="21" t="s">
        <v>24</v>
      </c>
      <c r="T650" s="21" t="s">
        <v>684</v>
      </c>
      <c r="U650" s="21" t="s">
        <v>684</v>
      </c>
      <c r="V650" s="24"/>
      <c r="W650" s="24"/>
      <c r="X650" s="24"/>
      <c r="Y650" s="17" t="s">
        <v>685</v>
      </c>
      <c r="Z650" s="18">
        <f>ROUND(R650*'Data-CostAssumptions'!$C$3,-3)</f>
        <v>250000</v>
      </c>
      <c r="AA650" s="11">
        <f t="shared" si="21"/>
        <v>0</v>
      </c>
      <c r="AB650" s="11">
        <v>2041</v>
      </c>
      <c r="AC650" s="11">
        <v>2041</v>
      </c>
      <c r="AD650" s="11">
        <v>2041</v>
      </c>
      <c r="AE650" s="11">
        <v>2041</v>
      </c>
      <c r="AF650" s="11">
        <v>0</v>
      </c>
      <c r="AG650" s="19">
        <f>ROUND((Z650*'Data-CostAssumptions'!$G$5)*(1+'Data-CostAssumptions'!$G$3)^(AC650-'Data-CostAssumptions'!$G$4),-3)</f>
        <v>141000</v>
      </c>
      <c r="AH650" s="19">
        <f>ROUND((Z650)*(1+'Data-CostAssumptions'!$G$3)^(AE650-'Data-CostAssumptions'!$G$4),-3)</f>
        <v>641000</v>
      </c>
    </row>
    <row r="651" spans="1:34" ht="15" customHeight="1" x14ac:dyDescent="0.2">
      <c r="A651" s="11"/>
      <c r="B651" s="11" t="s">
        <v>1211</v>
      </c>
      <c r="C651" s="13">
        <v>442</v>
      </c>
      <c r="D651" s="13" t="s">
        <v>420</v>
      </c>
      <c r="E651" s="20">
        <v>204</v>
      </c>
      <c r="F651" s="20">
        <v>166</v>
      </c>
      <c r="G651" s="20">
        <v>650</v>
      </c>
      <c r="H651" s="13" t="s">
        <v>2709</v>
      </c>
      <c r="I651" s="13" t="str">
        <f t="shared" si="20"/>
        <v>SR 817/University Dr (Johnson St to Sheridan St)</v>
      </c>
      <c r="J651" s="13" t="s">
        <v>27</v>
      </c>
      <c r="K651" s="13" t="str">
        <f>VLOOKUP(J651,'Data-ProjectTypes'!A$3:B$13,2,FALSE)</f>
        <v>Program</v>
      </c>
      <c r="L651" s="21" t="s">
        <v>348</v>
      </c>
      <c r="M651" s="13" t="s">
        <v>1880</v>
      </c>
      <c r="N651" s="13" t="s">
        <v>1951</v>
      </c>
      <c r="O651" s="13" t="s">
        <v>270</v>
      </c>
      <c r="P651" s="13" t="s">
        <v>270</v>
      </c>
      <c r="Q651" s="22">
        <v>1</v>
      </c>
      <c r="R651" s="23">
        <v>360679</v>
      </c>
      <c r="S651" s="21" t="s">
        <v>24</v>
      </c>
      <c r="T651" s="21"/>
      <c r="U651" s="21"/>
      <c r="V651" s="24"/>
      <c r="W651" s="24" t="s">
        <v>545</v>
      </c>
      <c r="X651" s="24"/>
      <c r="Y651" s="17" t="s">
        <v>538</v>
      </c>
      <c r="Z651" s="18">
        <f>ROUND(R651*'Data-CostAssumptions'!$C$3,-3)</f>
        <v>499000</v>
      </c>
      <c r="AA651" s="11">
        <f t="shared" si="21"/>
        <v>1</v>
      </c>
      <c r="AB651" s="11">
        <v>2041</v>
      </c>
      <c r="AC651" s="11">
        <v>2041</v>
      </c>
      <c r="AD651" s="11">
        <v>2041</v>
      </c>
      <c r="AE651" s="11">
        <v>2041</v>
      </c>
      <c r="AF651" s="11">
        <v>0</v>
      </c>
      <c r="AG651" s="19">
        <f>ROUND((Z651*'Data-CostAssumptions'!$G$5)*(1+'Data-CostAssumptions'!$G$3)^(AC651-'Data-CostAssumptions'!$G$4),-3)</f>
        <v>281000</v>
      </c>
      <c r="AH651" s="19">
        <f>ROUND((Z651)*(1+'Data-CostAssumptions'!$G$3)^(AE651-'Data-CostAssumptions'!$G$4),-3)</f>
        <v>1279000</v>
      </c>
    </row>
    <row r="652" spans="1:34" ht="15" customHeight="1" x14ac:dyDescent="0.2">
      <c r="A652" s="11"/>
      <c r="B652" s="11" t="s">
        <v>1211</v>
      </c>
      <c r="C652" s="13">
        <v>443</v>
      </c>
      <c r="D652" s="13" t="s">
        <v>420</v>
      </c>
      <c r="E652" s="20">
        <v>208</v>
      </c>
      <c r="F652" s="20">
        <v>166</v>
      </c>
      <c r="G652" s="20">
        <v>651</v>
      </c>
      <c r="H652" s="13" t="s">
        <v>1756</v>
      </c>
      <c r="I652" s="13" t="str">
        <f t="shared" si="20"/>
        <v>North Douglas Rd (Taft St to Pasadena Bl)</v>
      </c>
      <c r="J652" s="13" t="s">
        <v>27</v>
      </c>
      <c r="K652" s="13" t="str">
        <f>VLOOKUP(J652,'Data-ProjectTypes'!A$3:B$13,2,FALSE)</f>
        <v>Program</v>
      </c>
      <c r="L652" s="21" t="s">
        <v>348</v>
      </c>
      <c r="M652" s="13" t="s">
        <v>1968</v>
      </c>
      <c r="N652" s="13" t="s">
        <v>1998</v>
      </c>
      <c r="O652" s="13" t="s">
        <v>273</v>
      </c>
      <c r="P652" s="13" t="s">
        <v>273</v>
      </c>
      <c r="Q652" s="22">
        <v>0.3</v>
      </c>
      <c r="R652" s="23">
        <v>121724</v>
      </c>
      <c r="S652" s="21"/>
      <c r="T652" s="21"/>
      <c r="U652" s="21"/>
      <c r="V652" s="24"/>
      <c r="W652" s="24"/>
      <c r="X652" s="24"/>
      <c r="Y652" s="17"/>
      <c r="Z652" s="18">
        <f>ROUND(R652*'Data-CostAssumptions'!$C$3,-3)</f>
        <v>168000</v>
      </c>
      <c r="AA652" s="11">
        <f t="shared" si="21"/>
        <v>0</v>
      </c>
      <c r="AB652" s="11">
        <v>2041</v>
      </c>
      <c r="AC652" s="11">
        <v>2041</v>
      </c>
      <c r="AD652" s="11">
        <v>2041</v>
      </c>
      <c r="AE652" s="11">
        <v>2041</v>
      </c>
      <c r="AF652" s="11">
        <v>0</v>
      </c>
      <c r="AG652" s="19">
        <f>ROUND((Z652*'Data-CostAssumptions'!$G$5)*(1+'Data-CostAssumptions'!$G$3)^(AC652-'Data-CostAssumptions'!$G$4),-3)</f>
        <v>95000</v>
      </c>
      <c r="AH652" s="19">
        <f>ROUND((Z652)*(1+'Data-CostAssumptions'!$G$3)^(AE652-'Data-CostAssumptions'!$G$4),-3)</f>
        <v>431000</v>
      </c>
    </row>
    <row r="653" spans="1:34" ht="15" customHeight="1" x14ac:dyDescent="0.2">
      <c r="A653" s="11"/>
      <c r="B653" s="11" t="s">
        <v>1211</v>
      </c>
      <c r="C653" s="13">
        <v>444</v>
      </c>
      <c r="D653" s="13" t="s">
        <v>420</v>
      </c>
      <c r="E653" s="20">
        <v>215</v>
      </c>
      <c r="F653" s="20">
        <v>166</v>
      </c>
      <c r="G653" s="20">
        <v>652</v>
      </c>
      <c r="H653" s="13" t="s">
        <v>1754</v>
      </c>
      <c r="I653" s="13" t="str">
        <f t="shared" si="20"/>
        <v>Lyons Rd (NW 30th St to Just south of Access Rd)</v>
      </c>
      <c r="J653" s="13" t="s">
        <v>27</v>
      </c>
      <c r="K653" s="13" t="str">
        <f>VLOOKUP(J653,'Data-ProjectTypes'!A$3:B$13,2,FALSE)</f>
        <v>Program</v>
      </c>
      <c r="L653" s="21" t="s">
        <v>348</v>
      </c>
      <c r="M653" s="13" t="s">
        <v>2496</v>
      </c>
      <c r="N653" s="13" t="s">
        <v>2428</v>
      </c>
      <c r="O653" s="13" t="s">
        <v>283</v>
      </c>
      <c r="P653" s="13" t="s">
        <v>283</v>
      </c>
      <c r="Q653" s="22">
        <v>0.4</v>
      </c>
      <c r="R653" s="23">
        <v>158338</v>
      </c>
      <c r="S653" s="21"/>
      <c r="T653" s="21"/>
      <c r="U653" s="21"/>
      <c r="V653" s="24"/>
      <c r="W653" s="24"/>
      <c r="X653" s="24"/>
      <c r="Y653" s="17"/>
      <c r="Z653" s="18">
        <f>ROUND(R653*'Data-CostAssumptions'!$C$3,-3)</f>
        <v>219000</v>
      </c>
      <c r="AA653" s="11">
        <f t="shared" si="21"/>
        <v>0</v>
      </c>
      <c r="AB653" s="11">
        <v>2041</v>
      </c>
      <c r="AC653" s="11">
        <v>2041</v>
      </c>
      <c r="AD653" s="11">
        <v>2041</v>
      </c>
      <c r="AE653" s="11">
        <v>2041</v>
      </c>
      <c r="AF653" s="11">
        <v>0</v>
      </c>
      <c r="AG653" s="19">
        <f>ROUND((Z653*'Data-CostAssumptions'!$G$5)*(1+'Data-CostAssumptions'!$G$3)^(AC653-'Data-CostAssumptions'!$G$4),-3)</f>
        <v>124000</v>
      </c>
      <c r="AH653" s="19">
        <f>ROUND((Z653)*(1+'Data-CostAssumptions'!$G$3)^(AE653-'Data-CostAssumptions'!$G$4),-3)</f>
        <v>562000</v>
      </c>
    </row>
    <row r="654" spans="1:34" ht="15" customHeight="1" x14ac:dyDescent="0.2">
      <c r="A654" s="11"/>
      <c r="B654" s="11" t="s">
        <v>1211</v>
      </c>
      <c r="C654" s="13">
        <v>445</v>
      </c>
      <c r="D654" s="13" t="s">
        <v>420</v>
      </c>
      <c r="E654" s="20">
        <v>232</v>
      </c>
      <c r="F654" s="20">
        <v>166</v>
      </c>
      <c r="G654" s="20">
        <v>653</v>
      </c>
      <c r="H654" s="13" t="s">
        <v>2739</v>
      </c>
      <c r="I654" s="13" t="str">
        <f t="shared" si="20"/>
        <v>SR 838/West Sunrise Bl (Florida's Turnpike to NW 65th Av)</v>
      </c>
      <c r="J654" s="13" t="s">
        <v>27</v>
      </c>
      <c r="K654" s="13" t="str">
        <f>VLOOKUP(J654,'Data-ProjectTypes'!A$3:B$13,2,FALSE)</f>
        <v>Program</v>
      </c>
      <c r="L654" s="21" t="s">
        <v>348</v>
      </c>
      <c r="M654" s="13" t="s">
        <v>42</v>
      </c>
      <c r="N654" s="13" t="s">
        <v>2245</v>
      </c>
      <c r="O654" s="13" t="s">
        <v>270</v>
      </c>
      <c r="P654" s="13" t="s">
        <v>270</v>
      </c>
      <c r="Q654" s="22">
        <v>1.1000000000000001</v>
      </c>
      <c r="R654" s="23">
        <v>390440</v>
      </c>
      <c r="S654" s="21"/>
      <c r="T654" s="21"/>
      <c r="U654" s="21"/>
      <c r="V654" s="24"/>
      <c r="W654" s="24"/>
      <c r="X654" s="24"/>
      <c r="Y654" s="17"/>
      <c r="Z654" s="18">
        <f>ROUND(R654*'Data-CostAssumptions'!$C$3,-3)</f>
        <v>540000</v>
      </c>
      <c r="AA654" s="11">
        <f t="shared" si="21"/>
        <v>0</v>
      </c>
      <c r="AB654" s="11">
        <v>2041</v>
      </c>
      <c r="AC654" s="11">
        <v>2041</v>
      </c>
      <c r="AD654" s="11">
        <v>2041</v>
      </c>
      <c r="AE654" s="11">
        <v>2041</v>
      </c>
      <c r="AF654" s="11">
        <v>0</v>
      </c>
      <c r="AG654" s="19">
        <f>ROUND((Z654*'Data-CostAssumptions'!$G$5)*(1+'Data-CostAssumptions'!$G$3)^(AC654-'Data-CostAssumptions'!$G$4),-3)</f>
        <v>305000</v>
      </c>
      <c r="AH654" s="19">
        <f>ROUND((Z654)*(1+'Data-CostAssumptions'!$G$3)^(AE654-'Data-CostAssumptions'!$G$4),-3)</f>
        <v>1385000</v>
      </c>
    </row>
    <row r="655" spans="1:34" ht="15" customHeight="1" x14ac:dyDescent="0.2">
      <c r="A655" s="11"/>
      <c r="B655" s="11" t="s">
        <v>1211</v>
      </c>
      <c r="C655" s="13">
        <v>446</v>
      </c>
      <c r="D655" s="13" t="s">
        <v>420</v>
      </c>
      <c r="E655" s="20">
        <v>243</v>
      </c>
      <c r="F655" s="20">
        <v>166</v>
      </c>
      <c r="G655" s="20">
        <v>654</v>
      </c>
      <c r="H655" s="13" t="s">
        <v>2078</v>
      </c>
      <c r="I655" s="13" t="str">
        <f t="shared" si="20"/>
        <v>NW 70th Av (NW 11th Place to NW 13th St)</v>
      </c>
      <c r="J655" s="13" t="s">
        <v>27</v>
      </c>
      <c r="K655" s="13" t="str">
        <f>VLOOKUP(J655,'Data-ProjectTypes'!A$3:B$13,2,FALSE)</f>
        <v>Program</v>
      </c>
      <c r="L655" s="21" t="s">
        <v>348</v>
      </c>
      <c r="M655" s="13" t="s">
        <v>123</v>
      </c>
      <c r="N655" s="13" t="s">
        <v>1908</v>
      </c>
      <c r="O655" s="13" t="s">
        <v>284</v>
      </c>
      <c r="P655" s="13" t="s">
        <v>284</v>
      </c>
      <c r="Q655" s="22">
        <v>0.2</v>
      </c>
      <c r="R655" s="23">
        <v>58450</v>
      </c>
      <c r="S655" s="21"/>
      <c r="T655" s="21"/>
      <c r="U655" s="21"/>
      <c r="V655" s="24"/>
      <c r="W655" s="24"/>
      <c r="X655" s="24"/>
      <c r="Y655" s="17"/>
      <c r="Z655" s="18">
        <f>ROUND(R655*'Data-CostAssumptions'!$C$3,-3)</f>
        <v>81000</v>
      </c>
      <c r="AA655" s="11">
        <f t="shared" si="21"/>
        <v>0</v>
      </c>
      <c r="AB655" s="11">
        <v>2041</v>
      </c>
      <c r="AC655" s="11">
        <v>2041</v>
      </c>
      <c r="AD655" s="11">
        <v>2041</v>
      </c>
      <c r="AE655" s="11">
        <v>2041</v>
      </c>
      <c r="AF655" s="11">
        <v>0</v>
      </c>
      <c r="AG655" s="19">
        <f>ROUND((Z655*'Data-CostAssumptions'!$G$5)*(1+'Data-CostAssumptions'!$G$3)^(AC655-'Data-CostAssumptions'!$G$4),-3)</f>
        <v>46000</v>
      </c>
      <c r="AH655" s="19">
        <f>ROUND((Z655)*(1+'Data-CostAssumptions'!$G$3)^(AE655-'Data-CostAssumptions'!$G$4),-3)</f>
        <v>208000</v>
      </c>
    </row>
    <row r="656" spans="1:34" ht="15" customHeight="1" x14ac:dyDescent="0.2">
      <c r="A656" s="11"/>
      <c r="B656" s="11" t="s">
        <v>1211</v>
      </c>
      <c r="C656" s="13">
        <v>447</v>
      </c>
      <c r="D656" s="13" t="s">
        <v>420</v>
      </c>
      <c r="E656" s="20">
        <v>249</v>
      </c>
      <c r="F656" s="20">
        <v>166</v>
      </c>
      <c r="G656" s="20">
        <v>655</v>
      </c>
      <c r="H656" s="13" t="s">
        <v>1763</v>
      </c>
      <c r="I656" s="13" t="str">
        <f t="shared" si="20"/>
        <v>Peters Rd (SW 46th Av to SW 51st Av)</v>
      </c>
      <c r="J656" s="13" t="s">
        <v>27</v>
      </c>
      <c r="K656" s="13" t="str">
        <f>VLOOKUP(J656,'Data-ProjectTypes'!A$3:B$13,2,FALSE)</f>
        <v>Program</v>
      </c>
      <c r="L656" s="21" t="s">
        <v>348</v>
      </c>
      <c r="M656" s="13" t="s">
        <v>2372</v>
      </c>
      <c r="N656" s="13" t="s">
        <v>2253</v>
      </c>
      <c r="O656" s="13" t="s">
        <v>273</v>
      </c>
      <c r="P656" s="13" t="s">
        <v>273</v>
      </c>
      <c r="Q656" s="22">
        <v>0.4</v>
      </c>
      <c r="R656" s="23">
        <v>132075</v>
      </c>
      <c r="S656" s="21"/>
      <c r="T656" s="21"/>
      <c r="U656" s="21"/>
      <c r="V656" s="24"/>
      <c r="W656" s="24"/>
      <c r="X656" s="24"/>
      <c r="Y656" s="17"/>
      <c r="Z656" s="18">
        <f>ROUND(R656*'Data-CostAssumptions'!$C$3,-3)</f>
        <v>183000</v>
      </c>
      <c r="AA656" s="11">
        <f t="shared" si="21"/>
        <v>0</v>
      </c>
      <c r="AB656" s="11">
        <v>2041</v>
      </c>
      <c r="AC656" s="11">
        <v>2041</v>
      </c>
      <c r="AD656" s="11">
        <v>2041</v>
      </c>
      <c r="AE656" s="11">
        <v>2041</v>
      </c>
      <c r="AF656" s="11">
        <v>0</v>
      </c>
      <c r="AG656" s="19">
        <f>ROUND((Z656*'Data-CostAssumptions'!$G$5)*(1+'Data-CostAssumptions'!$G$3)^(AC656-'Data-CostAssumptions'!$G$4),-3)</f>
        <v>103000</v>
      </c>
      <c r="AH656" s="19">
        <f>ROUND((Z656)*(1+'Data-CostAssumptions'!$G$3)^(AE656-'Data-CostAssumptions'!$G$4),-3)</f>
        <v>469000</v>
      </c>
    </row>
    <row r="657" spans="1:34" ht="15" customHeight="1" x14ac:dyDescent="0.2">
      <c r="A657" s="11"/>
      <c r="B657" s="11" t="s">
        <v>1211</v>
      </c>
      <c r="C657" s="13">
        <v>448</v>
      </c>
      <c r="D657" s="13" t="s">
        <v>420</v>
      </c>
      <c r="E657" s="20">
        <v>250</v>
      </c>
      <c r="F657" s="20">
        <v>166</v>
      </c>
      <c r="G657" s="20">
        <v>656</v>
      </c>
      <c r="H657" s="13" t="s">
        <v>2109</v>
      </c>
      <c r="I657" s="13" t="str">
        <f t="shared" si="20"/>
        <v>SW 16th St/SW 63rd Av (SW 63rd Av to SW 66th Av)</v>
      </c>
      <c r="J657" s="13" t="s">
        <v>27</v>
      </c>
      <c r="K657" s="13" t="str">
        <f>VLOOKUP(J657,'Data-ProjectTypes'!A$3:B$13,2,FALSE)</f>
        <v>Program</v>
      </c>
      <c r="L657" s="21" t="s">
        <v>348</v>
      </c>
      <c r="M657" s="13" t="s">
        <v>2254</v>
      </c>
      <c r="N657" s="13" t="s">
        <v>2269</v>
      </c>
      <c r="O657" s="13" t="s">
        <v>284</v>
      </c>
      <c r="P657" s="13" t="s">
        <v>284</v>
      </c>
      <c r="Q657" s="22">
        <v>0.2</v>
      </c>
      <c r="R657" s="23">
        <v>87255</v>
      </c>
      <c r="S657" s="21"/>
      <c r="T657" s="21"/>
      <c r="U657" s="21"/>
      <c r="V657" s="24"/>
      <c r="W657" s="24"/>
      <c r="X657" s="28"/>
      <c r="Y657" s="17"/>
      <c r="Z657" s="18">
        <f>ROUND(R657*'Data-CostAssumptions'!$C$3,-3)</f>
        <v>121000</v>
      </c>
      <c r="AA657" s="11">
        <f t="shared" si="21"/>
        <v>0</v>
      </c>
      <c r="AB657" s="11">
        <v>2041</v>
      </c>
      <c r="AC657" s="11">
        <v>2041</v>
      </c>
      <c r="AD657" s="11">
        <v>2041</v>
      </c>
      <c r="AE657" s="11">
        <v>2041</v>
      </c>
      <c r="AF657" s="11">
        <v>0</v>
      </c>
      <c r="AG657" s="19">
        <f>ROUND((Z657*'Data-CostAssumptions'!$G$5)*(1+'Data-CostAssumptions'!$G$3)^(AC657-'Data-CostAssumptions'!$G$4),-3)</f>
        <v>68000</v>
      </c>
      <c r="AH657" s="19">
        <f>ROUND((Z657)*(1+'Data-CostAssumptions'!$G$3)^(AE657-'Data-CostAssumptions'!$G$4),-3)</f>
        <v>310000</v>
      </c>
    </row>
    <row r="658" spans="1:34" ht="15" customHeight="1" x14ac:dyDescent="0.2">
      <c r="A658" s="11"/>
      <c r="B658" s="11" t="s">
        <v>1211</v>
      </c>
      <c r="C658" s="13">
        <v>449</v>
      </c>
      <c r="D658" s="13" t="s">
        <v>420</v>
      </c>
      <c r="E658" s="20">
        <v>257</v>
      </c>
      <c r="F658" s="20">
        <v>166</v>
      </c>
      <c r="G658" s="20">
        <v>657</v>
      </c>
      <c r="H658" s="13" t="s">
        <v>1963</v>
      </c>
      <c r="I658" s="13" t="str">
        <f t="shared" si="20"/>
        <v>SW 45th St (State Rd 7/US 441 to Florida's Turnpike)</v>
      </c>
      <c r="J658" s="13" t="s">
        <v>27</v>
      </c>
      <c r="K658" s="13" t="str">
        <f>VLOOKUP(J658,'Data-ProjectTypes'!A$3:B$13,2,FALSE)</f>
        <v>Program</v>
      </c>
      <c r="L658" s="21" t="s">
        <v>348</v>
      </c>
      <c r="M658" s="13" t="s">
        <v>1773</v>
      </c>
      <c r="N658" s="13" t="s">
        <v>42</v>
      </c>
      <c r="O658" s="13" t="s">
        <v>279</v>
      </c>
      <c r="P658" s="13" t="s">
        <v>279</v>
      </c>
      <c r="Q658" s="22">
        <v>0.5</v>
      </c>
      <c r="R658" s="23">
        <v>165106</v>
      </c>
      <c r="S658" s="21" t="s">
        <v>24</v>
      </c>
      <c r="T658" s="21" t="s">
        <v>24</v>
      </c>
      <c r="U658" s="21"/>
      <c r="V658" s="24"/>
      <c r="W658" s="24"/>
      <c r="X658" s="24"/>
      <c r="Y658" s="17" t="s">
        <v>469</v>
      </c>
      <c r="Z658" s="18">
        <f>ROUND(R658*'Data-CostAssumptions'!$C$3,-3)</f>
        <v>229000</v>
      </c>
      <c r="AA658" s="11">
        <f t="shared" si="21"/>
        <v>0</v>
      </c>
      <c r="AB658" s="11">
        <v>2041</v>
      </c>
      <c r="AC658" s="11">
        <v>2041</v>
      </c>
      <c r="AD658" s="11">
        <v>2041</v>
      </c>
      <c r="AE658" s="11">
        <v>2041</v>
      </c>
      <c r="AF658" s="11">
        <v>0</v>
      </c>
      <c r="AG658" s="19">
        <f>ROUND((Z658*'Data-CostAssumptions'!$G$5)*(1+'Data-CostAssumptions'!$G$3)^(AC658-'Data-CostAssumptions'!$G$4),-3)</f>
        <v>129000</v>
      </c>
      <c r="AH658" s="19">
        <f>ROUND((Z658)*(1+'Data-CostAssumptions'!$G$3)^(AE658-'Data-CostAssumptions'!$G$4),-3)</f>
        <v>587000</v>
      </c>
    </row>
    <row r="659" spans="1:34" ht="15" customHeight="1" x14ac:dyDescent="0.2">
      <c r="A659" s="11"/>
      <c r="B659" s="11" t="s">
        <v>1211</v>
      </c>
      <c r="C659" s="13">
        <v>450</v>
      </c>
      <c r="D659" s="13" t="s">
        <v>420</v>
      </c>
      <c r="E659" s="20">
        <v>274</v>
      </c>
      <c r="F659" s="20">
        <v>166</v>
      </c>
      <c r="G659" s="20">
        <v>658</v>
      </c>
      <c r="H659" s="13" t="s">
        <v>2784</v>
      </c>
      <c r="I659" s="13" t="str">
        <f t="shared" si="20"/>
        <v>SR 818/Griffin Rd (Just west of Flamingo Rd to I-75 Ramp)</v>
      </c>
      <c r="J659" s="13" t="s">
        <v>27</v>
      </c>
      <c r="K659" s="13" t="str">
        <f>VLOOKUP(J659,'Data-ProjectTypes'!A$3:B$13,2,FALSE)</f>
        <v>Program</v>
      </c>
      <c r="L659" s="21" t="s">
        <v>348</v>
      </c>
      <c r="M659" s="13" t="s">
        <v>2412</v>
      </c>
      <c r="N659" s="13" t="s">
        <v>93</v>
      </c>
      <c r="O659" s="13" t="s">
        <v>273</v>
      </c>
      <c r="P659" s="13" t="s">
        <v>273</v>
      </c>
      <c r="Q659" s="22">
        <v>2.5</v>
      </c>
      <c r="R659" s="23">
        <v>907522</v>
      </c>
      <c r="S659" s="21" t="s">
        <v>24</v>
      </c>
      <c r="T659" s="21" t="s">
        <v>25</v>
      </c>
      <c r="U659" s="21"/>
      <c r="V659" s="24"/>
      <c r="W659" s="24" t="s">
        <v>781</v>
      </c>
      <c r="X659" s="28"/>
      <c r="Y659" s="17" t="s">
        <v>782</v>
      </c>
      <c r="Z659" s="18">
        <f>ROUND(R659*'Data-CostAssumptions'!$C$3,-3)</f>
        <v>1256000</v>
      </c>
      <c r="AA659" s="11">
        <f t="shared" si="21"/>
        <v>1</v>
      </c>
      <c r="AB659" s="11">
        <v>2041</v>
      </c>
      <c r="AC659" s="11">
        <v>2041</v>
      </c>
      <c r="AD659" s="11">
        <v>2041</v>
      </c>
      <c r="AE659" s="11">
        <v>2041</v>
      </c>
      <c r="AF659" s="11">
        <v>0</v>
      </c>
      <c r="AG659" s="19">
        <f>ROUND((Z659*'Data-CostAssumptions'!$G$5)*(1+'Data-CostAssumptions'!$G$3)^(AC659-'Data-CostAssumptions'!$G$4),-3)</f>
        <v>708000</v>
      </c>
      <c r="AH659" s="19">
        <f>ROUND((Z659)*(1+'Data-CostAssumptions'!$G$3)^(AE659-'Data-CostAssumptions'!$G$4),-3)</f>
        <v>3220000</v>
      </c>
    </row>
    <row r="660" spans="1:34" ht="15" customHeight="1" x14ac:dyDescent="0.2">
      <c r="A660" s="11"/>
      <c r="B660" s="11" t="s">
        <v>1211</v>
      </c>
      <c r="C660" s="13">
        <v>451</v>
      </c>
      <c r="D660" s="13" t="s">
        <v>420</v>
      </c>
      <c r="E660" s="20">
        <v>278</v>
      </c>
      <c r="F660" s="20">
        <v>166</v>
      </c>
      <c r="G660" s="20">
        <v>659</v>
      </c>
      <c r="H660" s="13" t="s">
        <v>2138</v>
      </c>
      <c r="I660" s="13" t="str">
        <f t="shared" si="20"/>
        <v>Taft St/186th Av (Pines Bl to NW 196th Av)</v>
      </c>
      <c r="J660" s="13" t="s">
        <v>27</v>
      </c>
      <c r="K660" s="13" t="str">
        <f>VLOOKUP(J660,'Data-ProjectTypes'!A$3:B$13,2,FALSE)</f>
        <v>Program</v>
      </c>
      <c r="L660" s="21" t="s">
        <v>348</v>
      </c>
      <c r="M660" s="13" t="s">
        <v>1826</v>
      </c>
      <c r="N660" s="13" t="s">
        <v>2055</v>
      </c>
      <c r="O660" s="13" t="s">
        <v>271</v>
      </c>
      <c r="P660" s="13" t="s">
        <v>271</v>
      </c>
      <c r="Q660" s="22">
        <v>1.4</v>
      </c>
      <c r="R660" s="23">
        <v>510996</v>
      </c>
      <c r="S660" s="21"/>
      <c r="T660" s="21"/>
      <c r="U660" s="21"/>
      <c r="V660" s="24"/>
      <c r="W660" s="24"/>
      <c r="X660" s="24"/>
      <c r="Y660" s="17"/>
      <c r="Z660" s="18">
        <f>ROUND(R660*'Data-CostAssumptions'!$C$3,-3)</f>
        <v>707000</v>
      </c>
      <c r="AA660" s="11">
        <f t="shared" si="21"/>
        <v>0</v>
      </c>
      <c r="AB660" s="11">
        <v>2041</v>
      </c>
      <c r="AC660" s="11">
        <v>2041</v>
      </c>
      <c r="AD660" s="11">
        <v>2041</v>
      </c>
      <c r="AE660" s="11">
        <v>2041</v>
      </c>
      <c r="AF660" s="11">
        <v>0</v>
      </c>
      <c r="AG660" s="19">
        <f>ROUND((Z660*'Data-CostAssumptions'!$G$5)*(1+'Data-CostAssumptions'!$G$3)^(AC660-'Data-CostAssumptions'!$G$4),-3)</f>
        <v>399000</v>
      </c>
      <c r="AH660" s="19">
        <f>ROUND((Z660)*(1+'Data-CostAssumptions'!$G$3)^(AE660-'Data-CostAssumptions'!$G$4),-3)</f>
        <v>1813000</v>
      </c>
    </row>
    <row r="661" spans="1:34" ht="15" customHeight="1" x14ac:dyDescent="0.2">
      <c r="A661" s="11"/>
      <c r="B661" s="11" t="s">
        <v>1211</v>
      </c>
      <c r="C661" s="13">
        <v>452</v>
      </c>
      <c r="D661" s="13" t="s">
        <v>420</v>
      </c>
      <c r="E661" s="20">
        <v>283</v>
      </c>
      <c r="F661" s="20">
        <v>166</v>
      </c>
      <c r="G661" s="20">
        <v>660</v>
      </c>
      <c r="H661" s="13" t="s">
        <v>2131</v>
      </c>
      <c r="I661" s="13" t="str">
        <f t="shared" si="20"/>
        <v>SW 68th Av (Miramar Parkway to SW 27th Court)</v>
      </c>
      <c r="J661" s="13" t="s">
        <v>27</v>
      </c>
      <c r="K661" s="13" t="str">
        <f>VLOOKUP(J661,'Data-ProjectTypes'!A$3:B$13,2,FALSE)</f>
        <v>Program</v>
      </c>
      <c r="L661" s="21" t="s">
        <v>348</v>
      </c>
      <c r="M661" s="13" t="s">
        <v>39</v>
      </c>
      <c r="N661" s="13" t="s">
        <v>160</v>
      </c>
      <c r="O661" s="13" t="s">
        <v>274</v>
      </c>
      <c r="P661" s="13" t="s">
        <v>274</v>
      </c>
      <c r="Q661" s="22">
        <v>0.2</v>
      </c>
      <c r="R661" s="23">
        <v>71587</v>
      </c>
      <c r="S661" s="21" t="s">
        <v>24</v>
      </c>
      <c r="T661" s="21" t="s">
        <v>25</v>
      </c>
      <c r="U661" s="21" t="s">
        <v>25</v>
      </c>
      <c r="V661" s="24"/>
      <c r="W661" s="24"/>
      <c r="X661" s="24"/>
      <c r="Y661" s="17" t="s">
        <v>685</v>
      </c>
      <c r="Z661" s="18">
        <f>ROUND(R661*'Data-CostAssumptions'!$C$3,-3)</f>
        <v>99000</v>
      </c>
      <c r="AA661" s="11">
        <f t="shared" si="21"/>
        <v>0</v>
      </c>
      <c r="AB661" s="11">
        <v>2041</v>
      </c>
      <c r="AC661" s="11">
        <v>2041</v>
      </c>
      <c r="AD661" s="11">
        <v>2041</v>
      </c>
      <c r="AE661" s="11">
        <v>2041</v>
      </c>
      <c r="AF661" s="11">
        <v>0</v>
      </c>
      <c r="AG661" s="19">
        <f>ROUND((Z661*'Data-CostAssumptions'!$G$5)*(1+'Data-CostAssumptions'!$G$3)^(AC661-'Data-CostAssumptions'!$G$4),-3)</f>
        <v>56000</v>
      </c>
      <c r="AH661" s="19">
        <f>ROUND((Z661)*(1+'Data-CostAssumptions'!$G$3)^(AE661-'Data-CostAssumptions'!$G$4),-3)</f>
        <v>254000</v>
      </c>
    </row>
    <row r="662" spans="1:34" ht="15" customHeight="1" x14ac:dyDescent="0.2">
      <c r="A662" s="11"/>
      <c r="B662" s="11" t="s">
        <v>1211</v>
      </c>
      <c r="C662" s="13">
        <v>453</v>
      </c>
      <c r="D662" s="13" t="s">
        <v>420</v>
      </c>
      <c r="E662" s="20">
        <v>288</v>
      </c>
      <c r="F662" s="20">
        <v>166</v>
      </c>
      <c r="G662" s="20">
        <v>661</v>
      </c>
      <c r="H662" s="13" t="s">
        <v>1765</v>
      </c>
      <c r="I662" s="13" t="str">
        <f t="shared" si="20"/>
        <v>Ravenswood Rd (Tigertail Bl to SW 51st Court)</v>
      </c>
      <c r="J662" s="13" t="s">
        <v>27</v>
      </c>
      <c r="K662" s="13" t="str">
        <f>VLOOKUP(J662,'Data-ProjectTypes'!A$3:B$13,2,FALSE)</f>
        <v>Program</v>
      </c>
      <c r="L662" s="21" t="s">
        <v>348</v>
      </c>
      <c r="M662" s="13" t="s">
        <v>2330</v>
      </c>
      <c r="N662" s="13" t="s">
        <v>255</v>
      </c>
      <c r="O662" s="13" t="s">
        <v>273</v>
      </c>
      <c r="P662" s="13" t="s">
        <v>273</v>
      </c>
      <c r="Q662" s="22">
        <v>0.4</v>
      </c>
      <c r="R662" s="23">
        <v>131384</v>
      </c>
      <c r="S662" s="21"/>
      <c r="T662" s="21"/>
      <c r="U662" s="21"/>
      <c r="V662" s="24"/>
      <c r="W662" s="24"/>
      <c r="X662" s="34" t="s">
        <v>1173</v>
      </c>
      <c r="Y662" s="17" t="s">
        <v>1171</v>
      </c>
      <c r="Z662" s="18">
        <f>ROUND(R662*'Data-CostAssumptions'!$C$3,-3)</f>
        <v>182000</v>
      </c>
      <c r="AA662" s="11">
        <f t="shared" si="21"/>
        <v>0</v>
      </c>
      <c r="AB662" s="11">
        <v>2041</v>
      </c>
      <c r="AC662" s="11">
        <v>2041</v>
      </c>
      <c r="AD662" s="11">
        <v>2041</v>
      </c>
      <c r="AE662" s="11">
        <v>2041</v>
      </c>
      <c r="AF662" s="11">
        <v>0</v>
      </c>
      <c r="AG662" s="19">
        <f>ROUND((Z662*'Data-CostAssumptions'!$G$5)*(1+'Data-CostAssumptions'!$G$3)^(AC662-'Data-CostAssumptions'!$G$4),-3)</f>
        <v>103000</v>
      </c>
      <c r="AH662" s="19">
        <f>ROUND((Z662)*(1+'Data-CostAssumptions'!$G$3)^(AE662-'Data-CostAssumptions'!$G$4),-3)</f>
        <v>467000</v>
      </c>
    </row>
    <row r="663" spans="1:34" ht="15" customHeight="1" x14ac:dyDescent="0.2">
      <c r="A663" s="11"/>
      <c r="B663" s="11" t="s">
        <v>1211</v>
      </c>
      <c r="C663" s="13">
        <v>454</v>
      </c>
      <c r="D663" s="13" t="s">
        <v>420</v>
      </c>
      <c r="E663" s="20">
        <v>292</v>
      </c>
      <c r="F663" s="20">
        <v>166</v>
      </c>
      <c r="G663" s="20">
        <v>662</v>
      </c>
      <c r="H663" s="13" t="s">
        <v>2038</v>
      </c>
      <c r="I663" s="13" t="str">
        <f t="shared" si="20"/>
        <v>North 14th Av (Harding St to Sheridan St)</v>
      </c>
      <c r="J663" s="13" t="s">
        <v>27</v>
      </c>
      <c r="K663" s="13" t="str">
        <f>VLOOKUP(J663,'Data-ProjectTypes'!A$3:B$13,2,FALSE)</f>
        <v>Program</v>
      </c>
      <c r="L663" s="21" t="s">
        <v>543</v>
      </c>
      <c r="M663" s="13" t="s">
        <v>2517</v>
      </c>
      <c r="N663" s="13" t="s">
        <v>1951</v>
      </c>
      <c r="O663" s="13" t="s">
        <v>282</v>
      </c>
      <c r="P663" s="13" t="s">
        <v>282</v>
      </c>
      <c r="Q663" s="22">
        <v>0.4</v>
      </c>
      <c r="R663" s="23">
        <v>137562</v>
      </c>
      <c r="S663" s="21" t="s">
        <v>24</v>
      </c>
      <c r="T663" s="21" t="s">
        <v>25</v>
      </c>
      <c r="U663" s="21" t="s">
        <v>24</v>
      </c>
      <c r="V663" s="24"/>
      <c r="W663" s="24"/>
      <c r="X663" s="32"/>
      <c r="Y663" s="17" t="s">
        <v>538</v>
      </c>
      <c r="Z663" s="18">
        <f>ROUND(R663*'Data-CostAssumptions'!$C$3,-3)</f>
        <v>190000</v>
      </c>
      <c r="AA663" s="11">
        <f t="shared" si="21"/>
        <v>0</v>
      </c>
      <c r="AB663" s="11">
        <v>2041</v>
      </c>
      <c r="AC663" s="11">
        <v>2041</v>
      </c>
      <c r="AD663" s="11">
        <v>2041</v>
      </c>
      <c r="AE663" s="11">
        <v>2041</v>
      </c>
      <c r="AF663" s="11">
        <v>0</v>
      </c>
      <c r="AG663" s="19">
        <f>ROUND((Z663*'Data-CostAssumptions'!$G$5)*(1+'Data-CostAssumptions'!$G$3)^(AC663-'Data-CostAssumptions'!$G$4),-3)</f>
        <v>107000</v>
      </c>
      <c r="AH663" s="19">
        <f>ROUND((Z663)*(1+'Data-CostAssumptions'!$G$3)^(AE663-'Data-CostAssumptions'!$G$4),-3)</f>
        <v>487000</v>
      </c>
    </row>
    <row r="664" spans="1:34" ht="15" customHeight="1" x14ac:dyDescent="0.2">
      <c r="A664" s="11"/>
      <c r="B664" s="11" t="s">
        <v>1211</v>
      </c>
      <c r="C664" s="13">
        <v>455</v>
      </c>
      <c r="D664" s="13" t="s">
        <v>420</v>
      </c>
      <c r="E664" s="20">
        <v>313</v>
      </c>
      <c r="F664" s="20">
        <v>166</v>
      </c>
      <c r="G664" s="20">
        <v>663</v>
      </c>
      <c r="H664" s="13" t="s">
        <v>2036</v>
      </c>
      <c r="I664" s="13" t="str">
        <f t="shared" si="20"/>
        <v>NE 6th Av (NE 43rd St to Prospect Rd)</v>
      </c>
      <c r="J664" s="13" t="s">
        <v>27</v>
      </c>
      <c r="K664" s="13" t="str">
        <f>VLOOKUP(J664,'Data-ProjectTypes'!A$3:B$13,2,FALSE)</f>
        <v>Program</v>
      </c>
      <c r="L664" s="21" t="s">
        <v>348</v>
      </c>
      <c r="M664" s="13" t="s">
        <v>2515</v>
      </c>
      <c r="N664" s="13" t="s">
        <v>1859</v>
      </c>
      <c r="O664" s="13" t="s">
        <v>273</v>
      </c>
      <c r="P664" s="13" t="s">
        <v>273</v>
      </c>
      <c r="Q664" s="22">
        <v>0.1</v>
      </c>
      <c r="R664" s="23">
        <v>34323</v>
      </c>
      <c r="S664" s="21"/>
      <c r="T664" s="21"/>
      <c r="U664" s="21"/>
      <c r="V664" s="24"/>
      <c r="W664" s="24" t="s">
        <v>696</v>
      </c>
      <c r="X664" s="24"/>
      <c r="Y664" s="17" t="s">
        <v>287</v>
      </c>
      <c r="Z664" s="18">
        <f>ROUND(R664*'Data-CostAssumptions'!$C$3,-3)</f>
        <v>48000</v>
      </c>
      <c r="AA664" s="11">
        <f t="shared" si="21"/>
        <v>1</v>
      </c>
      <c r="AB664" s="11">
        <v>2041</v>
      </c>
      <c r="AC664" s="11">
        <v>2041</v>
      </c>
      <c r="AD664" s="11">
        <v>2041</v>
      </c>
      <c r="AE664" s="11">
        <v>2041</v>
      </c>
      <c r="AF664" s="11">
        <v>0</v>
      </c>
      <c r="AG664" s="19">
        <f>ROUND((Z664*'Data-CostAssumptions'!$G$5)*(1+'Data-CostAssumptions'!$G$3)^(AC664-'Data-CostAssumptions'!$G$4),-3)</f>
        <v>27000</v>
      </c>
      <c r="AH664" s="19">
        <f>ROUND((Z664)*(1+'Data-CostAssumptions'!$G$3)^(AE664-'Data-CostAssumptions'!$G$4),-3)</f>
        <v>123000</v>
      </c>
    </row>
    <row r="665" spans="1:34" ht="15" customHeight="1" x14ac:dyDescent="0.2">
      <c r="A665" s="11"/>
      <c r="B665" s="11" t="s">
        <v>1211</v>
      </c>
      <c r="C665" s="13">
        <v>456</v>
      </c>
      <c r="D665" s="13" t="s">
        <v>420</v>
      </c>
      <c r="E665" s="20">
        <v>315</v>
      </c>
      <c r="F665" s="20">
        <v>166</v>
      </c>
      <c r="G665" s="20">
        <v>664</v>
      </c>
      <c r="H665" s="13" t="s">
        <v>2046</v>
      </c>
      <c r="I665" s="13" t="str">
        <f t="shared" si="20"/>
        <v>North Andrews Av (Commercial Bl to NW 56th Court)</v>
      </c>
      <c r="J665" s="13" t="s">
        <v>27</v>
      </c>
      <c r="K665" s="13" t="str">
        <f>VLOOKUP(J665,'Data-ProjectTypes'!A$3:B$13,2,FALSE)</f>
        <v>Program</v>
      </c>
      <c r="L665" s="21" t="s">
        <v>348</v>
      </c>
      <c r="M665" s="13" t="s">
        <v>1813</v>
      </c>
      <c r="N665" s="13" t="s">
        <v>147</v>
      </c>
      <c r="O665" s="13" t="s">
        <v>273</v>
      </c>
      <c r="P665" s="13" t="s">
        <v>273</v>
      </c>
      <c r="Q665" s="22">
        <v>0.6</v>
      </c>
      <c r="R665" s="23">
        <v>199142</v>
      </c>
      <c r="S665" s="21"/>
      <c r="T665" s="21"/>
      <c r="U665" s="21"/>
      <c r="V665" s="24"/>
      <c r="W665" s="24" t="s">
        <v>696</v>
      </c>
      <c r="X665" s="24"/>
      <c r="Y665" s="17" t="s">
        <v>287</v>
      </c>
      <c r="Z665" s="18">
        <f>ROUND(R665*'Data-CostAssumptions'!$C$3,-3)</f>
        <v>276000</v>
      </c>
      <c r="AA665" s="11">
        <f t="shared" si="21"/>
        <v>1</v>
      </c>
      <c r="AB665" s="11">
        <v>2041</v>
      </c>
      <c r="AC665" s="11">
        <v>2041</v>
      </c>
      <c r="AD665" s="11">
        <v>2041</v>
      </c>
      <c r="AE665" s="11">
        <v>2041</v>
      </c>
      <c r="AF665" s="11">
        <v>0</v>
      </c>
      <c r="AG665" s="19">
        <f>ROUND((Z665*'Data-CostAssumptions'!$G$5)*(1+'Data-CostAssumptions'!$G$3)^(AC665-'Data-CostAssumptions'!$G$4),-3)</f>
        <v>156000</v>
      </c>
      <c r="AH665" s="19">
        <f>ROUND((Z665)*(1+'Data-CostAssumptions'!$G$3)^(AE665-'Data-CostAssumptions'!$G$4),-3)</f>
        <v>708000</v>
      </c>
    </row>
    <row r="666" spans="1:34" ht="15" customHeight="1" x14ac:dyDescent="0.2">
      <c r="A666" s="11"/>
      <c r="B666" s="11" t="s">
        <v>1211</v>
      </c>
      <c r="C666" s="13">
        <v>457</v>
      </c>
      <c r="D666" s="13" t="s">
        <v>420</v>
      </c>
      <c r="E666" s="20">
        <v>319</v>
      </c>
      <c r="F666" s="20">
        <v>167</v>
      </c>
      <c r="G666" s="20">
        <v>665</v>
      </c>
      <c r="H666" s="13" t="s">
        <v>1898</v>
      </c>
      <c r="I666" s="13" t="str">
        <f t="shared" si="20"/>
        <v>NE 56th St (Just west of NE 21st Dr to Just west of NE 15th Av)</v>
      </c>
      <c r="J666" s="13" t="s">
        <v>27</v>
      </c>
      <c r="K666" s="13" t="str">
        <f>VLOOKUP(J666,'Data-ProjectTypes'!A$3:B$13,2,FALSE)</f>
        <v>Program</v>
      </c>
      <c r="L666" s="21" t="s">
        <v>348</v>
      </c>
      <c r="M666" s="13" t="s">
        <v>2659</v>
      </c>
      <c r="N666" s="13" t="s">
        <v>2236</v>
      </c>
      <c r="O666" s="13" t="s">
        <v>273</v>
      </c>
      <c r="P666" s="13" t="s">
        <v>273</v>
      </c>
      <c r="Q666" s="22">
        <v>0.7</v>
      </c>
      <c r="R666" s="23">
        <v>261407</v>
      </c>
      <c r="S666" s="21"/>
      <c r="T666" s="21"/>
      <c r="U666" s="21"/>
      <c r="V666" s="24"/>
      <c r="W666" s="24"/>
      <c r="X666" s="24"/>
      <c r="Y666" s="17"/>
      <c r="Z666" s="18">
        <f>ROUND(R666*'Data-CostAssumptions'!$C$3,-3)</f>
        <v>362000</v>
      </c>
      <c r="AA666" s="11">
        <f t="shared" si="21"/>
        <v>0</v>
      </c>
      <c r="AB666" s="11">
        <v>2041</v>
      </c>
      <c r="AC666" s="11">
        <v>2041</v>
      </c>
      <c r="AD666" s="11">
        <v>2041</v>
      </c>
      <c r="AE666" s="11">
        <v>2041</v>
      </c>
      <c r="AF666" s="11">
        <v>0</v>
      </c>
      <c r="AG666" s="19">
        <f>ROUND((Z666*'Data-CostAssumptions'!$G$5)*(1+'Data-CostAssumptions'!$G$3)^(AC666-'Data-CostAssumptions'!$G$4),-3)</f>
        <v>204000</v>
      </c>
      <c r="AH666" s="19">
        <f>ROUND((Z666)*(1+'Data-CostAssumptions'!$G$3)^(AE666-'Data-CostAssumptions'!$G$4),-3)</f>
        <v>928000</v>
      </c>
    </row>
    <row r="667" spans="1:34" ht="15" customHeight="1" x14ac:dyDescent="0.2">
      <c r="A667" s="11"/>
      <c r="B667" s="11" t="s">
        <v>1211</v>
      </c>
      <c r="C667" s="13">
        <v>458</v>
      </c>
      <c r="D667" s="13" t="s">
        <v>420</v>
      </c>
      <c r="E667" s="20">
        <v>325</v>
      </c>
      <c r="F667" s="20">
        <v>167</v>
      </c>
      <c r="G667" s="20">
        <v>666</v>
      </c>
      <c r="H667" s="13" t="s">
        <v>1927</v>
      </c>
      <c r="I667" s="13" t="str">
        <f t="shared" si="20"/>
        <v>NW 62nd St (Powerline Rd to NW 10th Terrace)</v>
      </c>
      <c r="J667" s="13" t="s">
        <v>27</v>
      </c>
      <c r="K667" s="13" t="str">
        <f>VLOOKUP(J667,'Data-ProjectTypes'!A$3:B$13,2,FALSE)</f>
        <v>Program</v>
      </c>
      <c r="L667" s="21" t="s">
        <v>348</v>
      </c>
      <c r="M667" s="13" t="s">
        <v>1858</v>
      </c>
      <c r="N667" s="13" t="s">
        <v>209</v>
      </c>
      <c r="O667" s="13" t="s">
        <v>273</v>
      </c>
      <c r="P667" s="13" t="s">
        <v>273</v>
      </c>
      <c r="Q667" s="22">
        <v>0.1</v>
      </c>
      <c r="R667" s="23">
        <v>47189</v>
      </c>
      <c r="S667" s="21"/>
      <c r="T667" s="21"/>
      <c r="U667" s="21"/>
      <c r="V667" s="24"/>
      <c r="W667" s="24"/>
      <c r="X667" s="24"/>
      <c r="Y667" s="17"/>
      <c r="Z667" s="18">
        <f>ROUND(R667*'Data-CostAssumptions'!$C$3,-3)</f>
        <v>65000</v>
      </c>
      <c r="AA667" s="11">
        <f t="shared" si="21"/>
        <v>0</v>
      </c>
      <c r="AB667" s="11">
        <v>2041</v>
      </c>
      <c r="AC667" s="11">
        <v>2041</v>
      </c>
      <c r="AD667" s="11">
        <v>2041</v>
      </c>
      <c r="AE667" s="11">
        <v>2041</v>
      </c>
      <c r="AF667" s="11">
        <v>0</v>
      </c>
      <c r="AG667" s="19">
        <f>ROUND((Z667*'Data-CostAssumptions'!$G$5)*(1+'Data-CostAssumptions'!$G$3)^(AC667-'Data-CostAssumptions'!$G$4),-3)</f>
        <v>37000</v>
      </c>
      <c r="AH667" s="19">
        <f>ROUND((Z667)*(1+'Data-CostAssumptions'!$G$3)^(AE667-'Data-CostAssumptions'!$G$4),-3)</f>
        <v>167000</v>
      </c>
    </row>
    <row r="668" spans="1:34" ht="15" customHeight="1" x14ac:dyDescent="0.2">
      <c r="A668" s="11"/>
      <c r="B668" s="11" t="s">
        <v>1211</v>
      </c>
      <c r="C668" s="13">
        <v>459</v>
      </c>
      <c r="D668" s="13" t="s">
        <v>420</v>
      </c>
      <c r="E668" s="20">
        <v>327</v>
      </c>
      <c r="F668" s="20">
        <v>167</v>
      </c>
      <c r="G668" s="20">
        <v>667</v>
      </c>
      <c r="H668" s="13" t="s">
        <v>2132</v>
      </c>
      <c r="I668" s="13" t="str">
        <f t="shared" si="20"/>
        <v>SW 71st Av (SW 7th St to Southgate Bl)</v>
      </c>
      <c r="J668" s="13" t="s">
        <v>27</v>
      </c>
      <c r="K668" s="13" t="str">
        <f>VLOOKUP(J668,'Data-ProjectTypes'!A$3:B$13,2,FALSE)</f>
        <v>Program</v>
      </c>
      <c r="L668" s="21" t="s">
        <v>348</v>
      </c>
      <c r="M668" s="13" t="s">
        <v>2570</v>
      </c>
      <c r="N668" s="13" t="s">
        <v>1829</v>
      </c>
      <c r="O668" s="13" t="s">
        <v>285</v>
      </c>
      <c r="P668" s="13" t="s">
        <v>285</v>
      </c>
      <c r="Q668" s="22">
        <v>0.4</v>
      </c>
      <c r="R668" s="23">
        <v>140456</v>
      </c>
      <c r="S668" s="21"/>
      <c r="T668" s="21"/>
      <c r="U668" s="21"/>
      <c r="V668" s="24"/>
      <c r="W668" s="24"/>
      <c r="X668" s="24"/>
      <c r="Y668" s="17"/>
      <c r="Z668" s="18">
        <f>ROUND(R668*'Data-CostAssumptions'!$C$3,-3)</f>
        <v>194000</v>
      </c>
      <c r="AA668" s="11">
        <f t="shared" si="21"/>
        <v>0</v>
      </c>
      <c r="AB668" s="11">
        <v>2041</v>
      </c>
      <c r="AC668" s="11">
        <v>2041</v>
      </c>
      <c r="AD668" s="11">
        <v>2041</v>
      </c>
      <c r="AE668" s="11">
        <v>2041</v>
      </c>
      <c r="AF668" s="11">
        <v>0</v>
      </c>
      <c r="AG668" s="19">
        <f>ROUND((Z668*'Data-CostAssumptions'!$G$5)*(1+'Data-CostAssumptions'!$G$3)^(AC668-'Data-CostAssumptions'!$G$4),-3)</f>
        <v>109000</v>
      </c>
      <c r="AH668" s="19">
        <f>ROUND((Z668)*(1+'Data-CostAssumptions'!$G$3)^(AE668-'Data-CostAssumptions'!$G$4),-3)</f>
        <v>497000</v>
      </c>
    </row>
    <row r="669" spans="1:34" ht="15" customHeight="1" x14ac:dyDescent="0.2">
      <c r="A669" s="11"/>
      <c r="B669" s="11" t="s">
        <v>1211</v>
      </c>
      <c r="C669" s="13">
        <v>460</v>
      </c>
      <c r="D669" s="13" t="s">
        <v>420</v>
      </c>
      <c r="E669" s="20">
        <v>334</v>
      </c>
      <c r="F669" s="20">
        <v>167</v>
      </c>
      <c r="G669" s="20">
        <v>668</v>
      </c>
      <c r="H669" s="13" t="s">
        <v>1951</v>
      </c>
      <c r="I669" s="13" t="str">
        <f t="shared" si="20"/>
        <v>Sheridan St (North 61st St to North 64th Av)</v>
      </c>
      <c r="J669" s="13" t="s">
        <v>27</v>
      </c>
      <c r="K669" s="13" t="str">
        <f>VLOOKUP(J669,'Data-ProjectTypes'!A$3:B$13,2,FALSE)</f>
        <v>Program</v>
      </c>
      <c r="L669" s="21" t="s">
        <v>348</v>
      </c>
      <c r="M669" s="13" t="s">
        <v>2559</v>
      </c>
      <c r="N669" s="13" t="s">
        <v>2043</v>
      </c>
      <c r="O669" s="13" t="s">
        <v>273</v>
      </c>
      <c r="P669" s="13" t="s">
        <v>273</v>
      </c>
      <c r="Q669" s="22">
        <v>0.4</v>
      </c>
      <c r="R669" s="23">
        <v>127099</v>
      </c>
      <c r="S669" s="21" t="s">
        <v>24</v>
      </c>
      <c r="T669" s="21"/>
      <c r="U669" s="21"/>
      <c r="V669" s="24"/>
      <c r="W669" s="24" t="s">
        <v>553</v>
      </c>
      <c r="X669" s="24"/>
      <c r="Y669" s="17" t="s">
        <v>538</v>
      </c>
      <c r="Z669" s="18">
        <f>ROUND(R669*'Data-CostAssumptions'!$C$3,-3)</f>
        <v>176000</v>
      </c>
      <c r="AA669" s="11">
        <f t="shared" si="21"/>
        <v>1</v>
      </c>
      <c r="AB669" s="11">
        <v>2041</v>
      </c>
      <c r="AC669" s="11">
        <v>2041</v>
      </c>
      <c r="AD669" s="11">
        <v>2041</v>
      </c>
      <c r="AE669" s="11">
        <v>2041</v>
      </c>
      <c r="AF669" s="11">
        <v>0</v>
      </c>
      <c r="AG669" s="19">
        <f>ROUND((Z669*'Data-CostAssumptions'!$G$5)*(1+'Data-CostAssumptions'!$G$3)^(AC669-'Data-CostAssumptions'!$G$4),-3)</f>
        <v>99000</v>
      </c>
      <c r="AH669" s="19">
        <f>ROUND((Z669)*(1+'Data-CostAssumptions'!$G$3)^(AE669-'Data-CostAssumptions'!$G$4),-3)</f>
        <v>451000</v>
      </c>
    </row>
    <row r="670" spans="1:34" ht="15" customHeight="1" x14ac:dyDescent="0.2">
      <c r="A670" s="11"/>
      <c r="B670" s="11" t="s">
        <v>1211</v>
      </c>
      <c r="C670" s="13">
        <v>461</v>
      </c>
      <c r="D670" s="13" t="s">
        <v>420</v>
      </c>
      <c r="E670" s="20">
        <v>336</v>
      </c>
      <c r="F670" s="20">
        <v>167</v>
      </c>
      <c r="G670" s="20">
        <v>669</v>
      </c>
      <c r="H670" s="13" t="s">
        <v>57</v>
      </c>
      <c r="I670" s="13" t="str">
        <f t="shared" si="20"/>
        <v>SR 7/US 441 (Farragut St to Midpoint between Sunset Dr and North 59th Terrace)</v>
      </c>
      <c r="J670" s="13" t="s">
        <v>27</v>
      </c>
      <c r="K670" s="13" t="str">
        <f>VLOOKUP(J670,'Data-ProjectTypes'!A$3:B$13,2,FALSE)</f>
        <v>Program</v>
      </c>
      <c r="L670" s="21" t="s">
        <v>348</v>
      </c>
      <c r="M670" s="13" t="s">
        <v>2534</v>
      </c>
      <c r="N670" s="13" t="s">
        <v>2661</v>
      </c>
      <c r="O670" s="13" t="s">
        <v>270</v>
      </c>
      <c r="P670" s="13" t="s">
        <v>270</v>
      </c>
      <c r="Q670" s="22">
        <v>0.2</v>
      </c>
      <c r="R670" s="23">
        <v>86753</v>
      </c>
      <c r="S670" s="21" t="s">
        <v>24</v>
      </c>
      <c r="T670" s="21"/>
      <c r="U670" s="21"/>
      <c r="V670" s="24"/>
      <c r="W670" s="24" t="s">
        <v>553</v>
      </c>
      <c r="X670" s="24"/>
      <c r="Y670" s="17" t="s">
        <v>538</v>
      </c>
      <c r="Z670" s="18">
        <f>ROUND(R670*'Data-CostAssumptions'!$C$3,-3)</f>
        <v>120000</v>
      </c>
      <c r="AA670" s="11">
        <f t="shared" si="21"/>
        <v>1</v>
      </c>
      <c r="AB670" s="11">
        <v>2041</v>
      </c>
      <c r="AC670" s="11">
        <v>2041</v>
      </c>
      <c r="AD670" s="11">
        <v>2041</v>
      </c>
      <c r="AE670" s="11">
        <v>2041</v>
      </c>
      <c r="AF670" s="11">
        <v>0</v>
      </c>
      <c r="AG670" s="19">
        <f>ROUND((Z670*'Data-CostAssumptions'!$G$5)*(1+'Data-CostAssumptions'!$G$3)^(AC670-'Data-CostAssumptions'!$G$4),-3)</f>
        <v>68000</v>
      </c>
      <c r="AH670" s="19">
        <f>ROUND((Z670)*(1+'Data-CostAssumptions'!$G$3)^(AE670-'Data-CostAssumptions'!$G$4),-3)</f>
        <v>308000</v>
      </c>
    </row>
    <row r="671" spans="1:34" ht="15" customHeight="1" x14ac:dyDescent="0.2">
      <c r="A671" s="11"/>
      <c r="B671" s="11" t="s">
        <v>1211</v>
      </c>
      <c r="C671" s="13">
        <v>462</v>
      </c>
      <c r="D671" s="13" t="s">
        <v>420</v>
      </c>
      <c r="E671" s="20">
        <v>337</v>
      </c>
      <c r="F671" s="20">
        <v>167</v>
      </c>
      <c r="G671" s="20">
        <v>670</v>
      </c>
      <c r="H671" s="13" t="s">
        <v>2041</v>
      </c>
      <c r="I671" s="13" t="str">
        <f t="shared" si="20"/>
        <v>North 56th Av (Douglas St to North 33rd St)</v>
      </c>
      <c r="J671" s="13" t="s">
        <v>27</v>
      </c>
      <c r="K671" s="13" t="str">
        <f>VLOOKUP(J671,'Data-ProjectTypes'!A$3:B$13,2,FALSE)</f>
        <v>Program</v>
      </c>
      <c r="L671" s="21" t="s">
        <v>543</v>
      </c>
      <c r="M671" s="13" t="s">
        <v>2521</v>
      </c>
      <c r="N671" s="13" t="s">
        <v>2520</v>
      </c>
      <c r="O671" s="13" t="s">
        <v>282</v>
      </c>
      <c r="P671" s="13" t="s">
        <v>282</v>
      </c>
      <c r="Q671" s="22">
        <v>0.2</v>
      </c>
      <c r="R671" s="23">
        <v>56780</v>
      </c>
      <c r="S671" s="21" t="s">
        <v>24</v>
      </c>
      <c r="T671" s="21" t="s">
        <v>25</v>
      </c>
      <c r="U671" s="21" t="s">
        <v>24</v>
      </c>
      <c r="V671" s="24" t="s">
        <v>554</v>
      </c>
      <c r="W671" s="24"/>
      <c r="X671" s="24" t="s">
        <v>555</v>
      </c>
      <c r="Y671" s="17" t="s">
        <v>538</v>
      </c>
      <c r="Z671" s="18">
        <f>ROUND(R671*'Data-CostAssumptions'!$C$3,-3)</f>
        <v>79000</v>
      </c>
      <c r="AA671" s="11">
        <f t="shared" si="21"/>
        <v>1</v>
      </c>
      <c r="AB671" s="11">
        <v>2041</v>
      </c>
      <c r="AC671" s="11">
        <v>2041</v>
      </c>
      <c r="AD671" s="11">
        <v>2041</v>
      </c>
      <c r="AE671" s="11">
        <v>2041</v>
      </c>
      <c r="AF671" s="11">
        <v>0</v>
      </c>
      <c r="AG671" s="19">
        <f>ROUND((Z671*'Data-CostAssumptions'!$G$5)*(1+'Data-CostAssumptions'!$G$3)^(AC671-'Data-CostAssumptions'!$G$4),-3)</f>
        <v>45000</v>
      </c>
      <c r="AH671" s="19">
        <f>ROUND((Z671)*(1+'Data-CostAssumptions'!$G$3)^(AE671-'Data-CostAssumptions'!$G$4),-3)</f>
        <v>203000</v>
      </c>
    </row>
    <row r="672" spans="1:34" ht="15" customHeight="1" x14ac:dyDescent="0.2">
      <c r="A672" s="11"/>
      <c r="B672" s="11" t="s">
        <v>1211</v>
      </c>
      <c r="C672" s="13">
        <v>463</v>
      </c>
      <c r="D672" s="13" t="s">
        <v>420</v>
      </c>
      <c r="E672" s="20">
        <v>341</v>
      </c>
      <c r="F672" s="20">
        <v>167</v>
      </c>
      <c r="G672" s="20">
        <v>671</v>
      </c>
      <c r="H672" s="13" t="s">
        <v>1986</v>
      </c>
      <c r="I672" s="13" t="str">
        <f t="shared" si="20"/>
        <v>Atlantic Shores Bl (NE 10th Av to NE 8th Av)</v>
      </c>
      <c r="J672" s="13" t="s">
        <v>27</v>
      </c>
      <c r="K672" s="13" t="str">
        <f>VLOOKUP(J672,'Data-ProjectTypes'!A$3:B$13,2,FALSE)</f>
        <v>Program</v>
      </c>
      <c r="L672" s="21" t="s">
        <v>514</v>
      </c>
      <c r="M672" s="13" t="s">
        <v>2338</v>
      </c>
      <c r="N672" s="13" t="s">
        <v>2212</v>
      </c>
      <c r="O672" s="13" t="s">
        <v>297</v>
      </c>
      <c r="P672" s="13" t="s">
        <v>297</v>
      </c>
      <c r="Q672" s="22">
        <v>0.1</v>
      </c>
      <c r="R672" s="23">
        <v>45071</v>
      </c>
      <c r="S672" s="21" t="s">
        <v>24</v>
      </c>
      <c r="T672" s="21" t="s">
        <v>24</v>
      </c>
      <c r="U672" s="21" t="s">
        <v>24</v>
      </c>
      <c r="V672" s="24" t="s">
        <v>516</v>
      </c>
      <c r="W672" s="24"/>
      <c r="X672" s="24"/>
      <c r="Y672" s="17" t="s">
        <v>297</v>
      </c>
      <c r="Z672" s="18">
        <f>ROUND(R672*'Data-CostAssumptions'!$C$3,-3)</f>
        <v>62000</v>
      </c>
      <c r="AA672" s="11">
        <f t="shared" si="21"/>
        <v>1</v>
      </c>
      <c r="AB672" s="11">
        <v>2041</v>
      </c>
      <c r="AC672" s="11">
        <v>2041</v>
      </c>
      <c r="AD672" s="11">
        <v>2041</v>
      </c>
      <c r="AE672" s="11">
        <v>2041</v>
      </c>
      <c r="AF672" s="11">
        <v>0</v>
      </c>
      <c r="AG672" s="19">
        <f>ROUND((Z672*'Data-CostAssumptions'!$G$5)*(1+'Data-CostAssumptions'!$G$3)^(AC672-'Data-CostAssumptions'!$G$4),-3)</f>
        <v>35000</v>
      </c>
      <c r="AH672" s="19">
        <f>ROUND((Z672)*(1+'Data-CostAssumptions'!$G$3)^(AE672-'Data-CostAssumptions'!$G$4),-3)</f>
        <v>159000</v>
      </c>
    </row>
    <row r="673" spans="1:34" ht="15" customHeight="1" x14ac:dyDescent="0.2">
      <c r="A673" s="11"/>
      <c r="B673" s="11" t="s">
        <v>1211</v>
      </c>
      <c r="C673" s="13">
        <v>464</v>
      </c>
      <c r="D673" s="13" t="s">
        <v>420</v>
      </c>
      <c r="E673" s="20">
        <v>343</v>
      </c>
      <c r="F673" s="20">
        <v>167</v>
      </c>
      <c r="G673" s="20">
        <v>672</v>
      </c>
      <c r="H673" s="13" t="s">
        <v>2096</v>
      </c>
      <c r="I673" s="13" t="str">
        <f t="shared" si="20"/>
        <v>South 35th Av (Van Buren St to Hollywood Bl)</v>
      </c>
      <c r="J673" s="13" t="s">
        <v>27</v>
      </c>
      <c r="K673" s="13" t="str">
        <f>VLOOKUP(J673,'Data-ProjectTypes'!A$3:B$13,2,FALSE)</f>
        <v>Program</v>
      </c>
      <c r="L673" s="21" t="s">
        <v>543</v>
      </c>
      <c r="M673" s="13" t="s">
        <v>1970</v>
      </c>
      <c r="N673" s="13" t="s">
        <v>1820</v>
      </c>
      <c r="O673" s="13" t="s">
        <v>282</v>
      </c>
      <c r="P673" s="13" t="s">
        <v>282</v>
      </c>
      <c r="Q673" s="22">
        <v>0.1</v>
      </c>
      <c r="R673" s="23">
        <v>45008</v>
      </c>
      <c r="S673" s="21" t="s">
        <v>24</v>
      </c>
      <c r="T673" s="21" t="s">
        <v>25</v>
      </c>
      <c r="U673" s="21" t="s">
        <v>24</v>
      </c>
      <c r="V673" s="24" t="s">
        <v>553</v>
      </c>
      <c r="W673" s="24"/>
      <c r="X673" s="24"/>
      <c r="Y673" s="17" t="s">
        <v>538</v>
      </c>
      <c r="Z673" s="18">
        <f>ROUND(R673*'Data-CostAssumptions'!$C$3,-3)</f>
        <v>62000</v>
      </c>
      <c r="AA673" s="11">
        <f t="shared" si="21"/>
        <v>1</v>
      </c>
      <c r="AB673" s="11">
        <v>2041</v>
      </c>
      <c r="AC673" s="11">
        <v>2041</v>
      </c>
      <c r="AD673" s="11">
        <v>2041</v>
      </c>
      <c r="AE673" s="11">
        <v>2041</v>
      </c>
      <c r="AF673" s="11">
        <v>0</v>
      </c>
      <c r="AG673" s="19">
        <f>ROUND((Z673*'Data-CostAssumptions'!$G$5)*(1+'Data-CostAssumptions'!$G$3)^(AC673-'Data-CostAssumptions'!$G$4),-3)</f>
        <v>35000</v>
      </c>
      <c r="AH673" s="19">
        <f>ROUND((Z673)*(1+'Data-CostAssumptions'!$G$3)^(AE673-'Data-CostAssumptions'!$G$4),-3)</f>
        <v>159000</v>
      </c>
    </row>
    <row r="674" spans="1:34" ht="15" customHeight="1" x14ac:dyDescent="0.2">
      <c r="A674" s="11"/>
      <c r="B674" s="11" t="s">
        <v>1211</v>
      </c>
      <c r="C674" s="13">
        <v>465</v>
      </c>
      <c r="D674" s="13" t="s">
        <v>420</v>
      </c>
      <c r="E674" s="20">
        <v>347</v>
      </c>
      <c r="F674" s="20">
        <v>167</v>
      </c>
      <c r="G674" s="20">
        <v>673</v>
      </c>
      <c r="H674" s="13" t="s">
        <v>2106</v>
      </c>
      <c r="I674" s="13" t="str">
        <f t="shared" si="20"/>
        <v>SW 15th Av (State Rd 84 to SW 20th St)</v>
      </c>
      <c r="J674" s="13" t="s">
        <v>27</v>
      </c>
      <c r="K674" s="13" t="str">
        <f>VLOOKUP(J674,'Data-ProjectTypes'!A$3:B$13,2,FALSE)</f>
        <v>Program</v>
      </c>
      <c r="L674" s="21" t="s">
        <v>348</v>
      </c>
      <c r="M674" s="13" t="s">
        <v>1774</v>
      </c>
      <c r="N674" s="13" t="s">
        <v>1957</v>
      </c>
      <c r="O674" s="13" t="s">
        <v>276</v>
      </c>
      <c r="P674" s="13" t="s">
        <v>276</v>
      </c>
      <c r="Q674" s="22">
        <v>0.4</v>
      </c>
      <c r="R674" s="23">
        <v>139738</v>
      </c>
      <c r="S674" s="21"/>
      <c r="T674" s="21"/>
      <c r="U674" s="21"/>
      <c r="V674" s="24"/>
      <c r="W674" s="24"/>
      <c r="X674" s="24"/>
      <c r="Y674" s="17"/>
      <c r="Z674" s="18">
        <f>ROUND(R674*'Data-CostAssumptions'!$C$3,-3)</f>
        <v>193000</v>
      </c>
      <c r="AA674" s="11">
        <f t="shared" si="21"/>
        <v>0</v>
      </c>
      <c r="AB674" s="11">
        <v>2041</v>
      </c>
      <c r="AC674" s="11">
        <v>2041</v>
      </c>
      <c r="AD674" s="11">
        <v>2041</v>
      </c>
      <c r="AE674" s="11">
        <v>2041</v>
      </c>
      <c r="AF674" s="11">
        <v>0</v>
      </c>
      <c r="AG674" s="19">
        <f>ROUND((Z674*'Data-CostAssumptions'!$G$5)*(1+'Data-CostAssumptions'!$G$3)^(AC674-'Data-CostAssumptions'!$G$4),-3)</f>
        <v>109000</v>
      </c>
      <c r="AH674" s="19">
        <f>ROUND((Z674)*(1+'Data-CostAssumptions'!$G$3)^(AE674-'Data-CostAssumptions'!$G$4),-3)</f>
        <v>495000</v>
      </c>
    </row>
    <row r="675" spans="1:34" ht="15" customHeight="1" x14ac:dyDescent="0.2">
      <c r="A675" s="11"/>
      <c r="B675" s="11" t="s">
        <v>1211</v>
      </c>
      <c r="C675" s="13">
        <v>466</v>
      </c>
      <c r="D675" s="13" t="s">
        <v>420</v>
      </c>
      <c r="E675" s="20">
        <v>348</v>
      </c>
      <c r="F675" s="20">
        <v>167</v>
      </c>
      <c r="G675" s="20">
        <v>674</v>
      </c>
      <c r="H675" s="13" t="s">
        <v>2060</v>
      </c>
      <c r="I675" s="13" t="str">
        <f t="shared" si="20"/>
        <v>NW 27th Av (NW 11th Court to NW 15th Court)</v>
      </c>
      <c r="J675" s="13" t="s">
        <v>27</v>
      </c>
      <c r="K675" s="13" t="str">
        <f>VLOOKUP(J675,'Data-ProjectTypes'!A$3:B$13,2,FALSE)</f>
        <v>Program</v>
      </c>
      <c r="L675" s="21" t="s">
        <v>348</v>
      </c>
      <c r="M675" s="13" t="s">
        <v>61</v>
      </c>
      <c r="N675" s="13" t="s">
        <v>60</v>
      </c>
      <c r="O675" s="13" t="s">
        <v>273</v>
      </c>
      <c r="P675" s="13" t="s">
        <v>273</v>
      </c>
      <c r="Q675" s="22">
        <v>0.4</v>
      </c>
      <c r="R675" s="23">
        <v>151863</v>
      </c>
      <c r="S675" s="21"/>
      <c r="T675" s="21"/>
      <c r="U675" s="21"/>
      <c r="V675" s="24"/>
      <c r="W675" s="24"/>
      <c r="X675" s="24"/>
      <c r="Y675" s="17"/>
      <c r="Z675" s="18">
        <f>ROUND(R675*'Data-CostAssumptions'!$C$3,-3)</f>
        <v>210000</v>
      </c>
      <c r="AA675" s="11">
        <f t="shared" si="21"/>
        <v>0</v>
      </c>
      <c r="AB675" s="11">
        <v>2041</v>
      </c>
      <c r="AC675" s="11">
        <v>2041</v>
      </c>
      <c r="AD675" s="11">
        <v>2041</v>
      </c>
      <c r="AE675" s="11">
        <v>2041</v>
      </c>
      <c r="AF675" s="11">
        <v>0</v>
      </c>
      <c r="AG675" s="19">
        <f>ROUND((Z675*'Data-CostAssumptions'!$G$5)*(1+'Data-CostAssumptions'!$G$3)^(AC675-'Data-CostAssumptions'!$G$4),-3)</f>
        <v>118000</v>
      </c>
      <c r="AH675" s="19">
        <f>ROUND((Z675)*(1+'Data-CostAssumptions'!$G$3)^(AE675-'Data-CostAssumptions'!$G$4),-3)</f>
        <v>538000</v>
      </c>
    </row>
    <row r="676" spans="1:34" ht="15" customHeight="1" x14ac:dyDescent="0.2">
      <c r="A676" s="11"/>
      <c r="B676" s="11" t="s">
        <v>1211</v>
      </c>
      <c r="C676" s="13">
        <v>467</v>
      </c>
      <c r="D676" s="13" t="s">
        <v>420</v>
      </c>
      <c r="E676" s="20">
        <v>353</v>
      </c>
      <c r="F676" s="20">
        <v>167</v>
      </c>
      <c r="G676" s="20">
        <v>675</v>
      </c>
      <c r="H676" s="13" t="s">
        <v>2062</v>
      </c>
      <c r="I676" s="13" t="str">
        <f t="shared" si="20"/>
        <v>NW 31st Av (NW 1st St to NW 2nd St)</v>
      </c>
      <c r="J676" s="13" t="s">
        <v>27</v>
      </c>
      <c r="K676" s="13" t="str">
        <f>VLOOKUP(J676,'Data-ProjectTypes'!A$3:B$13,2,FALSE)</f>
        <v>Program</v>
      </c>
      <c r="L676" s="21" t="s">
        <v>348</v>
      </c>
      <c r="M676" s="13" t="s">
        <v>2540</v>
      </c>
      <c r="N676" s="13" t="s">
        <v>1912</v>
      </c>
      <c r="O676" s="13" t="s">
        <v>273</v>
      </c>
      <c r="P676" s="13" t="s">
        <v>273</v>
      </c>
      <c r="Q676" s="22">
        <v>0.1</v>
      </c>
      <c r="R676" s="23">
        <v>41132</v>
      </c>
      <c r="S676" s="21"/>
      <c r="T676" s="21"/>
      <c r="U676" s="21"/>
      <c r="V676" s="24"/>
      <c r="W676" s="24"/>
      <c r="X676" s="24"/>
      <c r="Y676" s="17"/>
      <c r="Z676" s="18">
        <f>ROUND(R676*'Data-CostAssumptions'!$C$3,-3)</f>
        <v>57000</v>
      </c>
      <c r="AA676" s="11">
        <f t="shared" si="21"/>
        <v>0</v>
      </c>
      <c r="AB676" s="11">
        <v>2041</v>
      </c>
      <c r="AC676" s="11">
        <v>2041</v>
      </c>
      <c r="AD676" s="11">
        <v>2041</v>
      </c>
      <c r="AE676" s="11">
        <v>2041</v>
      </c>
      <c r="AF676" s="11">
        <v>0</v>
      </c>
      <c r="AG676" s="19">
        <f>ROUND((Z676*'Data-CostAssumptions'!$G$5)*(1+'Data-CostAssumptions'!$G$3)^(AC676-'Data-CostAssumptions'!$G$4),-3)</f>
        <v>32000</v>
      </c>
      <c r="AH676" s="19">
        <f>ROUND((Z676)*(1+'Data-CostAssumptions'!$G$3)^(AE676-'Data-CostAssumptions'!$G$4),-3)</f>
        <v>146000</v>
      </c>
    </row>
    <row r="677" spans="1:34" ht="15" customHeight="1" x14ac:dyDescent="0.2">
      <c r="A677" s="11"/>
      <c r="B677" s="11" t="s">
        <v>1211</v>
      </c>
      <c r="C677" s="13">
        <v>468</v>
      </c>
      <c r="D677" s="13" t="s">
        <v>420</v>
      </c>
      <c r="E677" s="20">
        <v>359</v>
      </c>
      <c r="F677" s="20">
        <v>167</v>
      </c>
      <c r="G677" s="20">
        <v>676</v>
      </c>
      <c r="H677" s="13" t="s">
        <v>207</v>
      </c>
      <c r="I677" s="13" t="str">
        <f t="shared" si="20"/>
        <v>NW 12th Court (NW 23rd Av to NW 24th Av)</v>
      </c>
      <c r="J677" s="13" t="s">
        <v>27</v>
      </c>
      <c r="K677" s="13" t="str">
        <f>VLOOKUP(J677,'Data-ProjectTypes'!A$3:B$13,2,FALSE)</f>
        <v>Program</v>
      </c>
      <c r="L677" s="21" t="s">
        <v>348</v>
      </c>
      <c r="M677" s="13" t="s">
        <v>2365</v>
      </c>
      <c r="N677" s="13" t="s">
        <v>2238</v>
      </c>
      <c r="O677" s="13" t="s">
        <v>273</v>
      </c>
      <c r="P677" s="13" t="s">
        <v>273</v>
      </c>
      <c r="Q677" s="22">
        <v>0.2</v>
      </c>
      <c r="R677" s="23">
        <v>59239</v>
      </c>
      <c r="S677" s="21"/>
      <c r="T677" s="21"/>
      <c r="U677" s="21"/>
      <c r="V677" s="24"/>
      <c r="W677" s="24"/>
      <c r="X677" s="24"/>
      <c r="Y677" s="17"/>
      <c r="Z677" s="18">
        <f>ROUND(R677*'Data-CostAssumptions'!$C$3,-3)</f>
        <v>82000</v>
      </c>
      <c r="AA677" s="11">
        <f t="shared" si="21"/>
        <v>0</v>
      </c>
      <c r="AB677" s="11">
        <v>2041</v>
      </c>
      <c r="AC677" s="11">
        <v>2041</v>
      </c>
      <c r="AD677" s="11">
        <v>2041</v>
      </c>
      <c r="AE677" s="11">
        <v>2041</v>
      </c>
      <c r="AF677" s="11">
        <v>0</v>
      </c>
      <c r="AG677" s="19">
        <f>ROUND((Z677*'Data-CostAssumptions'!$G$5)*(1+'Data-CostAssumptions'!$G$3)^(AC677-'Data-CostAssumptions'!$G$4),-3)</f>
        <v>46000</v>
      </c>
      <c r="AH677" s="19">
        <f>ROUND((Z677)*(1+'Data-CostAssumptions'!$G$3)^(AE677-'Data-CostAssumptions'!$G$4),-3)</f>
        <v>210000</v>
      </c>
    </row>
    <row r="678" spans="1:34" ht="15" customHeight="1" x14ac:dyDescent="0.2">
      <c r="A678" s="11"/>
      <c r="B678" s="11" t="s">
        <v>1211</v>
      </c>
      <c r="C678" s="13">
        <v>469</v>
      </c>
      <c r="D678" s="13" t="s">
        <v>420</v>
      </c>
      <c r="E678" s="20">
        <v>360</v>
      </c>
      <c r="F678" s="20">
        <v>167</v>
      </c>
      <c r="G678" s="20">
        <v>677</v>
      </c>
      <c r="H678" s="13" t="s">
        <v>59</v>
      </c>
      <c r="I678" s="13" t="str">
        <f t="shared" si="20"/>
        <v>NW 8th Court (NW 8th St to NW 27th Av)</v>
      </c>
      <c r="J678" s="13" t="s">
        <v>27</v>
      </c>
      <c r="K678" s="13" t="str">
        <f>VLOOKUP(J678,'Data-ProjectTypes'!A$3:B$13,2,FALSE)</f>
        <v>Program</v>
      </c>
      <c r="L678" s="21" t="s">
        <v>348</v>
      </c>
      <c r="M678" s="13" t="s">
        <v>1934</v>
      </c>
      <c r="N678" s="13" t="s">
        <v>2060</v>
      </c>
      <c r="O678" s="13" t="s">
        <v>273</v>
      </c>
      <c r="P678" s="13" t="s">
        <v>273</v>
      </c>
      <c r="Q678" s="22">
        <v>0.2</v>
      </c>
      <c r="R678" s="23">
        <v>66008</v>
      </c>
      <c r="S678" s="21"/>
      <c r="T678" s="21"/>
      <c r="U678" s="21"/>
      <c r="V678" s="24"/>
      <c r="W678" s="24"/>
      <c r="X678" s="24"/>
      <c r="Y678" s="17"/>
      <c r="Z678" s="18">
        <f>ROUND(R678*'Data-CostAssumptions'!$C$3,-3)</f>
        <v>91000</v>
      </c>
      <c r="AA678" s="11">
        <f t="shared" si="21"/>
        <v>0</v>
      </c>
      <c r="AB678" s="11">
        <v>2041</v>
      </c>
      <c r="AC678" s="11">
        <v>2041</v>
      </c>
      <c r="AD678" s="11">
        <v>2041</v>
      </c>
      <c r="AE678" s="11">
        <v>2041</v>
      </c>
      <c r="AF678" s="11">
        <v>0</v>
      </c>
      <c r="AG678" s="19">
        <f>ROUND((Z678*'Data-CostAssumptions'!$G$5)*(1+'Data-CostAssumptions'!$G$3)^(AC678-'Data-CostAssumptions'!$G$4),-3)</f>
        <v>51000</v>
      </c>
      <c r="AH678" s="19">
        <f>ROUND((Z678)*(1+'Data-CostAssumptions'!$G$3)^(AE678-'Data-CostAssumptions'!$G$4),-3)</f>
        <v>233000</v>
      </c>
    </row>
    <row r="679" spans="1:34" ht="15" customHeight="1" x14ac:dyDescent="0.2">
      <c r="A679" s="11"/>
      <c r="B679" s="11" t="s">
        <v>1211</v>
      </c>
      <c r="C679" s="13">
        <v>470</v>
      </c>
      <c r="D679" s="13" t="s">
        <v>420</v>
      </c>
      <c r="E679" s="20">
        <v>361</v>
      </c>
      <c r="F679" s="20">
        <v>167</v>
      </c>
      <c r="G679" s="20">
        <v>678</v>
      </c>
      <c r="H679" s="13" t="s">
        <v>2059</v>
      </c>
      <c r="I679" s="13" t="str">
        <f t="shared" si="20"/>
        <v>NW 22nd Av (Sistrunk Bl to NW 6th Place)</v>
      </c>
      <c r="J679" s="13" t="s">
        <v>27</v>
      </c>
      <c r="K679" s="13" t="str">
        <f>VLOOKUP(J679,'Data-ProjectTypes'!A$3:B$13,2,FALSE)</f>
        <v>Program</v>
      </c>
      <c r="L679" s="21" t="s">
        <v>348</v>
      </c>
      <c r="M679" s="13" t="s">
        <v>1828</v>
      </c>
      <c r="N679" s="13" t="s">
        <v>206</v>
      </c>
      <c r="O679" s="13" t="s">
        <v>276</v>
      </c>
      <c r="P679" s="13" t="s">
        <v>276</v>
      </c>
      <c r="Q679" s="22">
        <v>0.1</v>
      </c>
      <c r="R679" s="23">
        <v>35067</v>
      </c>
      <c r="S679" s="21"/>
      <c r="T679" s="21"/>
      <c r="U679" s="21"/>
      <c r="V679" s="24"/>
      <c r="W679" s="24"/>
      <c r="X679" s="24"/>
      <c r="Y679" s="17"/>
      <c r="Z679" s="18">
        <f>ROUND(R679*'Data-CostAssumptions'!$C$3,-3)</f>
        <v>49000</v>
      </c>
      <c r="AA679" s="11">
        <f t="shared" si="21"/>
        <v>0</v>
      </c>
      <c r="AB679" s="11">
        <v>2041</v>
      </c>
      <c r="AC679" s="11">
        <v>2041</v>
      </c>
      <c r="AD679" s="11">
        <v>2041</v>
      </c>
      <c r="AE679" s="11">
        <v>2041</v>
      </c>
      <c r="AF679" s="11">
        <v>0</v>
      </c>
      <c r="AG679" s="19">
        <f>ROUND((Z679*'Data-CostAssumptions'!$G$5)*(1+'Data-CostAssumptions'!$G$3)^(AC679-'Data-CostAssumptions'!$G$4),-3)</f>
        <v>28000</v>
      </c>
      <c r="AH679" s="19">
        <f>ROUND((Z679)*(1+'Data-CostAssumptions'!$G$3)^(AE679-'Data-CostAssumptions'!$G$4),-3)</f>
        <v>126000</v>
      </c>
    </row>
    <row r="680" spans="1:34" ht="15" customHeight="1" x14ac:dyDescent="0.2">
      <c r="A680" s="11"/>
      <c r="B680" s="11" t="s">
        <v>1211</v>
      </c>
      <c r="C680" s="13">
        <v>471</v>
      </c>
      <c r="D680" s="13" t="s">
        <v>420</v>
      </c>
      <c r="E680" s="20">
        <v>374</v>
      </c>
      <c r="F680" s="20">
        <v>167</v>
      </c>
      <c r="G680" s="20">
        <v>679</v>
      </c>
      <c r="H680" s="13" t="s">
        <v>1905</v>
      </c>
      <c r="I680" s="13" t="str">
        <f t="shared" si="20"/>
        <v>NW 10th St (NW 49th Way to Banks Rd)</v>
      </c>
      <c r="J680" s="13" t="s">
        <v>27</v>
      </c>
      <c r="K680" s="13" t="str">
        <f>VLOOKUP(J680,'Data-ProjectTypes'!A$3:B$13,2,FALSE)</f>
        <v>Program</v>
      </c>
      <c r="L680" s="21" t="s">
        <v>348</v>
      </c>
      <c r="M680" s="13" t="s">
        <v>167</v>
      </c>
      <c r="N680" s="13" t="s">
        <v>1745</v>
      </c>
      <c r="O680" s="13" t="s">
        <v>272</v>
      </c>
      <c r="P680" s="13" t="s">
        <v>272</v>
      </c>
      <c r="Q680" s="22">
        <v>0.1</v>
      </c>
      <c r="R680" s="23">
        <v>40070</v>
      </c>
      <c r="S680" s="21"/>
      <c r="T680" s="21"/>
      <c r="U680" s="21"/>
      <c r="V680" s="24"/>
      <c r="W680" s="24"/>
      <c r="X680" s="24"/>
      <c r="Y680" s="17"/>
      <c r="Z680" s="18">
        <f>ROUND(R680*'Data-CostAssumptions'!$C$3,-3)</f>
        <v>55000</v>
      </c>
      <c r="AA680" s="11">
        <f t="shared" si="21"/>
        <v>0</v>
      </c>
      <c r="AB680" s="11">
        <v>2041</v>
      </c>
      <c r="AC680" s="11">
        <v>2041</v>
      </c>
      <c r="AD680" s="11">
        <v>2041</v>
      </c>
      <c r="AE680" s="11">
        <v>2041</v>
      </c>
      <c r="AF680" s="11">
        <v>0</v>
      </c>
      <c r="AG680" s="19">
        <f>ROUND((Z680*'Data-CostAssumptions'!$G$5)*(1+'Data-CostAssumptions'!$G$3)^(AC680-'Data-CostAssumptions'!$G$4),-3)</f>
        <v>31000</v>
      </c>
      <c r="AH680" s="19">
        <f>ROUND((Z680)*(1+'Data-CostAssumptions'!$G$3)^(AE680-'Data-CostAssumptions'!$G$4),-3)</f>
        <v>141000</v>
      </c>
    </row>
    <row r="681" spans="1:34" ht="15" customHeight="1" x14ac:dyDescent="0.2">
      <c r="A681" s="11"/>
      <c r="B681" s="11" t="s">
        <v>1211</v>
      </c>
      <c r="C681" s="13">
        <v>472</v>
      </c>
      <c r="D681" s="13" t="s">
        <v>420</v>
      </c>
      <c r="E681" s="20">
        <v>377</v>
      </c>
      <c r="F681" s="20">
        <v>167</v>
      </c>
      <c r="G681" s="20">
        <v>680</v>
      </c>
      <c r="H681" s="13" t="s">
        <v>1989</v>
      </c>
      <c r="I681" s="13" t="str">
        <f t="shared" si="20"/>
        <v>Coconut Creek Bl (NW 11th St to Coconut Creek Parkway)</v>
      </c>
      <c r="J681" s="13" t="s">
        <v>27</v>
      </c>
      <c r="K681" s="13" t="str">
        <f>VLOOKUP(J681,'Data-ProjectTypes'!A$3:B$13,2,FALSE)</f>
        <v>Program</v>
      </c>
      <c r="L681" s="21" t="s">
        <v>348</v>
      </c>
      <c r="M681" s="13" t="s">
        <v>2485</v>
      </c>
      <c r="N681" s="13" t="s">
        <v>70</v>
      </c>
      <c r="O681" s="13" t="s">
        <v>273</v>
      </c>
      <c r="P681" s="13" t="s">
        <v>273</v>
      </c>
      <c r="Q681" s="22">
        <v>0.2</v>
      </c>
      <c r="R681" s="23">
        <v>64252</v>
      </c>
      <c r="S681" s="21"/>
      <c r="T681" s="21"/>
      <c r="U681" s="21"/>
      <c r="V681" s="24"/>
      <c r="W681" s="24"/>
      <c r="X681" s="24"/>
      <c r="Y681" s="17"/>
      <c r="Z681" s="18">
        <f>ROUND(R681*'Data-CostAssumptions'!$C$3,-3)</f>
        <v>89000</v>
      </c>
      <c r="AA681" s="11">
        <f t="shared" si="21"/>
        <v>0</v>
      </c>
      <c r="AB681" s="11">
        <v>2041</v>
      </c>
      <c r="AC681" s="11">
        <v>2041</v>
      </c>
      <c r="AD681" s="11">
        <v>2041</v>
      </c>
      <c r="AE681" s="11">
        <v>2041</v>
      </c>
      <c r="AF681" s="11">
        <v>0</v>
      </c>
      <c r="AG681" s="19">
        <f>ROUND((Z681*'Data-CostAssumptions'!$G$5)*(1+'Data-CostAssumptions'!$G$3)^(AC681-'Data-CostAssumptions'!$G$4),-3)</f>
        <v>50000</v>
      </c>
      <c r="AH681" s="19">
        <f>ROUND((Z681)*(1+'Data-CostAssumptions'!$G$3)^(AE681-'Data-CostAssumptions'!$G$4),-3)</f>
        <v>228000</v>
      </c>
    </row>
    <row r="682" spans="1:34" ht="15" customHeight="1" x14ac:dyDescent="0.2">
      <c r="A682" s="11"/>
      <c r="B682" s="11" t="s">
        <v>1211</v>
      </c>
      <c r="C682" s="13">
        <v>473</v>
      </c>
      <c r="D682" s="13" t="s">
        <v>420</v>
      </c>
      <c r="E682" s="20">
        <v>381</v>
      </c>
      <c r="F682" s="20">
        <v>167</v>
      </c>
      <c r="G682" s="20">
        <v>681</v>
      </c>
      <c r="H682" s="13" t="s">
        <v>2074</v>
      </c>
      <c r="I682" s="13" t="str">
        <f t="shared" si="20"/>
        <v>NW 60th St/Andrews Av (I-95 Ramp to NW 60th St)</v>
      </c>
      <c r="J682" s="13" t="s">
        <v>27</v>
      </c>
      <c r="K682" s="13" t="str">
        <f>VLOOKUP(J682,'Data-ProjectTypes'!A$3:B$13,2,FALSE)</f>
        <v>Program</v>
      </c>
      <c r="L682" s="21" t="s">
        <v>348</v>
      </c>
      <c r="M682" s="13" t="s">
        <v>142</v>
      </c>
      <c r="N682" s="13" t="s">
        <v>2545</v>
      </c>
      <c r="O682" s="13" t="s">
        <v>273</v>
      </c>
      <c r="P682" s="13" t="s">
        <v>273</v>
      </c>
      <c r="Q682" s="22">
        <v>0.2</v>
      </c>
      <c r="R682" s="23">
        <v>67744</v>
      </c>
      <c r="S682" s="21"/>
      <c r="T682" s="21"/>
      <c r="U682" s="21"/>
      <c r="V682" s="24"/>
      <c r="W682" s="24" t="s">
        <v>696</v>
      </c>
      <c r="X682" s="24"/>
      <c r="Y682" s="17" t="s">
        <v>287</v>
      </c>
      <c r="Z682" s="18">
        <f>ROUND(R682*'Data-CostAssumptions'!$C$3,-3)</f>
        <v>94000</v>
      </c>
      <c r="AA682" s="11">
        <f t="shared" si="21"/>
        <v>1</v>
      </c>
      <c r="AB682" s="11">
        <v>2041</v>
      </c>
      <c r="AC682" s="11">
        <v>2041</v>
      </c>
      <c r="AD682" s="11">
        <v>2041</v>
      </c>
      <c r="AE682" s="11">
        <v>2041</v>
      </c>
      <c r="AF682" s="11">
        <v>0</v>
      </c>
      <c r="AG682" s="19">
        <f>ROUND((Z682*'Data-CostAssumptions'!$G$5)*(1+'Data-CostAssumptions'!$G$3)^(AC682-'Data-CostAssumptions'!$G$4),-3)</f>
        <v>53000</v>
      </c>
      <c r="AH682" s="19">
        <f>ROUND((Z682)*(1+'Data-CostAssumptions'!$G$3)^(AE682-'Data-CostAssumptions'!$G$4),-3)</f>
        <v>241000</v>
      </c>
    </row>
    <row r="683" spans="1:34" ht="15" customHeight="1" x14ac:dyDescent="0.2">
      <c r="A683" s="11"/>
      <c r="B683" s="11" t="s">
        <v>1211</v>
      </c>
      <c r="C683" s="13">
        <v>474</v>
      </c>
      <c r="D683" s="13" t="s">
        <v>420</v>
      </c>
      <c r="E683" s="20">
        <v>391</v>
      </c>
      <c r="F683" s="20">
        <v>167</v>
      </c>
      <c r="G683" s="20">
        <v>682</v>
      </c>
      <c r="H683" s="13" t="s">
        <v>2033</v>
      </c>
      <c r="I683" s="13" t="str">
        <f t="shared" si="20"/>
        <v>NE 3rd Av (NE 38th St to NE 45th St)</v>
      </c>
      <c r="J683" s="13" t="s">
        <v>27</v>
      </c>
      <c r="K683" s="13" t="str">
        <f>VLOOKUP(J683,'Data-ProjectTypes'!A$3:B$13,2,FALSE)</f>
        <v>Program</v>
      </c>
      <c r="L683" s="21" t="s">
        <v>348</v>
      </c>
      <c r="M683" s="13" t="s">
        <v>1891</v>
      </c>
      <c r="N683" s="13" t="s">
        <v>2513</v>
      </c>
      <c r="O683" s="13" t="s">
        <v>289</v>
      </c>
      <c r="P683" s="13" t="s">
        <v>289</v>
      </c>
      <c r="Q683" s="22">
        <v>0.6</v>
      </c>
      <c r="R683" s="23">
        <v>221102</v>
      </c>
      <c r="S683" s="21"/>
      <c r="T683" s="21"/>
      <c r="U683" s="21"/>
      <c r="V683" s="24"/>
      <c r="W683" s="24"/>
      <c r="X683" s="24" t="s">
        <v>495</v>
      </c>
      <c r="Y683" s="17" t="s">
        <v>492</v>
      </c>
      <c r="Z683" s="18">
        <f>ROUND(R683*'Data-CostAssumptions'!$C$3,-3)</f>
        <v>306000</v>
      </c>
      <c r="AA683" s="11">
        <f t="shared" si="21"/>
        <v>0</v>
      </c>
      <c r="AB683" s="11">
        <v>2041</v>
      </c>
      <c r="AC683" s="11">
        <v>2041</v>
      </c>
      <c r="AD683" s="11">
        <v>2041</v>
      </c>
      <c r="AE683" s="11">
        <v>2041</v>
      </c>
      <c r="AF683" s="11">
        <v>0</v>
      </c>
      <c r="AG683" s="19">
        <f>ROUND((Z683*'Data-CostAssumptions'!$G$5)*(1+'Data-CostAssumptions'!$G$3)^(AC683-'Data-CostAssumptions'!$G$4),-3)</f>
        <v>173000</v>
      </c>
      <c r="AH683" s="19">
        <f>ROUND((Z683)*(1+'Data-CostAssumptions'!$G$3)^(AE683-'Data-CostAssumptions'!$G$4),-3)</f>
        <v>785000</v>
      </c>
    </row>
    <row r="684" spans="1:34" ht="15" customHeight="1" x14ac:dyDescent="0.2">
      <c r="A684" s="11"/>
      <c r="B684" s="11" t="s">
        <v>1211</v>
      </c>
      <c r="C684" s="13">
        <v>475</v>
      </c>
      <c r="D684" s="13" t="s">
        <v>420</v>
      </c>
      <c r="E684" s="20">
        <v>392</v>
      </c>
      <c r="F684" s="20">
        <v>168</v>
      </c>
      <c r="G684" s="20">
        <v>683</v>
      </c>
      <c r="H684" s="13" t="s">
        <v>1749</v>
      </c>
      <c r="I684" s="13" t="str">
        <f t="shared" si="20"/>
        <v>East Sample Rd (Sample Rd Ramp to NW 5th Terrace)</v>
      </c>
      <c r="J684" s="13" t="s">
        <v>27</v>
      </c>
      <c r="K684" s="13" t="str">
        <f>VLOOKUP(J684,'Data-ProjectTypes'!A$3:B$13,2,FALSE)</f>
        <v>Program</v>
      </c>
      <c r="L684" s="21" t="s">
        <v>348</v>
      </c>
      <c r="M684" s="13" t="s">
        <v>2407</v>
      </c>
      <c r="N684" s="13" t="s">
        <v>234</v>
      </c>
      <c r="O684" s="13" t="s">
        <v>270</v>
      </c>
      <c r="P684" s="13" t="s">
        <v>270</v>
      </c>
      <c r="Q684" s="22">
        <v>0.3</v>
      </c>
      <c r="R684" s="23">
        <v>93501</v>
      </c>
      <c r="S684" s="21"/>
      <c r="T684" s="21"/>
      <c r="U684" s="21"/>
      <c r="V684" s="24"/>
      <c r="W684" s="24"/>
      <c r="X684" s="24" t="s">
        <v>491</v>
      </c>
      <c r="Y684" s="17" t="s">
        <v>492</v>
      </c>
      <c r="Z684" s="18">
        <f>ROUND(R684*'Data-CostAssumptions'!$C$3,-3)</f>
        <v>129000</v>
      </c>
      <c r="AA684" s="11">
        <f t="shared" si="21"/>
        <v>0</v>
      </c>
      <c r="AB684" s="11">
        <v>2041</v>
      </c>
      <c r="AC684" s="11">
        <v>2041</v>
      </c>
      <c r="AD684" s="11">
        <v>2041</v>
      </c>
      <c r="AE684" s="11">
        <v>2041</v>
      </c>
      <c r="AF684" s="11">
        <v>0</v>
      </c>
      <c r="AG684" s="19">
        <f>ROUND((Z684*'Data-CostAssumptions'!$G$5)*(1+'Data-CostAssumptions'!$G$3)^(AC684-'Data-CostAssumptions'!$G$4),-3)</f>
        <v>73000</v>
      </c>
      <c r="AH684" s="19">
        <f>ROUND((Z684)*(1+'Data-CostAssumptions'!$G$3)^(AE684-'Data-CostAssumptions'!$G$4),-3)</f>
        <v>331000</v>
      </c>
    </row>
    <row r="685" spans="1:34" ht="15" customHeight="1" x14ac:dyDescent="0.2">
      <c r="A685" s="11"/>
      <c r="B685" s="11" t="s">
        <v>1211</v>
      </c>
      <c r="C685" s="13">
        <v>476</v>
      </c>
      <c r="D685" s="13" t="s">
        <v>420</v>
      </c>
      <c r="E685" s="20">
        <v>397</v>
      </c>
      <c r="F685" s="20">
        <v>168</v>
      </c>
      <c r="G685" s="20">
        <v>684</v>
      </c>
      <c r="H685" s="13" t="s">
        <v>1912</v>
      </c>
      <c r="I685" s="13" t="str">
        <f t="shared" si="20"/>
        <v>NW 2nd St (NW 1st Terrace to Just east of NW 3rd Av)</v>
      </c>
      <c r="J685" s="13" t="s">
        <v>27</v>
      </c>
      <c r="K685" s="13" t="str">
        <f>VLOOKUP(J685,'Data-ProjectTypes'!A$3:B$13,2,FALSE)</f>
        <v>Program</v>
      </c>
      <c r="L685" s="21" t="s">
        <v>348</v>
      </c>
      <c r="M685" s="13" t="s">
        <v>232</v>
      </c>
      <c r="N685" s="13" t="s">
        <v>2240</v>
      </c>
      <c r="O685" s="13" t="s">
        <v>289</v>
      </c>
      <c r="P685" s="13" t="s">
        <v>289</v>
      </c>
      <c r="Q685" s="22">
        <v>0.2</v>
      </c>
      <c r="R685" s="23">
        <v>88581</v>
      </c>
      <c r="S685" s="21" t="s">
        <v>24</v>
      </c>
      <c r="T685" s="21" t="s">
        <v>25</v>
      </c>
      <c r="U685" s="21"/>
      <c r="V685" s="24"/>
      <c r="W685" s="24"/>
      <c r="X685" s="24"/>
      <c r="Y685" s="17" t="s">
        <v>492</v>
      </c>
      <c r="Z685" s="18">
        <f>ROUND(R685*'Data-CostAssumptions'!$C$3,-3)</f>
        <v>123000</v>
      </c>
      <c r="AA685" s="11">
        <f t="shared" si="21"/>
        <v>0</v>
      </c>
      <c r="AB685" s="11">
        <v>2041</v>
      </c>
      <c r="AC685" s="11">
        <v>2041</v>
      </c>
      <c r="AD685" s="11">
        <v>2041</v>
      </c>
      <c r="AE685" s="11">
        <v>2041</v>
      </c>
      <c r="AF685" s="11">
        <v>0</v>
      </c>
      <c r="AG685" s="19">
        <f>ROUND((Z685*'Data-CostAssumptions'!$G$5)*(1+'Data-CostAssumptions'!$G$3)^(AC685-'Data-CostAssumptions'!$G$4),-3)</f>
        <v>69000</v>
      </c>
      <c r="AH685" s="19">
        <f>ROUND((Z685)*(1+'Data-CostAssumptions'!$G$3)^(AE685-'Data-CostAssumptions'!$G$4),-3)</f>
        <v>315000</v>
      </c>
    </row>
    <row r="686" spans="1:34" ht="15" customHeight="1" x14ac:dyDescent="0.2">
      <c r="A686" s="11"/>
      <c r="B686" s="11" t="s">
        <v>1211</v>
      </c>
      <c r="C686" s="13">
        <v>478</v>
      </c>
      <c r="D686" s="13" t="s">
        <v>420</v>
      </c>
      <c r="E686" s="20">
        <v>406</v>
      </c>
      <c r="F686" s="20">
        <v>168</v>
      </c>
      <c r="G686" s="20">
        <v>685</v>
      </c>
      <c r="H686" s="13" t="s">
        <v>2078</v>
      </c>
      <c r="I686" s="13" t="str">
        <f t="shared" si="20"/>
        <v>NW 70th Av (NW 5th St to NW 6th St)</v>
      </c>
      <c r="J686" s="13" t="s">
        <v>27</v>
      </c>
      <c r="K686" s="13" t="str">
        <f>VLOOKUP(J686,'Data-ProjectTypes'!A$3:B$13,2,FALSE)</f>
        <v>Program</v>
      </c>
      <c r="L686" s="21" t="s">
        <v>348</v>
      </c>
      <c r="M686" s="13" t="s">
        <v>1926</v>
      </c>
      <c r="N686" s="13" t="s">
        <v>2546</v>
      </c>
      <c r="O686" s="13" t="s">
        <v>284</v>
      </c>
      <c r="P686" s="13" t="s">
        <v>284</v>
      </c>
      <c r="Q686" s="22">
        <v>0.1</v>
      </c>
      <c r="R686" s="23">
        <v>25905</v>
      </c>
      <c r="S686" s="21"/>
      <c r="T686" s="21"/>
      <c r="U686" s="21"/>
      <c r="V686" s="24"/>
      <c r="W686" s="24"/>
      <c r="X686" s="24"/>
      <c r="Y686" s="17"/>
      <c r="Z686" s="18">
        <f>ROUND(R686*'Data-CostAssumptions'!$C$3,-3)</f>
        <v>36000</v>
      </c>
      <c r="AA686" s="11">
        <f t="shared" si="21"/>
        <v>0</v>
      </c>
      <c r="AB686" s="11">
        <v>2041</v>
      </c>
      <c r="AC686" s="11">
        <v>2041</v>
      </c>
      <c r="AD686" s="11">
        <v>2041</v>
      </c>
      <c r="AE686" s="11">
        <v>2041</v>
      </c>
      <c r="AF686" s="11">
        <v>0</v>
      </c>
      <c r="AG686" s="19">
        <f>ROUND((Z686*'Data-CostAssumptions'!$G$5)*(1+'Data-CostAssumptions'!$G$3)^(AC686-'Data-CostAssumptions'!$G$4),-3)</f>
        <v>20000</v>
      </c>
      <c r="AH686" s="19">
        <f>ROUND((Z686)*(1+'Data-CostAssumptions'!$G$3)^(AE686-'Data-CostAssumptions'!$G$4),-3)</f>
        <v>92000</v>
      </c>
    </row>
    <row r="687" spans="1:34" ht="15" customHeight="1" x14ac:dyDescent="0.2">
      <c r="A687" s="11"/>
      <c r="B687" s="11" t="s">
        <v>1211</v>
      </c>
      <c r="C687" s="13">
        <v>479</v>
      </c>
      <c r="D687" s="13" t="s">
        <v>420</v>
      </c>
      <c r="E687" s="20">
        <v>407</v>
      </c>
      <c r="F687" s="20">
        <v>168</v>
      </c>
      <c r="G687" s="20">
        <v>686</v>
      </c>
      <c r="H687" s="13" t="s">
        <v>1877</v>
      </c>
      <c r="I687" s="13" t="str">
        <f t="shared" si="20"/>
        <v>Cross St (NW 84th Av to Pine Island Rd)</v>
      </c>
      <c r="J687" s="13" t="s">
        <v>27</v>
      </c>
      <c r="K687" s="13" t="str">
        <f>VLOOKUP(J687,'Data-ProjectTypes'!A$3:B$13,2,FALSE)</f>
        <v>Program</v>
      </c>
      <c r="L687" s="21" t="s">
        <v>348</v>
      </c>
      <c r="M687" s="13" t="s">
        <v>2341</v>
      </c>
      <c r="N687" s="13" t="s">
        <v>266</v>
      </c>
      <c r="O687" s="13" t="s">
        <v>273</v>
      </c>
      <c r="P687" s="13" t="s">
        <v>273</v>
      </c>
      <c r="Q687" s="22">
        <v>0.2</v>
      </c>
      <c r="R687" s="23">
        <v>76482</v>
      </c>
      <c r="S687" s="21"/>
      <c r="T687" s="21"/>
      <c r="U687" s="21"/>
      <c r="V687" s="24"/>
      <c r="W687" s="24"/>
      <c r="X687" s="24"/>
      <c r="Y687" s="17"/>
      <c r="Z687" s="18">
        <f>ROUND(R687*'Data-CostAssumptions'!$C$3,-3)</f>
        <v>106000</v>
      </c>
      <c r="AA687" s="11">
        <f t="shared" si="21"/>
        <v>0</v>
      </c>
      <c r="AB687" s="11">
        <v>2041</v>
      </c>
      <c r="AC687" s="11">
        <v>2041</v>
      </c>
      <c r="AD687" s="11">
        <v>2041</v>
      </c>
      <c r="AE687" s="11">
        <v>2041</v>
      </c>
      <c r="AF687" s="11">
        <v>0</v>
      </c>
      <c r="AG687" s="19">
        <f>ROUND((Z687*'Data-CostAssumptions'!$G$5)*(1+'Data-CostAssumptions'!$G$3)^(AC687-'Data-CostAssumptions'!$G$4),-3)</f>
        <v>60000</v>
      </c>
      <c r="AH687" s="19">
        <f>ROUND((Z687)*(1+'Data-CostAssumptions'!$G$3)^(AE687-'Data-CostAssumptions'!$G$4),-3)</f>
        <v>272000</v>
      </c>
    </row>
    <row r="688" spans="1:34" ht="15" customHeight="1" x14ac:dyDescent="0.2">
      <c r="A688" s="11"/>
      <c r="B688" s="11" t="s">
        <v>1211</v>
      </c>
      <c r="C688" s="13">
        <v>480</v>
      </c>
      <c r="D688" s="13" t="s">
        <v>420</v>
      </c>
      <c r="E688" s="20">
        <v>408</v>
      </c>
      <c r="F688" s="20">
        <v>168</v>
      </c>
      <c r="G688" s="20">
        <v>687</v>
      </c>
      <c r="H688" s="13" t="s">
        <v>121</v>
      </c>
      <c r="I688" s="13" t="str">
        <f t="shared" si="20"/>
        <v>NW 82nd Terrace (Broward Bl to North End of Rd)</v>
      </c>
      <c r="J688" s="13" t="s">
        <v>27</v>
      </c>
      <c r="K688" s="13" t="str">
        <f>VLOOKUP(J688,'Data-ProjectTypes'!A$3:B$13,2,FALSE)</f>
        <v>Program</v>
      </c>
      <c r="L688" s="21" t="s">
        <v>348</v>
      </c>
      <c r="M688" s="13" t="s">
        <v>1811</v>
      </c>
      <c r="N688" s="13" t="s">
        <v>2437</v>
      </c>
      <c r="O688" s="13" t="s">
        <v>273</v>
      </c>
      <c r="P688" s="13" t="s">
        <v>273</v>
      </c>
      <c r="Q688" s="22">
        <v>0.1</v>
      </c>
      <c r="R688" s="23">
        <v>45927</v>
      </c>
      <c r="S688" s="21"/>
      <c r="T688" s="21"/>
      <c r="U688" s="21"/>
      <c r="V688" s="24"/>
      <c r="W688" s="24"/>
      <c r="X688" s="24"/>
      <c r="Y688" s="17"/>
      <c r="Z688" s="18">
        <f>ROUND(R688*'Data-CostAssumptions'!$C$3,-3)</f>
        <v>64000</v>
      </c>
      <c r="AA688" s="11">
        <f t="shared" si="21"/>
        <v>0</v>
      </c>
      <c r="AB688" s="11">
        <v>2041</v>
      </c>
      <c r="AC688" s="11">
        <v>2041</v>
      </c>
      <c r="AD688" s="11">
        <v>2041</v>
      </c>
      <c r="AE688" s="11">
        <v>2041</v>
      </c>
      <c r="AF688" s="11">
        <v>0</v>
      </c>
      <c r="AG688" s="19">
        <f>ROUND((Z688*'Data-CostAssumptions'!$G$5)*(1+'Data-CostAssumptions'!$G$3)^(AC688-'Data-CostAssumptions'!$G$4),-3)</f>
        <v>36000</v>
      </c>
      <c r="AH688" s="19">
        <f>ROUND((Z688)*(1+'Data-CostAssumptions'!$G$3)^(AE688-'Data-CostAssumptions'!$G$4),-3)</f>
        <v>164000</v>
      </c>
    </row>
    <row r="689" spans="1:34" ht="15" customHeight="1" x14ac:dyDescent="0.2">
      <c r="A689" s="11"/>
      <c r="B689" s="11" t="s">
        <v>1211</v>
      </c>
      <c r="C689" s="13">
        <v>481</v>
      </c>
      <c r="D689" s="13" t="s">
        <v>420</v>
      </c>
      <c r="E689" s="20">
        <v>409</v>
      </c>
      <c r="F689" s="20">
        <v>168</v>
      </c>
      <c r="G689" s="20">
        <v>688</v>
      </c>
      <c r="H689" s="13" t="s">
        <v>1962</v>
      </c>
      <c r="I689" s="13" t="str">
        <f t="shared" si="20"/>
        <v>SW 3rd St (SW 82nd Av to SW 84th Av)</v>
      </c>
      <c r="J689" s="13" t="s">
        <v>27</v>
      </c>
      <c r="K689" s="13" t="str">
        <f>VLOOKUP(J689,'Data-ProjectTypes'!A$3:B$13,2,FALSE)</f>
        <v>Program</v>
      </c>
      <c r="L689" s="21" t="s">
        <v>348</v>
      </c>
      <c r="M689" s="13" t="s">
        <v>2136</v>
      </c>
      <c r="N689" s="13" t="s">
        <v>2272</v>
      </c>
      <c r="O689" s="13" t="s">
        <v>284</v>
      </c>
      <c r="P689" s="13" t="s">
        <v>284</v>
      </c>
      <c r="Q689" s="22">
        <v>0.2</v>
      </c>
      <c r="R689" s="23">
        <v>73241</v>
      </c>
      <c r="S689" s="21"/>
      <c r="T689" s="21"/>
      <c r="U689" s="21"/>
      <c r="V689" s="24"/>
      <c r="W689" s="24"/>
      <c r="X689" s="24"/>
      <c r="Y689" s="17"/>
      <c r="Z689" s="18">
        <f>ROUND(R689*'Data-CostAssumptions'!$C$3,-3)</f>
        <v>101000</v>
      </c>
      <c r="AA689" s="11">
        <f t="shared" si="21"/>
        <v>0</v>
      </c>
      <c r="AB689" s="11">
        <v>2041</v>
      </c>
      <c r="AC689" s="11">
        <v>2041</v>
      </c>
      <c r="AD689" s="11">
        <v>2041</v>
      </c>
      <c r="AE689" s="11">
        <v>2041</v>
      </c>
      <c r="AF689" s="11">
        <v>0</v>
      </c>
      <c r="AG689" s="19">
        <f>ROUND((Z689*'Data-CostAssumptions'!$G$5)*(1+'Data-CostAssumptions'!$G$3)^(AC689-'Data-CostAssumptions'!$G$4),-3)</f>
        <v>57000</v>
      </c>
      <c r="AH689" s="19">
        <f>ROUND((Z689)*(1+'Data-CostAssumptions'!$G$3)^(AE689-'Data-CostAssumptions'!$G$4),-3)</f>
        <v>259000</v>
      </c>
    </row>
    <row r="690" spans="1:34" ht="15" customHeight="1" x14ac:dyDescent="0.2">
      <c r="A690" s="11"/>
      <c r="B690" s="11" t="s">
        <v>1211</v>
      </c>
      <c r="C690" s="13">
        <v>483</v>
      </c>
      <c r="D690" s="13" t="s">
        <v>420</v>
      </c>
      <c r="E690" s="20">
        <v>428</v>
      </c>
      <c r="F690" s="20">
        <v>168</v>
      </c>
      <c r="G690" s="20">
        <v>689</v>
      </c>
      <c r="H690" s="13" t="s">
        <v>1763</v>
      </c>
      <c r="I690" s="13" t="str">
        <f t="shared" si="20"/>
        <v>Peters Rd (SW 82nd Av to Pine Island Rd)</v>
      </c>
      <c r="J690" s="13" t="s">
        <v>27</v>
      </c>
      <c r="K690" s="13" t="str">
        <f>VLOOKUP(J690,'Data-ProjectTypes'!A$3:B$13,2,FALSE)</f>
        <v>Program</v>
      </c>
      <c r="L690" s="21" t="s">
        <v>348</v>
      </c>
      <c r="M690" s="13" t="s">
        <v>2136</v>
      </c>
      <c r="N690" s="13" t="s">
        <v>266</v>
      </c>
      <c r="O690" s="13" t="s">
        <v>273</v>
      </c>
      <c r="P690" s="13" t="s">
        <v>273</v>
      </c>
      <c r="Q690" s="22">
        <v>0.3</v>
      </c>
      <c r="R690" s="23">
        <v>109238</v>
      </c>
      <c r="S690" s="21"/>
      <c r="T690" s="21"/>
      <c r="U690" s="21"/>
      <c r="V690" s="24"/>
      <c r="W690" s="24"/>
      <c r="X690" s="24"/>
      <c r="Y690" s="17"/>
      <c r="Z690" s="18">
        <f>ROUND(R690*'Data-CostAssumptions'!$C$3,-3)</f>
        <v>151000</v>
      </c>
      <c r="AA690" s="11">
        <f t="shared" si="21"/>
        <v>0</v>
      </c>
      <c r="AB690" s="11">
        <v>2041</v>
      </c>
      <c r="AC690" s="11">
        <v>2041</v>
      </c>
      <c r="AD690" s="11">
        <v>2041</v>
      </c>
      <c r="AE690" s="11">
        <v>2041</v>
      </c>
      <c r="AF690" s="11">
        <v>0</v>
      </c>
      <c r="AG690" s="19">
        <f>ROUND((Z690*'Data-CostAssumptions'!$G$5)*(1+'Data-CostAssumptions'!$G$3)^(AC690-'Data-CostAssumptions'!$G$4),-3)</f>
        <v>85000</v>
      </c>
      <c r="AH690" s="19">
        <f>ROUND((Z690)*(1+'Data-CostAssumptions'!$G$3)^(AE690-'Data-CostAssumptions'!$G$4),-3)</f>
        <v>387000</v>
      </c>
    </row>
    <row r="691" spans="1:34" ht="15" customHeight="1" x14ac:dyDescent="0.2">
      <c r="A691" s="11"/>
      <c r="B691" s="11" t="s">
        <v>1211</v>
      </c>
      <c r="C691" s="13">
        <v>484</v>
      </c>
      <c r="D691" s="13" t="s">
        <v>420</v>
      </c>
      <c r="E691" s="20">
        <v>441</v>
      </c>
      <c r="F691" s="20">
        <v>168</v>
      </c>
      <c r="G691" s="20">
        <v>690</v>
      </c>
      <c r="H691" s="13" t="s">
        <v>230</v>
      </c>
      <c r="I691" s="13" t="str">
        <f t="shared" si="20"/>
        <v>NE 1st Terrace (NE 39th Court to Just south of NE 42nd St)</v>
      </c>
      <c r="J691" s="13" t="s">
        <v>27</v>
      </c>
      <c r="K691" s="13" t="str">
        <f>VLOOKUP(J691,'Data-ProjectTypes'!A$3:B$13,2,FALSE)</f>
        <v>Program</v>
      </c>
      <c r="L691" s="21" t="s">
        <v>348</v>
      </c>
      <c r="M691" s="13" t="s">
        <v>229</v>
      </c>
      <c r="N691" s="13" t="s">
        <v>2509</v>
      </c>
      <c r="O691" s="13" t="s">
        <v>289</v>
      </c>
      <c r="P691" s="13" t="s">
        <v>289</v>
      </c>
      <c r="Q691" s="22">
        <v>0.2</v>
      </c>
      <c r="R691" s="23">
        <v>76314</v>
      </c>
      <c r="S691" s="21" t="s">
        <v>350</v>
      </c>
      <c r="T691" s="21"/>
      <c r="U691" s="21"/>
      <c r="V691" s="24"/>
      <c r="W691" s="24"/>
      <c r="X691" s="24" t="s">
        <v>496</v>
      </c>
      <c r="Y691" s="17" t="s">
        <v>492</v>
      </c>
      <c r="Z691" s="18">
        <f>ROUND(R691*'Data-CostAssumptions'!$C$3,-3)</f>
        <v>106000</v>
      </c>
      <c r="AA691" s="11">
        <f t="shared" si="21"/>
        <v>0</v>
      </c>
      <c r="AB691" s="11">
        <v>2041</v>
      </c>
      <c r="AC691" s="11">
        <v>2041</v>
      </c>
      <c r="AD691" s="11">
        <v>2041</v>
      </c>
      <c r="AE691" s="11">
        <v>2041</v>
      </c>
      <c r="AF691" s="11">
        <v>0</v>
      </c>
      <c r="AG691" s="19">
        <f>ROUND((Z691*'Data-CostAssumptions'!$G$5)*(1+'Data-CostAssumptions'!$G$3)^(AC691-'Data-CostAssumptions'!$G$4),-3)</f>
        <v>60000</v>
      </c>
      <c r="AH691" s="19">
        <f>ROUND((Z691)*(1+'Data-CostAssumptions'!$G$3)^(AE691-'Data-CostAssumptions'!$G$4),-3)</f>
        <v>272000</v>
      </c>
    </row>
    <row r="692" spans="1:34" ht="15" customHeight="1" x14ac:dyDescent="0.2">
      <c r="A692" s="11"/>
      <c r="B692" s="11" t="s">
        <v>1211</v>
      </c>
      <c r="C692" s="13">
        <v>486</v>
      </c>
      <c r="D692" s="13" t="s">
        <v>420</v>
      </c>
      <c r="E692" s="20">
        <v>443</v>
      </c>
      <c r="F692" s="20">
        <v>168</v>
      </c>
      <c r="G692" s="20">
        <v>691</v>
      </c>
      <c r="H692" s="13" t="s">
        <v>120</v>
      </c>
      <c r="I692" s="13" t="str">
        <f t="shared" si="20"/>
        <v>Park Center Court (Broward Bl to Park Center Place)</v>
      </c>
      <c r="J692" s="13" t="s">
        <v>27</v>
      </c>
      <c r="K692" s="13" t="str">
        <f>VLOOKUP(J692,'Data-ProjectTypes'!A$3:B$13,2,FALSE)</f>
        <v>Program</v>
      </c>
      <c r="L692" s="21" t="s">
        <v>348</v>
      </c>
      <c r="M692" s="13" t="s">
        <v>1811</v>
      </c>
      <c r="N692" s="13" t="s">
        <v>119</v>
      </c>
      <c r="O692" s="13" t="s">
        <v>273</v>
      </c>
      <c r="P692" s="13" t="s">
        <v>273</v>
      </c>
      <c r="Q692" s="22">
        <v>0.3</v>
      </c>
      <c r="R692" s="23">
        <v>98219</v>
      </c>
      <c r="S692" s="21"/>
      <c r="T692" s="21"/>
      <c r="U692" s="21"/>
      <c r="V692" s="24"/>
      <c r="W692" s="24"/>
      <c r="X692" s="24"/>
      <c r="Y692" s="17"/>
      <c r="Z692" s="18">
        <f>ROUND(R692*'Data-CostAssumptions'!$C$3,-3)</f>
        <v>136000</v>
      </c>
      <c r="AA692" s="11">
        <f t="shared" si="21"/>
        <v>0</v>
      </c>
      <c r="AB692" s="11">
        <v>2041</v>
      </c>
      <c r="AC692" s="11">
        <v>2041</v>
      </c>
      <c r="AD692" s="11">
        <v>2041</v>
      </c>
      <c r="AE692" s="11">
        <v>2041</v>
      </c>
      <c r="AF692" s="11">
        <v>0</v>
      </c>
      <c r="AG692" s="19">
        <f>ROUND((Z692*'Data-CostAssumptions'!$G$5)*(1+'Data-CostAssumptions'!$G$3)^(AC692-'Data-CostAssumptions'!$G$4),-3)</f>
        <v>77000</v>
      </c>
      <c r="AH692" s="19">
        <f>ROUND((Z692)*(1+'Data-CostAssumptions'!$G$3)^(AE692-'Data-CostAssumptions'!$G$4),-3)</f>
        <v>349000</v>
      </c>
    </row>
    <row r="693" spans="1:34" ht="15" customHeight="1" x14ac:dyDescent="0.2">
      <c r="A693" s="11"/>
      <c r="B693" s="11" t="s">
        <v>1211</v>
      </c>
      <c r="C693" s="13">
        <v>487</v>
      </c>
      <c r="D693" s="13" t="s">
        <v>420</v>
      </c>
      <c r="E693" s="20">
        <v>444</v>
      </c>
      <c r="F693" s="20">
        <v>168</v>
      </c>
      <c r="G693" s="20">
        <v>692</v>
      </c>
      <c r="H693" s="13" t="s">
        <v>2067</v>
      </c>
      <c r="I693" s="13" t="str">
        <f t="shared" si="20"/>
        <v>NW 3rd Av (NW 19th Court to Copans Rd)</v>
      </c>
      <c r="J693" s="13" t="s">
        <v>27</v>
      </c>
      <c r="K693" s="13" t="str">
        <f>VLOOKUP(J693,'Data-ProjectTypes'!A$3:B$13,2,FALSE)</f>
        <v>Program</v>
      </c>
      <c r="L693" s="21" t="s">
        <v>348</v>
      </c>
      <c r="M693" s="13" t="s">
        <v>105</v>
      </c>
      <c r="N693" s="13" t="s">
        <v>1836</v>
      </c>
      <c r="O693" s="13" t="s">
        <v>273</v>
      </c>
      <c r="P693" s="13" t="s">
        <v>273</v>
      </c>
      <c r="Q693" s="22">
        <v>0.4</v>
      </c>
      <c r="R693" s="23">
        <v>146395</v>
      </c>
      <c r="S693" s="21"/>
      <c r="T693" s="21"/>
      <c r="U693" s="21"/>
      <c r="V693" s="24"/>
      <c r="W693" s="24"/>
      <c r="X693" s="24" t="s">
        <v>764</v>
      </c>
      <c r="Y693" s="17" t="s">
        <v>765</v>
      </c>
      <c r="Z693" s="18">
        <f>ROUND(R693*'Data-CostAssumptions'!$C$3,-3)</f>
        <v>203000</v>
      </c>
      <c r="AA693" s="11">
        <f t="shared" si="21"/>
        <v>0</v>
      </c>
      <c r="AB693" s="11">
        <v>2041</v>
      </c>
      <c r="AC693" s="11">
        <v>2041</v>
      </c>
      <c r="AD693" s="11">
        <v>2041</v>
      </c>
      <c r="AE693" s="11">
        <v>2041</v>
      </c>
      <c r="AF693" s="11">
        <v>0</v>
      </c>
      <c r="AG693" s="19">
        <f>ROUND((Z693*'Data-CostAssumptions'!$G$5)*(1+'Data-CostAssumptions'!$G$3)^(AC693-'Data-CostAssumptions'!$G$4),-3)</f>
        <v>115000</v>
      </c>
      <c r="AH693" s="19">
        <f>ROUND((Z693)*(1+'Data-CostAssumptions'!$G$3)^(AE693-'Data-CostAssumptions'!$G$4),-3)</f>
        <v>520000</v>
      </c>
    </row>
    <row r="694" spans="1:34" ht="15" customHeight="1" x14ac:dyDescent="0.2">
      <c r="A694" s="11"/>
      <c r="B694" s="11" t="s">
        <v>1211</v>
      </c>
      <c r="C694" s="13">
        <v>488</v>
      </c>
      <c r="D694" s="13" t="s">
        <v>420</v>
      </c>
      <c r="E694" s="20">
        <v>7</v>
      </c>
      <c r="F694" s="20">
        <v>168</v>
      </c>
      <c r="G694" s="20">
        <v>693</v>
      </c>
      <c r="H694" s="13" t="s">
        <v>1800</v>
      </c>
      <c r="I694" s="13" t="str">
        <f t="shared" si="20"/>
        <v>Shotgun Rd/Orange Dr (SW 143rd Av to SW 14th St)</v>
      </c>
      <c r="J694" s="13" t="s">
        <v>27</v>
      </c>
      <c r="K694" s="13" t="str">
        <f>VLOOKUP(J694,'Data-ProjectTypes'!A$3:B$13,2,FALSE)</f>
        <v>Program</v>
      </c>
      <c r="L694" s="21" t="s">
        <v>348</v>
      </c>
      <c r="M694" s="13" t="s">
        <v>2384</v>
      </c>
      <c r="N694" s="13" t="s">
        <v>2560</v>
      </c>
      <c r="O694" s="13" t="s">
        <v>279</v>
      </c>
      <c r="P694" s="13" t="s">
        <v>279</v>
      </c>
      <c r="Q694" s="22">
        <v>3.5</v>
      </c>
      <c r="R694" s="23">
        <v>1243941</v>
      </c>
      <c r="S694" s="21" t="s">
        <v>24</v>
      </c>
      <c r="T694" s="21" t="s">
        <v>24</v>
      </c>
      <c r="U694" s="21"/>
      <c r="V694" s="24"/>
      <c r="W694" s="24"/>
      <c r="X694" s="24"/>
      <c r="Y694" s="17" t="s">
        <v>469</v>
      </c>
      <c r="Z694" s="18">
        <f>ROUND(R694*'Data-CostAssumptions'!$C$3,-3)</f>
        <v>1722000</v>
      </c>
      <c r="AA694" s="11">
        <f t="shared" si="21"/>
        <v>0</v>
      </c>
      <c r="AB694" s="11">
        <v>2041</v>
      </c>
      <c r="AC694" s="11">
        <v>2041</v>
      </c>
      <c r="AD694" s="11">
        <v>2041</v>
      </c>
      <c r="AE694" s="11">
        <v>2041</v>
      </c>
      <c r="AF694" s="11">
        <v>0</v>
      </c>
      <c r="AG694" s="19">
        <f>ROUND((Z694*'Data-CostAssumptions'!$G$5)*(1+'Data-CostAssumptions'!$G$3)^(AC694-'Data-CostAssumptions'!$G$4),-3)</f>
        <v>971000</v>
      </c>
      <c r="AH694" s="19">
        <f>ROUND((Z694)*(1+'Data-CostAssumptions'!$G$3)^(AE694-'Data-CostAssumptions'!$G$4),-3)</f>
        <v>4415000</v>
      </c>
    </row>
    <row r="695" spans="1:34" ht="15" customHeight="1" x14ac:dyDescent="0.2">
      <c r="A695" s="11"/>
      <c r="B695" s="11" t="s">
        <v>1211</v>
      </c>
      <c r="C695" s="13">
        <v>489</v>
      </c>
      <c r="D695" s="13" t="s">
        <v>420</v>
      </c>
      <c r="E695" s="20">
        <v>8</v>
      </c>
      <c r="F695" s="20">
        <v>168</v>
      </c>
      <c r="G695" s="20">
        <v>694</v>
      </c>
      <c r="H695" s="13" t="s">
        <v>97</v>
      </c>
      <c r="I695" s="13" t="str">
        <f t="shared" si="20"/>
        <v>SW 185th/SW 186th Way (Sheridan St to Griffin Rd)</v>
      </c>
      <c r="J695" s="13" t="s">
        <v>27</v>
      </c>
      <c r="K695" s="13" t="str">
        <f>VLOOKUP(J695,'Data-ProjectTypes'!A$3:B$13,2,FALSE)</f>
        <v>Program</v>
      </c>
      <c r="L695" s="21" t="s">
        <v>348</v>
      </c>
      <c r="M695" s="13" t="s">
        <v>1951</v>
      </c>
      <c r="N695" s="13" t="s">
        <v>1750</v>
      </c>
      <c r="O695" s="13" t="s">
        <v>294</v>
      </c>
      <c r="P695" s="13" t="s">
        <v>294</v>
      </c>
      <c r="Q695" s="22">
        <v>2.4</v>
      </c>
      <c r="R695" s="23">
        <v>856847</v>
      </c>
      <c r="S695" s="21"/>
      <c r="T695" s="21"/>
      <c r="U695" s="21"/>
      <c r="V695" s="36" t="s">
        <v>3238</v>
      </c>
      <c r="W695" s="24"/>
      <c r="X695" s="37" t="s">
        <v>3239</v>
      </c>
      <c r="Y695" s="17" t="s">
        <v>783</v>
      </c>
      <c r="Z695" s="18">
        <f>ROUND(R695*'Data-CostAssumptions'!$C$3,-3)</f>
        <v>1186000</v>
      </c>
      <c r="AA695" s="11">
        <f t="shared" si="21"/>
        <v>1</v>
      </c>
      <c r="AB695" s="11">
        <v>2041</v>
      </c>
      <c r="AC695" s="11">
        <v>2041</v>
      </c>
      <c r="AD695" s="11">
        <v>2041</v>
      </c>
      <c r="AE695" s="11">
        <v>2041</v>
      </c>
      <c r="AF695" s="11">
        <v>0</v>
      </c>
      <c r="AG695" s="19">
        <f>ROUND((Z695*'Data-CostAssumptions'!$G$5)*(1+'Data-CostAssumptions'!$G$3)^(AC695-'Data-CostAssumptions'!$G$4),-3)</f>
        <v>669000</v>
      </c>
      <c r="AH695" s="19">
        <f>ROUND((Z695)*(1+'Data-CostAssumptions'!$G$3)^(AE695-'Data-CostAssumptions'!$G$4),-3)</f>
        <v>3041000</v>
      </c>
    </row>
    <row r="696" spans="1:34" ht="15" customHeight="1" x14ac:dyDescent="0.2">
      <c r="A696" s="11"/>
      <c r="B696" s="11" t="s">
        <v>1211</v>
      </c>
      <c r="C696" s="13">
        <v>490</v>
      </c>
      <c r="D696" s="13" t="s">
        <v>420</v>
      </c>
      <c r="E696" s="20">
        <v>10</v>
      </c>
      <c r="F696" s="20">
        <v>168</v>
      </c>
      <c r="G696" s="20">
        <v>695</v>
      </c>
      <c r="H696" s="13" t="s">
        <v>1951</v>
      </c>
      <c r="I696" s="13" t="str">
        <f t="shared" si="20"/>
        <v>Sheridan St (SW 172nd Av to Just west of 193rd Av)</v>
      </c>
      <c r="J696" s="13" t="s">
        <v>27</v>
      </c>
      <c r="K696" s="13" t="str">
        <f>VLOOKUP(J696,'Data-ProjectTypes'!A$3:B$13,2,FALSE)</f>
        <v>Program</v>
      </c>
      <c r="L696" s="21" t="s">
        <v>348</v>
      </c>
      <c r="M696" s="13" t="s">
        <v>2110</v>
      </c>
      <c r="N696" s="13" t="s">
        <v>2262</v>
      </c>
      <c r="O696" s="13" t="s">
        <v>272</v>
      </c>
      <c r="P696" s="13" t="s">
        <v>272</v>
      </c>
      <c r="Q696" s="22">
        <v>1.7</v>
      </c>
      <c r="R696" s="23">
        <v>609017</v>
      </c>
      <c r="S696" s="21"/>
      <c r="T696" s="21"/>
      <c r="U696" s="21"/>
      <c r="V696" s="24"/>
      <c r="W696" s="24"/>
      <c r="X696" s="24"/>
      <c r="Y696" s="17"/>
      <c r="Z696" s="18">
        <f>ROUND(R696*'Data-CostAssumptions'!$C$3,-3)</f>
        <v>843000</v>
      </c>
      <c r="AA696" s="11">
        <f t="shared" si="21"/>
        <v>0</v>
      </c>
      <c r="AB696" s="11">
        <v>2041</v>
      </c>
      <c r="AC696" s="11">
        <v>2041</v>
      </c>
      <c r="AD696" s="11">
        <v>2041</v>
      </c>
      <c r="AE696" s="11">
        <v>2041</v>
      </c>
      <c r="AF696" s="11">
        <v>0</v>
      </c>
      <c r="AG696" s="19">
        <f>ROUND((Z696*'Data-CostAssumptions'!$G$5)*(1+'Data-CostAssumptions'!$G$3)^(AC696-'Data-CostAssumptions'!$G$4),-3)</f>
        <v>476000</v>
      </c>
      <c r="AH696" s="19">
        <f>ROUND((Z696)*(1+'Data-CostAssumptions'!$G$3)^(AE696-'Data-CostAssumptions'!$G$4),-3)</f>
        <v>2161000</v>
      </c>
    </row>
    <row r="697" spans="1:34" ht="15" customHeight="1" x14ac:dyDescent="0.2">
      <c r="A697" s="11"/>
      <c r="B697" s="11" t="s">
        <v>1211</v>
      </c>
      <c r="C697" s="13">
        <v>491</v>
      </c>
      <c r="D697" s="13" t="s">
        <v>420</v>
      </c>
      <c r="E697" s="20">
        <v>29</v>
      </c>
      <c r="F697" s="20">
        <v>168</v>
      </c>
      <c r="G697" s="20">
        <v>696</v>
      </c>
      <c r="H697" s="13" t="s">
        <v>2099</v>
      </c>
      <c r="I697" s="13" t="str">
        <f t="shared" si="20"/>
        <v>SW 101st Av/Palm Av (Taft St to Sheridan St)</v>
      </c>
      <c r="J697" s="13" t="s">
        <v>27</v>
      </c>
      <c r="K697" s="13" t="str">
        <f>VLOOKUP(J697,'Data-ProjectTypes'!A$3:B$13,2,FALSE)</f>
        <v>Program</v>
      </c>
      <c r="L697" s="21" t="s">
        <v>348</v>
      </c>
      <c r="M697" s="13" t="s">
        <v>1968</v>
      </c>
      <c r="N697" s="13" t="s">
        <v>1951</v>
      </c>
      <c r="O697" s="13" t="s">
        <v>273</v>
      </c>
      <c r="P697" s="13" t="s">
        <v>273</v>
      </c>
      <c r="Q697" s="22">
        <v>0.5</v>
      </c>
      <c r="R697" s="23">
        <v>179578</v>
      </c>
      <c r="S697" s="21"/>
      <c r="T697" s="21"/>
      <c r="U697" s="21"/>
      <c r="V697" s="24"/>
      <c r="W697" s="24"/>
      <c r="X697" s="24"/>
      <c r="Y697" s="17"/>
      <c r="Z697" s="18">
        <f>ROUND(R697*'Data-CostAssumptions'!$C$3,-3)</f>
        <v>249000</v>
      </c>
      <c r="AA697" s="11">
        <f t="shared" si="21"/>
        <v>0</v>
      </c>
      <c r="AB697" s="11">
        <v>2041</v>
      </c>
      <c r="AC697" s="11">
        <v>2041</v>
      </c>
      <c r="AD697" s="11">
        <v>2041</v>
      </c>
      <c r="AE697" s="11">
        <v>2041</v>
      </c>
      <c r="AF697" s="11">
        <v>0</v>
      </c>
      <c r="AG697" s="19">
        <f>ROUND((Z697*'Data-CostAssumptions'!$G$5)*(1+'Data-CostAssumptions'!$G$3)^(AC697-'Data-CostAssumptions'!$G$4),-3)</f>
        <v>140000</v>
      </c>
      <c r="AH697" s="19">
        <f>ROUND((Z697)*(1+'Data-CostAssumptions'!$G$3)^(AE697-'Data-CostAssumptions'!$G$4),-3)</f>
        <v>638000</v>
      </c>
    </row>
    <row r="698" spans="1:34" ht="15" customHeight="1" x14ac:dyDescent="0.2">
      <c r="A698" s="11"/>
      <c r="B698" s="11" t="s">
        <v>1211</v>
      </c>
      <c r="C698" s="13">
        <v>492</v>
      </c>
      <c r="D698" s="13" t="s">
        <v>420</v>
      </c>
      <c r="E698" s="20">
        <v>42</v>
      </c>
      <c r="F698" s="20">
        <v>168</v>
      </c>
      <c r="G698" s="20">
        <v>697</v>
      </c>
      <c r="H698" s="13" t="s">
        <v>2129</v>
      </c>
      <c r="I698" s="13" t="str">
        <f t="shared" si="20"/>
        <v>SW 58th Av (Stirling Rd to North of SW 48th St)</v>
      </c>
      <c r="J698" s="13" t="s">
        <v>27</v>
      </c>
      <c r="K698" s="13" t="str">
        <f>VLOOKUP(J698,'Data-ProjectTypes'!A$3:B$13,2,FALSE)</f>
        <v>Program</v>
      </c>
      <c r="L698" s="21" t="s">
        <v>348</v>
      </c>
      <c r="M698" s="13" t="s">
        <v>177</v>
      </c>
      <c r="N698" s="13" t="s">
        <v>2585</v>
      </c>
      <c r="O698" s="13" t="s">
        <v>279</v>
      </c>
      <c r="P698" s="13" t="s">
        <v>279</v>
      </c>
      <c r="Q698" s="22">
        <v>1.1000000000000001</v>
      </c>
      <c r="R698" s="23">
        <v>401646</v>
      </c>
      <c r="S698" s="21" t="s">
        <v>24</v>
      </c>
      <c r="T698" s="21" t="s">
        <v>25</v>
      </c>
      <c r="U698" s="21"/>
      <c r="V698" s="24"/>
      <c r="W698" s="24"/>
      <c r="X698" s="28"/>
      <c r="Y698" s="17" t="s">
        <v>469</v>
      </c>
      <c r="Z698" s="18">
        <f>ROUND(R698*'Data-CostAssumptions'!$C$3,-3)</f>
        <v>556000</v>
      </c>
      <c r="AA698" s="11">
        <f t="shared" si="21"/>
        <v>0</v>
      </c>
      <c r="AB698" s="11">
        <v>2041</v>
      </c>
      <c r="AC698" s="11">
        <v>2041</v>
      </c>
      <c r="AD698" s="11">
        <v>2041</v>
      </c>
      <c r="AE698" s="11">
        <v>2041</v>
      </c>
      <c r="AF698" s="11">
        <v>0</v>
      </c>
      <c r="AG698" s="19">
        <f>ROUND((Z698*'Data-CostAssumptions'!$G$5)*(1+'Data-CostAssumptions'!$G$3)^(AC698-'Data-CostAssumptions'!$G$4),-3)</f>
        <v>314000</v>
      </c>
      <c r="AH698" s="19">
        <f>ROUND((Z698)*(1+'Data-CostAssumptions'!$G$3)^(AE698-'Data-CostAssumptions'!$G$4),-3)</f>
        <v>1426000</v>
      </c>
    </row>
    <row r="699" spans="1:34" ht="15" customHeight="1" x14ac:dyDescent="0.2">
      <c r="A699" s="11"/>
      <c r="B699" s="11" t="s">
        <v>1211</v>
      </c>
      <c r="C699" s="13">
        <v>494</v>
      </c>
      <c r="D699" s="13" t="s">
        <v>420</v>
      </c>
      <c r="E699" s="20">
        <v>58</v>
      </c>
      <c r="F699" s="20">
        <v>169</v>
      </c>
      <c r="G699" s="20">
        <v>698</v>
      </c>
      <c r="H699" s="13" t="s">
        <v>2736</v>
      </c>
      <c r="I699" s="13" t="str">
        <f t="shared" si="20"/>
        <v>SR 858/West Hallandale Beach Bl (SW 38th Av to SW 56th Av)</v>
      </c>
      <c r="J699" s="13" t="s">
        <v>27</v>
      </c>
      <c r="K699" s="13" t="str">
        <f>VLOOKUP(J699,'Data-ProjectTypes'!A$3:B$13,2,FALSE)</f>
        <v>Program</v>
      </c>
      <c r="L699" s="21" t="s">
        <v>348</v>
      </c>
      <c r="M699" s="13" t="s">
        <v>2256</v>
      </c>
      <c r="N699" s="13" t="s">
        <v>2128</v>
      </c>
      <c r="O699" s="13" t="s">
        <v>270</v>
      </c>
      <c r="P699" s="13" t="s">
        <v>270</v>
      </c>
      <c r="Q699" s="22">
        <v>0.9</v>
      </c>
      <c r="R699" s="23">
        <v>306236</v>
      </c>
      <c r="S699" s="21" t="s">
        <v>24</v>
      </c>
      <c r="T699" s="21" t="s">
        <v>684</v>
      </c>
      <c r="U699" s="21" t="s">
        <v>684</v>
      </c>
      <c r="V699" s="24"/>
      <c r="W699" s="24" t="s">
        <v>1107</v>
      </c>
      <c r="X699" s="24" t="s">
        <v>1112</v>
      </c>
      <c r="Y699" s="17" t="s">
        <v>1113</v>
      </c>
      <c r="Z699" s="18">
        <f>ROUND(R699*'Data-CostAssumptions'!$C$3,-3)</f>
        <v>424000</v>
      </c>
      <c r="AA699" s="11">
        <f t="shared" si="21"/>
        <v>1</v>
      </c>
      <c r="AB699" s="11">
        <v>2041</v>
      </c>
      <c r="AC699" s="11">
        <v>2041</v>
      </c>
      <c r="AD699" s="11">
        <v>2041</v>
      </c>
      <c r="AE699" s="11">
        <v>2041</v>
      </c>
      <c r="AF699" s="11">
        <v>0</v>
      </c>
      <c r="AG699" s="19">
        <f>ROUND((Z699*'Data-CostAssumptions'!$G$5)*(1+'Data-CostAssumptions'!$G$3)^(AC699-'Data-CostAssumptions'!$G$4),-3)</f>
        <v>239000</v>
      </c>
      <c r="AH699" s="19">
        <f>ROUND((Z699)*(1+'Data-CostAssumptions'!$G$3)^(AE699-'Data-CostAssumptions'!$G$4),-3)</f>
        <v>1087000</v>
      </c>
    </row>
    <row r="700" spans="1:34" ht="15" customHeight="1" x14ac:dyDescent="0.2">
      <c r="A700" s="11"/>
      <c r="B700" s="11" t="s">
        <v>1211</v>
      </c>
      <c r="C700" s="13">
        <v>495</v>
      </c>
      <c r="D700" s="13" t="s">
        <v>420</v>
      </c>
      <c r="E700" s="20">
        <v>60</v>
      </c>
      <c r="F700" s="20">
        <v>169</v>
      </c>
      <c r="G700" s="20">
        <v>699</v>
      </c>
      <c r="H700" s="13" t="s">
        <v>1975</v>
      </c>
      <c r="I700" s="13" t="str">
        <f t="shared" si="20"/>
        <v>Diplomat Pkwy (Hallandale Beach Bl to Washington St)</v>
      </c>
      <c r="J700" s="13" t="s">
        <v>27</v>
      </c>
      <c r="K700" s="13" t="str">
        <f>VLOOKUP(J700,'Data-ProjectTypes'!A$3:B$13,2,FALSE)</f>
        <v>Program</v>
      </c>
      <c r="L700" s="21" t="s">
        <v>543</v>
      </c>
      <c r="M700" s="13" t="s">
        <v>1818</v>
      </c>
      <c r="N700" s="13" t="s">
        <v>1971</v>
      </c>
      <c r="O700" s="13" t="s">
        <v>272</v>
      </c>
      <c r="P700" s="13" t="s">
        <v>272</v>
      </c>
      <c r="Q700" s="22">
        <v>1.3</v>
      </c>
      <c r="R700" s="23">
        <v>474171</v>
      </c>
      <c r="S700" s="21" t="s">
        <v>24</v>
      </c>
      <c r="T700" s="21" t="s">
        <v>25</v>
      </c>
      <c r="U700" s="21" t="s">
        <v>24</v>
      </c>
      <c r="V700" s="24"/>
      <c r="W700" s="24" t="s">
        <v>557</v>
      </c>
      <c r="X700" s="24"/>
      <c r="Y700" s="17" t="s">
        <v>556</v>
      </c>
      <c r="Z700" s="18">
        <f>ROUND(R700*'Data-CostAssumptions'!$C$3,-3)</f>
        <v>656000</v>
      </c>
      <c r="AA700" s="11">
        <f t="shared" si="21"/>
        <v>1</v>
      </c>
      <c r="AB700" s="11">
        <v>2041</v>
      </c>
      <c r="AC700" s="11">
        <v>2041</v>
      </c>
      <c r="AD700" s="11">
        <v>2041</v>
      </c>
      <c r="AE700" s="11">
        <v>2041</v>
      </c>
      <c r="AF700" s="11">
        <v>0</v>
      </c>
      <c r="AG700" s="19">
        <f>ROUND((Z700*'Data-CostAssumptions'!$G$5)*(1+'Data-CostAssumptions'!$G$3)^(AC700-'Data-CostAssumptions'!$G$4),-3)</f>
        <v>370000</v>
      </c>
      <c r="AH700" s="19">
        <f>ROUND((Z700)*(1+'Data-CostAssumptions'!$G$3)^(AE700-'Data-CostAssumptions'!$G$4),-3)</f>
        <v>1682000</v>
      </c>
    </row>
    <row r="701" spans="1:34" ht="15" customHeight="1" x14ac:dyDescent="0.2">
      <c r="A701" s="11"/>
      <c r="B701" s="11" t="s">
        <v>1211</v>
      </c>
      <c r="C701" s="13">
        <v>496</v>
      </c>
      <c r="D701" s="13" t="s">
        <v>420</v>
      </c>
      <c r="E701" s="20">
        <v>72</v>
      </c>
      <c r="F701" s="20">
        <v>169</v>
      </c>
      <c r="G701" s="20">
        <v>700</v>
      </c>
      <c r="H701" s="13" t="s">
        <v>256</v>
      </c>
      <c r="I701" s="13" t="str">
        <f t="shared" si="20"/>
        <v>SW 26th Terrace (SW 32nd St to State Rd 85)</v>
      </c>
      <c r="J701" s="13" t="s">
        <v>27</v>
      </c>
      <c r="K701" s="13" t="str">
        <f>VLOOKUP(J701,'Data-ProjectTypes'!A$3:B$13,2,FALSE)</f>
        <v>Program</v>
      </c>
      <c r="L701" s="21" t="s">
        <v>348</v>
      </c>
      <c r="M701" s="13" t="s">
        <v>2575</v>
      </c>
      <c r="N701" s="13" t="s">
        <v>2459</v>
      </c>
      <c r="O701" s="13" t="s">
        <v>286</v>
      </c>
      <c r="P701" s="13" t="s">
        <v>286</v>
      </c>
      <c r="Q701" s="22">
        <v>0.3</v>
      </c>
      <c r="R701" s="23">
        <v>107546</v>
      </c>
      <c r="S701" s="21"/>
      <c r="T701" s="21"/>
      <c r="U701" s="21"/>
      <c r="V701" s="24"/>
      <c r="W701" s="24"/>
      <c r="X701" s="34" t="s">
        <v>1174</v>
      </c>
      <c r="Y701" s="17" t="s">
        <v>1171</v>
      </c>
      <c r="Z701" s="18">
        <f>ROUND(R701*'Data-CostAssumptions'!$C$3,-3)</f>
        <v>149000</v>
      </c>
      <c r="AA701" s="11">
        <f t="shared" si="21"/>
        <v>0</v>
      </c>
      <c r="AB701" s="11">
        <v>2041</v>
      </c>
      <c r="AC701" s="11">
        <v>2041</v>
      </c>
      <c r="AD701" s="11">
        <v>2041</v>
      </c>
      <c r="AE701" s="11">
        <v>2041</v>
      </c>
      <c r="AF701" s="11">
        <v>0</v>
      </c>
      <c r="AG701" s="19">
        <f>ROUND((Z701*'Data-CostAssumptions'!$G$5)*(1+'Data-CostAssumptions'!$G$3)^(AC701-'Data-CostAssumptions'!$G$4),-3)</f>
        <v>84000</v>
      </c>
      <c r="AH701" s="19">
        <f>ROUND((Z701)*(1+'Data-CostAssumptions'!$G$3)^(AE701-'Data-CostAssumptions'!$G$4),-3)</f>
        <v>382000</v>
      </c>
    </row>
    <row r="702" spans="1:34" ht="15" customHeight="1" x14ac:dyDescent="0.2">
      <c r="A702" s="11"/>
      <c r="B702" s="11" t="s">
        <v>1211</v>
      </c>
      <c r="C702" s="13">
        <v>498</v>
      </c>
      <c r="D702" s="13" t="s">
        <v>420</v>
      </c>
      <c r="E702" s="20">
        <v>89</v>
      </c>
      <c r="F702" s="20">
        <v>169</v>
      </c>
      <c r="G702" s="20">
        <v>701</v>
      </c>
      <c r="H702" s="13" t="s">
        <v>2803</v>
      </c>
      <c r="I702" s="13" t="str">
        <f t="shared" si="20"/>
        <v>SR 870/Commercial Bl (Dupont Bl to Federal Hwy)</v>
      </c>
      <c r="J702" s="13" t="s">
        <v>27</v>
      </c>
      <c r="K702" s="13" t="str">
        <f>VLOOKUP(J702,'Data-ProjectTypes'!A$3:B$13,2,FALSE)</f>
        <v>Program</v>
      </c>
      <c r="L702" s="21" t="s">
        <v>348</v>
      </c>
      <c r="M702" s="13" t="s">
        <v>2325</v>
      </c>
      <c r="N702" s="13" t="s">
        <v>2595</v>
      </c>
      <c r="O702" s="13" t="s">
        <v>270</v>
      </c>
      <c r="P702" s="13" t="s">
        <v>270</v>
      </c>
      <c r="Q702" s="22">
        <v>0.6</v>
      </c>
      <c r="R702" s="23">
        <v>228623</v>
      </c>
      <c r="S702" s="21"/>
      <c r="T702" s="21"/>
      <c r="U702" s="21"/>
      <c r="V702" s="24"/>
      <c r="W702" s="24"/>
      <c r="X702" s="24"/>
      <c r="Y702" s="17"/>
      <c r="Z702" s="18">
        <f>ROUND(R702*'Data-CostAssumptions'!$C$3,-3)</f>
        <v>316000</v>
      </c>
      <c r="AA702" s="11">
        <f t="shared" si="21"/>
        <v>0</v>
      </c>
      <c r="AB702" s="11">
        <v>2041</v>
      </c>
      <c r="AC702" s="11">
        <v>2041</v>
      </c>
      <c r="AD702" s="11">
        <v>2041</v>
      </c>
      <c r="AE702" s="11">
        <v>2041</v>
      </c>
      <c r="AF702" s="11">
        <v>0</v>
      </c>
      <c r="AG702" s="19">
        <f>ROUND((Z702*'Data-CostAssumptions'!$G$5)*(1+'Data-CostAssumptions'!$G$3)^(AC702-'Data-CostAssumptions'!$G$4),-3)</f>
        <v>178000</v>
      </c>
      <c r="AH702" s="19">
        <f>ROUND((Z702)*(1+'Data-CostAssumptions'!$G$3)^(AE702-'Data-CostAssumptions'!$G$4),-3)</f>
        <v>810000</v>
      </c>
    </row>
    <row r="703" spans="1:34" ht="15" customHeight="1" x14ac:dyDescent="0.2">
      <c r="A703" s="11"/>
      <c r="B703" s="11" t="s">
        <v>1211</v>
      </c>
      <c r="C703" s="13">
        <v>499</v>
      </c>
      <c r="D703" s="13" t="s">
        <v>420</v>
      </c>
      <c r="E703" s="20">
        <v>95</v>
      </c>
      <c r="F703" s="20">
        <v>169</v>
      </c>
      <c r="G703" s="20">
        <v>702</v>
      </c>
      <c r="H703" s="13" t="s">
        <v>2094</v>
      </c>
      <c r="I703" s="13" t="str">
        <f t="shared" si="20"/>
        <v>SE 7th Dr/SE 28th Av (Atlantic Bl to Federal Hwy)</v>
      </c>
      <c r="J703" s="13" t="s">
        <v>27</v>
      </c>
      <c r="K703" s="13" t="str">
        <f>VLOOKUP(J703,'Data-ProjectTypes'!A$3:B$13,2,FALSE)</f>
        <v>Program</v>
      </c>
      <c r="L703" s="21" t="s">
        <v>348</v>
      </c>
      <c r="M703" s="13" t="s">
        <v>1809</v>
      </c>
      <c r="N703" s="13" t="s">
        <v>2595</v>
      </c>
      <c r="O703" s="13" t="s">
        <v>275</v>
      </c>
      <c r="P703" s="13" t="s">
        <v>275</v>
      </c>
      <c r="Q703" s="22">
        <v>1</v>
      </c>
      <c r="R703" s="23">
        <v>361941</v>
      </c>
      <c r="S703" s="21"/>
      <c r="T703" s="21"/>
      <c r="U703" s="21"/>
      <c r="V703" s="24"/>
      <c r="W703" s="24"/>
      <c r="X703" s="24"/>
      <c r="Y703" s="17"/>
      <c r="Z703" s="18">
        <f>ROUND(R703*'Data-CostAssumptions'!$C$3,-3)</f>
        <v>501000</v>
      </c>
      <c r="AA703" s="11">
        <f t="shared" si="21"/>
        <v>0</v>
      </c>
      <c r="AB703" s="11">
        <v>2041</v>
      </c>
      <c r="AC703" s="11">
        <v>2041</v>
      </c>
      <c r="AD703" s="11">
        <v>2041</v>
      </c>
      <c r="AE703" s="11">
        <v>2041</v>
      </c>
      <c r="AF703" s="11">
        <v>0</v>
      </c>
      <c r="AG703" s="19">
        <f>ROUND((Z703*'Data-CostAssumptions'!$G$5)*(1+'Data-CostAssumptions'!$G$3)^(AC703-'Data-CostAssumptions'!$G$4),-3)</f>
        <v>283000</v>
      </c>
      <c r="AH703" s="19">
        <f>ROUND((Z703)*(1+'Data-CostAssumptions'!$G$3)^(AE703-'Data-CostAssumptions'!$G$4),-3)</f>
        <v>1285000</v>
      </c>
    </row>
    <row r="704" spans="1:34" ht="15" customHeight="1" x14ac:dyDescent="0.2">
      <c r="A704" s="11"/>
      <c r="B704" s="11" t="s">
        <v>316</v>
      </c>
      <c r="C704" s="13">
        <v>283</v>
      </c>
      <c r="D704" s="13" t="s">
        <v>420</v>
      </c>
      <c r="E704" s="20">
        <v>23</v>
      </c>
      <c r="F704" s="20">
        <v>156</v>
      </c>
      <c r="G704" s="20">
        <v>703</v>
      </c>
      <c r="H704" s="13" t="s">
        <v>1977</v>
      </c>
      <c r="I704" s="13" t="str">
        <f t="shared" si="20"/>
        <v>Miramar Pkwy (Red Rd to Flamingo Rd)</v>
      </c>
      <c r="J704" s="13" t="s">
        <v>27</v>
      </c>
      <c r="K704" s="13" t="str">
        <f>VLOOKUP(J704,'Data-ProjectTypes'!A$3:B$13,2,FALSE)</f>
        <v>Program</v>
      </c>
      <c r="L704" s="21" t="s">
        <v>686</v>
      </c>
      <c r="M704" s="13" t="s">
        <v>156</v>
      </c>
      <c r="N704" s="13" t="s">
        <v>159</v>
      </c>
      <c r="O704" s="13" t="s">
        <v>274</v>
      </c>
      <c r="P704" s="13" t="s">
        <v>274</v>
      </c>
      <c r="Q704" s="22">
        <v>1</v>
      </c>
      <c r="R704" s="23">
        <v>363155</v>
      </c>
      <c r="S704" s="21" t="s">
        <v>24</v>
      </c>
      <c r="T704" s="21" t="s">
        <v>25</v>
      </c>
      <c r="U704" s="21" t="s">
        <v>24</v>
      </c>
      <c r="V704" s="24"/>
      <c r="W704" s="24"/>
      <c r="X704" s="24"/>
      <c r="Y704" s="17" t="s">
        <v>685</v>
      </c>
      <c r="Z704" s="18">
        <f>ROUND(R704*'Data-CostAssumptions'!$C$3,-3)</f>
        <v>503000</v>
      </c>
      <c r="AA704" s="11">
        <f t="shared" si="21"/>
        <v>0</v>
      </c>
      <c r="AB704" s="11">
        <v>2041</v>
      </c>
      <c r="AC704" s="11">
        <v>2041</v>
      </c>
      <c r="AD704" s="11">
        <v>2041</v>
      </c>
      <c r="AE704" s="11">
        <v>2041</v>
      </c>
      <c r="AF704" s="11">
        <v>0</v>
      </c>
      <c r="AG704" s="19">
        <f>ROUND((Z704*'Data-CostAssumptions'!$G$5)*(1+'Data-CostAssumptions'!$G$3)^(AC704-'Data-CostAssumptions'!$G$4),-3)</f>
        <v>284000</v>
      </c>
      <c r="AH704" s="19">
        <f>ROUND((Z704)*(1+'Data-CostAssumptions'!$G$3)^(AE704-'Data-CostAssumptions'!$G$4),-3)</f>
        <v>1290000</v>
      </c>
    </row>
    <row r="705" spans="1:34" ht="15" customHeight="1" x14ac:dyDescent="0.2">
      <c r="A705" s="11"/>
      <c r="B705" s="11" t="s">
        <v>1211</v>
      </c>
      <c r="C705" s="13">
        <v>500</v>
      </c>
      <c r="D705" s="13" t="s">
        <v>420</v>
      </c>
      <c r="E705" s="20">
        <v>96</v>
      </c>
      <c r="F705" s="20">
        <v>169</v>
      </c>
      <c r="G705" s="20">
        <v>704</v>
      </c>
      <c r="H705" s="13" t="s">
        <v>2030</v>
      </c>
      <c r="I705" s="13" t="str">
        <f t="shared" si="20"/>
        <v>NE 26th Av/Harbor Dr (Atlantic Bl to NE 12th St)</v>
      </c>
      <c r="J705" s="13" t="s">
        <v>27</v>
      </c>
      <c r="K705" s="13" t="str">
        <f>VLOOKUP(J705,'Data-ProjectTypes'!A$3:B$13,2,FALSE)</f>
        <v>Program</v>
      </c>
      <c r="L705" s="21" t="s">
        <v>348</v>
      </c>
      <c r="M705" s="13" t="s">
        <v>1809</v>
      </c>
      <c r="N705" s="13" t="s">
        <v>1883</v>
      </c>
      <c r="O705" s="13" t="s">
        <v>275</v>
      </c>
      <c r="P705" s="13" t="s">
        <v>275</v>
      </c>
      <c r="Q705" s="22">
        <v>1.2</v>
      </c>
      <c r="R705" s="23">
        <v>416761</v>
      </c>
      <c r="S705" s="21"/>
      <c r="T705" s="21"/>
      <c r="U705" s="21"/>
      <c r="V705" s="24"/>
      <c r="W705" s="24"/>
      <c r="X705" s="24" t="s">
        <v>764</v>
      </c>
      <c r="Y705" s="17" t="s">
        <v>765</v>
      </c>
      <c r="Z705" s="18">
        <f>ROUND(R705*'Data-CostAssumptions'!$C$3,-3)</f>
        <v>577000</v>
      </c>
      <c r="AA705" s="11">
        <f t="shared" si="21"/>
        <v>0</v>
      </c>
      <c r="AB705" s="11">
        <v>2041</v>
      </c>
      <c r="AC705" s="11">
        <v>2041</v>
      </c>
      <c r="AD705" s="11">
        <v>2041</v>
      </c>
      <c r="AE705" s="11">
        <v>2041</v>
      </c>
      <c r="AF705" s="11">
        <v>0</v>
      </c>
      <c r="AG705" s="19">
        <f>ROUND((Z705*'Data-CostAssumptions'!$G$5)*(1+'Data-CostAssumptions'!$G$3)^(AC705-'Data-CostAssumptions'!$G$4),-3)</f>
        <v>325000</v>
      </c>
      <c r="AH705" s="19">
        <f>ROUND((Z705)*(1+'Data-CostAssumptions'!$G$3)^(AE705-'Data-CostAssumptions'!$G$4),-3)</f>
        <v>1479000</v>
      </c>
    </row>
    <row r="706" spans="1:34" ht="15" customHeight="1" x14ac:dyDescent="0.2">
      <c r="A706" s="11"/>
      <c r="B706" s="11" t="s">
        <v>1211</v>
      </c>
      <c r="C706" s="13">
        <v>501</v>
      </c>
      <c r="D706" s="13" t="s">
        <v>420</v>
      </c>
      <c r="E706" s="20">
        <v>103</v>
      </c>
      <c r="F706" s="20">
        <v>169</v>
      </c>
      <c r="G706" s="20">
        <v>705</v>
      </c>
      <c r="H706" s="13" t="s">
        <v>2817</v>
      </c>
      <c r="I706" s="13" t="str">
        <f t="shared" ref="I706:I769" si="22">IF(M706="@",H706&amp;" ("&amp;M706&amp;"  "&amp;N706&amp;")",H706&amp;" ("&amp;M706&amp;" to "&amp;N706&amp;")")</f>
        <v>SR 810/Hillsboro Bl/NE 2nd St Loop (Ocean Way to Ocean Bl)</v>
      </c>
      <c r="J706" s="13" t="s">
        <v>27</v>
      </c>
      <c r="K706" s="13" t="str">
        <f>VLOOKUP(J706,'Data-ProjectTypes'!A$3:B$13,2,FALSE)</f>
        <v>Program</v>
      </c>
      <c r="L706" s="21" t="s">
        <v>348</v>
      </c>
      <c r="M706" s="13" t="s">
        <v>239</v>
      </c>
      <c r="N706" s="13" t="s">
        <v>2274</v>
      </c>
      <c r="O706" s="13" t="s">
        <v>270</v>
      </c>
      <c r="P706" s="13" t="s">
        <v>270</v>
      </c>
      <c r="Q706" s="22">
        <v>0.6</v>
      </c>
      <c r="R706" s="23">
        <v>203197</v>
      </c>
      <c r="S706" s="21" t="s">
        <v>24</v>
      </c>
      <c r="T706" s="21"/>
      <c r="U706" s="21"/>
      <c r="V706" s="24"/>
      <c r="W706" s="24"/>
      <c r="X706" s="24" t="s">
        <v>491</v>
      </c>
      <c r="Y706" s="17" t="s">
        <v>492</v>
      </c>
      <c r="Z706" s="18">
        <f>ROUND(R706*'Data-CostAssumptions'!$C$3,-3)</f>
        <v>281000</v>
      </c>
      <c r="AA706" s="11">
        <f t="shared" si="21"/>
        <v>0</v>
      </c>
      <c r="AB706" s="11">
        <v>2041</v>
      </c>
      <c r="AC706" s="11">
        <v>2041</v>
      </c>
      <c r="AD706" s="11">
        <v>2041</v>
      </c>
      <c r="AE706" s="11">
        <v>2041</v>
      </c>
      <c r="AF706" s="11">
        <v>0</v>
      </c>
      <c r="AG706" s="19">
        <f>ROUND((Z706*'Data-CostAssumptions'!$G$5)*(1+'Data-CostAssumptions'!$G$3)^(AC706-'Data-CostAssumptions'!$G$4),-3)</f>
        <v>159000</v>
      </c>
      <c r="AH706" s="19">
        <f>ROUND((Z706)*(1+'Data-CostAssumptions'!$G$3)^(AE706-'Data-CostAssumptions'!$G$4),-3)</f>
        <v>720000</v>
      </c>
    </row>
    <row r="707" spans="1:34" ht="15" customHeight="1" x14ac:dyDescent="0.2">
      <c r="A707" s="11"/>
      <c r="B707" s="11" t="s">
        <v>1211</v>
      </c>
      <c r="C707" s="13">
        <v>502</v>
      </c>
      <c r="D707" s="13" t="s">
        <v>420</v>
      </c>
      <c r="E707" s="20">
        <v>112</v>
      </c>
      <c r="F707" s="20">
        <v>169</v>
      </c>
      <c r="G707" s="20">
        <v>706</v>
      </c>
      <c r="H707" s="13" t="s">
        <v>1809</v>
      </c>
      <c r="I707" s="13" t="str">
        <f t="shared" si="22"/>
        <v>Atlantic Bl (SR A1A to NE 22nd Av)</v>
      </c>
      <c r="J707" s="13" t="s">
        <v>27</v>
      </c>
      <c r="K707" s="13" t="str">
        <f>VLOOKUP(J707,'Data-ProjectTypes'!A$3:B$13,2,FALSE)</f>
        <v>Program</v>
      </c>
      <c r="L707" s="21" t="s">
        <v>348</v>
      </c>
      <c r="M707" s="13" t="s">
        <v>110</v>
      </c>
      <c r="N707" s="13" t="s">
        <v>2217</v>
      </c>
      <c r="O707" s="13" t="s">
        <v>270</v>
      </c>
      <c r="P707" s="13" t="s">
        <v>270</v>
      </c>
      <c r="Q707" s="22">
        <v>0.7</v>
      </c>
      <c r="R707" s="23">
        <v>243185</v>
      </c>
      <c r="S707" s="21"/>
      <c r="T707" s="21"/>
      <c r="U707" s="21"/>
      <c r="V707" s="24"/>
      <c r="W707" s="24"/>
      <c r="X707" s="24"/>
      <c r="Y707" s="17"/>
      <c r="Z707" s="18">
        <f>ROUND(R707*'Data-CostAssumptions'!$C$3,-3)</f>
        <v>337000</v>
      </c>
      <c r="AA707" s="11">
        <f t="shared" ref="AA707:AA770" si="23">IF(V707="",IF(W707="",0,1),1)</f>
        <v>0</v>
      </c>
      <c r="AB707" s="11">
        <v>2041</v>
      </c>
      <c r="AC707" s="11">
        <v>2041</v>
      </c>
      <c r="AD707" s="11">
        <v>2041</v>
      </c>
      <c r="AE707" s="11">
        <v>2041</v>
      </c>
      <c r="AF707" s="11">
        <v>0</v>
      </c>
      <c r="AG707" s="19">
        <f>ROUND((Z707*'Data-CostAssumptions'!$G$5)*(1+'Data-CostAssumptions'!$G$3)^(AC707-'Data-CostAssumptions'!$G$4),-3)</f>
        <v>190000</v>
      </c>
      <c r="AH707" s="19">
        <f>ROUND((Z707)*(1+'Data-CostAssumptions'!$G$3)^(AE707-'Data-CostAssumptions'!$G$4),-3)</f>
        <v>864000</v>
      </c>
    </row>
    <row r="708" spans="1:34" ht="15" customHeight="1" x14ac:dyDescent="0.2">
      <c r="A708" s="11"/>
      <c r="B708" s="11" t="s">
        <v>1211</v>
      </c>
      <c r="C708" s="13">
        <v>503</v>
      </c>
      <c r="D708" s="13" t="s">
        <v>420</v>
      </c>
      <c r="E708" s="20">
        <v>120</v>
      </c>
      <c r="F708" s="20">
        <v>169</v>
      </c>
      <c r="G708" s="20">
        <v>707</v>
      </c>
      <c r="H708" s="13" t="s">
        <v>1745</v>
      </c>
      <c r="I708" s="13" t="str">
        <f t="shared" si="22"/>
        <v>Banks Rd (Coconut Creek Parkway to Copans Rd)</v>
      </c>
      <c r="J708" s="13" t="s">
        <v>27</v>
      </c>
      <c r="K708" s="13" t="str">
        <f>VLOOKUP(J708,'Data-ProjectTypes'!A$3:B$13,2,FALSE)</f>
        <v>Program</v>
      </c>
      <c r="L708" s="21" t="s">
        <v>348</v>
      </c>
      <c r="M708" s="13" t="s">
        <v>70</v>
      </c>
      <c r="N708" s="13" t="s">
        <v>1836</v>
      </c>
      <c r="O708" s="13" t="s">
        <v>272</v>
      </c>
      <c r="P708" s="13" t="s">
        <v>272</v>
      </c>
      <c r="Q708" s="22">
        <v>0.8</v>
      </c>
      <c r="R708" s="23">
        <v>274518</v>
      </c>
      <c r="S708" s="21"/>
      <c r="T708" s="21"/>
      <c r="U708" s="21"/>
      <c r="V708" s="24"/>
      <c r="W708" s="24"/>
      <c r="X708" s="24"/>
      <c r="Y708" s="17"/>
      <c r="Z708" s="18">
        <f>ROUND(R708*'Data-CostAssumptions'!$C$3,-3)</f>
        <v>380000</v>
      </c>
      <c r="AA708" s="11">
        <f t="shared" si="23"/>
        <v>0</v>
      </c>
      <c r="AB708" s="11">
        <v>2041</v>
      </c>
      <c r="AC708" s="11">
        <v>2041</v>
      </c>
      <c r="AD708" s="11">
        <v>2041</v>
      </c>
      <c r="AE708" s="11">
        <v>2041</v>
      </c>
      <c r="AF708" s="11">
        <v>0</v>
      </c>
      <c r="AG708" s="19">
        <f>ROUND((Z708*'Data-CostAssumptions'!$G$5)*(1+'Data-CostAssumptions'!$G$3)^(AC708-'Data-CostAssumptions'!$G$4),-3)</f>
        <v>214000</v>
      </c>
      <c r="AH708" s="19">
        <f>ROUND((Z708)*(1+'Data-CostAssumptions'!$G$3)^(AE708-'Data-CostAssumptions'!$G$4),-3)</f>
        <v>974000</v>
      </c>
    </row>
    <row r="709" spans="1:34" ht="15" customHeight="1" x14ac:dyDescent="0.2">
      <c r="A709" s="11"/>
      <c r="B709" s="11" t="s">
        <v>1211</v>
      </c>
      <c r="C709" s="13">
        <v>504</v>
      </c>
      <c r="D709" s="13" t="s">
        <v>420</v>
      </c>
      <c r="E709" s="20">
        <v>130</v>
      </c>
      <c r="F709" s="20">
        <v>169</v>
      </c>
      <c r="G709" s="20">
        <v>708</v>
      </c>
      <c r="H709" s="13" t="s">
        <v>2051</v>
      </c>
      <c r="I709" s="13" t="str">
        <f t="shared" si="22"/>
        <v>NW 12th Av (NW 51st St to NW 10th Terrace)</v>
      </c>
      <c r="J709" s="13" t="s">
        <v>27</v>
      </c>
      <c r="K709" s="13" t="str">
        <f>VLOOKUP(J709,'Data-ProjectTypes'!A$3:B$13,2,FALSE)</f>
        <v>Program</v>
      </c>
      <c r="L709" s="21" t="s">
        <v>348</v>
      </c>
      <c r="M709" s="13" t="s">
        <v>2537</v>
      </c>
      <c r="N709" s="13" t="s">
        <v>209</v>
      </c>
      <c r="O709" s="13" t="s">
        <v>276</v>
      </c>
      <c r="P709" s="13" t="s">
        <v>276</v>
      </c>
      <c r="Q709" s="22">
        <v>0.6</v>
      </c>
      <c r="R709" s="23">
        <v>213254</v>
      </c>
      <c r="S709" s="21"/>
      <c r="T709" s="21"/>
      <c r="U709" s="21"/>
      <c r="V709" s="24"/>
      <c r="W709" s="24"/>
      <c r="X709" s="24"/>
      <c r="Y709" s="17"/>
      <c r="Z709" s="18">
        <f>ROUND(R709*'Data-CostAssumptions'!$C$3,-3)</f>
        <v>295000</v>
      </c>
      <c r="AA709" s="11">
        <f t="shared" si="23"/>
        <v>0</v>
      </c>
      <c r="AB709" s="11">
        <v>2041</v>
      </c>
      <c r="AC709" s="11">
        <v>2041</v>
      </c>
      <c r="AD709" s="11">
        <v>2041</v>
      </c>
      <c r="AE709" s="11">
        <v>2041</v>
      </c>
      <c r="AF709" s="11">
        <v>0</v>
      </c>
      <c r="AG709" s="19">
        <f>ROUND((Z709*'Data-CostAssumptions'!$G$5)*(1+'Data-CostAssumptions'!$G$3)^(AC709-'Data-CostAssumptions'!$G$4),-3)</f>
        <v>166000</v>
      </c>
      <c r="AH709" s="19">
        <f>ROUND((Z709)*(1+'Data-CostAssumptions'!$G$3)^(AE709-'Data-CostAssumptions'!$G$4),-3)</f>
        <v>756000</v>
      </c>
    </row>
    <row r="710" spans="1:34" ht="15" customHeight="1" x14ac:dyDescent="0.2">
      <c r="A710" s="11"/>
      <c r="B710" s="11" t="s">
        <v>1211</v>
      </c>
      <c r="C710" s="13">
        <v>505</v>
      </c>
      <c r="D710" s="13" t="s">
        <v>420</v>
      </c>
      <c r="E710" s="20">
        <v>142</v>
      </c>
      <c r="F710" s="20">
        <v>169</v>
      </c>
      <c r="G710" s="20">
        <v>709</v>
      </c>
      <c r="H710" s="13" t="s">
        <v>1187</v>
      </c>
      <c r="I710" s="13" t="str">
        <f t="shared" si="22"/>
        <v>Inverrary Dr (Inverrary Bl to NW 44th St)</v>
      </c>
      <c r="J710" s="13" t="s">
        <v>27</v>
      </c>
      <c r="K710" s="13" t="str">
        <f>VLOOKUP(J710,'Data-ProjectTypes'!A$3:B$13,2,FALSE)</f>
        <v>Program</v>
      </c>
      <c r="L710" s="21" t="s">
        <v>348</v>
      </c>
      <c r="M710" s="13" t="s">
        <v>1821</v>
      </c>
      <c r="N710" s="13" t="s">
        <v>1189</v>
      </c>
      <c r="O710" s="13" t="s">
        <v>281</v>
      </c>
      <c r="P710" s="13" t="s">
        <v>281</v>
      </c>
      <c r="Q710" s="22">
        <v>0.8</v>
      </c>
      <c r="R710" s="23">
        <v>289505</v>
      </c>
      <c r="S710" s="21"/>
      <c r="T710" s="21"/>
      <c r="U710" s="21"/>
      <c r="V710" s="24"/>
      <c r="W710" s="24"/>
      <c r="X710" s="24"/>
      <c r="Y710" s="17"/>
      <c r="Z710" s="18">
        <f>ROUND(R710*'Data-CostAssumptions'!$C$3,-3)</f>
        <v>401000</v>
      </c>
      <c r="AA710" s="11">
        <f t="shared" si="23"/>
        <v>0</v>
      </c>
      <c r="AB710" s="11">
        <v>2041</v>
      </c>
      <c r="AC710" s="11">
        <v>2041</v>
      </c>
      <c r="AD710" s="11">
        <v>2041</v>
      </c>
      <c r="AE710" s="11">
        <v>2041</v>
      </c>
      <c r="AF710" s="11">
        <v>0</v>
      </c>
      <c r="AG710" s="19">
        <f>ROUND((Z710*'Data-CostAssumptions'!$G$5)*(1+'Data-CostAssumptions'!$G$3)^(AC710-'Data-CostAssumptions'!$G$4),-3)</f>
        <v>226000</v>
      </c>
      <c r="AH710" s="19">
        <f>ROUND((Z710)*(1+'Data-CostAssumptions'!$G$3)^(AE710-'Data-CostAssumptions'!$G$4),-3)</f>
        <v>1028000</v>
      </c>
    </row>
    <row r="711" spans="1:34" ht="15" customHeight="1" x14ac:dyDescent="0.2">
      <c r="A711" s="11"/>
      <c r="B711" s="11" t="s">
        <v>1211</v>
      </c>
      <c r="C711" s="13">
        <v>506</v>
      </c>
      <c r="D711" s="13" t="s">
        <v>420</v>
      </c>
      <c r="E711" s="20">
        <v>145</v>
      </c>
      <c r="F711" s="20">
        <v>169</v>
      </c>
      <c r="G711" s="20">
        <v>710</v>
      </c>
      <c r="H711" s="13" t="s">
        <v>1821</v>
      </c>
      <c r="I711" s="13" t="str">
        <f t="shared" si="22"/>
        <v>Inverrary Bl (Lime Hill Rd to Inverrary Dr)</v>
      </c>
      <c r="J711" s="13" t="s">
        <v>27</v>
      </c>
      <c r="K711" s="13" t="str">
        <f>VLOOKUP(J711,'Data-ProjectTypes'!A$3:B$13,2,FALSE)</f>
        <v>Program</v>
      </c>
      <c r="L711" s="21" t="s">
        <v>348</v>
      </c>
      <c r="M711" s="13" t="s">
        <v>2422</v>
      </c>
      <c r="N711" s="13" t="s">
        <v>1187</v>
      </c>
      <c r="O711" s="13" t="s">
        <v>281</v>
      </c>
      <c r="P711" s="13" t="s">
        <v>281</v>
      </c>
      <c r="Q711" s="22">
        <v>0.4</v>
      </c>
      <c r="R711" s="23">
        <v>131020</v>
      </c>
      <c r="S711" s="21"/>
      <c r="T711" s="21"/>
      <c r="U711" s="21"/>
      <c r="V711" s="24"/>
      <c r="W711" s="24"/>
      <c r="X711" s="24"/>
      <c r="Y711" s="17"/>
      <c r="Z711" s="18">
        <f>ROUND(R711*'Data-CostAssumptions'!$C$3,-3)</f>
        <v>181000</v>
      </c>
      <c r="AA711" s="11">
        <f t="shared" si="23"/>
        <v>0</v>
      </c>
      <c r="AB711" s="11">
        <v>2041</v>
      </c>
      <c r="AC711" s="11">
        <v>2041</v>
      </c>
      <c r="AD711" s="11">
        <v>2041</v>
      </c>
      <c r="AE711" s="11">
        <v>2041</v>
      </c>
      <c r="AF711" s="11">
        <v>0</v>
      </c>
      <c r="AG711" s="19">
        <f>ROUND((Z711*'Data-CostAssumptions'!$G$5)*(1+'Data-CostAssumptions'!$G$3)^(AC711-'Data-CostAssumptions'!$G$4),-3)</f>
        <v>102000</v>
      </c>
      <c r="AH711" s="19">
        <f>ROUND((Z711)*(1+'Data-CostAssumptions'!$G$3)^(AE711-'Data-CostAssumptions'!$G$4),-3)</f>
        <v>464000</v>
      </c>
    </row>
    <row r="712" spans="1:34" ht="15" customHeight="1" x14ac:dyDescent="0.2">
      <c r="A712" s="11"/>
      <c r="B712" s="11" t="s">
        <v>1211</v>
      </c>
      <c r="C712" s="13">
        <v>507</v>
      </c>
      <c r="D712" s="13" t="s">
        <v>420</v>
      </c>
      <c r="E712" s="20">
        <v>146</v>
      </c>
      <c r="F712" s="20">
        <v>169</v>
      </c>
      <c r="G712" s="20">
        <v>711</v>
      </c>
      <c r="H712" s="13" t="s">
        <v>1768</v>
      </c>
      <c r="I712" s="13" t="str">
        <f t="shared" si="22"/>
        <v>Rock Island Rd (Oakland Park Bl to NW 44th St)</v>
      </c>
      <c r="J712" s="13" t="s">
        <v>27</v>
      </c>
      <c r="K712" s="13" t="str">
        <f>VLOOKUP(J712,'Data-ProjectTypes'!A$3:B$13,2,FALSE)</f>
        <v>Program</v>
      </c>
      <c r="L712" s="21" t="s">
        <v>348</v>
      </c>
      <c r="M712" s="13" t="s">
        <v>1825</v>
      </c>
      <c r="N712" s="13" t="s">
        <v>1189</v>
      </c>
      <c r="O712" s="13" t="s">
        <v>273</v>
      </c>
      <c r="P712" s="13" t="s">
        <v>273</v>
      </c>
      <c r="Q712" s="22">
        <v>1.1000000000000001</v>
      </c>
      <c r="R712" s="23">
        <v>381179</v>
      </c>
      <c r="S712" s="21"/>
      <c r="T712" s="21"/>
      <c r="U712" s="21"/>
      <c r="V712" s="24"/>
      <c r="W712" s="24"/>
      <c r="X712" s="24"/>
      <c r="Y712" s="17"/>
      <c r="Z712" s="18">
        <f>ROUND(R712*'Data-CostAssumptions'!$C$3,-3)</f>
        <v>528000</v>
      </c>
      <c r="AA712" s="11">
        <f t="shared" si="23"/>
        <v>0</v>
      </c>
      <c r="AB712" s="11">
        <v>2041</v>
      </c>
      <c r="AC712" s="11">
        <v>2041</v>
      </c>
      <c r="AD712" s="11">
        <v>2041</v>
      </c>
      <c r="AE712" s="11">
        <v>2041</v>
      </c>
      <c r="AF712" s="11">
        <v>0</v>
      </c>
      <c r="AG712" s="19">
        <f>ROUND((Z712*'Data-CostAssumptions'!$G$5)*(1+'Data-CostAssumptions'!$G$3)^(AC712-'Data-CostAssumptions'!$G$4),-3)</f>
        <v>298000</v>
      </c>
      <c r="AH712" s="19">
        <f>ROUND((Z712)*(1+'Data-CostAssumptions'!$G$3)^(AE712-'Data-CostAssumptions'!$G$4),-3)</f>
        <v>1354000</v>
      </c>
    </row>
    <row r="713" spans="1:34" ht="15" customHeight="1" x14ac:dyDescent="0.2">
      <c r="A713" s="11"/>
      <c r="B713" s="11" t="s">
        <v>316</v>
      </c>
      <c r="C713" s="13">
        <v>211</v>
      </c>
      <c r="D713" s="13" t="s">
        <v>420</v>
      </c>
      <c r="E713" s="20">
        <v>311</v>
      </c>
      <c r="F713" s="20">
        <v>151</v>
      </c>
      <c r="G713" s="20">
        <v>712</v>
      </c>
      <c r="H713" s="13" t="s">
        <v>2693</v>
      </c>
      <c r="I713" s="13" t="str">
        <f t="shared" si="22"/>
        <v>N Dixie Hwy (NE 26th St to NE 38th St)</v>
      </c>
      <c r="J713" s="13" t="s">
        <v>27</v>
      </c>
      <c r="K713" s="13" t="str">
        <f>VLOOKUP(J713,'Data-ProjectTypes'!A$3:B$13,2,FALSE)</f>
        <v>Program</v>
      </c>
      <c r="L713" s="26" t="s">
        <v>842</v>
      </c>
      <c r="M713" s="13" t="s">
        <v>1887</v>
      </c>
      <c r="N713" s="13" t="s">
        <v>1891</v>
      </c>
      <c r="O713" s="13" t="s">
        <v>270</v>
      </c>
      <c r="P713" s="13" t="s">
        <v>270</v>
      </c>
      <c r="Q713" s="22">
        <v>0.4</v>
      </c>
      <c r="R713" s="23">
        <v>158944</v>
      </c>
      <c r="S713" s="21"/>
      <c r="T713" s="21"/>
      <c r="U713" s="21" t="s">
        <v>24</v>
      </c>
      <c r="V713" s="24"/>
      <c r="W713" s="24" t="s">
        <v>696</v>
      </c>
      <c r="X713" s="24"/>
      <c r="Y713" s="17" t="s">
        <v>843</v>
      </c>
      <c r="Z713" s="18">
        <f>ROUND(R713*'Data-CostAssumptions'!$C$3,-3)</f>
        <v>220000</v>
      </c>
      <c r="AA713" s="11">
        <f t="shared" si="23"/>
        <v>1</v>
      </c>
      <c r="AB713" s="11">
        <v>2041</v>
      </c>
      <c r="AC713" s="11">
        <v>2041</v>
      </c>
      <c r="AD713" s="11">
        <v>2041</v>
      </c>
      <c r="AE713" s="11">
        <v>2041</v>
      </c>
      <c r="AF713" s="11">
        <v>0</v>
      </c>
      <c r="AG713" s="19">
        <f>ROUND((Z713*'Data-CostAssumptions'!$G$5)*(1+'Data-CostAssumptions'!$G$3)^(AC713-'Data-CostAssumptions'!$G$4),-3)</f>
        <v>124000</v>
      </c>
      <c r="AH713" s="19">
        <f>ROUND((Z713)*(1+'Data-CostAssumptions'!$G$3)^(AE713-'Data-CostAssumptions'!$G$4),-3)</f>
        <v>564000</v>
      </c>
    </row>
    <row r="714" spans="1:34" ht="15" customHeight="1" x14ac:dyDescent="0.2">
      <c r="A714" s="11"/>
      <c r="B714" s="11" t="s">
        <v>1211</v>
      </c>
      <c r="C714" s="13">
        <v>508</v>
      </c>
      <c r="D714" s="13" t="s">
        <v>420</v>
      </c>
      <c r="E714" s="20">
        <v>149</v>
      </c>
      <c r="F714" s="20">
        <v>169</v>
      </c>
      <c r="G714" s="20">
        <v>713</v>
      </c>
      <c r="H714" s="13" t="s">
        <v>1925</v>
      </c>
      <c r="I714" s="13" t="str">
        <f t="shared" si="22"/>
        <v>NW 57th St (University Dr to NW 94th Av)</v>
      </c>
      <c r="J714" s="13" t="s">
        <v>27</v>
      </c>
      <c r="K714" s="13" t="str">
        <f>VLOOKUP(J714,'Data-ProjectTypes'!A$3:B$13,2,FALSE)</f>
        <v>Program</v>
      </c>
      <c r="L714" s="21" t="s">
        <v>348</v>
      </c>
      <c r="M714" s="13" t="s">
        <v>1804</v>
      </c>
      <c r="N714" s="13" t="s">
        <v>2246</v>
      </c>
      <c r="O714" s="13" t="s">
        <v>280</v>
      </c>
      <c r="P714" s="13" t="s">
        <v>280</v>
      </c>
      <c r="Q714" s="22">
        <v>1.5</v>
      </c>
      <c r="R714" s="23">
        <v>533716</v>
      </c>
      <c r="S714" s="21"/>
      <c r="T714" s="21"/>
      <c r="U714" s="21"/>
      <c r="V714" s="24"/>
      <c r="W714" s="24"/>
      <c r="X714" s="24"/>
      <c r="Y714" s="17"/>
      <c r="Z714" s="18">
        <f>ROUND(R714*'Data-CostAssumptions'!$C$3,-3)</f>
        <v>739000</v>
      </c>
      <c r="AA714" s="11">
        <f t="shared" si="23"/>
        <v>0</v>
      </c>
      <c r="AB714" s="11">
        <v>2041</v>
      </c>
      <c r="AC714" s="11">
        <v>2041</v>
      </c>
      <c r="AD714" s="11">
        <v>2041</v>
      </c>
      <c r="AE714" s="11">
        <v>2041</v>
      </c>
      <c r="AF714" s="11">
        <v>0</v>
      </c>
      <c r="AG714" s="19">
        <f>ROUND((Z714*'Data-CostAssumptions'!$G$5)*(1+'Data-CostAssumptions'!$G$3)^(AC714-'Data-CostAssumptions'!$G$4),-3)</f>
        <v>417000</v>
      </c>
      <c r="AH714" s="19">
        <f>ROUND((Z714)*(1+'Data-CostAssumptions'!$G$3)^(AE714-'Data-CostAssumptions'!$G$4),-3)</f>
        <v>1895000</v>
      </c>
    </row>
    <row r="715" spans="1:34" ht="15" customHeight="1" x14ac:dyDescent="0.2">
      <c r="A715" s="11"/>
      <c r="B715" s="11" t="s">
        <v>1211</v>
      </c>
      <c r="C715" s="13">
        <v>509</v>
      </c>
      <c r="D715" s="13" t="s">
        <v>420</v>
      </c>
      <c r="E715" s="20">
        <v>153</v>
      </c>
      <c r="F715" s="20">
        <v>170</v>
      </c>
      <c r="G715" s="20">
        <v>714</v>
      </c>
      <c r="H715" s="13" t="s">
        <v>1930</v>
      </c>
      <c r="I715" s="13" t="str">
        <f t="shared" si="22"/>
        <v>NW 75th St (NW 80th Av to Pine Island Rd)</v>
      </c>
      <c r="J715" s="13" t="s">
        <v>27</v>
      </c>
      <c r="K715" s="13" t="str">
        <f>VLOOKUP(J715,'Data-ProjectTypes'!A$3:B$13,2,FALSE)</f>
        <v>Program</v>
      </c>
      <c r="L715" s="21" t="s">
        <v>348</v>
      </c>
      <c r="M715" s="13" t="s">
        <v>2248</v>
      </c>
      <c r="N715" s="13" t="s">
        <v>266</v>
      </c>
      <c r="O715" s="13" t="s">
        <v>280</v>
      </c>
      <c r="P715" s="13" t="s">
        <v>280</v>
      </c>
      <c r="Q715" s="22">
        <v>0.7</v>
      </c>
      <c r="R715" s="23">
        <v>249724</v>
      </c>
      <c r="S715" s="21"/>
      <c r="T715" s="21"/>
      <c r="U715" s="21"/>
      <c r="V715" s="24"/>
      <c r="W715" s="24"/>
      <c r="X715" s="24"/>
      <c r="Y715" s="17"/>
      <c r="Z715" s="18">
        <f>ROUND(R715*'Data-CostAssumptions'!$C$3,-3)</f>
        <v>346000</v>
      </c>
      <c r="AA715" s="11">
        <f t="shared" si="23"/>
        <v>0</v>
      </c>
      <c r="AB715" s="11">
        <v>2041</v>
      </c>
      <c r="AC715" s="11">
        <v>2041</v>
      </c>
      <c r="AD715" s="11">
        <v>2041</v>
      </c>
      <c r="AE715" s="11">
        <v>2041</v>
      </c>
      <c r="AF715" s="11">
        <v>0</v>
      </c>
      <c r="AG715" s="19">
        <f>ROUND((Z715*'Data-CostAssumptions'!$G$5)*(1+'Data-CostAssumptions'!$G$3)^(AC715-'Data-CostAssumptions'!$G$4),-3)</f>
        <v>195000</v>
      </c>
      <c r="AH715" s="19">
        <f>ROUND((Z715)*(1+'Data-CostAssumptions'!$G$3)^(AE715-'Data-CostAssumptions'!$G$4),-3)</f>
        <v>887000</v>
      </c>
    </row>
    <row r="716" spans="1:34" ht="15" customHeight="1" x14ac:dyDescent="0.2">
      <c r="A716" s="11"/>
      <c r="B716" s="11" t="s">
        <v>1211</v>
      </c>
      <c r="C716" s="13">
        <v>510</v>
      </c>
      <c r="D716" s="13" t="s">
        <v>420</v>
      </c>
      <c r="E716" s="20">
        <v>154</v>
      </c>
      <c r="F716" s="20">
        <v>170</v>
      </c>
      <c r="G716" s="20">
        <v>715</v>
      </c>
      <c r="H716" s="13" t="s">
        <v>2078</v>
      </c>
      <c r="I716" s="13" t="str">
        <f t="shared" si="22"/>
        <v>NW 70th Av (McNab Rd to NW 78th St)</v>
      </c>
      <c r="J716" s="13" t="s">
        <v>27</v>
      </c>
      <c r="K716" s="13" t="str">
        <f>VLOOKUP(J716,'Data-ProjectTypes'!A$3:B$13,2,FALSE)</f>
        <v>Program</v>
      </c>
      <c r="L716" s="21" t="s">
        <v>348</v>
      </c>
      <c r="M716" s="13" t="s">
        <v>1854</v>
      </c>
      <c r="N716" s="13" t="s">
        <v>1932</v>
      </c>
      <c r="O716" s="13" t="s">
        <v>280</v>
      </c>
      <c r="P716" s="13" t="s">
        <v>280</v>
      </c>
      <c r="Q716" s="22">
        <v>1</v>
      </c>
      <c r="R716" s="23">
        <v>364670</v>
      </c>
      <c r="S716" s="21"/>
      <c r="T716" s="21"/>
      <c r="U716" s="21"/>
      <c r="V716" s="24"/>
      <c r="W716" s="24"/>
      <c r="X716" s="24"/>
      <c r="Y716" s="17"/>
      <c r="Z716" s="18">
        <f>ROUND(R716*'Data-CostAssumptions'!$C$3,-3)</f>
        <v>505000</v>
      </c>
      <c r="AA716" s="11">
        <f t="shared" si="23"/>
        <v>0</v>
      </c>
      <c r="AB716" s="11">
        <v>2041</v>
      </c>
      <c r="AC716" s="11">
        <v>2041</v>
      </c>
      <c r="AD716" s="11">
        <v>2041</v>
      </c>
      <c r="AE716" s="11">
        <v>2041</v>
      </c>
      <c r="AF716" s="11">
        <v>0</v>
      </c>
      <c r="AG716" s="19">
        <f>ROUND((Z716*'Data-CostAssumptions'!$G$5)*(1+'Data-CostAssumptions'!$G$3)^(AC716-'Data-CostAssumptions'!$G$4),-3)</f>
        <v>285000</v>
      </c>
      <c r="AH716" s="19">
        <f>ROUND((Z716)*(1+'Data-CostAssumptions'!$G$3)^(AE716-'Data-CostAssumptions'!$G$4),-3)</f>
        <v>1295000</v>
      </c>
    </row>
    <row r="717" spans="1:34" ht="15" customHeight="1" x14ac:dyDescent="0.2">
      <c r="A717" s="11"/>
      <c r="B717" s="11" t="s">
        <v>1211</v>
      </c>
      <c r="C717" s="13">
        <v>511</v>
      </c>
      <c r="D717" s="13" t="s">
        <v>420</v>
      </c>
      <c r="E717" s="20">
        <v>163</v>
      </c>
      <c r="F717" s="20">
        <v>170</v>
      </c>
      <c r="G717" s="20">
        <v>716</v>
      </c>
      <c r="H717" s="13" t="s">
        <v>1785</v>
      </c>
      <c r="I717" s="13" t="str">
        <f t="shared" si="22"/>
        <v>Coral Hills Dr (NW 25th Court to Sample Rd)</v>
      </c>
      <c r="J717" s="13" t="s">
        <v>27</v>
      </c>
      <c r="K717" s="13" t="str">
        <f>VLOOKUP(J717,'Data-ProjectTypes'!A$3:B$13,2,FALSE)</f>
        <v>Program</v>
      </c>
      <c r="L717" s="21" t="s">
        <v>348</v>
      </c>
      <c r="M717" s="13" t="s">
        <v>108</v>
      </c>
      <c r="N717" s="13" t="s">
        <v>1864</v>
      </c>
      <c r="O717" s="13" t="s">
        <v>292</v>
      </c>
      <c r="P717" s="13" t="s">
        <v>292</v>
      </c>
      <c r="Q717" s="22">
        <v>0.7</v>
      </c>
      <c r="R717" s="23">
        <v>251013</v>
      </c>
      <c r="S717" s="21" t="s">
        <v>24</v>
      </c>
      <c r="T717" s="21"/>
      <c r="U717" s="21"/>
      <c r="V717" s="24"/>
      <c r="W717" s="24"/>
      <c r="X717" s="24"/>
      <c r="Y717" s="17" t="s">
        <v>460</v>
      </c>
      <c r="Z717" s="18">
        <f>ROUND(R717*'Data-CostAssumptions'!$C$3,-3)</f>
        <v>347000</v>
      </c>
      <c r="AA717" s="11">
        <f t="shared" si="23"/>
        <v>0</v>
      </c>
      <c r="AB717" s="11">
        <v>2041</v>
      </c>
      <c r="AC717" s="11">
        <v>2041</v>
      </c>
      <c r="AD717" s="11">
        <v>2041</v>
      </c>
      <c r="AE717" s="11">
        <v>2041</v>
      </c>
      <c r="AF717" s="11">
        <v>0</v>
      </c>
      <c r="AG717" s="19">
        <f>ROUND((Z717*'Data-CostAssumptions'!$G$5)*(1+'Data-CostAssumptions'!$G$3)^(AC717-'Data-CostAssumptions'!$G$4),-3)</f>
        <v>196000</v>
      </c>
      <c r="AH717" s="19">
        <f>ROUND((Z717)*(1+'Data-CostAssumptions'!$G$3)^(AE717-'Data-CostAssumptions'!$G$4),-3)</f>
        <v>890000</v>
      </c>
    </row>
    <row r="718" spans="1:34" ht="15" customHeight="1" x14ac:dyDescent="0.2">
      <c r="A718" s="11"/>
      <c r="B718" s="11" t="s">
        <v>1211</v>
      </c>
      <c r="C718" s="13">
        <v>512</v>
      </c>
      <c r="D718" s="13" t="s">
        <v>420</v>
      </c>
      <c r="E718" s="20">
        <v>165</v>
      </c>
      <c r="F718" s="20">
        <v>170</v>
      </c>
      <c r="G718" s="20">
        <v>717</v>
      </c>
      <c r="H718" s="13" t="s">
        <v>1919</v>
      </c>
      <c r="I718" s="13" t="str">
        <f t="shared" si="22"/>
        <v>NW 39th St (Coral Ridge Dr to West of NW 126th Av)</v>
      </c>
      <c r="J718" s="13" t="s">
        <v>27</v>
      </c>
      <c r="K718" s="13" t="str">
        <f>VLOOKUP(J718,'Data-ProjectTypes'!A$3:B$13,2,FALSE)</f>
        <v>Program</v>
      </c>
      <c r="L718" s="21" t="s">
        <v>348</v>
      </c>
      <c r="M718" s="13" t="s">
        <v>1786</v>
      </c>
      <c r="N718" s="13" t="s">
        <v>2243</v>
      </c>
      <c r="O718" s="13" t="s">
        <v>292</v>
      </c>
      <c r="P718" s="13" t="s">
        <v>292</v>
      </c>
      <c r="Q718" s="22">
        <v>0.8</v>
      </c>
      <c r="R718" s="23">
        <v>286893</v>
      </c>
      <c r="S718" s="21" t="s">
        <v>24</v>
      </c>
      <c r="T718" s="21"/>
      <c r="U718" s="21"/>
      <c r="V718" s="24"/>
      <c r="W718" s="24"/>
      <c r="X718" s="24"/>
      <c r="Y718" s="17" t="s">
        <v>460</v>
      </c>
      <c r="Z718" s="18">
        <f>ROUND(R718*'Data-CostAssumptions'!$C$3,-3)</f>
        <v>397000</v>
      </c>
      <c r="AA718" s="11">
        <f t="shared" si="23"/>
        <v>0</v>
      </c>
      <c r="AB718" s="11">
        <v>2041</v>
      </c>
      <c r="AC718" s="11">
        <v>2041</v>
      </c>
      <c r="AD718" s="11">
        <v>2041</v>
      </c>
      <c r="AE718" s="11">
        <v>2041</v>
      </c>
      <c r="AF718" s="11">
        <v>0</v>
      </c>
      <c r="AG718" s="19">
        <f>ROUND((Z718*'Data-CostAssumptions'!$G$5)*(1+'Data-CostAssumptions'!$G$3)^(AC718-'Data-CostAssumptions'!$G$4),-3)</f>
        <v>224000</v>
      </c>
      <c r="AH718" s="19">
        <f>ROUND((Z718)*(1+'Data-CostAssumptions'!$G$3)^(AE718-'Data-CostAssumptions'!$G$4),-3)</f>
        <v>1018000</v>
      </c>
    </row>
    <row r="719" spans="1:34" ht="15" customHeight="1" x14ac:dyDescent="0.2">
      <c r="A719" s="11"/>
      <c r="B719" s="11" t="s">
        <v>1211</v>
      </c>
      <c r="C719" s="13">
        <v>513</v>
      </c>
      <c r="D719" s="13" t="s">
        <v>420</v>
      </c>
      <c r="E719" s="20">
        <v>169</v>
      </c>
      <c r="F719" s="20">
        <v>170</v>
      </c>
      <c r="G719" s="20">
        <v>718</v>
      </c>
      <c r="H719" s="13" t="s">
        <v>1797</v>
      </c>
      <c r="I719" s="13" t="str">
        <f t="shared" si="22"/>
        <v>Parkside Dr (Holmberg Rd to Loxahatchee Rd)</v>
      </c>
      <c r="J719" s="13" t="s">
        <v>27</v>
      </c>
      <c r="K719" s="13" t="str">
        <f>VLOOKUP(J719,'Data-ProjectTypes'!A$3:B$13,2,FALSE)</f>
        <v>Program</v>
      </c>
      <c r="L719" s="47" t="s">
        <v>736</v>
      </c>
      <c r="M719" s="13" t="s">
        <v>2404</v>
      </c>
      <c r="N719" s="13" t="s">
        <v>1851</v>
      </c>
      <c r="O719" s="13" t="s">
        <v>296</v>
      </c>
      <c r="P719" s="13" t="s">
        <v>296</v>
      </c>
      <c r="Q719" s="22">
        <v>1.1000000000000001</v>
      </c>
      <c r="R719" s="23">
        <v>398656</v>
      </c>
      <c r="S719" s="21" t="s">
        <v>24</v>
      </c>
      <c r="T719" s="21" t="s">
        <v>24</v>
      </c>
      <c r="U719" s="21" t="s">
        <v>24</v>
      </c>
      <c r="V719" s="31" t="s">
        <v>739</v>
      </c>
      <c r="W719" s="24"/>
      <c r="X719" s="31" t="s">
        <v>738</v>
      </c>
      <c r="Y719" s="17" t="s">
        <v>735</v>
      </c>
      <c r="Z719" s="18">
        <f>ROUND(R719*'Data-CostAssumptions'!$C$3,-3)</f>
        <v>552000</v>
      </c>
      <c r="AA719" s="11">
        <f t="shared" si="23"/>
        <v>1</v>
      </c>
      <c r="AB719" s="11">
        <v>2041</v>
      </c>
      <c r="AC719" s="11">
        <v>2041</v>
      </c>
      <c r="AD719" s="11">
        <v>2041</v>
      </c>
      <c r="AE719" s="11">
        <v>2041</v>
      </c>
      <c r="AF719" s="11">
        <v>0</v>
      </c>
      <c r="AG719" s="19">
        <f>ROUND((Z719*'Data-CostAssumptions'!$G$5)*(1+'Data-CostAssumptions'!$G$3)^(AC719-'Data-CostAssumptions'!$G$4),-3)</f>
        <v>311000</v>
      </c>
      <c r="AH719" s="19">
        <f>ROUND((Z719)*(1+'Data-CostAssumptions'!$G$3)^(AE719-'Data-CostAssumptions'!$G$4),-3)</f>
        <v>1415000</v>
      </c>
    </row>
    <row r="720" spans="1:34" ht="15" customHeight="1" x14ac:dyDescent="0.2">
      <c r="A720" s="11"/>
      <c r="B720" s="11" t="s">
        <v>1211</v>
      </c>
      <c r="C720" s="13">
        <v>514</v>
      </c>
      <c r="D720" s="13" t="s">
        <v>420</v>
      </c>
      <c r="E720" s="20">
        <v>173</v>
      </c>
      <c r="F720" s="20">
        <v>170</v>
      </c>
      <c r="G720" s="20">
        <v>719</v>
      </c>
      <c r="H720" s="13" t="s">
        <v>2708</v>
      </c>
      <c r="I720" s="13" t="str">
        <f t="shared" si="22"/>
        <v>SR 845/North Powerline Rd (Hillsboro Bl to North end of Powerline Rd)</v>
      </c>
      <c r="J720" s="13" t="s">
        <v>27</v>
      </c>
      <c r="K720" s="13" t="str">
        <f>VLOOKUP(J720,'Data-ProjectTypes'!A$3:B$13,2,FALSE)</f>
        <v>Program</v>
      </c>
      <c r="L720" s="21" t="s">
        <v>348</v>
      </c>
      <c r="M720" s="13" t="s">
        <v>1819</v>
      </c>
      <c r="N720" s="13" t="s">
        <v>2430</v>
      </c>
      <c r="O720" s="13" t="s">
        <v>270</v>
      </c>
      <c r="P720" s="13" t="s">
        <v>270</v>
      </c>
      <c r="Q720" s="22">
        <v>0.7</v>
      </c>
      <c r="R720" s="23">
        <v>257168</v>
      </c>
      <c r="S720" s="21"/>
      <c r="T720" s="21"/>
      <c r="U720" s="21"/>
      <c r="V720" s="24"/>
      <c r="W720" s="24"/>
      <c r="X720" s="24" t="s">
        <v>491</v>
      </c>
      <c r="Y720" s="17" t="s">
        <v>492</v>
      </c>
      <c r="Z720" s="18">
        <f>ROUND(R720*'Data-CostAssumptions'!$C$3,-3)</f>
        <v>356000</v>
      </c>
      <c r="AA720" s="11">
        <f t="shared" si="23"/>
        <v>0</v>
      </c>
      <c r="AB720" s="11">
        <v>2041</v>
      </c>
      <c r="AC720" s="11">
        <v>2041</v>
      </c>
      <c r="AD720" s="11">
        <v>2041</v>
      </c>
      <c r="AE720" s="11">
        <v>2041</v>
      </c>
      <c r="AF720" s="11">
        <v>0</v>
      </c>
      <c r="AG720" s="19">
        <f>ROUND((Z720*'Data-CostAssumptions'!$G$5)*(1+'Data-CostAssumptions'!$G$3)^(AC720-'Data-CostAssumptions'!$G$4),-3)</f>
        <v>201000</v>
      </c>
      <c r="AH720" s="19">
        <f>ROUND((Z720)*(1+'Data-CostAssumptions'!$G$3)^(AE720-'Data-CostAssumptions'!$G$4),-3)</f>
        <v>913000</v>
      </c>
    </row>
    <row r="721" spans="1:34" ht="15" customHeight="1" x14ac:dyDescent="0.2">
      <c r="A721" s="11"/>
      <c r="B721" s="11" t="s">
        <v>1211</v>
      </c>
      <c r="C721" s="13">
        <v>515</v>
      </c>
      <c r="D721" s="13" t="s">
        <v>420</v>
      </c>
      <c r="E721" s="20">
        <v>174</v>
      </c>
      <c r="F721" s="20">
        <v>170</v>
      </c>
      <c r="G721" s="20">
        <v>720</v>
      </c>
      <c r="H721" s="13" t="s">
        <v>238</v>
      </c>
      <c r="I721" s="13" t="str">
        <f t="shared" si="22"/>
        <v>South Military Trail (SW 10th St to Hillsboro Bl)</v>
      </c>
      <c r="J721" s="13" t="s">
        <v>27</v>
      </c>
      <c r="K721" s="13" t="str">
        <f>VLOOKUP(J721,'Data-ProjectTypes'!A$3:B$13,2,FALSE)</f>
        <v>Program</v>
      </c>
      <c r="L721" s="21" t="s">
        <v>510</v>
      </c>
      <c r="M721" s="13" t="s">
        <v>1954</v>
      </c>
      <c r="N721" s="13" t="s">
        <v>1819</v>
      </c>
      <c r="O721" s="13" t="s">
        <v>289</v>
      </c>
      <c r="P721" s="13" t="s">
        <v>289</v>
      </c>
      <c r="Q721" s="22">
        <v>1</v>
      </c>
      <c r="R721" s="23">
        <v>349511</v>
      </c>
      <c r="S721" s="21" t="s">
        <v>24</v>
      </c>
      <c r="T721" s="21" t="s">
        <v>25</v>
      </c>
      <c r="U721" s="21" t="s">
        <v>24</v>
      </c>
      <c r="V721" s="24"/>
      <c r="W721" s="24"/>
      <c r="X721" s="24"/>
      <c r="Y721" s="17" t="s">
        <v>492</v>
      </c>
      <c r="Z721" s="18">
        <f>ROUND(R721*'Data-CostAssumptions'!$C$3,-3)</f>
        <v>484000</v>
      </c>
      <c r="AA721" s="11">
        <f t="shared" si="23"/>
        <v>0</v>
      </c>
      <c r="AB721" s="11">
        <v>2041</v>
      </c>
      <c r="AC721" s="11">
        <v>2041</v>
      </c>
      <c r="AD721" s="11">
        <v>2041</v>
      </c>
      <c r="AE721" s="11">
        <v>2041</v>
      </c>
      <c r="AF721" s="11">
        <v>0</v>
      </c>
      <c r="AG721" s="19">
        <f>ROUND((Z721*'Data-CostAssumptions'!$G$5)*(1+'Data-CostAssumptions'!$G$3)^(AC721-'Data-CostAssumptions'!$G$4),-3)</f>
        <v>273000</v>
      </c>
      <c r="AH721" s="19">
        <f>ROUND((Z721)*(1+'Data-CostAssumptions'!$G$3)^(AE721-'Data-CostAssumptions'!$G$4),-3)</f>
        <v>1241000</v>
      </c>
    </row>
    <row r="722" spans="1:34" ht="15" customHeight="1" x14ac:dyDescent="0.2">
      <c r="A722" s="11"/>
      <c r="B722" s="11" t="s">
        <v>1211</v>
      </c>
      <c r="C722" s="13">
        <v>516</v>
      </c>
      <c r="D722" s="13" t="s">
        <v>420</v>
      </c>
      <c r="E722" s="20">
        <v>181</v>
      </c>
      <c r="F722" s="20">
        <v>170</v>
      </c>
      <c r="G722" s="20">
        <v>721</v>
      </c>
      <c r="H722" s="13" t="s">
        <v>2708</v>
      </c>
      <c r="I722" s="13" t="str">
        <f t="shared" si="22"/>
        <v>SR 845/North Powerline Rd (Copans Rd to NW 33rd Court)</v>
      </c>
      <c r="J722" s="13" t="s">
        <v>27</v>
      </c>
      <c r="K722" s="13" t="str">
        <f>VLOOKUP(J722,'Data-ProjectTypes'!A$3:B$13,2,FALSE)</f>
        <v>Program</v>
      </c>
      <c r="L722" s="21" t="s">
        <v>348</v>
      </c>
      <c r="M722" s="13" t="s">
        <v>1836</v>
      </c>
      <c r="N722" s="13" t="s">
        <v>109</v>
      </c>
      <c r="O722" s="13" t="s">
        <v>270</v>
      </c>
      <c r="P722" s="13" t="s">
        <v>270</v>
      </c>
      <c r="Q722" s="22">
        <v>0.8</v>
      </c>
      <c r="R722" s="23">
        <v>285187</v>
      </c>
      <c r="S722" s="21"/>
      <c r="T722" s="21"/>
      <c r="U722" s="21"/>
      <c r="V722" s="24"/>
      <c r="W722" s="24"/>
      <c r="X722" s="24"/>
      <c r="Y722" s="17"/>
      <c r="Z722" s="18">
        <f>ROUND(R722*'Data-CostAssumptions'!$C$3,-3)</f>
        <v>395000</v>
      </c>
      <c r="AA722" s="11">
        <f t="shared" si="23"/>
        <v>0</v>
      </c>
      <c r="AB722" s="11">
        <v>2041</v>
      </c>
      <c r="AC722" s="11">
        <v>2041</v>
      </c>
      <c r="AD722" s="11">
        <v>2041</v>
      </c>
      <c r="AE722" s="11">
        <v>2041</v>
      </c>
      <c r="AF722" s="11">
        <v>0</v>
      </c>
      <c r="AG722" s="19">
        <f>ROUND((Z722*'Data-CostAssumptions'!$G$5)*(1+'Data-CostAssumptions'!$G$3)^(AC722-'Data-CostAssumptions'!$G$4),-3)</f>
        <v>223000</v>
      </c>
      <c r="AH722" s="19">
        <f>ROUND((Z722)*(1+'Data-CostAssumptions'!$G$3)^(AE722-'Data-CostAssumptions'!$G$4),-3)</f>
        <v>1013000</v>
      </c>
    </row>
    <row r="723" spans="1:34" ht="15" customHeight="1" x14ac:dyDescent="0.2">
      <c r="A723" s="11"/>
      <c r="B723" s="11" t="s">
        <v>1211</v>
      </c>
      <c r="C723" s="13">
        <v>517</v>
      </c>
      <c r="D723" s="13" t="s">
        <v>420</v>
      </c>
      <c r="E723" s="20">
        <v>190</v>
      </c>
      <c r="F723" s="20">
        <v>170</v>
      </c>
      <c r="G723" s="20">
        <v>722</v>
      </c>
      <c r="H723" s="13" t="s">
        <v>2104</v>
      </c>
      <c r="I723" s="13" t="str">
        <f t="shared" si="22"/>
        <v>SW 148th Av (Stirling Rd to Griffin Rd)</v>
      </c>
      <c r="J723" s="13" t="s">
        <v>27</v>
      </c>
      <c r="K723" s="13" t="str">
        <f>VLOOKUP(J723,'Data-ProjectTypes'!A$3:B$13,2,FALSE)</f>
        <v>Program</v>
      </c>
      <c r="L723" s="21" t="s">
        <v>348</v>
      </c>
      <c r="M723" s="13" t="s">
        <v>177</v>
      </c>
      <c r="N723" s="13" t="s">
        <v>1750</v>
      </c>
      <c r="O723" s="13" t="s">
        <v>272</v>
      </c>
      <c r="P723" s="13" t="s">
        <v>272</v>
      </c>
      <c r="Q723" s="22">
        <v>1.3</v>
      </c>
      <c r="R723" s="23">
        <v>457980</v>
      </c>
      <c r="S723" s="21" t="s">
        <v>24</v>
      </c>
      <c r="T723" s="21"/>
      <c r="U723" s="21"/>
      <c r="V723" s="24"/>
      <c r="W723" s="24" t="s">
        <v>785</v>
      </c>
      <c r="X723" s="24" t="s">
        <v>786</v>
      </c>
      <c r="Y723" s="17" t="s">
        <v>782</v>
      </c>
      <c r="Z723" s="18">
        <f>ROUND(R723*'Data-CostAssumptions'!$C$3,-3)</f>
        <v>634000</v>
      </c>
      <c r="AA723" s="11">
        <f t="shared" si="23"/>
        <v>1</v>
      </c>
      <c r="AB723" s="11">
        <v>2041</v>
      </c>
      <c r="AC723" s="11">
        <v>2041</v>
      </c>
      <c r="AD723" s="11">
        <v>2041</v>
      </c>
      <c r="AE723" s="11">
        <v>2041</v>
      </c>
      <c r="AF723" s="11">
        <v>0</v>
      </c>
      <c r="AG723" s="19">
        <f>ROUND((Z723*'Data-CostAssumptions'!$G$5)*(1+'Data-CostAssumptions'!$G$3)^(AC723-'Data-CostAssumptions'!$G$4),-3)</f>
        <v>358000</v>
      </c>
      <c r="AH723" s="19">
        <f>ROUND((Z723)*(1+'Data-CostAssumptions'!$G$3)^(AE723-'Data-CostAssumptions'!$G$4),-3)</f>
        <v>1626000</v>
      </c>
    </row>
    <row r="724" spans="1:34" ht="15" customHeight="1" x14ac:dyDescent="0.2">
      <c r="A724" s="11"/>
      <c r="B724" s="11" t="s">
        <v>1211</v>
      </c>
      <c r="C724" s="13">
        <v>518</v>
      </c>
      <c r="D724" s="13" t="s">
        <v>420</v>
      </c>
      <c r="E724" s="20">
        <v>206</v>
      </c>
      <c r="F724" s="20">
        <v>170</v>
      </c>
      <c r="G724" s="20">
        <v>723</v>
      </c>
      <c r="H724" s="13" t="s">
        <v>1968</v>
      </c>
      <c r="I724" s="13" t="str">
        <f t="shared" si="22"/>
        <v>Taft St (University Dr to NW 88th Terrace)</v>
      </c>
      <c r="J724" s="13" t="s">
        <v>27</v>
      </c>
      <c r="K724" s="13" t="str">
        <f>VLOOKUP(J724,'Data-ProjectTypes'!A$3:B$13,2,FALSE)</f>
        <v>Program</v>
      </c>
      <c r="L724" s="21" t="s">
        <v>348</v>
      </c>
      <c r="M724" s="13" t="s">
        <v>1804</v>
      </c>
      <c r="N724" s="13" t="s">
        <v>132</v>
      </c>
      <c r="O724" s="13" t="s">
        <v>271</v>
      </c>
      <c r="P724" s="13" t="s">
        <v>271</v>
      </c>
      <c r="Q724" s="22">
        <v>0.9</v>
      </c>
      <c r="R724" s="23">
        <v>322635</v>
      </c>
      <c r="S724" s="21"/>
      <c r="T724" s="21"/>
      <c r="U724" s="21"/>
      <c r="V724" s="24"/>
      <c r="W724" s="24"/>
      <c r="X724" s="24"/>
      <c r="Y724" s="17"/>
      <c r="Z724" s="18">
        <f>ROUND(R724*'Data-CostAssumptions'!$C$3,-3)</f>
        <v>447000</v>
      </c>
      <c r="AA724" s="11">
        <f t="shared" si="23"/>
        <v>0</v>
      </c>
      <c r="AB724" s="11">
        <v>2041</v>
      </c>
      <c r="AC724" s="11">
        <v>2041</v>
      </c>
      <c r="AD724" s="11">
        <v>2041</v>
      </c>
      <c r="AE724" s="11">
        <v>2041</v>
      </c>
      <c r="AF724" s="11">
        <v>0</v>
      </c>
      <c r="AG724" s="19">
        <f>ROUND((Z724*'Data-CostAssumptions'!$G$5)*(1+'Data-CostAssumptions'!$G$3)^(AC724-'Data-CostAssumptions'!$G$4),-3)</f>
        <v>252000</v>
      </c>
      <c r="AH724" s="19">
        <f>ROUND((Z724)*(1+'Data-CostAssumptions'!$G$3)^(AE724-'Data-CostAssumptions'!$G$4),-3)</f>
        <v>1146000</v>
      </c>
    </row>
    <row r="725" spans="1:34" ht="15" customHeight="1" x14ac:dyDescent="0.2">
      <c r="A725" s="11"/>
      <c r="B725" s="11" t="s">
        <v>1211</v>
      </c>
      <c r="C725" s="13">
        <v>519</v>
      </c>
      <c r="D725" s="13" t="s">
        <v>420</v>
      </c>
      <c r="E725" s="20">
        <v>207</v>
      </c>
      <c r="F725" s="20">
        <v>170</v>
      </c>
      <c r="G725" s="20">
        <v>724</v>
      </c>
      <c r="H725" s="13" t="s">
        <v>131</v>
      </c>
      <c r="I725" s="13" t="str">
        <f t="shared" si="22"/>
        <v>NW 85th Way (Taft St to Pasadena Bl)</v>
      </c>
      <c r="J725" s="13" t="s">
        <v>27</v>
      </c>
      <c r="K725" s="13" t="str">
        <f>VLOOKUP(J725,'Data-ProjectTypes'!A$3:B$13,2,FALSE)</f>
        <v>Program</v>
      </c>
      <c r="L725" s="21" t="s">
        <v>348</v>
      </c>
      <c r="M725" s="13" t="s">
        <v>1968</v>
      </c>
      <c r="N725" s="13" t="s">
        <v>1998</v>
      </c>
      <c r="O725" s="13" t="s">
        <v>271</v>
      </c>
      <c r="P725" s="13" t="s">
        <v>271</v>
      </c>
      <c r="Q725" s="22">
        <v>0.3</v>
      </c>
      <c r="R725" s="23">
        <v>121284</v>
      </c>
      <c r="S725" s="21"/>
      <c r="T725" s="21"/>
      <c r="U725" s="21"/>
      <c r="V725" s="24"/>
      <c r="W725" s="24"/>
      <c r="X725" s="24"/>
      <c r="Y725" s="17"/>
      <c r="Z725" s="18">
        <f>ROUND(R725*'Data-CostAssumptions'!$C$3,-3)</f>
        <v>168000</v>
      </c>
      <c r="AA725" s="11">
        <f t="shared" si="23"/>
        <v>0</v>
      </c>
      <c r="AB725" s="11">
        <v>2041</v>
      </c>
      <c r="AC725" s="11">
        <v>2041</v>
      </c>
      <c r="AD725" s="11">
        <v>2041</v>
      </c>
      <c r="AE725" s="11">
        <v>2041</v>
      </c>
      <c r="AF725" s="11">
        <v>0</v>
      </c>
      <c r="AG725" s="19">
        <f>ROUND((Z725*'Data-CostAssumptions'!$G$5)*(1+'Data-CostAssumptions'!$G$3)^(AC725-'Data-CostAssumptions'!$G$4),-3)</f>
        <v>95000</v>
      </c>
      <c r="AH725" s="19">
        <f>ROUND((Z725)*(1+'Data-CostAssumptions'!$G$3)^(AE725-'Data-CostAssumptions'!$G$4),-3)</f>
        <v>431000</v>
      </c>
    </row>
    <row r="726" spans="1:34" ht="15" customHeight="1" x14ac:dyDescent="0.2">
      <c r="A726" s="11"/>
      <c r="B726" s="11" t="s">
        <v>1211</v>
      </c>
      <c r="C726" s="13">
        <v>520</v>
      </c>
      <c r="D726" s="13" t="s">
        <v>420</v>
      </c>
      <c r="E726" s="20">
        <v>212</v>
      </c>
      <c r="F726" s="20">
        <v>170</v>
      </c>
      <c r="G726" s="20">
        <v>725</v>
      </c>
      <c r="H726" s="13" t="s">
        <v>57</v>
      </c>
      <c r="I726" s="13" t="str">
        <f t="shared" si="22"/>
        <v>SR 7/US 441 (Just south of Access Rd to Johnson Rd)</v>
      </c>
      <c r="J726" s="13" t="s">
        <v>27</v>
      </c>
      <c r="K726" s="13" t="str">
        <f>VLOOKUP(J726,'Data-ProjectTypes'!A$3:B$13,2,FALSE)</f>
        <v>Program</v>
      </c>
      <c r="L726" s="21" t="s">
        <v>348</v>
      </c>
      <c r="M726" s="13" t="s">
        <v>2428</v>
      </c>
      <c r="N726" s="13" t="s">
        <v>1850</v>
      </c>
      <c r="O726" s="13" t="s">
        <v>270</v>
      </c>
      <c r="P726" s="13" t="s">
        <v>270</v>
      </c>
      <c r="Q726" s="22">
        <v>1.1000000000000001</v>
      </c>
      <c r="R726" s="23">
        <v>385301</v>
      </c>
      <c r="S726" s="21" t="s">
        <v>24</v>
      </c>
      <c r="T726" s="21"/>
      <c r="U726" s="21"/>
      <c r="V726" s="24"/>
      <c r="W726" s="24"/>
      <c r="X726" s="24"/>
      <c r="Y726" s="17" t="s">
        <v>460</v>
      </c>
      <c r="Z726" s="18">
        <f>ROUND(R726*'Data-CostAssumptions'!$C$3,-3)</f>
        <v>533000</v>
      </c>
      <c r="AA726" s="11">
        <f t="shared" si="23"/>
        <v>0</v>
      </c>
      <c r="AB726" s="11">
        <v>2041</v>
      </c>
      <c r="AC726" s="11">
        <v>2041</v>
      </c>
      <c r="AD726" s="11">
        <v>2041</v>
      </c>
      <c r="AE726" s="11">
        <v>2041</v>
      </c>
      <c r="AF726" s="11">
        <v>0</v>
      </c>
      <c r="AG726" s="19">
        <f>ROUND((Z726*'Data-CostAssumptions'!$G$5)*(1+'Data-CostAssumptions'!$G$3)^(AC726-'Data-CostAssumptions'!$G$4),-3)</f>
        <v>301000</v>
      </c>
      <c r="AH726" s="19">
        <f>ROUND((Z726)*(1+'Data-CostAssumptions'!$G$3)^(AE726-'Data-CostAssumptions'!$G$4),-3)</f>
        <v>1367000</v>
      </c>
    </row>
    <row r="727" spans="1:34" ht="15" customHeight="1" x14ac:dyDescent="0.2">
      <c r="A727" s="11"/>
      <c r="B727" s="11" t="s">
        <v>1211</v>
      </c>
      <c r="C727" s="13">
        <v>522</v>
      </c>
      <c r="D727" s="13" t="s">
        <v>420</v>
      </c>
      <c r="E727" s="20">
        <v>220</v>
      </c>
      <c r="F727" s="20">
        <v>170</v>
      </c>
      <c r="G727" s="20">
        <v>726</v>
      </c>
      <c r="H727" s="13" t="s">
        <v>1932</v>
      </c>
      <c r="I727" s="13" t="str">
        <f t="shared" si="22"/>
        <v>NW 78th St (University Dr to NW 80th Av)</v>
      </c>
      <c r="J727" s="13" t="s">
        <v>27</v>
      </c>
      <c r="K727" s="13" t="str">
        <f>VLOOKUP(J727,'Data-ProjectTypes'!A$3:B$13,2,FALSE)</f>
        <v>Program</v>
      </c>
      <c r="L727" s="21" t="s">
        <v>348</v>
      </c>
      <c r="M727" s="13" t="s">
        <v>1804</v>
      </c>
      <c r="N727" s="13" t="s">
        <v>2248</v>
      </c>
      <c r="O727" s="13" t="s">
        <v>280</v>
      </c>
      <c r="P727" s="13" t="s">
        <v>280</v>
      </c>
      <c r="Q727" s="22">
        <v>0.4</v>
      </c>
      <c r="R727" s="23">
        <v>153294</v>
      </c>
      <c r="S727" s="21"/>
      <c r="T727" s="21"/>
      <c r="U727" s="21"/>
      <c r="V727" s="24"/>
      <c r="W727" s="24"/>
      <c r="X727" s="24"/>
      <c r="Y727" s="17"/>
      <c r="Z727" s="18">
        <f>ROUND(R727*'Data-CostAssumptions'!$C$3,-3)</f>
        <v>212000</v>
      </c>
      <c r="AA727" s="11">
        <f t="shared" si="23"/>
        <v>0</v>
      </c>
      <c r="AB727" s="11">
        <v>2041</v>
      </c>
      <c r="AC727" s="11">
        <v>2041</v>
      </c>
      <c r="AD727" s="11">
        <v>2041</v>
      </c>
      <c r="AE727" s="11">
        <v>2041</v>
      </c>
      <c r="AF727" s="11">
        <v>0</v>
      </c>
      <c r="AG727" s="19">
        <f>ROUND((Z727*'Data-CostAssumptions'!$G$5)*(1+'Data-CostAssumptions'!$G$3)^(AC727-'Data-CostAssumptions'!$G$4),-3)</f>
        <v>120000</v>
      </c>
      <c r="AH727" s="19">
        <f>ROUND((Z727)*(1+'Data-CostAssumptions'!$G$3)^(AE727-'Data-CostAssumptions'!$G$4),-3)</f>
        <v>544000</v>
      </c>
    </row>
    <row r="728" spans="1:34" ht="15" customHeight="1" x14ac:dyDescent="0.2">
      <c r="A728" s="11"/>
      <c r="B728" s="11" t="s">
        <v>1211</v>
      </c>
      <c r="C728" s="13">
        <v>523</v>
      </c>
      <c r="D728" s="13" t="s">
        <v>420</v>
      </c>
      <c r="E728" s="20">
        <v>222</v>
      </c>
      <c r="F728" s="20">
        <v>170</v>
      </c>
      <c r="G728" s="20">
        <v>727</v>
      </c>
      <c r="H728" s="13" t="s">
        <v>1189</v>
      </c>
      <c r="I728" s="13" t="str">
        <f t="shared" si="22"/>
        <v>NW 44th St (Access Rd to Pine Island Rd)</v>
      </c>
      <c r="J728" s="13" t="s">
        <v>27</v>
      </c>
      <c r="K728" s="13" t="str">
        <f>VLOOKUP(J728,'Data-ProjectTypes'!A$3:B$13,2,FALSE)</f>
        <v>Program</v>
      </c>
      <c r="L728" s="21" t="s">
        <v>809</v>
      </c>
      <c r="M728" s="13" t="s">
        <v>1743</v>
      </c>
      <c r="N728" s="13" t="s">
        <v>266</v>
      </c>
      <c r="O728" s="13" t="s">
        <v>278</v>
      </c>
      <c r="P728" s="13" t="s">
        <v>278</v>
      </c>
      <c r="Q728" s="22">
        <v>0.9</v>
      </c>
      <c r="R728" s="23">
        <v>322041</v>
      </c>
      <c r="S728" s="21" t="s">
        <v>24</v>
      </c>
      <c r="T728" s="21" t="s">
        <v>25</v>
      </c>
      <c r="U728" s="21" t="s">
        <v>24</v>
      </c>
      <c r="V728" s="24" t="s">
        <v>808</v>
      </c>
      <c r="W728" s="24"/>
      <c r="X728" s="24" t="s">
        <v>807</v>
      </c>
      <c r="Y728" s="17" t="s">
        <v>806</v>
      </c>
      <c r="Z728" s="18">
        <f>ROUND(R728*'Data-CostAssumptions'!$C$3,-3)</f>
        <v>446000</v>
      </c>
      <c r="AA728" s="11">
        <f t="shared" si="23"/>
        <v>1</v>
      </c>
      <c r="AB728" s="11">
        <v>2041</v>
      </c>
      <c r="AC728" s="11">
        <v>2041</v>
      </c>
      <c r="AD728" s="11">
        <v>2041</v>
      </c>
      <c r="AE728" s="11">
        <v>2041</v>
      </c>
      <c r="AF728" s="11">
        <v>0</v>
      </c>
      <c r="AG728" s="19">
        <f>ROUND((Z728*'Data-CostAssumptions'!$G$5)*(1+'Data-CostAssumptions'!$G$3)^(AC728-'Data-CostAssumptions'!$G$4),-3)</f>
        <v>252000</v>
      </c>
      <c r="AH728" s="19">
        <f>ROUND((Z728)*(1+'Data-CostAssumptions'!$G$3)^(AE728-'Data-CostAssumptions'!$G$4),-3)</f>
        <v>1144000</v>
      </c>
    </row>
    <row r="729" spans="1:34" ht="15" customHeight="1" x14ac:dyDescent="0.2">
      <c r="A729" s="11"/>
      <c r="B729" s="11" t="s">
        <v>1211</v>
      </c>
      <c r="C729" s="13">
        <v>524</v>
      </c>
      <c r="D729" s="13" t="s">
        <v>420</v>
      </c>
      <c r="E729" s="20">
        <v>225</v>
      </c>
      <c r="F729" s="20">
        <v>170</v>
      </c>
      <c r="G729" s="20">
        <v>728</v>
      </c>
      <c r="H729" s="13" t="s">
        <v>1917</v>
      </c>
      <c r="I729" s="13" t="str">
        <f t="shared" si="22"/>
        <v>NW 38th St (NW 16th St to NW 19th St)</v>
      </c>
      <c r="J729" s="13" t="s">
        <v>27</v>
      </c>
      <c r="K729" s="13" t="str">
        <f>VLOOKUP(J729,'Data-ProjectTypes'!A$3:B$13,2,FALSE)</f>
        <v>Program</v>
      </c>
      <c r="L729" s="21" t="s">
        <v>348</v>
      </c>
      <c r="M729" s="13" t="s">
        <v>1910</v>
      </c>
      <c r="N729" s="13" t="s">
        <v>1911</v>
      </c>
      <c r="O729" s="13" t="s">
        <v>273</v>
      </c>
      <c r="P729" s="13" t="s">
        <v>273</v>
      </c>
      <c r="Q729" s="22">
        <v>0.3</v>
      </c>
      <c r="R729" s="23">
        <v>111419</v>
      </c>
      <c r="S729" s="21"/>
      <c r="T729" s="21"/>
      <c r="U729" s="21"/>
      <c r="V729" s="24"/>
      <c r="W729" s="24"/>
      <c r="X729" s="24"/>
      <c r="Y729" s="17"/>
      <c r="Z729" s="18">
        <f>ROUND(R729*'Data-CostAssumptions'!$C$3,-3)</f>
        <v>154000</v>
      </c>
      <c r="AA729" s="11">
        <f t="shared" si="23"/>
        <v>0</v>
      </c>
      <c r="AB729" s="11">
        <v>2041</v>
      </c>
      <c r="AC729" s="11">
        <v>2041</v>
      </c>
      <c r="AD729" s="11">
        <v>2041</v>
      </c>
      <c r="AE729" s="11">
        <v>2041</v>
      </c>
      <c r="AF729" s="11">
        <v>0</v>
      </c>
      <c r="AG729" s="19">
        <f>ROUND((Z729*'Data-CostAssumptions'!$G$5)*(1+'Data-CostAssumptions'!$G$3)^(AC729-'Data-CostAssumptions'!$G$4),-3)</f>
        <v>87000</v>
      </c>
      <c r="AH729" s="19">
        <f>ROUND((Z729)*(1+'Data-CostAssumptions'!$G$3)^(AE729-'Data-CostAssumptions'!$G$4),-3)</f>
        <v>395000</v>
      </c>
    </row>
    <row r="730" spans="1:34" ht="15" customHeight="1" x14ac:dyDescent="0.2">
      <c r="A730" s="11"/>
      <c r="B730" s="11" t="s">
        <v>1211</v>
      </c>
      <c r="C730" s="13">
        <v>525</v>
      </c>
      <c r="D730" s="13" t="s">
        <v>420</v>
      </c>
      <c r="E730" s="20">
        <v>236</v>
      </c>
      <c r="F730" s="20">
        <v>170</v>
      </c>
      <c r="G730" s="20">
        <v>729</v>
      </c>
      <c r="H730" s="13" t="s">
        <v>2018</v>
      </c>
      <c r="I730" s="13" t="str">
        <f t="shared" si="22"/>
        <v>Cypress Rd/NW 69th Av (NW 69th Av to NW 70th Av)</v>
      </c>
      <c r="J730" s="13" t="s">
        <v>27</v>
      </c>
      <c r="K730" s="13" t="str">
        <f>VLOOKUP(J730,'Data-ProjectTypes'!A$3:B$13,2,FALSE)</f>
        <v>Program</v>
      </c>
      <c r="L730" s="21" t="s">
        <v>348</v>
      </c>
      <c r="M730" s="13" t="s">
        <v>2343</v>
      </c>
      <c r="N730" s="13" t="s">
        <v>2078</v>
      </c>
      <c r="O730" s="13" t="s">
        <v>284</v>
      </c>
      <c r="P730" s="13" t="s">
        <v>284</v>
      </c>
      <c r="Q730" s="22">
        <v>0.4</v>
      </c>
      <c r="R730" s="23">
        <v>152194</v>
      </c>
      <c r="S730" s="21"/>
      <c r="T730" s="21"/>
      <c r="U730" s="21"/>
      <c r="V730" s="24"/>
      <c r="W730" s="24"/>
      <c r="X730" s="24"/>
      <c r="Y730" s="17"/>
      <c r="Z730" s="18">
        <f>ROUND(R730*'Data-CostAssumptions'!$C$3,-3)</f>
        <v>211000</v>
      </c>
      <c r="AA730" s="11">
        <f t="shared" si="23"/>
        <v>0</v>
      </c>
      <c r="AB730" s="11">
        <v>2041</v>
      </c>
      <c r="AC730" s="11">
        <v>2041</v>
      </c>
      <c r="AD730" s="11">
        <v>2041</v>
      </c>
      <c r="AE730" s="11">
        <v>2041</v>
      </c>
      <c r="AF730" s="11">
        <v>0</v>
      </c>
      <c r="AG730" s="19">
        <f>ROUND((Z730*'Data-CostAssumptions'!$G$5)*(1+'Data-CostAssumptions'!$G$3)^(AC730-'Data-CostAssumptions'!$G$4),-3)</f>
        <v>119000</v>
      </c>
      <c r="AH730" s="19">
        <f>ROUND((Z730)*(1+'Data-CostAssumptions'!$G$3)^(AE730-'Data-CostAssumptions'!$G$4),-3)</f>
        <v>541000</v>
      </c>
    </row>
    <row r="731" spans="1:34" ht="15" customHeight="1" x14ac:dyDescent="0.2">
      <c r="A731" s="11"/>
      <c r="B731" s="11" t="s">
        <v>1211</v>
      </c>
      <c r="C731" s="13">
        <v>526</v>
      </c>
      <c r="D731" s="13" t="s">
        <v>420</v>
      </c>
      <c r="E731" s="20">
        <v>251</v>
      </c>
      <c r="F731" s="20">
        <v>170</v>
      </c>
      <c r="G731" s="20">
        <v>730</v>
      </c>
      <c r="H731" s="13" t="s">
        <v>1763</v>
      </c>
      <c r="I731" s="13" t="str">
        <f t="shared" si="22"/>
        <v>Peters Rd (SW 13th St to SW 63rd Av)</v>
      </c>
      <c r="J731" s="13" t="s">
        <v>27</v>
      </c>
      <c r="K731" s="13" t="str">
        <f>VLOOKUP(J731,'Data-ProjectTypes'!A$3:B$13,2,FALSE)</f>
        <v>Program</v>
      </c>
      <c r="L731" s="21" t="s">
        <v>348</v>
      </c>
      <c r="M731" s="13" t="s">
        <v>2549</v>
      </c>
      <c r="N731" s="13" t="s">
        <v>2254</v>
      </c>
      <c r="O731" s="13" t="s">
        <v>273</v>
      </c>
      <c r="P731" s="13" t="s">
        <v>273</v>
      </c>
      <c r="Q731" s="22">
        <v>0.1</v>
      </c>
      <c r="R731" s="23">
        <v>43463</v>
      </c>
      <c r="S731" s="21"/>
      <c r="T731" s="21"/>
      <c r="U731" s="21"/>
      <c r="V731" s="24"/>
      <c r="W731" s="24"/>
      <c r="X731" s="24"/>
      <c r="Y731" s="17"/>
      <c r="Z731" s="18">
        <f>ROUND(R731*'Data-CostAssumptions'!$C$3,-3)</f>
        <v>60000</v>
      </c>
      <c r="AA731" s="11">
        <f t="shared" si="23"/>
        <v>0</v>
      </c>
      <c r="AB731" s="11">
        <v>2041</v>
      </c>
      <c r="AC731" s="11">
        <v>2041</v>
      </c>
      <c r="AD731" s="11">
        <v>2041</v>
      </c>
      <c r="AE731" s="11">
        <v>2041</v>
      </c>
      <c r="AF731" s="11">
        <v>0</v>
      </c>
      <c r="AG731" s="19">
        <f>ROUND((Z731*'Data-CostAssumptions'!$G$5)*(1+'Data-CostAssumptions'!$G$3)^(AC731-'Data-CostAssumptions'!$G$4),-3)</f>
        <v>34000</v>
      </c>
      <c r="AH731" s="19">
        <f>ROUND((Z731)*(1+'Data-CostAssumptions'!$G$3)^(AE731-'Data-CostAssumptions'!$G$4),-3)</f>
        <v>154000</v>
      </c>
    </row>
    <row r="732" spans="1:34" ht="15" customHeight="1" x14ac:dyDescent="0.2">
      <c r="A732" s="11"/>
      <c r="B732" s="11" t="s">
        <v>1211</v>
      </c>
      <c r="C732" s="13">
        <v>527</v>
      </c>
      <c r="D732" s="13" t="s">
        <v>420</v>
      </c>
      <c r="E732" s="20">
        <v>273</v>
      </c>
      <c r="F732" s="20">
        <v>170</v>
      </c>
      <c r="G732" s="20">
        <v>731</v>
      </c>
      <c r="H732" s="13" t="s">
        <v>2784</v>
      </c>
      <c r="I732" s="13" t="str">
        <f t="shared" si="22"/>
        <v>SR 818/Griffin Rd (Nob Hill Rd to Flamingo Rd)</v>
      </c>
      <c r="J732" s="13" t="s">
        <v>27</v>
      </c>
      <c r="K732" s="13" t="str">
        <f>VLOOKUP(J732,'Data-ProjectTypes'!A$3:B$13,2,FALSE)</f>
        <v>Program</v>
      </c>
      <c r="L732" s="21" t="s">
        <v>348</v>
      </c>
      <c r="M732" s="13" t="s">
        <v>1755</v>
      </c>
      <c r="N732" s="13" t="s">
        <v>159</v>
      </c>
      <c r="O732" s="13" t="s">
        <v>270</v>
      </c>
      <c r="P732" s="13" t="s">
        <v>270</v>
      </c>
      <c r="Q732" s="22">
        <v>2.2000000000000002</v>
      </c>
      <c r="R732" s="23">
        <v>777069</v>
      </c>
      <c r="S732" s="21" t="s">
        <v>24</v>
      </c>
      <c r="T732" s="21"/>
      <c r="U732" s="21"/>
      <c r="V732" s="24"/>
      <c r="W732" s="24"/>
      <c r="X732" s="24"/>
      <c r="Y732" s="17" t="s">
        <v>469</v>
      </c>
      <c r="Z732" s="18">
        <f>ROUND(R732*'Data-CostAssumptions'!$C$3,-3)</f>
        <v>1075000</v>
      </c>
      <c r="AA732" s="11">
        <f t="shared" si="23"/>
        <v>0</v>
      </c>
      <c r="AB732" s="11">
        <v>2041</v>
      </c>
      <c r="AC732" s="11">
        <v>2041</v>
      </c>
      <c r="AD732" s="11">
        <v>2041</v>
      </c>
      <c r="AE732" s="11">
        <v>2041</v>
      </c>
      <c r="AF732" s="11">
        <v>0</v>
      </c>
      <c r="AG732" s="19">
        <f>ROUND((Z732*'Data-CostAssumptions'!$G$5)*(1+'Data-CostAssumptions'!$G$3)^(AC732-'Data-CostAssumptions'!$G$4),-3)</f>
        <v>606000</v>
      </c>
      <c r="AH732" s="19">
        <f>ROUND((Z732)*(1+'Data-CostAssumptions'!$G$3)^(AE732-'Data-CostAssumptions'!$G$4),-3)</f>
        <v>2756000</v>
      </c>
    </row>
    <row r="733" spans="1:34" ht="15" customHeight="1" x14ac:dyDescent="0.2">
      <c r="A733" s="11"/>
      <c r="B733" s="11" t="s">
        <v>1211</v>
      </c>
      <c r="C733" s="13">
        <v>528</v>
      </c>
      <c r="D733" s="13" t="s">
        <v>420</v>
      </c>
      <c r="E733" s="20">
        <v>276</v>
      </c>
      <c r="F733" s="20">
        <v>171</v>
      </c>
      <c r="G733" s="20">
        <v>732</v>
      </c>
      <c r="H733" s="13" t="s">
        <v>177</v>
      </c>
      <c r="I733" s="13" t="str">
        <f t="shared" si="22"/>
        <v>Stirling Rd (Flamingo Rd to SW 148th Av)</v>
      </c>
      <c r="J733" s="13" t="s">
        <v>27</v>
      </c>
      <c r="K733" s="13" t="str">
        <f>VLOOKUP(J733,'Data-ProjectTypes'!A$3:B$13,2,FALSE)</f>
        <v>Program</v>
      </c>
      <c r="L733" s="21" t="s">
        <v>348</v>
      </c>
      <c r="M733" s="13" t="s">
        <v>159</v>
      </c>
      <c r="N733" s="13" t="s">
        <v>2104</v>
      </c>
      <c r="O733" s="13" t="s">
        <v>272</v>
      </c>
      <c r="P733" s="13" t="s">
        <v>272</v>
      </c>
      <c r="Q733" s="22">
        <v>2</v>
      </c>
      <c r="R733" s="23">
        <v>713434</v>
      </c>
      <c r="S733" s="21" t="s">
        <v>24</v>
      </c>
      <c r="T733" s="21"/>
      <c r="U733" s="21"/>
      <c r="V733" s="24"/>
      <c r="W733" s="24" t="s">
        <v>784</v>
      </c>
      <c r="X733" s="37" t="s">
        <v>3240</v>
      </c>
      <c r="Y733" s="17" t="s">
        <v>782</v>
      </c>
      <c r="Z733" s="18">
        <f>ROUND(R733*'Data-CostAssumptions'!$C$3,-3)</f>
        <v>987000</v>
      </c>
      <c r="AA733" s="11">
        <f t="shared" si="23"/>
        <v>1</v>
      </c>
      <c r="AB733" s="11">
        <v>2041</v>
      </c>
      <c r="AC733" s="11">
        <v>2041</v>
      </c>
      <c r="AD733" s="11">
        <v>2041</v>
      </c>
      <c r="AE733" s="11">
        <v>2041</v>
      </c>
      <c r="AF733" s="11">
        <v>0</v>
      </c>
      <c r="AG733" s="19">
        <f>ROUND((Z733*'Data-CostAssumptions'!$G$5)*(1+'Data-CostAssumptions'!$G$3)^(AC733-'Data-CostAssumptions'!$G$4),-3)</f>
        <v>557000</v>
      </c>
      <c r="AH733" s="19">
        <f>ROUND((Z733)*(1+'Data-CostAssumptions'!$G$3)^(AE733-'Data-CostAssumptions'!$G$4),-3)</f>
        <v>2531000</v>
      </c>
    </row>
    <row r="734" spans="1:34" ht="15" customHeight="1" x14ac:dyDescent="0.2">
      <c r="A734" s="11"/>
      <c r="B734" s="11" t="s">
        <v>1211</v>
      </c>
      <c r="C734" s="13">
        <v>529</v>
      </c>
      <c r="D734" s="13" t="s">
        <v>420</v>
      </c>
      <c r="E734" s="20">
        <v>279</v>
      </c>
      <c r="F734" s="20">
        <v>171</v>
      </c>
      <c r="G734" s="20">
        <v>733</v>
      </c>
      <c r="H734" s="13" t="s">
        <v>2055</v>
      </c>
      <c r="I734" s="13" t="str">
        <f t="shared" si="22"/>
        <v>NW 196th Av (Taft St to Sheridan St)</v>
      </c>
      <c r="J734" s="13" t="s">
        <v>27</v>
      </c>
      <c r="K734" s="13" t="str">
        <f>VLOOKUP(J734,'Data-ProjectTypes'!A$3:B$13,2,FALSE)</f>
        <v>Program</v>
      </c>
      <c r="L734" s="21" t="s">
        <v>348</v>
      </c>
      <c r="M734" s="13" t="s">
        <v>1968</v>
      </c>
      <c r="N734" s="13" t="s">
        <v>1951</v>
      </c>
      <c r="O734" s="13" t="s">
        <v>271</v>
      </c>
      <c r="P734" s="13" t="s">
        <v>271</v>
      </c>
      <c r="Q734" s="22">
        <v>0.7</v>
      </c>
      <c r="R734" s="23">
        <v>245220</v>
      </c>
      <c r="S734" s="21"/>
      <c r="T734" s="21"/>
      <c r="U734" s="21"/>
      <c r="V734" s="24"/>
      <c r="W734" s="24"/>
      <c r="X734" s="24"/>
      <c r="Y734" s="17"/>
      <c r="Z734" s="18">
        <f>ROUND(R734*'Data-CostAssumptions'!$C$3,-3)</f>
        <v>339000</v>
      </c>
      <c r="AA734" s="11">
        <f t="shared" si="23"/>
        <v>0</v>
      </c>
      <c r="AB734" s="11">
        <v>2041</v>
      </c>
      <c r="AC734" s="11">
        <v>2041</v>
      </c>
      <c r="AD734" s="11">
        <v>2041</v>
      </c>
      <c r="AE734" s="11">
        <v>2041</v>
      </c>
      <c r="AF734" s="11">
        <v>0</v>
      </c>
      <c r="AG734" s="19">
        <f>ROUND((Z734*'Data-CostAssumptions'!$G$5)*(1+'Data-CostAssumptions'!$G$3)^(AC734-'Data-CostAssumptions'!$G$4),-3)</f>
        <v>191000</v>
      </c>
      <c r="AH734" s="19">
        <f>ROUND((Z734)*(1+'Data-CostAssumptions'!$G$3)^(AE734-'Data-CostAssumptions'!$G$4),-3)</f>
        <v>869000</v>
      </c>
    </row>
    <row r="735" spans="1:34" ht="15" customHeight="1" x14ac:dyDescent="0.2">
      <c r="A735" s="11"/>
      <c r="B735" s="11" t="s">
        <v>1211</v>
      </c>
      <c r="C735" s="13">
        <v>530</v>
      </c>
      <c r="D735" s="13" t="s">
        <v>420</v>
      </c>
      <c r="E735" s="20">
        <v>314</v>
      </c>
      <c r="F735" s="20">
        <v>171</v>
      </c>
      <c r="G735" s="20">
        <v>734</v>
      </c>
      <c r="H735" s="13" t="s">
        <v>2046</v>
      </c>
      <c r="I735" s="13" t="str">
        <f t="shared" si="22"/>
        <v>North Andrews Av (NE 45th St/Floranada Rd to Commercial Bl)</v>
      </c>
      <c r="J735" s="13" t="s">
        <v>27</v>
      </c>
      <c r="K735" s="13" t="str">
        <f>VLOOKUP(J735,'Data-ProjectTypes'!A$3:B$13,2,FALSE)</f>
        <v>Program</v>
      </c>
      <c r="L735" s="21" t="s">
        <v>348</v>
      </c>
      <c r="M735" s="13" t="s">
        <v>1894</v>
      </c>
      <c r="N735" s="13" t="s">
        <v>1813</v>
      </c>
      <c r="O735" s="13" t="s">
        <v>273</v>
      </c>
      <c r="P735" s="13" t="s">
        <v>273</v>
      </c>
      <c r="Q735" s="22">
        <v>0.5</v>
      </c>
      <c r="R735" s="23">
        <v>163422</v>
      </c>
      <c r="S735" s="21"/>
      <c r="T735" s="21"/>
      <c r="U735" s="21"/>
      <c r="V735" s="24"/>
      <c r="W735" s="24" t="s">
        <v>696</v>
      </c>
      <c r="X735" s="24"/>
      <c r="Y735" s="17" t="s">
        <v>287</v>
      </c>
      <c r="Z735" s="18">
        <f>ROUND(R735*'Data-CostAssumptions'!$C$3,-3)</f>
        <v>226000</v>
      </c>
      <c r="AA735" s="11">
        <f t="shared" si="23"/>
        <v>1</v>
      </c>
      <c r="AB735" s="11">
        <v>2041</v>
      </c>
      <c r="AC735" s="11">
        <v>2041</v>
      </c>
      <c r="AD735" s="11">
        <v>2041</v>
      </c>
      <c r="AE735" s="11">
        <v>2041</v>
      </c>
      <c r="AF735" s="11">
        <v>0</v>
      </c>
      <c r="AG735" s="19">
        <f>ROUND((Z735*'Data-CostAssumptions'!$G$5)*(1+'Data-CostAssumptions'!$G$3)^(AC735-'Data-CostAssumptions'!$G$4),-3)</f>
        <v>127000</v>
      </c>
      <c r="AH735" s="19">
        <f>ROUND((Z735)*(1+'Data-CostAssumptions'!$G$3)^(AE735-'Data-CostAssumptions'!$G$4),-3)</f>
        <v>579000</v>
      </c>
    </row>
    <row r="736" spans="1:34" ht="15" customHeight="1" x14ac:dyDescent="0.2">
      <c r="A736" s="11"/>
      <c r="B736" s="11" t="s">
        <v>1211</v>
      </c>
      <c r="C736" s="13">
        <v>531</v>
      </c>
      <c r="D736" s="13" t="s">
        <v>420</v>
      </c>
      <c r="E736" s="20">
        <v>333</v>
      </c>
      <c r="F736" s="20">
        <v>171</v>
      </c>
      <c r="G736" s="20">
        <v>735</v>
      </c>
      <c r="H736" s="13" t="s">
        <v>1960</v>
      </c>
      <c r="I736" s="13" t="str">
        <f t="shared" si="22"/>
        <v>SW 26th St/Hiatus Rd (Hiatus Rd to Flamingo Rd)</v>
      </c>
      <c r="J736" s="13" t="s">
        <v>27</v>
      </c>
      <c r="K736" s="13" t="str">
        <f>VLOOKUP(J736,'Data-ProjectTypes'!A$3:B$13,2,FALSE)</f>
        <v>Program</v>
      </c>
      <c r="L736" s="21" t="s">
        <v>348</v>
      </c>
      <c r="M736" s="13" t="s">
        <v>1752</v>
      </c>
      <c r="N736" s="13" t="s">
        <v>159</v>
      </c>
      <c r="O736" s="13" t="s">
        <v>279</v>
      </c>
      <c r="P736" s="13" t="s">
        <v>279</v>
      </c>
      <c r="Q736" s="22">
        <v>1.8</v>
      </c>
      <c r="R736" s="23">
        <v>644819</v>
      </c>
      <c r="S736" s="21" t="s">
        <v>24</v>
      </c>
      <c r="T736" s="21" t="s">
        <v>471</v>
      </c>
      <c r="U736" s="21"/>
      <c r="V736" s="24"/>
      <c r="W736" s="24"/>
      <c r="X736" s="24" t="s">
        <v>472</v>
      </c>
      <c r="Y736" s="17" t="s">
        <v>469</v>
      </c>
      <c r="Z736" s="18">
        <f>ROUND(R736*'Data-CostAssumptions'!$C$3,-3)</f>
        <v>892000</v>
      </c>
      <c r="AA736" s="11">
        <f t="shared" si="23"/>
        <v>0</v>
      </c>
      <c r="AB736" s="11">
        <v>2041</v>
      </c>
      <c r="AC736" s="11">
        <v>2041</v>
      </c>
      <c r="AD736" s="11">
        <v>2041</v>
      </c>
      <c r="AE736" s="11">
        <v>2041</v>
      </c>
      <c r="AF736" s="11">
        <v>0</v>
      </c>
      <c r="AG736" s="19">
        <f>ROUND((Z736*'Data-CostAssumptions'!$G$5)*(1+'Data-CostAssumptions'!$G$3)^(AC736-'Data-CostAssumptions'!$G$4),-3)</f>
        <v>503000</v>
      </c>
      <c r="AH736" s="19">
        <f>ROUND((Z736)*(1+'Data-CostAssumptions'!$G$3)^(AE736-'Data-CostAssumptions'!$G$4),-3)</f>
        <v>2287000</v>
      </c>
    </row>
    <row r="737" spans="1:34" ht="15" customHeight="1" x14ac:dyDescent="0.2">
      <c r="A737" s="11"/>
      <c r="B737" s="11" t="s">
        <v>1211</v>
      </c>
      <c r="C737" s="13">
        <v>532</v>
      </c>
      <c r="D737" s="13" t="s">
        <v>420</v>
      </c>
      <c r="E737" s="20">
        <v>344</v>
      </c>
      <c r="F737" s="20">
        <v>171</v>
      </c>
      <c r="G737" s="20">
        <v>736</v>
      </c>
      <c r="H737" s="13" t="s">
        <v>1759</v>
      </c>
      <c r="I737" s="13" t="str">
        <f t="shared" si="22"/>
        <v>North Park Rd (Harding St to Lee St)</v>
      </c>
      <c r="J737" s="13" t="s">
        <v>27</v>
      </c>
      <c r="K737" s="13" t="str">
        <f>VLOOKUP(J737,'Data-ProjectTypes'!A$3:B$13,2,FALSE)</f>
        <v>Program</v>
      </c>
      <c r="L737" s="21" t="s">
        <v>543</v>
      </c>
      <c r="M737" s="13" t="s">
        <v>2517</v>
      </c>
      <c r="N737" s="13" t="s">
        <v>2527</v>
      </c>
      <c r="O737" s="13" t="s">
        <v>282</v>
      </c>
      <c r="P737" s="13" t="s">
        <v>282</v>
      </c>
      <c r="Q737" s="22">
        <v>0.2</v>
      </c>
      <c r="R737" s="23">
        <v>69425</v>
      </c>
      <c r="S737" s="21" t="s">
        <v>24</v>
      </c>
      <c r="T737" s="21" t="s">
        <v>25</v>
      </c>
      <c r="U737" s="21" t="s">
        <v>24</v>
      </c>
      <c r="V737" s="24" t="s">
        <v>554</v>
      </c>
      <c r="W737" s="24"/>
      <c r="X737" s="24"/>
      <c r="Y737" s="17" t="s">
        <v>538</v>
      </c>
      <c r="Z737" s="18">
        <f>ROUND(R737*'Data-CostAssumptions'!$C$3,-3)</f>
        <v>96000</v>
      </c>
      <c r="AA737" s="11">
        <f t="shared" si="23"/>
        <v>1</v>
      </c>
      <c r="AB737" s="11">
        <v>2041</v>
      </c>
      <c r="AC737" s="11">
        <v>2041</v>
      </c>
      <c r="AD737" s="11">
        <v>2041</v>
      </c>
      <c r="AE737" s="11">
        <v>2041</v>
      </c>
      <c r="AF737" s="11">
        <v>0</v>
      </c>
      <c r="AG737" s="19">
        <f>ROUND((Z737*'Data-CostAssumptions'!$G$5)*(1+'Data-CostAssumptions'!$G$3)^(AC737-'Data-CostAssumptions'!$G$4),-3)</f>
        <v>54000</v>
      </c>
      <c r="AH737" s="19">
        <f>ROUND((Z737)*(1+'Data-CostAssumptions'!$G$3)^(AE737-'Data-CostAssumptions'!$G$4),-3)</f>
        <v>246000</v>
      </c>
    </row>
    <row r="738" spans="1:34" ht="15" customHeight="1" x14ac:dyDescent="0.2">
      <c r="A738" s="11"/>
      <c r="B738" s="11" t="s">
        <v>1211</v>
      </c>
      <c r="C738" s="13">
        <v>533</v>
      </c>
      <c r="D738" s="13" t="s">
        <v>420</v>
      </c>
      <c r="E738" s="20">
        <v>346</v>
      </c>
      <c r="F738" s="20">
        <v>171</v>
      </c>
      <c r="G738" s="20">
        <v>737</v>
      </c>
      <c r="H738" s="13" t="s">
        <v>1957</v>
      </c>
      <c r="I738" s="13" t="str">
        <f t="shared" si="22"/>
        <v>SW 20th St (SW 12th Av to SW 19th Av)</v>
      </c>
      <c r="J738" s="13" t="s">
        <v>27</v>
      </c>
      <c r="K738" s="13" t="str">
        <f>VLOOKUP(J738,'Data-ProjectTypes'!A$3:B$13,2,FALSE)</f>
        <v>Program</v>
      </c>
      <c r="L738" s="21" t="s">
        <v>348</v>
      </c>
      <c r="M738" s="13" t="s">
        <v>2390</v>
      </c>
      <c r="N738" s="13" t="s">
        <v>2270</v>
      </c>
      <c r="O738" s="13" t="s">
        <v>276</v>
      </c>
      <c r="P738" s="13" t="s">
        <v>276</v>
      </c>
      <c r="Q738" s="22">
        <v>0.6</v>
      </c>
      <c r="R738" s="23">
        <v>203278</v>
      </c>
      <c r="S738" s="21"/>
      <c r="T738" s="21"/>
      <c r="U738" s="21"/>
      <c r="V738" s="24"/>
      <c r="W738" s="24"/>
      <c r="X738" s="24"/>
      <c r="Y738" s="17"/>
      <c r="Z738" s="18">
        <f>ROUND(R738*'Data-CostAssumptions'!$C$3,-3)</f>
        <v>281000</v>
      </c>
      <c r="AA738" s="11">
        <f t="shared" si="23"/>
        <v>0</v>
      </c>
      <c r="AB738" s="11">
        <v>2041</v>
      </c>
      <c r="AC738" s="11">
        <v>2041</v>
      </c>
      <c r="AD738" s="11">
        <v>2041</v>
      </c>
      <c r="AE738" s="11">
        <v>2041</v>
      </c>
      <c r="AF738" s="11">
        <v>0</v>
      </c>
      <c r="AG738" s="19">
        <f>ROUND((Z738*'Data-CostAssumptions'!$G$5)*(1+'Data-CostAssumptions'!$G$3)^(AC738-'Data-CostAssumptions'!$G$4),-3)</f>
        <v>159000</v>
      </c>
      <c r="AH738" s="19">
        <f>ROUND((Z738)*(1+'Data-CostAssumptions'!$G$3)^(AE738-'Data-CostAssumptions'!$G$4),-3)</f>
        <v>720000</v>
      </c>
    </row>
    <row r="739" spans="1:34" ht="15" customHeight="1" x14ac:dyDescent="0.2">
      <c r="A739" s="11"/>
      <c r="B739" s="11" t="s">
        <v>1211</v>
      </c>
      <c r="C739" s="13">
        <v>534</v>
      </c>
      <c r="D739" s="13" t="s">
        <v>420</v>
      </c>
      <c r="E739" s="20">
        <v>349</v>
      </c>
      <c r="F739" s="20">
        <v>171</v>
      </c>
      <c r="G739" s="20">
        <v>738</v>
      </c>
      <c r="H739" s="13" t="s">
        <v>60</v>
      </c>
      <c r="I739" s="13" t="str">
        <f t="shared" si="22"/>
        <v>NW 15th Court (NW 23rd Av to NW 27th Av)</v>
      </c>
      <c r="J739" s="13" t="s">
        <v>27</v>
      </c>
      <c r="K739" s="13" t="str">
        <f>VLOOKUP(J739,'Data-ProjectTypes'!A$3:B$13,2,FALSE)</f>
        <v>Program</v>
      </c>
      <c r="L739" s="21" t="s">
        <v>348</v>
      </c>
      <c r="M739" s="13" t="s">
        <v>2365</v>
      </c>
      <c r="N739" s="13" t="s">
        <v>2060</v>
      </c>
      <c r="O739" s="13" t="s">
        <v>273</v>
      </c>
      <c r="P739" s="13" t="s">
        <v>273</v>
      </c>
      <c r="Q739" s="22">
        <v>0.4</v>
      </c>
      <c r="R739" s="23">
        <v>158621</v>
      </c>
      <c r="S739" s="21"/>
      <c r="T739" s="21"/>
      <c r="U739" s="21"/>
      <c r="V739" s="24"/>
      <c r="W739" s="24"/>
      <c r="X739" s="24"/>
      <c r="Y739" s="17"/>
      <c r="Z739" s="18">
        <f>ROUND(R739*'Data-CostAssumptions'!$C$3,-3)</f>
        <v>220000</v>
      </c>
      <c r="AA739" s="11">
        <f t="shared" si="23"/>
        <v>0</v>
      </c>
      <c r="AB739" s="11">
        <v>2041</v>
      </c>
      <c r="AC739" s="11">
        <v>2041</v>
      </c>
      <c r="AD739" s="11">
        <v>2041</v>
      </c>
      <c r="AE739" s="11">
        <v>2041</v>
      </c>
      <c r="AF739" s="11">
        <v>0</v>
      </c>
      <c r="AG739" s="19">
        <f>ROUND((Z739*'Data-CostAssumptions'!$G$5)*(1+'Data-CostAssumptions'!$G$3)^(AC739-'Data-CostAssumptions'!$G$4),-3)</f>
        <v>124000</v>
      </c>
      <c r="AH739" s="19">
        <f>ROUND((Z739)*(1+'Data-CostAssumptions'!$G$3)^(AE739-'Data-CostAssumptions'!$G$4),-3)</f>
        <v>564000</v>
      </c>
    </row>
    <row r="740" spans="1:34" ht="15" customHeight="1" x14ac:dyDescent="0.2">
      <c r="A740" s="11"/>
      <c r="B740" s="11" t="s">
        <v>1211</v>
      </c>
      <c r="C740" s="13">
        <v>535</v>
      </c>
      <c r="D740" s="13" t="s">
        <v>420</v>
      </c>
      <c r="E740" s="20">
        <v>358</v>
      </c>
      <c r="F740" s="20">
        <v>171</v>
      </c>
      <c r="G740" s="20">
        <v>739</v>
      </c>
      <c r="H740" s="13" t="s">
        <v>208</v>
      </c>
      <c r="I740" s="13" t="str">
        <f t="shared" si="22"/>
        <v>NW 13th Terrace/NW 9th Place (NW 13th Av to Sunrise Bl)</v>
      </c>
      <c r="J740" s="13" t="s">
        <v>27</v>
      </c>
      <c r="K740" s="13" t="str">
        <f>VLOOKUP(J740,'Data-ProjectTypes'!A$3:B$13,2,FALSE)</f>
        <v>Program</v>
      </c>
      <c r="L740" s="21" t="s">
        <v>348</v>
      </c>
      <c r="M740" s="13" t="s">
        <v>2053</v>
      </c>
      <c r="N740" s="13" t="s">
        <v>1830</v>
      </c>
      <c r="O740" s="13" t="s">
        <v>270</v>
      </c>
      <c r="P740" s="13" t="s">
        <v>270</v>
      </c>
      <c r="Q740" s="22">
        <v>0.1</v>
      </c>
      <c r="R740" s="23">
        <v>38231</v>
      </c>
      <c r="S740" s="21"/>
      <c r="T740" s="21"/>
      <c r="U740" s="21"/>
      <c r="V740" s="24"/>
      <c r="W740" s="24"/>
      <c r="X740" s="24"/>
      <c r="Y740" s="17"/>
      <c r="Z740" s="18">
        <f>ROUND(R740*'Data-CostAssumptions'!$C$3,-3)</f>
        <v>53000</v>
      </c>
      <c r="AA740" s="11">
        <f t="shared" si="23"/>
        <v>0</v>
      </c>
      <c r="AB740" s="11">
        <v>2041</v>
      </c>
      <c r="AC740" s="11">
        <v>2041</v>
      </c>
      <c r="AD740" s="11">
        <v>2041</v>
      </c>
      <c r="AE740" s="11">
        <v>2041</v>
      </c>
      <c r="AF740" s="11">
        <v>0</v>
      </c>
      <c r="AG740" s="19">
        <f>ROUND((Z740*'Data-CostAssumptions'!$G$5)*(1+'Data-CostAssumptions'!$G$3)^(AC740-'Data-CostAssumptions'!$G$4),-3)</f>
        <v>30000</v>
      </c>
      <c r="AH740" s="19">
        <f>ROUND((Z740)*(1+'Data-CostAssumptions'!$G$3)^(AE740-'Data-CostAssumptions'!$G$4),-3)</f>
        <v>136000</v>
      </c>
    </row>
    <row r="741" spans="1:34" ht="15" customHeight="1" x14ac:dyDescent="0.2">
      <c r="A741" s="11"/>
      <c r="B741" s="11" t="s">
        <v>1211</v>
      </c>
      <c r="C741" s="13">
        <v>536</v>
      </c>
      <c r="D741" s="13" t="s">
        <v>420</v>
      </c>
      <c r="E741" s="20">
        <v>362</v>
      </c>
      <c r="F741" s="20">
        <v>171</v>
      </c>
      <c r="G741" s="20">
        <v>740</v>
      </c>
      <c r="H741" s="13" t="s">
        <v>2053</v>
      </c>
      <c r="I741" s="13" t="str">
        <f t="shared" si="22"/>
        <v>NW 13th Av (NW 9th St to Sunrise Bl)</v>
      </c>
      <c r="J741" s="13" t="s">
        <v>27</v>
      </c>
      <c r="K741" s="13" t="str">
        <f>VLOOKUP(J741,'Data-ProjectTypes'!A$3:B$13,2,FALSE)</f>
        <v>Program</v>
      </c>
      <c r="L741" s="21" t="s">
        <v>348</v>
      </c>
      <c r="M741" s="13" t="s">
        <v>2538</v>
      </c>
      <c r="N741" s="13" t="s">
        <v>1830</v>
      </c>
      <c r="O741" s="13" t="s">
        <v>270</v>
      </c>
      <c r="P741" s="13" t="s">
        <v>270</v>
      </c>
      <c r="Q741" s="22">
        <v>0.1</v>
      </c>
      <c r="R741" s="23">
        <v>47593</v>
      </c>
      <c r="S741" s="21"/>
      <c r="T741" s="21"/>
      <c r="U741" s="21"/>
      <c r="V741" s="24"/>
      <c r="W741" s="24"/>
      <c r="X741" s="24"/>
      <c r="Y741" s="17"/>
      <c r="Z741" s="18">
        <f>ROUND(R741*'Data-CostAssumptions'!$C$3,-3)</f>
        <v>66000</v>
      </c>
      <c r="AA741" s="11">
        <f t="shared" si="23"/>
        <v>0</v>
      </c>
      <c r="AB741" s="11">
        <v>2041</v>
      </c>
      <c r="AC741" s="11">
        <v>2041</v>
      </c>
      <c r="AD741" s="11">
        <v>2041</v>
      </c>
      <c r="AE741" s="11">
        <v>2041</v>
      </c>
      <c r="AF741" s="11">
        <v>0</v>
      </c>
      <c r="AG741" s="19">
        <f>ROUND((Z741*'Data-CostAssumptions'!$G$5)*(1+'Data-CostAssumptions'!$G$3)^(AC741-'Data-CostAssumptions'!$G$4),-3)</f>
        <v>37000</v>
      </c>
      <c r="AH741" s="19">
        <f>ROUND((Z741)*(1+'Data-CostAssumptions'!$G$3)^(AE741-'Data-CostAssumptions'!$G$4),-3)</f>
        <v>169000</v>
      </c>
    </row>
    <row r="742" spans="1:34" ht="15" customHeight="1" x14ac:dyDescent="0.2">
      <c r="A742" s="11"/>
      <c r="B742" s="11" t="s">
        <v>1211</v>
      </c>
      <c r="C742" s="13">
        <v>537</v>
      </c>
      <c r="D742" s="13" t="s">
        <v>420</v>
      </c>
      <c r="E742" s="20">
        <v>367</v>
      </c>
      <c r="F742" s="20">
        <v>171</v>
      </c>
      <c r="G742" s="20">
        <v>741</v>
      </c>
      <c r="H742" s="13" t="s">
        <v>2757</v>
      </c>
      <c r="I742" s="13" t="str">
        <f t="shared" si="22"/>
        <v>SR 870/ Commercial Bl (Rock Island Rd to at Stirling Bl)</v>
      </c>
      <c r="J742" s="13" t="s">
        <v>27</v>
      </c>
      <c r="K742" s="13" t="str">
        <f>VLOOKUP(J742,'Data-ProjectTypes'!A$3:B$13,2,FALSE)</f>
        <v>Program</v>
      </c>
      <c r="L742" s="21" t="s">
        <v>348</v>
      </c>
      <c r="M742" s="13" t="s">
        <v>1768</v>
      </c>
      <c r="N742" s="11" t="s">
        <v>2315</v>
      </c>
      <c r="O742" s="13" t="s">
        <v>270</v>
      </c>
      <c r="P742" s="13" t="s">
        <v>270</v>
      </c>
      <c r="Q742" s="22">
        <v>1</v>
      </c>
      <c r="R742" s="23">
        <v>357826</v>
      </c>
      <c r="S742" s="21"/>
      <c r="T742" s="21"/>
      <c r="U742" s="21"/>
      <c r="V742" s="24"/>
      <c r="W742" s="24"/>
      <c r="X742" s="24"/>
      <c r="Y742" s="17"/>
      <c r="Z742" s="18">
        <f>ROUND(R742*'Data-CostAssumptions'!$C$3,-3)</f>
        <v>495000</v>
      </c>
      <c r="AA742" s="11">
        <f t="shared" si="23"/>
        <v>0</v>
      </c>
      <c r="AB742" s="11">
        <v>2041</v>
      </c>
      <c r="AC742" s="11">
        <v>2041</v>
      </c>
      <c r="AD742" s="11">
        <v>2041</v>
      </c>
      <c r="AE742" s="11">
        <v>2041</v>
      </c>
      <c r="AF742" s="11">
        <v>0</v>
      </c>
      <c r="AG742" s="19">
        <f>ROUND((Z742*'Data-CostAssumptions'!$G$5)*(1+'Data-CostAssumptions'!$G$3)^(AC742-'Data-CostAssumptions'!$G$4),-3)</f>
        <v>279000</v>
      </c>
      <c r="AH742" s="19">
        <f>ROUND((Z742)*(1+'Data-CostAssumptions'!$G$3)^(AE742-'Data-CostAssumptions'!$G$4),-3)</f>
        <v>1269000</v>
      </c>
    </row>
    <row r="743" spans="1:34" ht="15" customHeight="1" x14ac:dyDescent="0.2">
      <c r="A743" s="11"/>
      <c r="B743" s="11" t="s">
        <v>1213</v>
      </c>
      <c r="C743" s="13">
        <v>497</v>
      </c>
      <c r="D743" s="13" t="s">
        <v>420</v>
      </c>
      <c r="E743" s="20">
        <v>86</v>
      </c>
      <c r="F743" s="20">
        <v>169</v>
      </c>
      <c r="G743" s="20">
        <v>742</v>
      </c>
      <c r="H743" s="13" t="s">
        <v>2026</v>
      </c>
      <c r="I743" s="13" t="str">
        <f t="shared" si="22"/>
        <v>NE 18th Av (NE 45th St/Floranada Rd to NE 49th St)</v>
      </c>
      <c r="J743" s="13" t="s">
        <v>27</v>
      </c>
      <c r="K743" s="13" t="str">
        <f>VLOOKUP(J743,'Data-ProjectTypes'!A$3:B$13,2,FALSE)</f>
        <v>Program</v>
      </c>
      <c r="L743" s="21" t="s">
        <v>701</v>
      </c>
      <c r="M743" s="13" t="s">
        <v>1894</v>
      </c>
      <c r="N743" s="13" t="s">
        <v>1896</v>
      </c>
      <c r="O743" s="13" t="s">
        <v>272</v>
      </c>
      <c r="P743" s="13" t="s">
        <v>272</v>
      </c>
      <c r="Q743" s="22">
        <v>0.3</v>
      </c>
      <c r="R743" s="23">
        <v>113809</v>
      </c>
      <c r="S743" s="21" t="s">
        <v>24</v>
      </c>
      <c r="T743" s="21" t="s">
        <v>24</v>
      </c>
      <c r="U743" s="21" t="s">
        <v>24</v>
      </c>
      <c r="V743" s="24" t="s">
        <v>699</v>
      </c>
      <c r="W743" s="24"/>
      <c r="X743" s="29" t="s">
        <v>701</v>
      </c>
      <c r="Y743" s="17" t="s">
        <v>1740</v>
      </c>
      <c r="Z743" s="18">
        <f>ROUND(R743*'Data-CostAssumptions'!$C$3,-3)</f>
        <v>158000</v>
      </c>
      <c r="AA743" s="11">
        <f t="shared" si="23"/>
        <v>1</v>
      </c>
      <c r="AB743" s="11">
        <v>2041</v>
      </c>
      <c r="AC743" s="11">
        <v>2041</v>
      </c>
      <c r="AD743" s="11">
        <v>2041</v>
      </c>
      <c r="AE743" s="11">
        <v>2041</v>
      </c>
      <c r="AF743" s="11">
        <v>0</v>
      </c>
      <c r="AG743" s="19">
        <f>ROUND((Z743*'Data-CostAssumptions'!$G$5)*(1+'Data-CostAssumptions'!$G$3)^(AC743-'Data-CostAssumptions'!$G$4),-3)</f>
        <v>89000</v>
      </c>
      <c r="AH743" s="19">
        <f>ROUND((Z743)*(1+'Data-CostAssumptions'!$G$3)^(AE743-'Data-CostAssumptions'!$G$4),-3)</f>
        <v>405000</v>
      </c>
    </row>
    <row r="744" spans="1:34" ht="15" customHeight="1" x14ac:dyDescent="0.2">
      <c r="A744" s="11"/>
      <c r="B744" s="11" t="s">
        <v>1211</v>
      </c>
      <c r="C744" s="13">
        <v>538</v>
      </c>
      <c r="D744" s="13" t="s">
        <v>420</v>
      </c>
      <c r="E744" s="20">
        <v>369</v>
      </c>
      <c r="F744" s="20">
        <v>171</v>
      </c>
      <c r="G744" s="20">
        <v>743</v>
      </c>
      <c r="H744" s="13" t="s">
        <v>2132</v>
      </c>
      <c r="I744" s="13" t="str">
        <f t="shared" si="22"/>
        <v>SW 71st Av (NW 62nd St/Bailey Rd to Just north of Sportsman Dr)</v>
      </c>
      <c r="J744" s="13" t="s">
        <v>27</v>
      </c>
      <c r="K744" s="13" t="str">
        <f>VLOOKUP(J744,'Data-ProjectTypes'!A$3:B$13,2,FALSE)</f>
        <v>Program</v>
      </c>
      <c r="L744" s="21" t="s">
        <v>348</v>
      </c>
      <c r="M744" s="13" t="s">
        <v>2586</v>
      </c>
      <c r="N744" s="13" t="s">
        <v>2681</v>
      </c>
      <c r="O744" s="13" t="s">
        <v>285</v>
      </c>
      <c r="P744" s="13" t="s">
        <v>285</v>
      </c>
      <c r="Q744" s="22">
        <v>0.4</v>
      </c>
      <c r="R744" s="23">
        <v>131292</v>
      </c>
      <c r="S744" s="21"/>
      <c r="T744" s="21"/>
      <c r="U744" s="21"/>
      <c r="V744" s="24"/>
      <c r="W744" s="24"/>
      <c r="X744" s="28"/>
      <c r="Y744" s="17"/>
      <c r="Z744" s="18">
        <f>ROUND(R744*'Data-CostAssumptions'!$C$3,-3)</f>
        <v>182000</v>
      </c>
      <c r="AA744" s="11">
        <f t="shared" si="23"/>
        <v>0</v>
      </c>
      <c r="AB744" s="11">
        <v>2041</v>
      </c>
      <c r="AC744" s="11">
        <v>2041</v>
      </c>
      <c r="AD744" s="11">
        <v>2041</v>
      </c>
      <c r="AE744" s="11">
        <v>2041</v>
      </c>
      <c r="AF744" s="11">
        <v>0</v>
      </c>
      <c r="AG744" s="19">
        <f>ROUND((Z744*'Data-CostAssumptions'!$G$5)*(1+'Data-CostAssumptions'!$G$3)^(AC744-'Data-CostAssumptions'!$G$4),-3)</f>
        <v>103000</v>
      </c>
      <c r="AH744" s="19">
        <f>ROUND((Z744)*(1+'Data-CostAssumptions'!$G$3)^(AE744-'Data-CostAssumptions'!$G$4),-3)</f>
        <v>467000</v>
      </c>
    </row>
    <row r="745" spans="1:34" ht="15" customHeight="1" x14ac:dyDescent="0.2">
      <c r="A745" s="11"/>
      <c r="B745" s="11" t="s">
        <v>1211</v>
      </c>
      <c r="C745" s="13">
        <v>539</v>
      </c>
      <c r="D745" s="13" t="s">
        <v>420</v>
      </c>
      <c r="E745" s="20">
        <v>370</v>
      </c>
      <c r="F745" s="20">
        <v>171</v>
      </c>
      <c r="G745" s="20">
        <v>744</v>
      </c>
      <c r="H745" s="13" t="s">
        <v>1777</v>
      </c>
      <c r="I745" s="13" t="str">
        <f t="shared" si="22"/>
        <v>West McNab Rd (Avon Lane to Just west of Belmont Lane)</v>
      </c>
      <c r="J745" s="13" t="s">
        <v>27</v>
      </c>
      <c r="K745" s="13" t="str">
        <f>VLOOKUP(J745,'Data-ProjectTypes'!A$3:B$13,2,FALSE)</f>
        <v>Program</v>
      </c>
      <c r="L745" s="21" t="s">
        <v>348</v>
      </c>
      <c r="M745" s="13" t="s">
        <v>152</v>
      </c>
      <c r="N745" s="13" t="s">
        <v>153</v>
      </c>
      <c r="O745" s="13" t="s">
        <v>273</v>
      </c>
      <c r="P745" s="13" t="s">
        <v>273</v>
      </c>
      <c r="Q745" s="22">
        <v>0.3</v>
      </c>
      <c r="R745" s="23">
        <v>95110</v>
      </c>
      <c r="S745" s="21"/>
      <c r="T745" s="21"/>
      <c r="U745" s="21"/>
      <c r="V745" s="24"/>
      <c r="W745" s="24"/>
      <c r="X745" s="24"/>
      <c r="Y745" s="17"/>
      <c r="Z745" s="18">
        <f>ROUND(R745*'Data-CostAssumptions'!$C$3,-3)</f>
        <v>132000</v>
      </c>
      <c r="AA745" s="11">
        <f t="shared" si="23"/>
        <v>0</v>
      </c>
      <c r="AB745" s="11">
        <v>2041</v>
      </c>
      <c r="AC745" s="11">
        <v>2041</v>
      </c>
      <c r="AD745" s="11">
        <v>2041</v>
      </c>
      <c r="AE745" s="11">
        <v>2041</v>
      </c>
      <c r="AF745" s="11">
        <v>0</v>
      </c>
      <c r="AG745" s="19">
        <f>ROUND((Z745*'Data-CostAssumptions'!$G$5)*(1+'Data-CostAssumptions'!$G$3)^(AC745-'Data-CostAssumptions'!$G$4),-3)</f>
        <v>74000</v>
      </c>
      <c r="AH745" s="19">
        <f>ROUND((Z745)*(1+'Data-CostAssumptions'!$G$3)^(AE745-'Data-CostAssumptions'!$G$4),-3)</f>
        <v>338000</v>
      </c>
    </row>
    <row r="746" spans="1:34" ht="15" customHeight="1" x14ac:dyDescent="0.2">
      <c r="A746" s="11"/>
      <c r="B746" s="11" t="s">
        <v>1211</v>
      </c>
      <c r="C746" s="13">
        <v>540</v>
      </c>
      <c r="D746" s="13" t="s">
        <v>420</v>
      </c>
      <c r="E746" s="20">
        <v>376</v>
      </c>
      <c r="F746" s="20">
        <v>171</v>
      </c>
      <c r="G746" s="20">
        <v>745</v>
      </c>
      <c r="H746" s="13" t="s">
        <v>2068</v>
      </c>
      <c r="I746" s="13" t="str">
        <f t="shared" si="22"/>
        <v>NW 43rd Av (NW 4th Court to NW 12th St)</v>
      </c>
      <c r="J746" s="13" t="s">
        <v>27</v>
      </c>
      <c r="K746" s="13" t="str">
        <f>VLOOKUP(J746,'Data-ProjectTypes'!A$3:B$13,2,FALSE)</f>
        <v>Program</v>
      </c>
      <c r="L746" s="21" t="s">
        <v>348</v>
      </c>
      <c r="M746" s="13" t="s">
        <v>269</v>
      </c>
      <c r="N746" s="13" t="s">
        <v>1907</v>
      </c>
      <c r="O746" s="13" t="s">
        <v>273</v>
      </c>
      <c r="P746" s="13" t="s">
        <v>273</v>
      </c>
      <c r="Q746" s="22">
        <v>0.8</v>
      </c>
      <c r="R746" s="23">
        <v>274410</v>
      </c>
      <c r="S746" s="21"/>
      <c r="T746" s="21"/>
      <c r="U746" s="21"/>
      <c r="V746" s="24"/>
      <c r="W746" s="24"/>
      <c r="X746" s="24"/>
      <c r="Y746" s="17"/>
      <c r="Z746" s="18">
        <f>ROUND(R746*'Data-CostAssumptions'!$C$3,-3)</f>
        <v>380000</v>
      </c>
      <c r="AA746" s="11">
        <f t="shared" si="23"/>
        <v>0</v>
      </c>
      <c r="AB746" s="11">
        <v>2041</v>
      </c>
      <c r="AC746" s="11">
        <v>2041</v>
      </c>
      <c r="AD746" s="11">
        <v>2041</v>
      </c>
      <c r="AE746" s="11">
        <v>2041</v>
      </c>
      <c r="AF746" s="11">
        <v>0</v>
      </c>
      <c r="AG746" s="19">
        <f>ROUND((Z746*'Data-CostAssumptions'!$G$5)*(1+'Data-CostAssumptions'!$G$3)^(AC746-'Data-CostAssumptions'!$G$4),-3)</f>
        <v>214000</v>
      </c>
      <c r="AH746" s="19">
        <f>ROUND((Z746)*(1+'Data-CostAssumptions'!$G$3)^(AE746-'Data-CostAssumptions'!$G$4),-3)</f>
        <v>974000</v>
      </c>
    </row>
    <row r="747" spans="1:34" ht="15" customHeight="1" x14ac:dyDescent="0.2">
      <c r="A747" s="11"/>
      <c r="B747" s="11" t="s">
        <v>1211</v>
      </c>
      <c r="C747" s="13">
        <v>541</v>
      </c>
      <c r="D747" s="13" t="s">
        <v>420</v>
      </c>
      <c r="E747" s="20">
        <v>387</v>
      </c>
      <c r="F747" s="20">
        <v>171</v>
      </c>
      <c r="G747" s="20">
        <v>746</v>
      </c>
      <c r="H747" s="13" t="s">
        <v>1883</v>
      </c>
      <c r="I747" s="13" t="str">
        <f t="shared" si="22"/>
        <v>NE 12th St (NE 26th Av to Federal Hwy)</v>
      </c>
      <c r="J747" s="13" t="s">
        <v>27</v>
      </c>
      <c r="K747" s="13" t="str">
        <f>VLOOKUP(J747,'Data-ProjectTypes'!A$3:B$13,2,FALSE)</f>
        <v>Program</v>
      </c>
      <c r="L747" s="21" t="s">
        <v>348</v>
      </c>
      <c r="M747" s="13" t="s">
        <v>2234</v>
      </c>
      <c r="N747" s="13" t="s">
        <v>2595</v>
      </c>
      <c r="O747" s="13" t="s">
        <v>275</v>
      </c>
      <c r="P747" s="13" t="s">
        <v>275</v>
      </c>
      <c r="Q747" s="22">
        <v>0.2</v>
      </c>
      <c r="R747" s="23">
        <v>89246</v>
      </c>
      <c r="S747" s="21"/>
      <c r="T747" s="21"/>
      <c r="U747" s="21"/>
      <c r="V747" s="24"/>
      <c r="W747" s="24"/>
      <c r="X747" s="24"/>
      <c r="Y747" s="17"/>
      <c r="Z747" s="18">
        <f>ROUND(R747*'Data-CostAssumptions'!$C$3,-3)</f>
        <v>124000</v>
      </c>
      <c r="AA747" s="11">
        <f t="shared" si="23"/>
        <v>0</v>
      </c>
      <c r="AB747" s="11">
        <v>2041</v>
      </c>
      <c r="AC747" s="11">
        <v>2041</v>
      </c>
      <c r="AD747" s="11">
        <v>2041</v>
      </c>
      <c r="AE747" s="11">
        <v>2041</v>
      </c>
      <c r="AF747" s="11">
        <v>0</v>
      </c>
      <c r="AG747" s="19">
        <f>ROUND((Z747*'Data-CostAssumptions'!$G$5)*(1+'Data-CostAssumptions'!$G$3)^(AC747-'Data-CostAssumptions'!$G$4),-3)</f>
        <v>70000</v>
      </c>
      <c r="AH747" s="19">
        <f>ROUND((Z747)*(1+'Data-CostAssumptions'!$G$3)^(AE747-'Data-CostAssumptions'!$G$4),-3)</f>
        <v>318000</v>
      </c>
    </row>
    <row r="748" spans="1:34" ht="15" customHeight="1" x14ac:dyDescent="0.2">
      <c r="A748" s="11"/>
      <c r="B748" s="11" t="s">
        <v>1211</v>
      </c>
      <c r="C748" s="13">
        <v>543</v>
      </c>
      <c r="D748" s="13" t="s">
        <v>420</v>
      </c>
      <c r="E748" s="20">
        <v>32</v>
      </c>
      <c r="F748" s="20">
        <v>171</v>
      </c>
      <c r="G748" s="20">
        <v>747</v>
      </c>
      <c r="H748" s="13" t="s">
        <v>177</v>
      </c>
      <c r="I748" s="13" t="str">
        <f t="shared" si="22"/>
        <v>Stirling Rd (SW 106th Av to Hiatus Rd)</v>
      </c>
      <c r="J748" s="13" t="s">
        <v>27</v>
      </c>
      <c r="K748" s="13" t="str">
        <f>VLOOKUP(J748,'Data-ProjectTypes'!A$3:B$13,2,FALSE)</f>
        <v>Program</v>
      </c>
      <c r="L748" s="21" t="s">
        <v>348</v>
      </c>
      <c r="M748" s="13" t="s">
        <v>2387</v>
      </c>
      <c r="N748" s="13" t="s">
        <v>1752</v>
      </c>
      <c r="O748" s="13" t="s">
        <v>290</v>
      </c>
      <c r="P748" s="13" t="s">
        <v>290</v>
      </c>
      <c r="Q748" s="22">
        <v>0.6</v>
      </c>
      <c r="R748" s="23">
        <v>214135</v>
      </c>
      <c r="S748" s="21"/>
      <c r="T748" s="21"/>
      <c r="U748" s="21"/>
      <c r="V748" s="24"/>
      <c r="W748" s="24"/>
      <c r="X748" s="28"/>
      <c r="Y748" s="17"/>
      <c r="Z748" s="18">
        <f>ROUND(R748*'Data-CostAssumptions'!$C$3,-3)</f>
        <v>296000</v>
      </c>
      <c r="AA748" s="11">
        <f t="shared" si="23"/>
        <v>0</v>
      </c>
      <c r="AB748" s="11">
        <v>2041</v>
      </c>
      <c r="AC748" s="11">
        <v>2041</v>
      </c>
      <c r="AD748" s="11">
        <v>2041</v>
      </c>
      <c r="AE748" s="11">
        <v>2041</v>
      </c>
      <c r="AF748" s="11">
        <v>0</v>
      </c>
      <c r="AG748" s="19">
        <f>ROUND((Z748*'Data-CostAssumptions'!$G$5)*(1+'Data-CostAssumptions'!$G$3)^(AC748-'Data-CostAssumptions'!$G$4),-3)</f>
        <v>167000</v>
      </c>
      <c r="AH748" s="19">
        <f>ROUND((Z748)*(1+'Data-CostAssumptions'!$G$3)^(AE748-'Data-CostAssumptions'!$G$4),-3)</f>
        <v>759000</v>
      </c>
    </row>
    <row r="749" spans="1:34" ht="15" customHeight="1" x14ac:dyDescent="0.2">
      <c r="A749" s="11"/>
      <c r="B749" s="11" t="s">
        <v>1211</v>
      </c>
      <c r="C749" s="13">
        <v>544</v>
      </c>
      <c r="D749" s="13" t="s">
        <v>420</v>
      </c>
      <c r="E749" s="20">
        <v>51</v>
      </c>
      <c r="F749" s="20">
        <v>171</v>
      </c>
      <c r="G749" s="20">
        <v>748</v>
      </c>
      <c r="H749" s="13" t="s">
        <v>2044</v>
      </c>
      <c r="I749" s="13" t="str">
        <f t="shared" si="22"/>
        <v>North 68th Av (Greene St to Stirling Rd)</v>
      </c>
      <c r="J749" s="13" t="s">
        <v>27</v>
      </c>
      <c r="K749" s="13" t="str">
        <f>VLOOKUP(J749,'Data-ProjectTypes'!A$3:B$13,2,FALSE)</f>
        <v>Program</v>
      </c>
      <c r="L749" s="21" t="s">
        <v>543</v>
      </c>
      <c r="M749" s="13" t="s">
        <v>2524</v>
      </c>
      <c r="N749" s="13" t="s">
        <v>177</v>
      </c>
      <c r="O749" s="13" t="s">
        <v>272</v>
      </c>
      <c r="P749" s="13" t="s">
        <v>272</v>
      </c>
      <c r="Q749" s="22">
        <v>0.6</v>
      </c>
      <c r="R749" s="23">
        <v>197495</v>
      </c>
      <c r="S749" s="21" t="s">
        <v>24</v>
      </c>
      <c r="T749" s="21" t="s">
        <v>25</v>
      </c>
      <c r="U749" s="21" t="s">
        <v>24</v>
      </c>
      <c r="V749" s="24"/>
      <c r="W749" s="24"/>
      <c r="X749" s="24"/>
      <c r="Y749" s="17" t="s">
        <v>547</v>
      </c>
      <c r="Z749" s="18">
        <f>ROUND(R749*'Data-CostAssumptions'!$C$3,-3)</f>
        <v>273000</v>
      </c>
      <c r="AA749" s="11">
        <f t="shared" si="23"/>
        <v>0</v>
      </c>
      <c r="AB749" s="11">
        <v>2041</v>
      </c>
      <c r="AC749" s="11">
        <v>2041</v>
      </c>
      <c r="AD749" s="11">
        <v>2041</v>
      </c>
      <c r="AE749" s="11">
        <v>2041</v>
      </c>
      <c r="AF749" s="11">
        <v>0</v>
      </c>
      <c r="AG749" s="19">
        <f>ROUND((Z749*'Data-CostAssumptions'!$G$5)*(1+'Data-CostAssumptions'!$G$3)^(AC749-'Data-CostAssumptions'!$G$4),-3)</f>
        <v>154000</v>
      </c>
      <c r="AH749" s="19">
        <f>ROUND((Z749)*(1+'Data-CostAssumptions'!$G$3)^(AE749-'Data-CostAssumptions'!$G$4),-3)</f>
        <v>700000</v>
      </c>
    </row>
    <row r="750" spans="1:34" ht="15" customHeight="1" x14ac:dyDescent="0.2">
      <c r="A750" s="11"/>
      <c r="B750" s="11" t="s">
        <v>1211</v>
      </c>
      <c r="C750" s="13">
        <v>545</v>
      </c>
      <c r="D750" s="13" t="s">
        <v>420</v>
      </c>
      <c r="E750" s="20">
        <v>59</v>
      </c>
      <c r="F750" s="20">
        <v>171</v>
      </c>
      <c r="G750" s="20">
        <v>749</v>
      </c>
      <c r="H750" s="13" t="s">
        <v>2128</v>
      </c>
      <c r="I750" s="13" t="str">
        <f t="shared" si="22"/>
        <v>SW 56th Av (Just north of SW 41st St to SW 38th St)</v>
      </c>
      <c r="J750" s="13" t="s">
        <v>27</v>
      </c>
      <c r="K750" s="13" t="str">
        <f>VLOOKUP(J750,'Data-ProjectTypes'!A$3:B$13,2,FALSE)</f>
        <v>Program</v>
      </c>
      <c r="L750" s="21" t="s">
        <v>1114</v>
      </c>
      <c r="M750" s="13" t="s">
        <v>2584</v>
      </c>
      <c r="N750" s="13" t="s">
        <v>2583</v>
      </c>
      <c r="O750" s="13" t="s">
        <v>295</v>
      </c>
      <c r="P750" s="13" t="s">
        <v>295</v>
      </c>
      <c r="Q750" s="22">
        <v>0.2</v>
      </c>
      <c r="R750" s="23">
        <v>69569</v>
      </c>
      <c r="S750" s="21" t="s">
        <v>24</v>
      </c>
      <c r="T750" s="21" t="s">
        <v>24</v>
      </c>
      <c r="U750" s="21" t="s">
        <v>24</v>
      </c>
      <c r="V750" s="24"/>
      <c r="W750" s="24"/>
      <c r="X750" s="24"/>
      <c r="Y750" s="17" t="s">
        <v>1115</v>
      </c>
      <c r="Z750" s="18">
        <f>ROUND(R750*'Data-CostAssumptions'!$C$3,-3)</f>
        <v>96000</v>
      </c>
      <c r="AA750" s="11">
        <f t="shared" si="23"/>
        <v>0</v>
      </c>
      <c r="AB750" s="11">
        <v>2041</v>
      </c>
      <c r="AC750" s="11">
        <v>2041</v>
      </c>
      <c r="AD750" s="11">
        <v>2041</v>
      </c>
      <c r="AE750" s="11">
        <v>2041</v>
      </c>
      <c r="AF750" s="11">
        <v>0</v>
      </c>
      <c r="AG750" s="19">
        <f>ROUND((Z750*'Data-CostAssumptions'!$G$5)*(1+'Data-CostAssumptions'!$G$3)^(AC750-'Data-CostAssumptions'!$G$4),-3)</f>
        <v>54000</v>
      </c>
      <c r="AH750" s="19">
        <f>ROUND((Z750)*(1+'Data-CostAssumptions'!$G$3)^(AE750-'Data-CostAssumptions'!$G$4),-3)</f>
        <v>246000</v>
      </c>
    </row>
    <row r="751" spans="1:34" ht="15" customHeight="1" x14ac:dyDescent="0.2">
      <c r="A751" s="11"/>
      <c r="B751" s="11" t="s">
        <v>1211</v>
      </c>
      <c r="C751" s="13">
        <v>546</v>
      </c>
      <c r="D751" s="13" t="s">
        <v>420</v>
      </c>
      <c r="E751" s="20">
        <v>63</v>
      </c>
      <c r="F751" s="20">
        <v>171</v>
      </c>
      <c r="G751" s="20">
        <v>750</v>
      </c>
      <c r="H751" s="13" t="s">
        <v>2807</v>
      </c>
      <c r="I751" s="13" t="str">
        <f t="shared" si="22"/>
        <v>SR A1A/East Dania Beach Bl (Just west of SR A1A to Gulfstream Rd)</v>
      </c>
      <c r="J751" s="13" t="s">
        <v>27</v>
      </c>
      <c r="K751" s="13" t="str">
        <f>VLOOKUP(J751,'Data-ProjectTypes'!A$3:B$13,2,FALSE)</f>
        <v>Program</v>
      </c>
      <c r="L751" s="21" t="s">
        <v>348</v>
      </c>
      <c r="M751" s="13" t="s">
        <v>190</v>
      </c>
      <c r="N751" s="13" t="s">
        <v>2405</v>
      </c>
      <c r="O751" s="13" t="s">
        <v>270</v>
      </c>
      <c r="P751" s="13" t="s">
        <v>270</v>
      </c>
      <c r="Q751" s="22">
        <v>0.9</v>
      </c>
      <c r="R751" s="23">
        <v>318486</v>
      </c>
      <c r="S751" s="21" t="s">
        <v>24</v>
      </c>
      <c r="T751" s="21"/>
      <c r="U751" s="21"/>
      <c r="V751" s="24"/>
      <c r="W751" s="24"/>
      <c r="X751" s="44" t="s">
        <v>1176</v>
      </c>
      <c r="Y751" s="17" t="s">
        <v>1175</v>
      </c>
      <c r="Z751" s="18">
        <f>ROUND(R751*'Data-CostAssumptions'!$C$3,-3)</f>
        <v>441000</v>
      </c>
      <c r="AA751" s="11">
        <f t="shared" si="23"/>
        <v>0</v>
      </c>
      <c r="AB751" s="11">
        <v>2041</v>
      </c>
      <c r="AC751" s="11">
        <v>2041</v>
      </c>
      <c r="AD751" s="11">
        <v>2041</v>
      </c>
      <c r="AE751" s="11">
        <v>2041</v>
      </c>
      <c r="AF751" s="11">
        <v>0</v>
      </c>
      <c r="AG751" s="19">
        <f>ROUND((Z751*'Data-CostAssumptions'!$G$5)*(1+'Data-CostAssumptions'!$G$3)^(AC751-'Data-CostAssumptions'!$G$4),-3)</f>
        <v>249000</v>
      </c>
      <c r="AH751" s="19">
        <f>ROUND((Z751)*(1+'Data-CostAssumptions'!$G$3)^(AE751-'Data-CostAssumptions'!$G$4),-3)</f>
        <v>1131000</v>
      </c>
    </row>
    <row r="752" spans="1:34" ht="15" customHeight="1" x14ac:dyDescent="0.2">
      <c r="A752" s="11"/>
      <c r="B752" s="11" t="s">
        <v>1211</v>
      </c>
      <c r="C752" s="13">
        <v>547</v>
      </c>
      <c r="D752" s="13" t="s">
        <v>420</v>
      </c>
      <c r="E752" s="20">
        <v>80</v>
      </c>
      <c r="F752" s="20">
        <v>172</v>
      </c>
      <c r="G752" s="20">
        <v>751</v>
      </c>
      <c r="H752" s="13" t="s">
        <v>1886</v>
      </c>
      <c r="I752" s="13" t="str">
        <f t="shared" si="22"/>
        <v>NE 18th St (US 1/Federal Hwy to NE 15th Av)</v>
      </c>
      <c r="J752" s="13" t="s">
        <v>27</v>
      </c>
      <c r="K752" s="13" t="str">
        <f>VLOOKUP(J752,'Data-ProjectTypes'!A$3:B$13,2,FALSE)</f>
        <v>Program</v>
      </c>
      <c r="L752" s="21" t="s">
        <v>348</v>
      </c>
      <c r="M752" s="13" t="s">
        <v>2594</v>
      </c>
      <c r="N752" s="13" t="s">
        <v>2024</v>
      </c>
      <c r="O752" s="13" t="s">
        <v>276</v>
      </c>
      <c r="P752" s="13" t="s">
        <v>276</v>
      </c>
      <c r="Q752" s="22">
        <v>0.6</v>
      </c>
      <c r="R752" s="23">
        <v>225041</v>
      </c>
      <c r="S752" s="21"/>
      <c r="T752" s="21"/>
      <c r="U752" s="21"/>
      <c r="V752" s="24"/>
      <c r="W752" s="24"/>
      <c r="X752" s="24"/>
      <c r="Y752" s="17"/>
      <c r="Z752" s="18">
        <f>ROUND(R752*'Data-CostAssumptions'!$C$3,-3)</f>
        <v>311000</v>
      </c>
      <c r="AA752" s="11">
        <f t="shared" si="23"/>
        <v>0</v>
      </c>
      <c r="AB752" s="11">
        <v>2041</v>
      </c>
      <c r="AC752" s="11">
        <v>2041</v>
      </c>
      <c r="AD752" s="11">
        <v>2041</v>
      </c>
      <c r="AE752" s="11">
        <v>2041</v>
      </c>
      <c r="AF752" s="11">
        <v>0</v>
      </c>
      <c r="AG752" s="19">
        <f>ROUND((Z752*'Data-CostAssumptions'!$G$5)*(1+'Data-CostAssumptions'!$G$3)^(AC752-'Data-CostAssumptions'!$G$4),-3)</f>
        <v>175000</v>
      </c>
      <c r="AH752" s="19">
        <f>ROUND((Z752)*(1+'Data-CostAssumptions'!$G$3)^(AE752-'Data-CostAssumptions'!$G$4),-3)</f>
        <v>797000</v>
      </c>
    </row>
    <row r="753" spans="1:34" ht="15" customHeight="1" x14ac:dyDescent="0.2">
      <c r="A753" s="11"/>
      <c r="B753" s="11" t="s">
        <v>1211</v>
      </c>
      <c r="C753" s="13">
        <v>548</v>
      </c>
      <c r="D753" s="13" t="s">
        <v>420</v>
      </c>
      <c r="E753" s="20">
        <v>83</v>
      </c>
      <c r="F753" s="20">
        <v>172</v>
      </c>
      <c r="G753" s="20">
        <v>752</v>
      </c>
      <c r="H753" s="13" t="s">
        <v>1781</v>
      </c>
      <c r="I753" s="13" t="str">
        <f t="shared" si="22"/>
        <v>Bayview Dr (NE 32nd St to NE 44th St)</v>
      </c>
      <c r="J753" s="13" t="s">
        <v>27</v>
      </c>
      <c r="K753" s="13" t="str">
        <f>VLOOKUP(J753,'Data-ProjectTypes'!A$3:B$13,2,FALSE)</f>
        <v>Program</v>
      </c>
      <c r="L753" s="21" t="s">
        <v>348</v>
      </c>
      <c r="M753" s="13" t="s">
        <v>2484</v>
      </c>
      <c r="N753" s="13" t="s">
        <v>2483</v>
      </c>
      <c r="O753" s="13" t="s">
        <v>276</v>
      </c>
      <c r="P753" s="13" t="s">
        <v>276</v>
      </c>
      <c r="Q753" s="22">
        <v>1</v>
      </c>
      <c r="R753" s="23">
        <v>367771</v>
      </c>
      <c r="S753" s="21"/>
      <c r="T753" s="21"/>
      <c r="U753" s="21"/>
      <c r="V753" s="24"/>
      <c r="W753" s="24"/>
      <c r="X753" s="24"/>
      <c r="Y753" s="17"/>
      <c r="Z753" s="18">
        <f>ROUND(R753*'Data-CostAssumptions'!$C$3,-3)</f>
        <v>509000</v>
      </c>
      <c r="AA753" s="11">
        <f t="shared" si="23"/>
        <v>0</v>
      </c>
      <c r="AB753" s="11">
        <v>2041</v>
      </c>
      <c r="AC753" s="11">
        <v>2041</v>
      </c>
      <c r="AD753" s="11">
        <v>2041</v>
      </c>
      <c r="AE753" s="11">
        <v>2041</v>
      </c>
      <c r="AF753" s="11">
        <v>0</v>
      </c>
      <c r="AG753" s="19">
        <f>ROUND((Z753*'Data-CostAssumptions'!$G$5)*(1+'Data-CostAssumptions'!$G$3)^(AC753-'Data-CostAssumptions'!$G$4),-3)</f>
        <v>287000</v>
      </c>
      <c r="AH753" s="19">
        <f>ROUND((Z753)*(1+'Data-CostAssumptions'!$G$3)^(AE753-'Data-CostAssumptions'!$G$4),-3)</f>
        <v>1305000</v>
      </c>
    </row>
    <row r="754" spans="1:34" ht="15" customHeight="1" x14ac:dyDescent="0.2">
      <c r="A754" s="11"/>
      <c r="B754" s="11" t="s">
        <v>1211</v>
      </c>
      <c r="C754" s="13">
        <v>549</v>
      </c>
      <c r="D754" s="13" t="s">
        <v>420</v>
      </c>
      <c r="E754" s="20">
        <v>87</v>
      </c>
      <c r="F754" s="20">
        <v>172</v>
      </c>
      <c r="G754" s="20">
        <v>753</v>
      </c>
      <c r="H754" s="13" t="s">
        <v>1782</v>
      </c>
      <c r="I754" s="13" t="str">
        <f t="shared" si="22"/>
        <v>Bougainvilla Dr/Ocean Dr (Fort Royal Isle to Commercial Bl)</v>
      </c>
      <c r="J754" s="13" t="s">
        <v>27</v>
      </c>
      <c r="K754" s="13" t="str">
        <f>VLOOKUP(J754,'Data-ProjectTypes'!A$3:B$13,2,FALSE)</f>
        <v>Program</v>
      </c>
      <c r="L754" s="21" t="s">
        <v>348</v>
      </c>
      <c r="M754" s="13" t="s">
        <v>176</v>
      </c>
      <c r="N754" s="13" t="s">
        <v>1813</v>
      </c>
      <c r="O754" s="13" t="s">
        <v>270</v>
      </c>
      <c r="P754" s="13" t="s">
        <v>270</v>
      </c>
      <c r="Q754" s="22">
        <v>0.6</v>
      </c>
      <c r="R754" s="23">
        <v>217415</v>
      </c>
      <c r="S754" s="21"/>
      <c r="T754" s="21"/>
      <c r="U754" s="21"/>
      <c r="V754" s="24"/>
      <c r="W754" s="24"/>
      <c r="X754" s="28"/>
      <c r="Y754" s="17"/>
      <c r="Z754" s="18">
        <f>ROUND(R754*'Data-CostAssumptions'!$C$3,-3)</f>
        <v>301000</v>
      </c>
      <c r="AA754" s="11">
        <f t="shared" si="23"/>
        <v>0</v>
      </c>
      <c r="AB754" s="11">
        <v>2041</v>
      </c>
      <c r="AC754" s="11">
        <v>2041</v>
      </c>
      <c r="AD754" s="11">
        <v>2041</v>
      </c>
      <c r="AE754" s="11">
        <v>2041</v>
      </c>
      <c r="AF754" s="11">
        <v>0</v>
      </c>
      <c r="AG754" s="19">
        <f>ROUND((Z754*'Data-CostAssumptions'!$G$5)*(1+'Data-CostAssumptions'!$G$3)^(AC754-'Data-CostAssumptions'!$G$4),-3)</f>
        <v>170000</v>
      </c>
      <c r="AH754" s="19">
        <f>ROUND((Z754)*(1+'Data-CostAssumptions'!$G$3)^(AE754-'Data-CostAssumptions'!$G$4),-3)</f>
        <v>772000</v>
      </c>
    </row>
    <row r="755" spans="1:34" ht="15" customHeight="1" x14ac:dyDescent="0.2">
      <c r="A755" s="11"/>
      <c r="B755" s="11" t="s">
        <v>1211</v>
      </c>
      <c r="C755" s="13">
        <v>550</v>
      </c>
      <c r="D755" s="13" t="s">
        <v>420</v>
      </c>
      <c r="E755" s="20">
        <v>88</v>
      </c>
      <c r="F755" s="20">
        <v>172</v>
      </c>
      <c r="G755" s="20">
        <v>754</v>
      </c>
      <c r="H755" s="13" t="s">
        <v>1781</v>
      </c>
      <c r="I755" s="13" t="str">
        <f t="shared" si="22"/>
        <v>Bayview Dr (Commercial Bl to Bay Colony Dr)</v>
      </c>
      <c r="J755" s="13" t="s">
        <v>27</v>
      </c>
      <c r="K755" s="13" t="str">
        <f>VLOOKUP(J755,'Data-ProjectTypes'!A$3:B$13,2,FALSE)</f>
        <v>Program</v>
      </c>
      <c r="L755" s="21" t="s">
        <v>348</v>
      </c>
      <c r="M755" s="13" t="s">
        <v>1813</v>
      </c>
      <c r="N755" s="13" t="s">
        <v>2647</v>
      </c>
      <c r="O755" s="13" t="s">
        <v>276</v>
      </c>
      <c r="P755" s="13" t="s">
        <v>276</v>
      </c>
      <c r="Q755" s="22">
        <v>1</v>
      </c>
      <c r="R755" s="23">
        <v>345991</v>
      </c>
      <c r="S755" s="21"/>
      <c r="T755" s="21"/>
      <c r="U755" s="21"/>
      <c r="V755" s="24"/>
      <c r="W755" s="24"/>
      <c r="X755" s="24"/>
      <c r="Y755" s="17"/>
      <c r="Z755" s="18">
        <f>ROUND(R755*'Data-CostAssumptions'!$C$3,-3)</f>
        <v>479000</v>
      </c>
      <c r="AA755" s="11">
        <f t="shared" si="23"/>
        <v>0</v>
      </c>
      <c r="AB755" s="11">
        <v>2041</v>
      </c>
      <c r="AC755" s="11">
        <v>2041</v>
      </c>
      <c r="AD755" s="11">
        <v>2041</v>
      </c>
      <c r="AE755" s="11">
        <v>2041</v>
      </c>
      <c r="AF755" s="11">
        <v>0</v>
      </c>
      <c r="AG755" s="19">
        <f>ROUND((Z755*'Data-CostAssumptions'!$G$5)*(1+'Data-CostAssumptions'!$G$3)^(AC755-'Data-CostAssumptions'!$G$4),-3)</f>
        <v>270000</v>
      </c>
      <c r="AH755" s="19">
        <f>ROUND((Z755)*(1+'Data-CostAssumptions'!$G$3)^(AE755-'Data-CostAssumptions'!$G$4),-3)</f>
        <v>1228000</v>
      </c>
    </row>
    <row r="756" spans="1:34" ht="15" customHeight="1" x14ac:dyDescent="0.2">
      <c r="A756" s="11"/>
      <c r="B756" s="11" t="s">
        <v>1211</v>
      </c>
      <c r="C756" s="13">
        <v>551</v>
      </c>
      <c r="D756" s="13" t="s">
        <v>420</v>
      </c>
      <c r="E756" s="20">
        <v>101</v>
      </c>
      <c r="F756" s="20">
        <v>178</v>
      </c>
      <c r="G756" s="20">
        <v>755</v>
      </c>
      <c r="H756" s="13" t="s">
        <v>1896</v>
      </c>
      <c r="I756" s="13" t="str">
        <f t="shared" si="22"/>
        <v>NE 49th St (NE 21st Terrace to NE 17th Dr)</v>
      </c>
      <c r="J756" s="13" t="s">
        <v>27</v>
      </c>
      <c r="K756" s="13" t="str">
        <f>VLOOKUP(J756,'Data-ProjectTypes'!A$3:B$13,2,FALSE)</f>
        <v>Program</v>
      </c>
      <c r="L756" s="21" t="s">
        <v>348</v>
      </c>
      <c r="M756" s="13" t="s">
        <v>111</v>
      </c>
      <c r="N756" s="13" t="s">
        <v>2658</v>
      </c>
      <c r="O756" s="13" t="s">
        <v>273</v>
      </c>
      <c r="P756" s="13" t="s">
        <v>273</v>
      </c>
      <c r="Q756" s="22">
        <v>0.4</v>
      </c>
      <c r="R756" s="23">
        <v>152228</v>
      </c>
      <c r="S756" s="21"/>
      <c r="T756" s="21"/>
      <c r="U756" s="21"/>
      <c r="V756" s="24"/>
      <c r="W756" s="24" t="s">
        <v>674</v>
      </c>
      <c r="X756" s="24"/>
      <c r="Y756" s="17" t="s">
        <v>670</v>
      </c>
      <c r="Z756" s="18">
        <f>ROUND(R756*'Data-CostAssumptions'!$C$3,-3)</f>
        <v>211000</v>
      </c>
      <c r="AA756" s="11">
        <f t="shared" si="23"/>
        <v>1</v>
      </c>
      <c r="AB756" s="11">
        <v>2041</v>
      </c>
      <c r="AC756" s="11">
        <v>2041</v>
      </c>
      <c r="AD756" s="11">
        <v>2041</v>
      </c>
      <c r="AE756" s="11">
        <v>2041</v>
      </c>
      <c r="AF756" s="11">
        <v>0</v>
      </c>
      <c r="AG756" s="19">
        <f>ROUND((Z756*'Data-CostAssumptions'!$G$5)*(1+'Data-CostAssumptions'!$G$3)^(AC756-'Data-CostAssumptions'!$G$4),-3)</f>
        <v>119000</v>
      </c>
      <c r="AH756" s="19">
        <f>ROUND((Z756)*(1+'Data-CostAssumptions'!$G$3)^(AE756-'Data-CostAssumptions'!$G$4),-3)</f>
        <v>541000</v>
      </c>
    </row>
    <row r="757" spans="1:34" ht="15" customHeight="1" x14ac:dyDescent="0.2">
      <c r="A757" s="11"/>
      <c r="B757" s="11" t="s">
        <v>1211</v>
      </c>
      <c r="C757" s="13">
        <v>552</v>
      </c>
      <c r="D757" s="13" t="s">
        <v>420</v>
      </c>
      <c r="E757" s="20">
        <v>124</v>
      </c>
      <c r="F757" s="20">
        <v>172</v>
      </c>
      <c r="G757" s="20">
        <v>756</v>
      </c>
      <c r="H757" s="13" t="s">
        <v>1777</v>
      </c>
      <c r="I757" s="13" t="str">
        <f t="shared" si="22"/>
        <v>West McNab Rd (NW 21st Av to NW 31st Av)</v>
      </c>
      <c r="J757" s="13" t="s">
        <v>27</v>
      </c>
      <c r="K757" s="13" t="str">
        <f>VLOOKUP(J757,'Data-ProjectTypes'!A$3:B$13,2,FALSE)</f>
        <v>Program</v>
      </c>
      <c r="L757" s="21" t="s">
        <v>348</v>
      </c>
      <c r="M757" s="13" t="s">
        <v>2057</v>
      </c>
      <c r="N757" s="13" t="s">
        <v>2062</v>
      </c>
      <c r="O757" s="13" t="s">
        <v>273</v>
      </c>
      <c r="P757" s="13" t="s">
        <v>273</v>
      </c>
      <c r="Q757" s="22">
        <v>1.1000000000000001</v>
      </c>
      <c r="R757" s="23">
        <v>387775</v>
      </c>
      <c r="S757" s="21"/>
      <c r="T757" s="21"/>
      <c r="U757" s="21"/>
      <c r="V757" s="24"/>
      <c r="W757" s="24"/>
      <c r="X757" s="24"/>
      <c r="Y757" s="17"/>
      <c r="Z757" s="18">
        <f>ROUND(R757*'Data-CostAssumptions'!$C$3,-3)</f>
        <v>537000</v>
      </c>
      <c r="AA757" s="11">
        <f t="shared" si="23"/>
        <v>0</v>
      </c>
      <c r="AB757" s="11">
        <v>2041</v>
      </c>
      <c r="AC757" s="11">
        <v>2041</v>
      </c>
      <c r="AD757" s="11">
        <v>2041</v>
      </c>
      <c r="AE757" s="11">
        <v>2041</v>
      </c>
      <c r="AF757" s="11">
        <v>0</v>
      </c>
      <c r="AG757" s="19">
        <f>ROUND((Z757*'Data-CostAssumptions'!$G$5)*(1+'Data-CostAssumptions'!$G$3)^(AC757-'Data-CostAssumptions'!$G$4),-3)</f>
        <v>303000</v>
      </c>
      <c r="AH757" s="19">
        <f>ROUND((Z757)*(1+'Data-CostAssumptions'!$G$3)^(AE757-'Data-CostAssumptions'!$G$4),-3)</f>
        <v>1377000</v>
      </c>
    </row>
    <row r="758" spans="1:34" ht="15" customHeight="1" x14ac:dyDescent="0.2">
      <c r="A758" s="11"/>
      <c r="B758" s="11" t="s">
        <v>1211</v>
      </c>
      <c r="C758" s="13">
        <v>553</v>
      </c>
      <c r="D758" s="13" t="s">
        <v>420</v>
      </c>
      <c r="E758" s="20">
        <v>127</v>
      </c>
      <c r="F758" s="20">
        <v>172</v>
      </c>
      <c r="G758" s="20">
        <v>757</v>
      </c>
      <c r="H758" s="13" t="s">
        <v>2057</v>
      </c>
      <c r="I758" s="13" t="str">
        <f t="shared" si="22"/>
        <v>NW 21st Av (NW 62nd St/Cypress Creek Rd to McNab Rd)</v>
      </c>
      <c r="J758" s="13" t="s">
        <v>27</v>
      </c>
      <c r="K758" s="13" t="str">
        <f>VLOOKUP(J758,'Data-ProjectTypes'!A$3:B$13,2,FALSE)</f>
        <v>Program</v>
      </c>
      <c r="L758" s="21" t="s">
        <v>348</v>
      </c>
      <c r="M758" s="13" t="s">
        <v>1928</v>
      </c>
      <c r="N758" s="13" t="s">
        <v>1854</v>
      </c>
      <c r="O758" s="13" t="s">
        <v>272</v>
      </c>
      <c r="P758" s="13" t="s">
        <v>272</v>
      </c>
      <c r="Q758" s="22">
        <v>0.5</v>
      </c>
      <c r="R758" s="23">
        <v>177966</v>
      </c>
      <c r="S758" s="21"/>
      <c r="T758" s="21"/>
      <c r="U758" s="21"/>
      <c r="V758" s="24"/>
      <c r="W758" s="24"/>
      <c r="X758" s="24"/>
      <c r="Y758" s="17"/>
      <c r="Z758" s="18">
        <f>ROUND(R758*'Data-CostAssumptions'!$C$3,-3)</f>
        <v>246000</v>
      </c>
      <c r="AA758" s="11">
        <f t="shared" si="23"/>
        <v>0</v>
      </c>
      <c r="AB758" s="11">
        <v>2041</v>
      </c>
      <c r="AC758" s="11">
        <v>2041</v>
      </c>
      <c r="AD758" s="11">
        <v>2041</v>
      </c>
      <c r="AE758" s="11">
        <v>2041</v>
      </c>
      <c r="AF758" s="11">
        <v>0</v>
      </c>
      <c r="AG758" s="19">
        <f>ROUND((Z758*'Data-CostAssumptions'!$G$5)*(1+'Data-CostAssumptions'!$G$3)^(AC758-'Data-CostAssumptions'!$G$4),-3)</f>
        <v>139000</v>
      </c>
      <c r="AH758" s="19">
        <f>ROUND((Z758)*(1+'Data-CostAssumptions'!$G$3)^(AE758-'Data-CostAssumptions'!$G$4),-3)</f>
        <v>631000</v>
      </c>
    </row>
    <row r="759" spans="1:34" ht="15" customHeight="1" x14ac:dyDescent="0.2">
      <c r="A759" s="11"/>
      <c r="B759" s="11" t="s">
        <v>1211</v>
      </c>
      <c r="C759" s="13">
        <v>554</v>
      </c>
      <c r="D759" s="13" t="s">
        <v>420</v>
      </c>
      <c r="E759" s="20">
        <v>133</v>
      </c>
      <c r="F759" s="20">
        <v>172</v>
      </c>
      <c r="G759" s="20">
        <v>758</v>
      </c>
      <c r="H759" s="13" t="s">
        <v>2057</v>
      </c>
      <c r="I759" s="13" t="str">
        <f t="shared" si="22"/>
        <v>NW 21st Av (Prospect Rd to Just south of Perimeter Rd)</v>
      </c>
      <c r="J759" s="13" t="s">
        <v>27</v>
      </c>
      <c r="K759" s="13" t="str">
        <f>VLOOKUP(J759,'Data-ProjectTypes'!A$3:B$13,2,FALSE)</f>
        <v>Program</v>
      </c>
      <c r="L759" s="21" t="s">
        <v>348</v>
      </c>
      <c r="M759" s="13" t="s">
        <v>1859</v>
      </c>
      <c r="N759" s="13" t="s">
        <v>2435</v>
      </c>
      <c r="O759" s="13" t="s">
        <v>273</v>
      </c>
      <c r="P759" s="13" t="s">
        <v>273</v>
      </c>
      <c r="Q759" s="22">
        <v>0.3</v>
      </c>
      <c r="R759" s="23">
        <v>100836</v>
      </c>
      <c r="S759" s="21"/>
      <c r="T759" s="21"/>
      <c r="U759" s="21"/>
      <c r="V759" s="24"/>
      <c r="W759" s="24"/>
      <c r="X759" s="24"/>
      <c r="Y759" s="17"/>
      <c r="Z759" s="18">
        <f>ROUND(R759*'Data-CostAssumptions'!$C$3,-3)</f>
        <v>140000</v>
      </c>
      <c r="AA759" s="11">
        <f t="shared" si="23"/>
        <v>0</v>
      </c>
      <c r="AB759" s="11">
        <v>2041</v>
      </c>
      <c r="AC759" s="11">
        <v>2041</v>
      </c>
      <c r="AD759" s="11">
        <v>2041</v>
      </c>
      <c r="AE759" s="11">
        <v>2041</v>
      </c>
      <c r="AF759" s="11">
        <v>0</v>
      </c>
      <c r="AG759" s="19">
        <f>ROUND((Z759*'Data-CostAssumptions'!$G$5)*(1+'Data-CostAssumptions'!$G$3)^(AC759-'Data-CostAssumptions'!$G$4),-3)</f>
        <v>79000</v>
      </c>
      <c r="AH759" s="19">
        <f>ROUND((Z759)*(1+'Data-CostAssumptions'!$G$3)^(AE759-'Data-CostAssumptions'!$G$4),-3)</f>
        <v>359000</v>
      </c>
    </row>
    <row r="760" spans="1:34" ht="15" customHeight="1" x14ac:dyDescent="0.2">
      <c r="A760" s="11"/>
      <c r="B760" s="11" t="s">
        <v>1211</v>
      </c>
      <c r="C760" s="13">
        <v>555</v>
      </c>
      <c r="D760" s="13" t="s">
        <v>420</v>
      </c>
      <c r="E760" s="20">
        <v>147</v>
      </c>
      <c r="F760" s="20">
        <v>172</v>
      </c>
      <c r="G760" s="20">
        <v>759</v>
      </c>
      <c r="H760" s="13" t="s">
        <v>1768</v>
      </c>
      <c r="I760" s="13" t="str">
        <f t="shared" si="22"/>
        <v>Rock Island Rd (NW 44th St to Commercial Bl)</v>
      </c>
      <c r="J760" s="13" t="s">
        <v>27</v>
      </c>
      <c r="K760" s="13" t="str">
        <f>VLOOKUP(J760,'Data-ProjectTypes'!A$3:B$13,2,FALSE)</f>
        <v>Program</v>
      </c>
      <c r="L760" s="21" t="s">
        <v>348</v>
      </c>
      <c r="M760" s="13" t="s">
        <v>1189</v>
      </c>
      <c r="N760" s="13" t="s">
        <v>1813</v>
      </c>
      <c r="O760" s="13" t="s">
        <v>273</v>
      </c>
      <c r="P760" s="13" t="s">
        <v>273</v>
      </c>
      <c r="Q760" s="22">
        <v>1</v>
      </c>
      <c r="R760" s="23">
        <v>359996</v>
      </c>
      <c r="S760" s="21"/>
      <c r="T760" s="21"/>
      <c r="U760" s="21"/>
      <c r="V760" s="24"/>
      <c r="W760" s="24"/>
      <c r="X760" s="24"/>
      <c r="Y760" s="17"/>
      <c r="Z760" s="18">
        <f>ROUND(R760*'Data-CostAssumptions'!$C$3,-3)</f>
        <v>498000</v>
      </c>
      <c r="AA760" s="11">
        <f t="shared" si="23"/>
        <v>0</v>
      </c>
      <c r="AB760" s="11">
        <v>2041</v>
      </c>
      <c r="AC760" s="11">
        <v>2041</v>
      </c>
      <c r="AD760" s="11">
        <v>2041</v>
      </c>
      <c r="AE760" s="11">
        <v>2041</v>
      </c>
      <c r="AF760" s="11">
        <v>0</v>
      </c>
      <c r="AG760" s="19">
        <f>ROUND((Z760*'Data-CostAssumptions'!$G$5)*(1+'Data-CostAssumptions'!$G$3)^(AC760-'Data-CostAssumptions'!$G$4),-3)</f>
        <v>281000</v>
      </c>
      <c r="AH760" s="19">
        <f>ROUND((Z760)*(1+'Data-CostAssumptions'!$G$3)^(AE760-'Data-CostAssumptions'!$G$4),-3)</f>
        <v>1277000</v>
      </c>
    </row>
    <row r="761" spans="1:34" ht="15" customHeight="1" x14ac:dyDescent="0.2">
      <c r="A761" s="11"/>
      <c r="B761" s="11" t="s">
        <v>1211</v>
      </c>
      <c r="C761" s="13">
        <v>556</v>
      </c>
      <c r="D761" s="13" t="s">
        <v>420</v>
      </c>
      <c r="E761" s="20">
        <v>148</v>
      </c>
      <c r="F761" s="20">
        <v>172</v>
      </c>
      <c r="G761" s="20">
        <v>760</v>
      </c>
      <c r="H761" s="13" t="s">
        <v>1925</v>
      </c>
      <c r="I761" s="13" t="str">
        <f t="shared" si="22"/>
        <v>NW 57th St (NW 64th Av to Just west of NW 73rd Av)</v>
      </c>
      <c r="J761" s="13" t="s">
        <v>27</v>
      </c>
      <c r="K761" s="13" t="str">
        <f>VLOOKUP(J761,'Data-ProjectTypes'!A$3:B$13,2,FALSE)</f>
        <v>Program</v>
      </c>
      <c r="L761" s="21" t="s">
        <v>348</v>
      </c>
      <c r="M761" s="13" t="s">
        <v>2225</v>
      </c>
      <c r="N761" s="13" t="s">
        <v>2247</v>
      </c>
      <c r="O761" s="13" t="s">
        <v>280</v>
      </c>
      <c r="P761" s="13" t="s">
        <v>280</v>
      </c>
      <c r="Q761" s="22">
        <v>0.8</v>
      </c>
      <c r="R761" s="23">
        <v>295534</v>
      </c>
      <c r="S761" s="21"/>
      <c r="T761" s="21"/>
      <c r="U761" s="21"/>
      <c r="V761" s="24"/>
      <c r="W761" s="24"/>
      <c r="X761" s="24"/>
      <c r="Y761" s="17"/>
      <c r="Z761" s="18">
        <f>ROUND(R761*'Data-CostAssumptions'!$C$3,-3)</f>
        <v>409000</v>
      </c>
      <c r="AA761" s="11">
        <f t="shared" si="23"/>
        <v>0</v>
      </c>
      <c r="AB761" s="11">
        <v>2041</v>
      </c>
      <c r="AC761" s="11">
        <v>2041</v>
      </c>
      <c r="AD761" s="11">
        <v>2041</v>
      </c>
      <c r="AE761" s="11">
        <v>2041</v>
      </c>
      <c r="AF761" s="11">
        <v>0</v>
      </c>
      <c r="AG761" s="19">
        <f>ROUND((Z761*'Data-CostAssumptions'!$G$5)*(1+'Data-CostAssumptions'!$G$3)^(AC761-'Data-CostAssumptions'!$G$4),-3)</f>
        <v>231000</v>
      </c>
      <c r="AH761" s="19">
        <f>ROUND((Z761)*(1+'Data-CostAssumptions'!$G$3)^(AE761-'Data-CostAssumptions'!$G$4),-3)</f>
        <v>1049000</v>
      </c>
    </row>
    <row r="762" spans="1:34" ht="15" customHeight="1" x14ac:dyDescent="0.2">
      <c r="A762" s="11"/>
      <c r="B762" s="11" t="s">
        <v>1211</v>
      </c>
      <c r="C762" s="13">
        <v>557</v>
      </c>
      <c r="D762" s="13" t="s">
        <v>420</v>
      </c>
      <c r="E762" s="20">
        <v>152</v>
      </c>
      <c r="F762" s="20">
        <v>172</v>
      </c>
      <c r="G762" s="20">
        <v>761</v>
      </c>
      <c r="H762" s="13" t="s">
        <v>1929</v>
      </c>
      <c r="I762" s="13" t="str">
        <f t="shared" si="22"/>
        <v>NW 70th St (NW 80th Av to Pine Island Rd)</v>
      </c>
      <c r="J762" s="13" t="s">
        <v>27</v>
      </c>
      <c r="K762" s="13" t="str">
        <f>VLOOKUP(J762,'Data-ProjectTypes'!A$3:B$13,2,FALSE)</f>
        <v>Program</v>
      </c>
      <c r="L762" s="21" t="s">
        <v>348</v>
      </c>
      <c r="M762" s="13" t="s">
        <v>2248</v>
      </c>
      <c r="N762" s="13" t="s">
        <v>266</v>
      </c>
      <c r="O762" s="13" t="s">
        <v>273</v>
      </c>
      <c r="P762" s="13" t="s">
        <v>273</v>
      </c>
      <c r="Q762" s="22">
        <v>0.7</v>
      </c>
      <c r="R762" s="23">
        <v>242722</v>
      </c>
      <c r="S762" s="21"/>
      <c r="T762" s="21"/>
      <c r="U762" s="21"/>
      <c r="V762" s="24"/>
      <c r="W762" s="24"/>
      <c r="X762" s="24"/>
      <c r="Y762" s="17"/>
      <c r="Z762" s="18">
        <f>ROUND(R762*'Data-CostAssumptions'!$C$3,-3)</f>
        <v>336000</v>
      </c>
      <c r="AA762" s="11">
        <f t="shared" si="23"/>
        <v>0</v>
      </c>
      <c r="AB762" s="11">
        <v>2041</v>
      </c>
      <c r="AC762" s="11">
        <v>2041</v>
      </c>
      <c r="AD762" s="11">
        <v>2041</v>
      </c>
      <c r="AE762" s="11">
        <v>2041</v>
      </c>
      <c r="AF762" s="11">
        <v>0</v>
      </c>
      <c r="AG762" s="19">
        <f>ROUND((Z762*'Data-CostAssumptions'!$G$5)*(1+'Data-CostAssumptions'!$G$3)^(AC762-'Data-CostAssumptions'!$G$4),-3)</f>
        <v>190000</v>
      </c>
      <c r="AH762" s="19">
        <f>ROUND((Z762)*(1+'Data-CostAssumptions'!$G$3)^(AE762-'Data-CostAssumptions'!$G$4),-3)</f>
        <v>861000</v>
      </c>
    </row>
    <row r="763" spans="1:34" ht="15" customHeight="1" x14ac:dyDescent="0.2">
      <c r="A763" s="11"/>
      <c r="B763" s="11" t="s">
        <v>1211</v>
      </c>
      <c r="C763" s="13">
        <v>558</v>
      </c>
      <c r="D763" s="13" t="s">
        <v>420</v>
      </c>
      <c r="E763" s="20">
        <v>166</v>
      </c>
      <c r="F763" s="20">
        <v>172</v>
      </c>
      <c r="G763" s="20">
        <v>762</v>
      </c>
      <c r="H763" s="13" t="s">
        <v>1780</v>
      </c>
      <c r="I763" s="13" t="str">
        <f t="shared" si="22"/>
        <v>Wiles Rd (Coral Ridge Dr to West of NW 126th Av)</v>
      </c>
      <c r="J763" s="13" t="s">
        <v>27</v>
      </c>
      <c r="K763" s="13" t="str">
        <f>VLOOKUP(J763,'Data-ProjectTypes'!A$3:B$13,2,FALSE)</f>
        <v>Program</v>
      </c>
      <c r="L763" s="21" t="s">
        <v>348</v>
      </c>
      <c r="M763" s="13" t="s">
        <v>1786</v>
      </c>
      <c r="N763" s="13" t="s">
        <v>2243</v>
      </c>
      <c r="O763" s="13" t="s">
        <v>273</v>
      </c>
      <c r="P763" s="13" t="s">
        <v>273</v>
      </c>
      <c r="Q763" s="22">
        <v>0.8</v>
      </c>
      <c r="R763" s="23">
        <v>291546</v>
      </c>
      <c r="S763" s="21" t="s">
        <v>24</v>
      </c>
      <c r="T763" s="21"/>
      <c r="U763" s="21"/>
      <c r="V763" s="24"/>
      <c r="W763" s="24"/>
      <c r="X763" s="24"/>
      <c r="Y763" s="17" t="s">
        <v>461</v>
      </c>
      <c r="Z763" s="18">
        <f>ROUND(R763*'Data-CostAssumptions'!$C$3,-3)</f>
        <v>403000</v>
      </c>
      <c r="AA763" s="11">
        <f t="shared" si="23"/>
        <v>0</v>
      </c>
      <c r="AB763" s="11">
        <v>2041</v>
      </c>
      <c r="AC763" s="11">
        <v>2041</v>
      </c>
      <c r="AD763" s="11">
        <v>2041</v>
      </c>
      <c r="AE763" s="11">
        <v>2041</v>
      </c>
      <c r="AF763" s="11">
        <v>0</v>
      </c>
      <c r="AG763" s="19">
        <f>ROUND((Z763*'Data-CostAssumptions'!$G$5)*(1+'Data-CostAssumptions'!$G$3)^(AC763-'Data-CostAssumptions'!$G$4),-3)</f>
        <v>227000</v>
      </c>
      <c r="AH763" s="19">
        <f>ROUND((Z763)*(1+'Data-CostAssumptions'!$G$3)^(AE763-'Data-CostAssumptions'!$G$4),-3)</f>
        <v>1033000</v>
      </c>
    </row>
    <row r="764" spans="1:34" ht="15" customHeight="1" x14ac:dyDescent="0.2">
      <c r="A764" s="11"/>
      <c r="B764" s="11" t="s">
        <v>1211</v>
      </c>
      <c r="C764" s="13">
        <v>561</v>
      </c>
      <c r="D764" s="13" t="s">
        <v>420</v>
      </c>
      <c r="E764" s="20">
        <v>197</v>
      </c>
      <c r="F764" s="20">
        <v>172</v>
      </c>
      <c r="G764" s="20">
        <v>763</v>
      </c>
      <c r="H764" s="13" t="s">
        <v>88</v>
      </c>
      <c r="I764" s="13" t="str">
        <f t="shared" si="22"/>
        <v>Sawgrass Mills Circle (Just south of Green Toad Rd to Orange Grove Lane)</v>
      </c>
      <c r="J764" s="13" t="s">
        <v>27</v>
      </c>
      <c r="K764" s="13" t="str">
        <f>VLOOKUP(J764,'Data-ProjectTypes'!A$3:B$13,2,FALSE)</f>
        <v>Program</v>
      </c>
      <c r="L764" s="21" t="s">
        <v>809</v>
      </c>
      <c r="M764" s="13" t="s">
        <v>2450</v>
      </c>
      <c r="N764" s="13" t="s">
        <v>87</v>
      </c>
      <c r="O764" s="13" t="s">
        <v>278</v>
      </c>
      <c r="P764" s="13" t="s">
        <v>278</v>
      </c>
      <c r="Q764" s="22">
        <v>0.6</v>
      </c>
      <c r="R764" s="23">
        <v>226256</v>
      </c>
      <c r="S764" s="21" t="s">
        <v>24</v>
      </c>
      <c r="T764" s="21" t="s">
        <v>25</v>
      </c>
      <c r="U764" s="21" t="s">
        <v>24</v>
      </c>
      <c r="V764" s="48" t="s">
        <v>811</v>
      </c>
      <c r="W764" s="24"/>
      <c r="X764" s="24" t="s">
        <v>810</v>
      </c>
      <c r="Y764" s="17" t="s">
        <v>806</v>
      </c>
      <c r="Z764" s="18">
        <f>ROUND(R764*'Data-CostAssumptions'!$C$3,-3)</f>
        <v>313000</v>
      </c>
      <c r="AA764" s="11">
        <f t="shared" si="23"/>
        <v>1</v>
      </c>
      <c r="AB764" s="11">
        <v>2041</v>
      </c>
      <c r="AC764" s="11">
        <v>2041</v>
      </c>
      <c r="AD764" s="11">
        <v>2041</v>
      </c>
      <c r="AE764" s="11">
        <v>2041</v>
      </c>
      <c r="AF764" s="11">
        <v>0</v>
      </c>
      <c r="AG764" s="19">
        <f>ROUND((Z764*'Data-CostAssumptions'!$G$5)*(1+'Data-CostAssumptions'!$G$3)^(AC764-'Data-CostAssumptions'!$G$4),-3)</f>
        <v>177000</v>
      </c>
      <c r="AH764" s="19">
        <f>ROUND((Z764)*(1+'Data-CostAssumptions'!$G$3)^(AE764-'Data-CostAssumptions'!$G$4),-3)</f>
        <v>803000</v>
      </c>
    </row>
    <row r="765" spans="1:34" ht="15" customHeight="1" x14ac:dyDescent="0.2">
      <c r="A765" s="11"/>
      <c r="B765" s="11" t="s">
        <v>1211</v>
      </c>
      <c r="C765" s="13">
        <v>563</v>
      </c>
      <c r="D765" s="13" t="s">
        <v>420</v>
      </c>
      <c r="E765" s="20">
        <v>219</v>
      </c>
      <c r="F765" s="20">
        <v>172</v>
      </c>
      <c r="G765" s="20">
        <v>764</v>
      </c>
      <c r="H765" s="13" t="s">
        <v>1933</v>
      </c>
      <c r="I765" s="13" t="str">
        <f t="shared" si="22"/>
        <v>NW 82nd St (Just west of University Dr to NW 80th Av)</v>
      </c>
      <c r="J765" s="13" t="s">
        <v>27</v>
      </c>
      <c r="K765" s="13" t="str">
        <f>VLOOKUP(J765,'Data-ProjectTypes'!A$3:B$13,2,FALSE)</f>
        <v>Program</v>
      </c>
      <c r="L765" s="21" t="s">
        <v>348</v>
      </c>
      <c r="M765" s="13" t="s">
        <v>2668</v>
      </c>
      <c r="N765" s="13" t="s">
        <v>2248</v>
      </c>
      <c r="O765" s="13" t="s">
        <v>280</v>
      </c>
      <c r="P765" s="13" t="s">
        <v>280</v>
      </c>
      <c r="Q765" s="22">
        <v>0.3</v>
      </c>
      <c r="R765" s="23">
        <v>110694</v>
      </c>
      <c r="S765" s="21"/>
      <c r="T765" s="21"/>
      <c r="U765" s="21"/>
      <c r="V765" s="24"/>
      <c r="W765" s="24"/>
      <c r="X765" s="24"/>
      <c r="Y765" s="17"/>
      <c r="Z765" s="18">
        <f>ROUND(R765*'Data-CostAssumptions'!$C$3,-3)</f>
        <v>153000</v>
      </c>
      <c r="AA765" s="11">
        <f t="shared" si="23"/>
        <v>0</v>
      </c>
      <c r="AB765" s="11">
        <v>2041</v>
      </c>
      <c r="AC765" s="11">
        <v>2041</v>
      </c>
      <c r="AD765" s="11">
        <v>2041</v>
      </c>
      <c r="AE765" s="11">
        <v>2041</v>
      </c>
      <c r="AF765" s="11">
        <v>0</v>
      </c>
      <c r="AG765" s="19">
        <f>ROUND((Z765*'Data-CostAssumptions'!$G$5)*(1+'Data-CostAssumptions'!$G$3)^(AC765-'Data-CostAssumptions'!$G$4),-3)</f>
        <v>86000</v>
      </c>
      <c r="AH765" s="19">
        <f>ROUND((Z765)*(1+'Data-CostAssumptions'!$G$3)^(AE765-'Data-CostAssumptions'!$G$4),-3)</f>
        <v>392000</v>
      </c>
    </row>
    <row r="766" spans="1:34" ht="15" customHeight="1" x14ac:dyDescent="0.2">
      <c r="A766" s="11"/>
      <c r="B766" s="11" t="s">
        <v>1211</v>
      </c>
      <c r="C766" s="13">
        <v>564</v>
      </c>
      <c r="D766" s="13" t="s">
        <v>420</v>
      </c>
      <c r="E766" s="20">
        <v>221</v>
      </c>
      <c r="F766" s="20">
        <v>173</v>
      </c>
      <c r="G766" s="20">
        <v>765</v>
      </c>
      <c r="H766" s="13" t="s">
        <v>266</v>
      </c>
      <c r="I766" s="13" t="str">
        <f t="shared" si="22"/>
        <v>Pine Island Rd (NW 52nd St to Commercial Bl)</v>
      </c>
      <c r="J766" s="13" t="s">
        <v>27</v>
      </c>
      <c r="K766" s="13" t="str">
        <f>VLOOKUP(J766,'Data-ProjectTypes'!A$3:B$13,2,FALSE)</f>
        <v>Program</v>
      </c>
      <c r="L766" s="21" t="s">
        <v>348</v>
      </c>
      <c r="M766" s="13" t="s">
        <v>2554</v>
      </c>
      <c r="N766" s="13" t="s">
        <v>1813</v>
      </c>
      <c r="O766" s="13" t="s">
        <v>273</v>
      </c>
      <c r="P766" s="13" t="s">
        <v>273</v>
      </c>
      <c r="Q766" s="22">
        <v>0.4</v>
      </c>
      <c r="R766" s="23">
        <v>126157</v>
      </c>
      <c r="S766" s="21"/>
      <c r="T766" s="21"/>
      <c r="U766" s="21"/>
      <c r="V766" s="24"/>
      <c r="W766" s="24"/>
      <c r="X766" s="24"/>
      <c r="Y766" s="17"/>
      <c r="Z766" s="18">
        <f>ROUND(R766*'Data-CostAssumptions'!$C$3,-3)</f>
        <v>175000</v>
      </c>
      <c r="AA766" s="11">
        <f t="shared" si="23"/>
        <v>0</v>
      </c>
      <c r="AB766" s="11">
        <v>2041</v>
      </c>
      <c r="AC766" s="11">
        <v>2041</v>
      </c>
      <c r="AD766" s="11">
        <v>2041</v>
      </c>
      <c r="AE766" s="11">
        <v>2041</v>
      </c>
      <c r="AF766" s="11">
        <v>0</v>
      </c>
      <c r="AG766" s="19">
        <f>ROUND((Z766*'Data-CostAssumptions'!$G$5)*(1+'Data-CostAssumptions'!$G$3)^(AC766-'Data-CostAssumptions'!$G$4),-3)</f>
        <v>99000</v>
      </c>
      <c r="AH766" s="19">
        <f>ROUND((Z766)*(1+'Data-CostAssumptions'!$G$3)^(AE766-'Data-CostAssumptions'!$G$4),-3)</f>
        <v>449000</v>
      </c>
    </row>
    <row r="767" spans="1:34" ht="15" customHeight="1" x14ac:dyDescent="0.2">
      <c r="A767" s="11"/>
      <c r="B767" s="11" t="s">
        <v>1211</v>
      </c>
      <c r="C767" s="13">
        <v>565</v>
      </c>
      <c r="D767" s="13" t="s">
        <v>420</v>
      </c>
      <c r="E767" s="20">
        <v>265</v>
      </c>
      <c r="F767" s="20">
        <v>173</v>
      </c>
      <c r="G767" s="20">
        <v>766</v>
      </c>
      <c r="H767" s="13" t="s">
        <v>1963</v>
      </c>
      <c r="I767" s="13" t="str">
        <f t="shared" si="22"/>
        <v>SW 45th St (Flamingo Rd to SW 142nd Av)</v>
      </c>
      <c r="J767" s="13" t="s">
        <v>27</v>
      </c>
      <c r="K767" s="13" t="str">
        <f>VLOOKUP(J767,'Data-ProjectTypes'!A$3:B$13,2,FALSE)</f>
        <v>Program</v>
      </c>
      <c r="L767" s="21" t="s">
        <v>348</v>
      </c>
      <c r="M767" s="13" t="s">
        <v>159</v>
      </c>
      <c r="N767" s="13" t="s">
        <v>2103</v>
      </c>
      <c r="O767" s="13" t="s">
        <v>279</v>
      </c>
      <c r="P767" s="13" t="s">
        <v>279</v>
      </c>
      <c r="Q767" s="22">
        <v>1.5</v>
      </c>
      <c r="R767" s="23">
        <v>538263</v>
      </c>
      <c r="S767" s="21" t="s">
        <v>24</v>
      </c>
      <c r="T767" s="21" t="s">
        <v>25</v>
      </c>
      <c r="U767" s="21"/>
      <c r="V767" s="24"/>
      <c r="W767" s="24"/>
      <c r="X767" s="24"/>
      <c r="Y767" s="17" t="s">
        <v>469</v>
      </c>
      <c r="Z767" s="18">
        <f>ROUND(R767*'Data-CostAssumptions'!$C$3,-3)</f>
        <v>745000</v>
      </c>
      <c r="AA767" s="11">
        <f t="shared" si="23"/>
        <v>0</v>
      </c>
      <c r="AB767" s="11">
        <v>2041</v>
      </c>
      <c r="AC767" s="11">
        <v>2041</v>
      </c>
      <c r="AD767" s="11">
        <v>2041</v>
      </c>
      <c r="AE767" s="11">
        <v>2041</v>
      </c>
      <c r="AF767" s="11">
        <v>0</v>
      </c>
      <c r="AG767" s="19">
        <f>ROUND((Z767*'Data-CostAssumptions'!$G$5)*(1+'Data-CostAssumptions'!$G$3)^(AC767-'Data-CostAssumptions'!$G$4),-3)</f>
        <v>420000</v>
      </c>
      <c r="AH767" s="19">
        <f>ROUND((Z767)*(1+'Data-CostAssumptions'!$G$3)^(AE767-'Data-CostAssumptions'!$G$4),-3)</f>
        <v>1910000</v>
      </c>
    </row>
    <row r="768" spans="1:34" ht="15" customHeight="1" x14ac:dyDescent="0.2">
      <c r="A768" s="11"/>
      <c r="B768" s="11" t="s">
        <v>1213</v>
      </c>
      <c r="C768" s="13">
        <v>482</v>
      </c>
      <c r="D768" s="13" t="s">
        <v>420</v>
      </c>
      <c r="E768" s="20">
        <v>418</v>
      </c>
      <c r="F768" s="20">
        <v>168</v>
      </c>
      <c r="G768" s="20">
        <v>767</v>
      </c>
      <c r="H768" s="13" t="s">
        <v>2032</v>
      </c>
      <c r="I768" s="13" t="str">
        <f t="shared" si="22"/>
        <v>NE 2nd Av (NE 39th Court to NE 40th St)</v>
      </c>
      <c r="J768" s="13" t="s">
        <v>27</v>
      </c>
      <c r="K768" s="13" t="str">
        <f>VLOOKUP(J768,'Data-ProjectTypes'!A$3:B$13,2,FALSE)</f>
        <v>Program</v>
      </c>
      <c r="L768" s="21" t="s">
        <v>348</v>
      </c>
      <c r="M768" s="13" t="s">
        <v>229</v>
      </c>
      <c r="N768" s="13" t="s">
        <v>1893</v>
      </c>
      <c r="O768" s="13" t="s">
        <v>289</v>
      </c>
      <c r="P768" s="13" t="s">
        <v>289</v>
      </c>
      <c r="Q768" s="22">
        <v>0.1</v>
      </c>
      <c r="R768" s="23">
        <v>19440</v>
      </c>
      <c r="S768" s="21" t="s">
        <v>25</v>
      </c>
      <c r="T768" s="21"/>
      <c r="U768" s="21"/>
      <c r="V768" s="24"/>
      <c r="W768" s="24"/>
      <c r="X768" s="24"/>
      <c r="Y768" s="17" t="s">
        <v>492</v>
      </c>
      <c r="Z768" s="18">
        <f>ROUND(R768*'Data-CostAssumptions'!$C$3,-3)</f>
        <v>27000</v>
      </c>
      <c r="AA768" s="11">
        <f t="shared" si="23"/>
        <v>0</v>
      </c>
      <c r="AB768" s="11">
        <v>2041</v>
      </c>
      <c r="AC768" s="11">
        <v>2041</v>
      </c>
      <c r="AD768" s="11">
        <v>2041</v>
      </c>
      <c r="AE768" s="11">
        <v>2041</v>
      </c>
      <c r="AF768" s="11">
        <v>0</v>
      </c>
      <c r="AG768" s="19">
        <f>ROUND((Z768*'Data-CostAssumptions'!$G$5)*(1+'Data-CostAssumptions'!$G$3)^(AC768-'Data-CostAssumptions'!$G$4),-3)</f>
        <v>15000</v>
      </c>
      <c r="AH768" s="19">
        <f>ROUND((Z768)*(1+'Data-CostAssumptions'!$G$3)^(AE768-'Data-CostAssumptions'!$G$4),-3)</f>
        <v>69000</v>
      </c>
    </row>
    <row r="769" spans="1:34" ht="15" customHeight="1" x14ac:dyDescent="0.2">
      <c r="A769" s="11"/>
      <c r="B769" s="11" t="s">
        <v>1213</v>
      </c>
      <c r="C769" s="13">
        <v>397</v>
      </c>
      <c r="D769" s="13" t="s">
        <v>420</v>
      </c>
      <c r="E769" s="20">
        <v>399</v>
      </c>
      <c r="F769" s="20">
        <v>163</v>
      </c>
      <c r="G769" s="20">
        <v>768</v>
      </c>
      <c r="H769" s="13" t="s">
        <v>1888</v>
      </c>
      <c r="I769" s="13" t="str">
        <f t="shared" si="22"/>
        <v>NE 2nd St (US 1/Federal Hwy to NE 8th Av)</v>
      </c>
      <c r="J769" s="13" t="s">
        <v>27</v>
      </c>
      <c r="K769" s="13" t="str">
        <f>VLOOKUP(J769,'Data-ProjectTypes'!A$3:B$13,2,FALSE)</f>
        <v>Program</v>
      </c>
      <c r="L769" s="21" t="s">
        <v>348</v>
      </c>
      <c r="M769" s="13" t="s">
        <v>2594</v>
      </c>
      <c r="N769" s="13" t="s">
        <v>2212</v>
      </c>
      <c r="O769" s="13" t="s">
        <v>289</v>
      </c>
      <c r="P769" s="13" t="s">
        <v>289</v>
      </c>
      <c r="Q769" s="22">
        <v>0.2</v>
      </c>
      <c r="R769" s="23">
        <v>68106</v>
      </c>
      <c r="S769" s="21" t="s">
        <v>25</v>
      </c>
      <c r="T769" s="21"/>
      <c r="U769" s="21"/>
      <c r="V769" s="24"/>
      <c r="W769" s="24"/>
      <c r="X769" s="24"/>
      <c r="Y769" s="17" t="s">
        <v>492</v>
      </c>
      <c r="Z769" s="18">
        <f>ROUND(R769*'Data-CostAssumptions'!$C$3,-3)</f>
        <v>94000</v>
      </c>
      <c r="AA769" s="11">
        <f t="shared" si="23"/>
        <v>0</v>
      </c>
      <c r="AB769" s="11">
        <v>2041</v>
      </c>
      <c r="AC769" s="11">
        <v>2041</v>
      </c>
      <c r="AD769" s="11">
        <v>2041</v>
      </c>
      <c r="AE769" s="11">
        <v>2041</v>
      </c>
      <c r="AF769" s="11">
        <v>0</v>
      </c>
      <c r="AG769" s="19">
        <f>ROUND((Z769*'Data-CostAssumptions'!$G$5)*(1+'Data-CostAssumptions'!$G$3)^(AC769-'Data-CostAssumptions'!$G$4),-3)</f>
        <v>53000</v>
      </c>
      <c r="AH769" s="19">
        <f>ROUND((Z769)*(1+'Data-CostAssumptions'!$G$3)^(AE769-'Data-CostAssumptions'!$G$4),-3)</f>
        <v>241000</v>
      </c>
    </row>
    <row r="770" spans="1:34" ht="15" customHeight="1" x14ac:dyDescent="0.2">
      <c r="A770" s="11"/>
      <c r="B770" s="11" t="s">
        <v>1211</v>
      </c>
      <c r="C770" s="13">
        <v>566</v>
      </c>
      <c r="D770" s="13" t="s">
        <v>420</v>
      </c>
      <c r="E770" s="20">
        <v>266</v>
      </c>
      <c r="F770" s="20">
        <v>173</v>
      </c>
      <c r="G770" s="20">
        <v>769</v>
      </c>
      <c r="H770" s="13" t="s">
        <v>1963</v>
      </c>
      <c r="I770" s="13" t="str">
        <f t="shared" ref="I770:I833" si="24">IF(M770="@",H770&amp;" ("&amp;M770&amp;"  "&amp;N770&amp;")",H770&amp;" ("&amp;M770&amp;" to "&amp;N770&amp;")")</f>
        <v>SW 45th St (Hiatus Rd to Flamingo Rd)</v>
      </c>
      <c r="J770" s="13" t="s">
        <v>27</v>
      </c>
      <c r="K770" s="13" t="str">
        <f>VLOOKUP(J770,'Data-ProjectTypes'!A$3:B$13,2,FALSE)</f>
        <v>Program</v>
      </c>
      <c r="L770" s="21" t="s">
        <v>348</v>
      </c>
      <c r="M770" s="13" t="s">
        <v>1752</v>
      </c>
      <c r="N770" s="13" t="s">
        <v>159</v>
      </c>
      <c r="O770" s="13" t="s">
        <v>279</v>
      </c>
      <c r="P770" s="13" t="s">
        <v>279</v>
      </c>
      <c r="Q770" s="22">
        <v>1</v>
      </c>
      <c r="R770" s="23">
        <v>358310</v>
      </c>
      <c r="S770" s="21" t="s">
        <v>24</v>
      </c>
      <c r="T770" s="21" t="s">
        <v>25</v>
      </c>
      <c r="U770" s="21"/>
      <c r="V770" s="24"/>
      <c r="W770" s="24"/>
      <c r="X770" s="24"/>
      <c r="Y770" s="17" t="s">
        <v>469</v>
      </c>
      <c r="Z770" s="18">
        <f>ROUND(R770*'Data-CostAssumptions'!$C$3,-3)</f>
        <v>496000</v>
      </c>
      <c r="AA770" s="11">
        <f t="shared" si="23"/>
        <v>0</v>
      </c>
      <c r="AB770" s="11">
        <v>2041</v>
      </c>
      <c r="AC770" s="11">
        <v>2041</v>
      </c>
      <c r="AD770" s="11">
        <v>2041</v>
      </c>
      <c r="AE770" s="11">
        <v>2041</v>
      </c>
      <c r="AF770" s="11">
        <v>0</v>
      </c>
      <c r="AG770" s="19">
        <f>ROUND((Z770*'Data-CostAssumptions'!$G$5)*(1+'Data-CostAssumptions'!$G$3)^(AC770-'Data-CostAssumptions'!$G$4),-3)</f>
        <v>280000</v>
      </c>
      <c r="AH770" s="19">
        <f>ROUND((Z770)*(1+'Data-CostAssumptions'!$G$3)^(AE770-'Data-CostAssumptions'!$G$4),-3)</f>
        <v>1272000</v>
      </c>
    </row>
    <row r="771" spans="1:34" ht="15" customHeight="1" x14ac:dyDescent="0.2">
      <c r="A771" s="11"/>
      <c r="B771" s="11" t="s">
        <v>1211</v>
      </c>
      <c r="C771" s="13">
        <v>567</v>
      </c>
      <c r="D771" s="13" t="s">
        <v>420</v>
      </c>
      <c r="E771" s="20">
        <v>267</v>
      </c>
      <c r="F771" s="20">
        <v>173</v>
      </c>
      <c r="G771" s="20">
        <v>770</v>
      </c>
      <c r="H771" s="13" t="s">
        <v>1963</v>
      </c>
      <c r="I771" s="13" t="str">
        <f t="shared" si="24"/>
        <v>SW 45th St (Nob Hill Rd to Just east of Hiatus Rd)</v>
      </c>
      <c r="J771" s="13" t="s">
        <v>27</v>
      </c>
      <c r="K771" s="13" t="str">
        <f>VLOOKUP(J771,'Data-ProjectTypes'!A$3:B$13,2,FALSE)</f>
        <v>Program</v>
      </c>
      <c r="L771" s="21" t="s">
        <v>348</v>
      </c>
      <c r="M771" s="13" t="s">
        <v>1755</v>
      </c>
      <c r="N771" s="13" t="s">
        <v>2461</v>
      </c>
      <c r="O771" s="13" t="s">
        <v>279</v>
      </c>
      <c r="P771" s="13" t="s">
        <v>279</v>
      </c>
      <c r="Q771" s="22">
        <v>0.9</v>
      </c>
      <c r="R771" s="23">
        <v>336134</v>
      </c>
      <c r="S771" s="21" t="s">
        <v>24</v>
      </c>
      <c r="T771" s="21" t="s">
        <v>25</v>
      </c>
      <c r="U771" s="21"/>
      <c r="V771" s="24"/>
      <c r="W771" s="24"/>
      <c r="X771" s="24"/>
      <c r="Y771" s="17" t="s">
        <v>469</v>
      </c>
      <c r="Z771" s="18">
        <f>ROUND(R771*'Data-CostAssumptions'!$C$3,-3)</f>
        <v>465000</v>
      </c>
      <c r="AA771" s="11">
        <f t="shared" ref="AA771:AA834" si="25">IF(V771="",IF(W771="",0,1),1)</f>
        <v>0</v>
      </c>
      <c r="AB771" s="11">
        <v>2041</v>
      </c>
      <c r="AC771" s="11">
        <v>2041</v>
      </c>
      <c r="AD771" s="11">
        <v>2041</v>
      </c>
      <c r="AE771" s="11">
        <v>2041</v>
      </c>
      <c r="AF771" s="11">
        <v>0</v>
      </c>
      <c r="AG771" s="19">
        <f>ROUND((Z771*'Data-CostAssumptions'!$G$5)*(1+'Data-CostAssumptions'!$G$3)^(AC771-'Data-CostAssumptions'!$G$4),-3)</f>
        <v>262000</v>
      </c>
      <c r="AH771" s="19">
        <f>ROUND((Z771)*(1+'Data-CostAssumptions'!$G$3)^(AE771-'Data-CostAssumptions'!$G$4),-3)</f>
        <v>1192000</v>
      </c>
    </row>
    <row r="772" spans="1:34" ht="15" customHeight="1" x14ac:dyDescent="0.2">
      <c r="A772" s="11"/>
      <c r="B772" s="11" t="s">
        <v>1211</v>
      </c>
      <c r="C772" s="13">
        <v>568</v>
      </c>
      <c r="D772" s="13" t="s">
        <v>420</v>
      </c>
      <c r="E772" s="20">
        <v>277</v>
      </c>
      <c r="F772" s="20">
        <v>173</v>
      </c>
      <c r="G772" s="20">
        <v>771</v>
      </c>
      <c r="H772" s="13" t="s">
        <v>177</v>
      </c>
      <c r="I772" s="13" t="str">
        <f t="shared" si="24"/>
        <v>Stirling Rd (I-75 to Hawkes Bluff Av)</v>
      </c>
      <c r="J772" s="13" t="s">
        <v>27</v>
      </c>
      <c r="K772" s="13" t="str">
        <f>VLOOKUP(J772,'Data-ProjectTypes'!A$3:B$13,2,FALSE)</f>
        <v>Program</v>
      </c>
      <c r="L772" s="21" t="s">
        <v>348</v>
      </c>
      <c r="M772" s="13" t="s">
        <v>31</v>
      </c>
      <c r="N772" s="13" t="s">
        <v>2268</v>
      </c>
      <c r="O772" s="13" t="s">
        <v>273</v>
      </c>
      <c r="P772" s="13" t="s">
        <v>273</v>
      </c>
      <c r="Q772" s="22">
        <v>0.3</v>
      </c>
      <c r="R772" s="23">
        <v>92477</v>
      </c>
      <c r="S772" s="21" t="s">
        <v>24</v>
      </c>
      <c r="T772" s="21" t="s">
        <v>25</v>
      </c>
      <c r="U772" s="21"/>
      <c r="V772" s="24"/>
      <c r="W772" s="24"/>
      <c r="X772" s="24"/>
      <c r="Y772" s="17" t="s">
        <v>469</v>
      </c>
      <c r="Z772" s="18">
        <f>ROUND(R772*'Data-CostAssumptions'!$C$3,-3)</f>
        <v>128000</v>
      </c>
      <c r="AA772" s="11">
        <f t="shared" si="25"/>
        <v>0</v>
      </c>
      <c r="AB772" s="11">
        <v>2041</v>
      </c>
      <c r="AC772" s="11">
        <v>2041</v>
      </c>
      <c r="AD772" s="11">
        <v>2041</v>
      </c>
      <c r="AE772" s="11">
        <v>2041</v>
      </c>
      <c r="AF772" s="11">
        <v>0</v>
      </c>
      <c r="AG772" s="19">
        <f>ROUND((Z772*'Data-CostAssumptions'!$G$5)*(1+'Data-CostAssumptions'!$G$3)^(AC772-'Data-CostAssumptions'!$G$4),-3)</f>
        <v>72000</v>
      </c>
      <c r="AH772" s="19">
        <f>ROUND((Z772)*(1+'Data-CostAssumptions'!$G$3)^(AE772-'Data-CostAssumptions'!$G$4),-3)</f>
        <v>328000</v>
      </c>
    </row>
    <row r="773" spans="1:34" ht="15" customHeight="1" x14ac:dyDescent="0.2">
      <c r="A773" s="11"/>
      <c r="B773" s="11" t="s">
        <v>1211</v>
      </c>
      <c r="C773" s="13">
        <v>569</v>
      </c>
      <c r="D773" s="13" t="s">
        <v>420</v>
      </c>
      <c r="E773" s="20">
        <v>280</v>
      </c>
      <c r="F773" s="20">
        <v>173</v>
      </c>
      <c r="G773" s="20">
        <v>772</v>
      </c>
      <c r="H773" s="13" t="s">
        <v>2717</v>
      </c>
      <c r="I773" s="13" t="str">
        <f t="shared" si="24"/>
        <v>SR 820/Pines Bl (SW 186th Av to US 27)</v>
      </c>
      <c r="J773" s="13" t="s">
        <v>27</v>
      </c>
      <c r="K773" s="13" t="str">
        <f>VLOOKUP(J773,'Data-ProjectTypes'!A$3:B$13,2,FALSE)</f>
        <v>Program</v>
      </c>
      <c r="L773" s="21" t="s">
        <v>348</v>
      </c>
      <c r="M773" s="13" t="s">
        <v>2373</v>
      </c>
      <c r="N773" s="13" t="s">
        <v>30</v>
      </c>
      <c r="O773" s="13" t="s">
        <v>270</v>
      </c>
      <c r="P773" s="13" t="s">
        <v>270</v>
      </c>
      <c r="Q773" s="22">
        <v>1.3</v>
      </c>
      <c r="R773" s="23">
        <v>478358</v>
      </c>
      <c r="S773" s="21"/>
      <c r="T773" s="21"/>
      <c r="U773" s="21"/>
      <c r="V773" s="24"/>
      <c r="W773" s="24"/>
      <c r="X773" s="24"/>
      <c r="Y773" s="17"/>
      <c r="Z773" s="18">
        <f>ROUND(R773*'Data-CostAssumptions'!$C$3,-3)</f>
        <v>662000</v>
      </c>
      <c r="AA773" s="11">
        <f t="shared" si="25"/>
        <v>0</v>
      </c>
      <c r="AB773" s="11">
        <v>2041</v>
      </c>
      <c r="AC773" s="11">
        <v>2041</v>
      </c>
      <c r="AD773" s="11">
        <v>2041</v>
      </c>
      <c r="AE773" s="11">
        <v>2041</v>
      </c>
      <c r="AF773" s="11">
        <v>0</v>
      </c>
      <c r="AG773" s="19">
        <f>ROUND((Z773*'Data-CostAssumptions'!$G$5)*(1+'Data-CostAssumptions'!$G$3)^(AC773-'Data-CostAssumptions'!$G$4),-3)</f>
        <v>373000</v>
      </c>
      <c r="AH773" s="19">
        <f>ROUND((Z773)*(1+'Data-CostAssumptions'!$G$3)^(AE773-'Data-CostAssumptions'!$G$4),-3)</f>
        <v>1697000</v>
      </c>
    </row>
    <row r="774" spans="1:34" ht="15" customHeight="1" x14ac:dyDescent="0.2">
      <c r="A774" s="11"/>
      <c r="B774" s="11" t="s">
        <v>1211</v>
      </c>
      <c r="C774" s="13">
        <v>570</v>
      </c>
      <c r="D774" s="13" t="s">
        <v>420</v>
      </c>
      <c r="E774" s="20">
        <v>281</v>
      </c>
      <c r="F774" s="20">
        <v>173</v>
      </c>
      <c r="G774" s="20">
        <v>773</v>
      </c>
      <c r="H774" s="13" t="s">
        <v>1880</v>
      </c>
      <c r="I774" s="13" t="str">
        <f t="shared" si="24"/>
        <v>Johnson St (Pines Bl to NW 208th Av)</v>
      </c>
      <c r="J774" s="13" t="s">
        <v>27</v>
      </c>
      <c r="K774" s="13" t="str">
        <f>VLOOKUP(J774,'Data-ProjectTypes'!A$3:B$13,2,FALSE)</f>
        <v>Program</v>
      </c>
      <c r="L774" s="21" t="s">
        <v>348</v>
      </c>
      <c r="M774" s="13" t="s">
        <v>1826</v>
      </c>
      <c r="N774" s="13" t="s">
        <v>2224</v>
      </c>
      <c r="O774" s="13" t="s">
        <v>271</v>
      </c>
      <c r="P774" s="13" t="s">
        <v>271</v>
      </c>
      <c r="Q774" s="22">
        <v>0.8</v>
      </c>
      <c r="R774" s="23">
        <v>286631</v>
      </c>
      <c r="S774" s="21"/>
      <c r="T774" s="21"/>
      <c r="U774" s="21"/>
      <c r="V774" s="24"/>
      <c r="W774" s="24"/>
      <c r="X774" s="24"/>
      <c r="Y774" s="17"/>
      <c r="Z774" s="18">
        <f>ROUND(R774*'Data-CostAssumptions'!$C$3,-3)</f>
        <v>397000</v>
      </c>
      <c r="AA774" s="11">
        <f t="shared" si="25"/>
        <v>0</v>
      </c>
      <c r="AB774" s="11">
        <v>2041</v>
      </c>
      <c r="AC774" s="11">
        <v>2041</v>
      </c>
      <c r="AD774" s="11">
        <v>2041</v>
      </c>
      <c r="AE774" s="11">
        <v>2041</v>
      </c>
      <c r="AF774" s="11">
        <v>0</v>
      </c>
      <c r="AG774" s="19">
        <f>ROUND((Z774*'Data-CostAssumptions'!$G$5)*(1+'Data-CostAssumptions'!$G$3)^(AC774-'Data-CostAssumptions'!$G$4),-3)</f>
        <v>224000</v>
      </c>
      <c r="AH774" s="19">
        <f>ROUND((Z774)*(1+'Data-CostAssumptions'!$G$3)^(AE774-'Data-CostAssumptions'!$G$4),-3)</f>
        <v>1018000</v>
      </c>
    </row>
    <row r="775" spans="1:34" ht="15" customHeight="1" x14ac:dyDescent="0.2">
      <c r="A775" s="11"/>
      <c r="B775" s="11" t="s">
        <v>1213</v>
      </c>
      <c r="C775" s="13">
        <v>610</v>
      </c>
      <c r="D775" s="13" t="s">
        <v>420</v>
      </c>
      <c r="E775" s="20">
        <v>388</v>
      </c>
      <c r="F775" s="20">
        <v>175</v>
      </c>
      <c r="G775" s="20">
        <v>774</v>
      </c>
      <c r="H775" s="13" t="s">
        <v>1890</v>
      </c>
      <c r="I775" s="13" t="str">
        <f t="shared" si="24"/>
        <v>NE 36th St (NE 31st Av to NE 26th Av)</v>
      </c>
      <c r="J775" s="13" t="s">
        <v>27</v>
      </c>
      <c r="K775" s="13" t="str">
        <f>VLOOKUP(J775,'Data-ProjectTypes'!A$3:B$13,2,FALSE)</f>
        <v>Program</v>
      </c>
      <c r="L775" s="21" t="s">
        <v>348</v>
      </c>
      <c r="M775" s="13" t="s">
        <v>2362</v>
      </c>
      <c r="N775" s="13" t="s">
        <v>2234</v>
      </c>
      <c r="O775" s="13" t="s">
        <v>293</v>
      </c>
      <c r="P775" s="13" t="s">
        <v>293</v>
      </c>
      <c r="Q775" s="22">
        <v>0.4</v>
      </c>
      <c r="R775" s="23">
        <v>128185</v>
      </c>
      <c r="S775" s="21" t="s">
        <v>25</v>
      </c>
      <c r="T775" s="21" t="s">
        <v>25</v>
      </c>
      <c r="U775" s="21"/>
      <c r="V775" s="24"/>
      <c r="W775" s="24"/>
      <c r="X775" s="24"/>
      <c r="Y775" s="17" t="s">
        <v>670</v>
      </c>
      <c r="Z775" s="18">
        <f>ROUND(R775*'Data-CostAssumptions'!$C$3,-3)</f>
        <v>177000</v>
      </c>
      <c r="AA775" s="11">
        <f t="shared" si="25"/>
        <v>0</v>
      </c>
      <c r="AB775" s="11">
        <v>2041</v>
      </c>
      <c r="AC775" s="11">
        <v>2041</v>
      </c>
      <c r="AD775" s="11">
        <v>2041</v>
      </c>
      <c r="AE775" s="11">
        <v>2041</v>
      </c>
      <c r="AF775" s="11">
        <v>0</v>
      </c>
      <c r="AG775" s="19">
        <f>ROUND((Z775*'Data-CostAssumptions'!$G$5)*(1+'Data-CostAssumptions'!$G$3)^(AC775-'Data-CostAssumptions'!$G$4),-3)</f>
        <v>100000</v>
      </c>
      <c r="AH775" s="19">
        <f>ROUND((Z775)*(1+'Data-CostAssumptions'!$G$3)^(AE775-'Data-CostAssumptions'!$G$4),-3)</f>
        <v>454000</v>
      </c>
    </row>
    <row r="776" spans="1:34" ht="15" customHeight="1" x14ac:dyDescent="0.2">
      <c r="A776" s="11"/>
      <c r="B776" s="11" t="s">
        <v>1211</v>
      </c>
      <c r="C776" s="13">
        <v>571</v>
      </c>
      <c r="D776" s="13" t="s">
        <v>420</v>
      </c>
      <c r="E776" s="20">
        <v>291</v>
      </c>
      <c r="F776" s="20">
        <v>173</v>
      </c>
      <c r="G776" s="20">
        <v>775</v>
      </c>
      <c r="H776" s="13" t="s">
        <v>2038</v>
      </c>
      <c r="I776" s="13" t="str">
        <f t="shared" si="24"/>
        <v>North 14th Av (Grant St to Arthur St)</v>
      </c>
      <c r="J776" s="13" t="s">
        <v>27</v>
      </c>
      <c r="K776" s="13" t="str">
        <f>VLOOKUP(J776,'Data-ProjectTypes'!A$3:B$13,2,FALSE)</f>
        <v>Program</v>
      </c>
      <c r="L776" s="21" t="s">
        <v>543</v>
      </c>
      <c r="M776" s="13" t="s">
        <v>2519</v>
      </c>
      <c r="N776" s="13" t="s">
        <v>2518</v>
      </c>
      <c r="O776" s="13" t="s">
        <v>282</v>
      </c>
      <c r="P776" s="13" t="s">
        <v>282</v>
      </c>
      <c r="Q776" s="22">
        <v>0.2</v>
      </c>
      <c r="R776" s="23">
        <v>67618</v>
      </c>
      <c r="S776" s="21" t="s">
        <v>24</v>
      </c>
      <c r="T776" s="21" t="s">
        <v>25</v>
      </c>
      <c r="U776" s="21" t="s">
        <v>24</v>
      </c>
      <c r="V776" s="24"/>
      <c r="W776" s="24"/>
      <c r="X776" s="24"/>
      <c r="Y776" s="17" t="s">
        <v>538</v>
      </c>
      <c r="Z776" s="18">
        <f>ROUND(R776*'Data-CostAssumptions'!$C$3,-3)</f>
        <v>94000</v>
      </c>
      <c r="AA776" s="11">
        <f t="shared" si="25"/>
        <v>0</v>
      </c>
      <c r="AB776" s="11">
        <v>2041</v>
      </c>
      <c r="AC776" s="11">
        <v>2041</v>
      </c>
      <c r="AD776" s="11">
        <v>2041</v>
      </c>
      <c r="AE776" s="11">
        <v>2041</v>
      </c>
      <c r="AF776" s="11">
        <v>0</v>
      </c>
      <c r="AG776" s="19">
        <f>ROUND((Z776*'Data-CostAssumptions'!$G$5)*(1+'Data-CostAssumptions'!$G$3)^(AC776-'Data-CostAssumptions'!$G$4),-3)</f>
        <v>53000</v>
      </c>
      <c r="AH776" s="19">
        <f>ROUND((Z776)*(1+'Data-CostAssumptions'!$G$3)^(AE776-'Data-CostAssumptions'!$G$4),-3)</f>
        <v>241000</v>
      </c>
    </row>
    <row r="777" spans="1:34" ht="15" customHeight="1" x14ac:dyDescent="0.2">
      <c r="A777" s="11"/>
      <c r="B777" s="11" t="s">
        <v>1211</v>
      </c>
      <c r="C777" s="13">
        <v>572</v>
      </c>
      <c r="D777" s="13" t="s">
        <v>420</v>
      </c>
      <c r="E777" s="20">
        <v>307</v>
      </c>
      <c r="F777" s="20">
        <v>173</v>
      </c>
      <c r="G777" s="20">
        <v>776</v>
      </c>
      <c r="H777" s="13" t="s">
        <v>1794</v>
      </c>
      <c r="I777" s="13" t="str">
        <f t="shared" si="24"/>
        <v>Mayan Dr/Grace Dr/Ocean Dr Loop (SE 20th St to SE 17th St)</v>
      </c>
      <c r="J777" s="13" t="s">
        <v>27</v>
      </c>
      <c r="K777" s="13" t="str">
        <f>VLOOKUP(J777,'Data-ProjectTypes'!A$3:B$13,2,FALSE)</f>
        <v>Program</v>
      </c>
      <c r="L777" s="21" t="s">
        <v>348</v>
      </c>
      <c r="M777" s="13" t="s">
        <v>2498</v>
      </c>
      <c r="N777" s="13" t="s">
        <v>182</v>
      </c>
      <c r="O777" s="13" t="s">
        <v>270</v>
      </c>
      <c r="P777" s="13" t="s">
        <v>270</v>
      </c>
      <c r="Q777" s="22">
        <v>0.8</v>
      </c>
      <c r="R777" s="23">
        <v>274934</v>
      </c>
      <c r="S777" s="21"/>
      <c r="T777" s="21"/>
      <c r="U777" s="21"/>
      <c r="V777" s="24"/>
      <c r="W777" s="24"/>
      <c r="X777" s="24"/>
      <c r="Y777" s="17"/>
      <c r="Z777" s="18">
        <f>ROUND(R777*'Data-CostAssumptions'!$C$3,-3)</f>
        <v>381000</v>
      </c>
      <c r="AA777" s="11">
        <f t="shared" si="25"/>
        <v>0</v>
      </c>
      <c r="AB777" s="11">
        <v>2041</v>
      </c>
      <c r="AC777" s="11">
        <v>2041</v>
      </c>
      <c r="AD777" s="11">
        <v>2041</v>
      </c>
      <c r="AE777" s="11">
        <v>2041</v>
      </c>
      <c r="AF777" s="11">
        <v>0</v>
      </c>
      <c r="AG777" s="19">
        <f>ROUND((Z777*'Data-CostAssumptions'!$G$5)*(1+'Data-CostAssumptions'!$G$3)^(AC777-'Data-CostAssumptions'!$G$4),-3)</f>
        <v>215000</v>
      </c>
      <c r="AH777" s="19">
        <f>ROUND((Z777)*(1+'Data-CostAssumptions'!$G$3)^(AE777-'Data-CostAssumptions'!$G$4),-3)</f>
        <v>977000</v>
      </c>
    </row>
    <row r="778" spans="1:34" ht="15" customHeight="1" x14ac:dyDescent="0.2">
      <c r="A778" s="11"/>
      <c r="B778" s="11" t="s">
        <v>1213</v>
      </c>
      <c r="C778" s="13">
        <v>485</v>
      </c>
      <c r="D778" s="13" t="s">
        <v>420</v>
      </c>
      <c r="E778" s="20">
        <v>442</v>
      </c>
      <c r="F778" s="20">
        <v>168</v>
      </c>
      <c r="G778" s="20">
        <v>777</v>
      </c>
      <c r="H778" s="13" t="s">
        <v>229</v>
      </c>
      <c r="I778" s="13" t="str">
        <f t="shared" si="24"/>
        <v>NE 39th Court (NE 2nd Way to NE 2nd Av)</v>
      </c>
      <c r="J778" s="13" t="s">
        <v>27</v>
      </c>
      <c r="K778" s="13" t="str">
        <f>VLOOKUP(J778,'Data-ProjectTypes'!A$3:B$13,2,FALSE)</f>
        <v>Program</v>
      </c>
      <c r="L778" s="21" t="s">
        <v>348</v>
      </c>
      <c r="M778" s="13" t="s">
        <v>228</v>
      </c>
      <c r="N778" s="13" t="s">
        <v>2032</v>
      </c>
      <c r="O778" s="13" t="s">
        <v>289</v>
      </c>
      <c r="P778" s="13" t="s">
        <v>289</v>
      </c>
      <c r="Q778" s="22">
        <v>0.1</v>
      </c>
      <c r="R778" s="23">
        <v>34950</v>
      </c>
      <c r="S778" s="21" t="s">
        <v>25</v>
      </c>
      <c r="T778" s="21"/>
      <c r="U778" s="21"/>
      <c r="V778" s="24"/>
      <c r="W778" s="24"/>
      <c r="X778" s="24"/>
      <c r="Y778" s="17" t="s">
        <v>492</v>
      </c>
      <c r="Z778" s="18">
        <f>ROUND(R778*'Data-CostAssumptions'!$C$3,-3)</f>
        <v>48000</v>
      </c>
      <c r="AA778" s="11">
        <f t="shared" si="25"/>
        <v>0</v>
      </c>
      <c r="AB778" s="11">
        <v>2041</v>
      </c>
      <c r="AC778" s="11">
        <v>2041</v>
      </c>
      <c r="AD778" s="11">
        <v>2041</v>
      </c>
      <c r="AE778" s="11">
        <v>2041</v>
      </c>
      <c r="AF778" s="11">
        <v>0</v>
      </c>
      <c r="AG778" s="19">
        <f>ROUND((Z778*'Data-CostAssumptions'!$G$5)*(1+'Data-CostAssumptions'!$G$3)^(AC778-'Data-CostAssumptions'!$G$4),-3)</f>
        <v>27000</v>
      </c>
      <c r="AH778" s="19">
        <f>ROUND((Z778)*(1+'Data-CostAssumptions'!$G$3)^(AE778-'Data-CostAssumptions'!$G$4),-3)</f>
        <v>123000</v>
      </c>
    </row>
    <row r="779" spans="1:34" ht="15" customHeight="1" x14ac:dyDescent="0.2">
      <c r="A779" s="11"/>
      <c r="B779" s="11" t="s">
        <v>1211</v>
      </c>
      <c r="C779" s="13">
        <v>573</v>
      </c>
      <c r="D779" s="13" t="s">
        <v>420</v>
      </c>
      <c r="E779" s="20">
        <v>308</v>
      </c>
      <c r="F779" s="20">
        <v>173</v>
      </c>
      <c r="G779" s="20">
        <v>778</v>
      </c>
      <c r="H779" s="13" t="s">
        <v>2024</v>
      </c>
      <c r="I779" s="13" t="str">
        <f t="shared" si="24"/>
        <v>NE 15th Av (NE 6th St to NE 9th St)</v>
      </c>
      <c r="J779" s="13" t="s">
        <v>27</v>
      </c>
      <c r="K779" s="13" t="str">
        <f>VLOOKUP(J779,'Data-ProjectTypes'!A$3:B$13,2,FALSE)</f>
        <v>Program</v>
      </c>
      <c r="L779" s="21" t="s">
        <v>348</v>
      </c>
      <c r="M779" s="13" t="s">
        <v>1902</v>
      </c>
      <c r="N779" s="13" t="s">
        <v>2505</v>
      </c>
      <c r="O779" s="13" t="s">
        <v>276</v>
      </c>
      <c r="P779" s="13" t="s">
        <v>276</v>
      </c>
      <c r="Q779" s="22">
        <v>0.4</v>
      </c>
      <c r="R779" s="23">
        <v>135207</v>
      </c>
      <c r="S779" s="21"/>
      <c r="T779" s="21"/>
      <c r="U779" s="21"/>
      <c r="V779" s="24"/>
      <c r="W779" s="24"/>
      <c r="X779" s="24"/>
      <c r="Y779" s="17"/>
      <c r="Z779" s="18">
        <f>ROUND(R779*'Data-CostAssumptions'!$C$3,-3)</f>
        <v>187000</v>
      </c>
      <c r="AA779" s="11">
        <f t="shared" si="25"/>
        <v>0</v>
      </c>
      <c r="AB779" s="11">
        <v>2041</v>
      </c>
      <c r="AC779" s="11">
        <v>2041</v>
      </c>
      <c r="AD779" s="11">
        <v>2041</v>
      </c>
      <c r="AE779" s="11">
        <v>2041</v>
      </c>
      <c r="AF779" s="11">
        <v>0</v>
      </c>
      <c r="AG779" s="19">
        <f>ROUND((Z779*'Data-CostAssumptions'!$G$5)*(1+'Data-CostAssumptions'!$G$3)^(AC779-'Data-CostAssumptions'!$G$4),-3)</f>
        <v>105000</v>
      </c>
      <c r="AH779" s="19">
        <f>ROUND((Z779)*(1+'Data-CostAssumptions'!$G$3)^(AE779-'Data-CostAssumptions'!$G$4),-3)</f>
        <v>479000</v>
      </c>
    </row>
    <row r="780" spans="1:34" ht="15" customHeight="1" x14ac:dyDescent="0.2">
      <c r="A780" s="11"/>
      <c r="B780" s="11" t="s">
        <v>1211</v>
      </c>
      <c r="C780" s="13">
        <v>574</v>
      </c>
      <c r="D780" s="13" t="s">
        <v>420</v>
      </c>
      <c r="E780" s="20">
        <v>320</v>
      </c>
      <c r="F780" s="20">
        <v>173</v>
      </c>
      <c r="G780" s="20">
        <v>779</v>
      </c>
      <c r="H780" s="13" t="s">
        <v>2026</v>
      </c>
      <c r="I780" s="13" t="str">
        <f t="shared" si="24"/>
        <v>NE 18th Av (NE 55th St to NE 59th St)</v>
      </c>
      <c r="J780" s="13" t="s">
        <v>27</v>
      </c>
      <c r="K780" s="13" t="str">
        <f>VLOOKUP(J780,'Data-ProjectTypes'!A$3:B$13,2,FALSE)</f>
        <v>Program</v>
      </c>
      <c r="L780" s="21" t="s">
        <v>348</v>
      </c>
      <c r="M780" s="13" t="s">
        <v>2508</v>
      </c>
      <c r="N780" s="13" t="s">
        <v>2507</v>
      </c>
      <c r="O780" s="13" t="s">
        <v>276</v>
      </c>
      <c r="P780" s="13" t="s">
        <v>276</v>
      </c>
      <c r="Q780" s="22">
        <v>0.2</v>
      </c>
      <c r="R780" s="23">
        <v>88400</v>
      </c>
      <c r="S780" s="21"/>
      <c r="T780" s="21"/>
      <c r="U780" s="21"/>
      <c r="V780" s="24"/>
      <c r="W780" s="24"/>
      <c r="X780" s="24"/>
      <c r="Y780" s="17"/>
      <c r="Z780" s="18">
        <f>ROUND(R780*'Data-CostAssumptions'!$C$3,-3)</f>
        <v>122000</v>
      </c>
      <c r="AA780" s="11">
        <f t="shared" si="25"/>
        <v>0</v>
      </c>
      <c r="AB780" s="11">
        <v>2041</v>
      </c>
      <c r="AC780" s="11">
        <v>2041</v>
      </c>
      <c r="AD780" s="11">
        <v>2041</v>
      </c>
      <c r="AE780" s="11">
        <v>2041</v>
      </c>
      <c r="AF780" s="11">
        <v>0</v>
      </c>
      <c r="AG780" s="19">
        <f>ROUND((Z780*'Data-CostAssumptions'!$G$5)*(1+'Data-CostAssumptions'!$G$3)^(AC780-'Data-CostAssumptions'!$G$4),-3)</f>
        <v>69000</v>
      </c>
      <c r="AH780" s="19">
        <f>ROUND((Z780)*(1+'Data-CostAssumptions'!$G$3)^(AE780-'Data-CostAssumptions'!$G$4),-3)</f>
        <v>313000</v>
      </c>
    </row>
    <row r="781" spans="1:34" ht="15" customHeight="1" x14ac:dyDescent="0.2">
      <c r="A781" s="11"/>
      <c r="B781" s="11" t="s">
        <v>1211</v>
      </c>
      <c r="C781" s="13">
        <v>575</v>
      </c>
      <c r="D781" s="13" t="s">
        <v>420</v>
      </c>
      <c r="E781" s="20">
        <v>335</v>
      </c>
      <c r="F781" s="20">
        <v>173</v>
      </c>
      <c r="G781" s="20">
        <v>780</v>
      </c>
      <c r="H781" s="13" t="s">
        <v>2045</v>
      </c>
      <c r="I781" s="13" t="str">
        <f t="shared" si="24"/>
        <v>North 72nd Av (Hayes St to McKinley St)</v>
      </c>
      <c r="J781" s="13" t="s">
        <v>27</v>
      </c>
      <c r="K781" s="13" t="str">
        <f>VLOOKUP(J781,'Data-ProjectTypes'!A$3:B$13,2,FALSE)</f>
        <v>Program</v>
      </c>
      <c r="L781" s="21" t="s">
        <v>543</v>
      </c>
      <c r="M781" s="13" t="s">
        <v>2526</v>
      </c>
      <c r="N781" s="13" t="s">
        <v>2525</v>
      </c>
      <c r="O781" s="13" t="s">
        <v>282</v>
      </c>
      <c r="P781" s="13" t="s">
        <v>282</v>
      </c>
      <c r="Q781" s="22">
        <v>0.3</v>
      </c>
      <c r="R781" s="23">
        <v>90511</v>
      </c>
      <c r="S781" s="21" t="s">
        <v>24</v>
      </c>
      <c r="T781" s="21" t="s">
        <v>25</v>
      </c>
      <c r="U781" s="21" t="s">
        <v>24</v>
      </c>
      <c r="V781" s="24" t="s">
        <v>554</v>
      </c>
      <c r="W781" s="24"/>
      <c r="X781" s="24"/>
      <c r="Y781" s="17" t="s">
        <v>538</v>
      </c>
      <c r="Z781" s="18">
        <f>ROUND(R781*'Data-CostAssumptions'!$C$3,-3)</f>
        <v>125000</v>
      </c>
      <c r="AA781" s="11">
        <f t="shared" si="25"/>
        <v>1</v>
      </c>
      <c r="AB781" s="11">
        <v>2041</v>
      </c>
      <c r="AC781" s="11">
        <v>2041</v>
      </c>
      <c r="AD781" s="11">
        <v>2041</v>
      </c>
      <c r="AE781" s="11">
        <v>2041</v>
      </c>
      <c r="AF781" s="11">
        <v>0</v>
      </c>
      <c r="AG781" s="19">
        <f>ROUND((Z781*'Data-CostAssumptions'!$G$5)*(1+'Data-CostAssumptions'!$G$3)^(AC781-'Data-CostAssumptions'!$G$4),-3)</f>
        <v>71000</v>
      </c>
      <c r="AH781" s="19">
        <f>ROUND((Z781)*(1+'Data-CostAssumptions'!$G$3)^(AE781-'Data-CostAssumptions'!$G$4),-3)</f>
        <v>320000</v>
      </c>
    </row>
    <row r="782" spans="1:34" ht="15" customHeight="1" x14ac:dyDescent="0.2">
      <c r="A782" s="11"/>
      <c r="B782" s="11" t="s">
        <v>1211</v>
      </c>
      <c r="C782" s="13">
        <v>576</v>
      </c>
      <c r="D782" s="13" t="s">
        <v>420</v>
      </c>
      <c r="E782" s="20">
        <v>372</v>
      </c>
      <c r="F782" s="20">
        <v>173</v>
      </c>
      <c r="G782" s="20">
        <v>781</v>
      </c>
      <c r="H782" s="13" t="s">
        <v>2134</v>
      </c>
      <c r="I782" s="13" t="str">
        <f t="shared" si="24"/>
        <v>SW 81st Av (SW 12th St to Kimberly Bl)</v>
      </c>
      <c r="J782" s="13" t="s">
        <v>27</v>
      </c>
      <c r="K782" s="13" t="str">
        <f>VLOOKUP(J782,'Data-ProjectTypes'!A$3:B$13,2,FALSE)</f>
        <v>Program</v>
      </c>
      <c r="L782" s="21" t="s">
        <v>348</v>
      </c>
      <c r="M782" s="13" t="s">
        <v>2550</v>
      </c>
      <c r="N782" s="13" t="s">
        <v>1822</v>
      </c>
      <c r="O782" s="13" t="s">
        <v>285</v>
      </c>
      <c r="P782" s="13" t="s">
        <v>285</v>
      </c>
      <c r="Q782" s="22">
        <v>0.2</v>
      </c>
      <c r="R782" s="23">
        <v>80360</v>
      </c>
      <c r="S782" s="21"/>
      <c r="T782" s="21"/>
      <c r="U782" s="21"/>
      <c r="V782" s="24"/>
      <c r="W782" s="24"/>
      <c r="X782" s="24"/>
      <c r="Y782" s="17"/>
      <c r="Z782" s="18">
        <f>ROUND(R782*'Data-CostAssumptions'!$C$3,-3)</f>
        <v>111000</v>
      </c>
      <c r="AA782" s="11">
        <f t="shared" si="25"/>
        <v>0</v>
      </c>
      <c r="AB782" s="11">
        <v>2041</v>
      </c>
      <c r="AC782" s="11">
        <v>2041</v>
      </c>
      <c r="AD782" s="11">
        <v>2041</v>
      </c>
      <c r="AE782" s="11">
        <v>2041</v>
      </c>
      <c r="AF782" s="11">
        <v>0</v>
      </c>
      <c r="AG782" s="19">
        <f>ROUND((Z782*'Data-CostAssumptions'!$G$5)*(1+'Data-CostAssumptions'!$G$3)^(AC782-'Data-CostAssumptions'!$G$4),-3)</f>
        <v>63000</v>
      </c>
      <c r="AH782" s="19">
        <f>ROUND((Z782)*(1+'Data-CostAssumptions'!$G$3)^(AE782-'Data-CostAssumptions'!$G$4),-3)</f>
        <v>285000</v>
      </c>
    </row>
    <row r="783" spans="1:34" ht="15" customHeight="1" x14ac:dyDescent="0.2">
      <c r="A783" s="11"/>
      <c r="B783" s="11" t="s">
        <v>1211</v>
      </c>
      <c r="C783" s="13">
        <v>577</v>
      </c>
      <c r="D783" s="13" t="s">
        <v>420</v>
      </c>
      <c r="E783" s="20">
        <v>375</v>
      </c>
      <c r="F783" s="20">
        <v>173</v>
      </c>
      <c r="G783" s="20">
        <v>782</v>
      </c>
      <c r="H783" s="13" t="s">
        <v>2069</v>
      </c>
      <c r="I783" s="13" t="str">
        <f t="shared" si="24"/>
        <v>NW 45th Av (Coconut Creek Bl to Coconut Creek Parkway)</v>
      </c>
      <c r="J783" s="13" t="s">
        <v>27</v>
      </c>
      <c r="K783" s="13" t="str">
        <f>VLOOKUP(J783,'Data-ProjectTypes'!A$3:B$13,2,FALSE)</f>
        <v>Program</v>
      </c>
      <c r="L783" s="21" t="s">
        <v>348</v>
      </c>
      <c r="M783" s="13" t="s">
        <v>1989</v>
      </c>
      <c r="N783" s="13" t="s">
        <v>70</v>
      </c>
      <c r="O783" s="13" t="s">
        <v>273</v>
      </c>
      <c r="P783" s="13" t="s">
        <v>273</v>
      </c>
      <c r="Q783" s="22">
        <v>0.4</v>
      </c>
      <c r="R783" s="23">
        <v>151130</v>
      </c>
      <c r="S783" s="21"/>
      <c r="T783" s="21"/>
      <c r="U783" s="21"/>
      <c r="V783" s="24"/>
      <c r="W783" s="24"/>
      <c r="X783" s="24"/>
      <c r="Y783" s="17"/>
      <c r="Z783" s="18">
        <f>ROUND(R783*'Data-CostAssumptions'!$C$3,-3)</f>
        <v>209000</v>
      </c>
      <c r="AA783" s="11">
        <f t="shared" si="25"/>
        <v>0</v>
      </c>
      <c r="AB783" s="11">
        <v>2041</v>
      </c>
      <c r="AC783" s="11">
        <v>2041</v>
      </c>
      <c r="AD783" s="11">
        <v>2041</v>
      </c>
      <c r="AE783" s="11">
        <v>2041</v>
      </c>
      <c r="AF783" s="11">
        <v>0</v>
      </c>
      <c r="AG783" s="19">
        <f>ROUND((Z783*'Data-CostAssumptions'!$G$5)*(1+'Data-CostAssumptions'!$G$3)^(AC783-'Data-CostAssumptions'!$G$4),-3)</f>
        <v>118000</v>
      </c>
      <c r="AH783" s="19">
        <f>ROUND((Z783)*(1+'Data-CostAssumptions'!$G$3)^(AE783-'Data-CostAssumptions'!$G$4),-3)</f>
        <v>536000</v>
      </c>
    </row>
    <row r="784" spans="1:34" ht="15" customHeight="1" x14ac:dyDescent="0.2">
      <c r="A784" s="11"/>
      <c r="B784" s="11" t="s">
        <v>1211</v>
      </c>
      <c r="C784" s="13">
        <v>578</v>
      </c>
      <c r="D784" s="13" t="s">
        <v>420</v>
      </c>
      <c r="E784" s="20">
        <v>393</v>
      </c>
      <c r="F784" s="20">
        <v>173</v>
      </c>
      <c r="G784" s="20">
        <v>783</v>
      </c>
      <c r="H784" s="13" t="s">
        <v>2047</v>
      </c>
      <c r="I784" s="13" t="str">
        <f t="shared" si="24"/>
        <v>North Andrews Av Extension (NW 33rd St to Sample Rd)</v>
      </c>
      <c r="J784" s="13" t="s">
        <v>27</v>
      </c>
      <c r="K784" s="13" t="str">
        <f>VLOOKUP(J784,'Data-ProjectTypes'!A$3:B$13,2,FALSE)</f>
        <v>Program</v>
      </c>
      <c r="L784" s="21" t="s">
        <v>348</v>
      </c>
      <c r="M784" s="13" t="s">
        <v>1914</v>
      </c>
      <c r="N784" s="13" t="s">
        <v>1864</v>
      </c>
      <c r="O784" s="13" t="s">
        <v>275</v>
      </c>
      <c r="P784" s="13" t="s">
        <v>275</v>
      </c>
      <c r="Q784" s="22">
        <v>0.3</v>
      </c>
      <c r="R784" s="23">
        <v>89933</v>
      </c>
      <c r="S784" s="21"/>
      <c r="T784" s="21"/>
      <c r="U784" s="21"/>
      <c r="V784" s="24"/>
      <c r="W784" s="24"/>
      <c r="X784" s="32" t="s">
        <v>764</v>
      </c>
      <c r="Y784" s="17" t="s">
        <v>765</v>
      </c>
      <c r="Z784" s="18">
        <f>ROUND(R784*'Data-CostAssumptions'!$C$3,-3)</f>
        <v>124000</v>
      </c>
      <c r="AA784" s="11">
        <f t="shared" si="25"/>
        <v>0</v>
      </c>
      <c r="AB784" s="11">
        <v>2041</v>
      </c>
      <c r="AC784" s="11">
        <v>2041</v>
      </c>
      <c r="AD784" s="11">
        <v>2041</v>
      </c>
      <c r="AE784" s="11">
        <v>2041</v>
      </c>
      <c r="AF784" s="11">
        <v>0</v>
      </c>
      <c r="AG784" s="19">
        <f>ROUND((Z784*'Data-CostAssumptions'!$G$5)*(1+'Data-CostAssumptions'!$G$3)^(AC784-'Data-CostAssumptions'!$G$4),-3)</f>
        <v>70000</v>
      </c>
      <c r="AH784" s="19">
        <f>ROUND((Z784)*(1+'Data-CostAssumptions'!$G$3)^(AE784-'Data-CostAssumptions'!$G$4),-3)</f>
        <v>318000</v>
      </c>
    </row>
    <row r="785" spans="1:34" ht="15" customHeight="1" x14ac:dyDescent="0.2">
      <c r="A785" s="11"/>
      <c r="B785" s="11" t="s">
        <v>1211</v>
      </c>
      <c r="C785" s="13">
        <v>579</v>
      </c>
      <c r="D785" s="13" t="s">
        <v>420</v>
      </c>
      <c r="E785" s="20">
        <v>395</v>
      </c>
      <c r="F785" s="20">
        <v>174</v>
      </c>
      <c r="G785" s="20">
        <v>784</v>
      </c>
      <c r="H785" s="13" t="s">
        <v>2737</v>
      </c>
      <c r="I785" s="13" t="str">
        <f t="shared" si="24"/>
        <v>SR 810/West Hillsboro Bl (Just east of Century Bl to Just west of Century Bl)</v>
      </c>
      <c r="J785" s="13" t="s">
        <v>27</v>
      </c>
      <c r="K785" s="13" t="str">
        <f>VLOOKUP(J785,'Data-ProjectTypes'!A$3:B$13,2,FALSE)</f>
        <v>Program</v>
      </c>
      <c r="L785" s="21" t="s">
        <v>348</v>
      </c>
      <c r="M785" s="13" t="s">
        <v>2335</v>
      </c>
      <c r="N785" s="13" t="s">
        <v>2290</v>
      </c>
      <c r="O785" s="13" t="s">
        <v>270</v>
      </c>
      <c r="P785" s="13" t="s">
        <v>270</v>
      </c>
      <c r="Q785" s="22">
        <v>0.1</v>
      </c>
      <c r="R785" s="23">
        <v>20719</v>
      </c>
      <c r="S785" s="21" t="s">
        <v>24</v>
      </c>
      <c r="T785" s="21"/>
      <c r="U785" s="21"/>
      <c r="V785" s="24"/>
      <c r="W785" s="24" t="s">
        <v>491</v>
      </c>
      <c r="X785" s="24"/>
      <c r="Y785" s="17" t="s">
        <v>492</v>
      </c>
      <c r="Z785" s="18">
        <f>ROUND(R785*'Data-CostAssumptions'!$C$3,-3)</f>
        <v>29000</v>
      </c>
      <c r="AA785" s="11">
        <f t="shared" si="25"/>
        <v>1</v>
      </c>
      <c r="AB785" s="11">
        <v>2041</v>
      </c>
      <c r="AC785" s="11">
        <v>2041</v>
      </c>
      <c r="AD785" s="11">
        <v>2041</v>
      </c>
      <c r="AE785" s="11">
        <v>2041</v>
      </c>
      <c r="AF785" s="11">
        <v>0</v>
      </c>
      <c r="AG785" s="19">
        <f>ROUND((Z785*'Data-CostAssumptions'!$G$5)*(1+'Data-CostAssumptions'!$G$3)^(AC785-'Data-CostAssumptions'!$G$4),-3)</f>
        <v>16000</v>
      </c>
      <c r="AH785" s="19">
        <f>ROUND((Z785)*(1+'Data-CostAssumptions'!$G$3)^(AE785-'Data-CostAssumptions'!$G$4),-3)</f>
        <v>74000</v>
      </c>
    </row>
    <row r="786" spans="1:34" ht="15" customHeight="1" x14ac:dyDescent="0.2">
      <c r="A786" s="11"/>
      <c r="B786" s="11" t="s">
        <v>1211</v>
      </c>
      <c r="C786" s="13">
        <v>580</v>
      </c>
      <c r="D786" s="13" t="s">
        <v>420</v>
      </c>
      <c r="E786" s="20">
        <v>401</v>
      </c>
      <c r="F786" s="20">
        <v>174</v>
      </c>
      <c r="G786" s="20">
        <v>785</v>
      </c>
      <c r="H786" s="13" t="s">
        <v>2007</v>
      </c>
      <c r="I786" s="13" t="str">
        <f t="shared" si="24"/>
        <v>196th Av (SW 55th St to Pines Bl)</v>
      </c>
      <c r="J786" s="13" t="s">
        <v>27</v>
      </c>
      <c r="K786" s="13" t="str">
        <f>VLOOKUP(J786,'Data-ProjectTypes'!A$3:B$13,2,FALSE)</f>
        <v>Program</v>
      </c>
      <c r="L786" s="21" t="s">
        <v>348</v>
      </c>
      <c r="M786" s="13" t="s">
        <v>2473</v>
      </c>
      <c r="N786" s="13" t="s">
        <v>1826</v>
      </c>
      <c r="O786" s="13" t="s">
        <v>272</v>
      </c>
      <c r="P786" s="13" t="s">
        <v>272</v>
      </c>
      <c r="Q786" s="22">
        <v>3.5</v>
      </c>
      <c r="R786" s="23">
        <v>1240343</v>
      </c>
      <c r="S786" s="21" t="s">
        <v>24</v>
      </c>
      <c r="T786" s="21" t="s">
        <v>25</v>
      </c>
      <c r="U786" s="21" t="s">
        <v>25</v>
      </c>
      <c r="V786" s="24"/>
      <c r="W786" s="24"/>
      <c r="X786" s="24"/>
      <c r="Y786" s="17" t="s">
        <v>685</v>
      </c>
      <c r="Z786" s="18">
        <f>ROUND(R786*'Data-CostAssumptions'!$C$3,-3)</f>
        <v>1717000</v>
      </c>
      <c r="AA786" s="11">
        <f t="shared" si="25"/>
        <v>0</v>
      </c>
      <c r="AB786" s="11">
        <v>2041</v>
      </c>
      <c r="AC786" s="11">
        <v>2041</v>
      </c>
      <c r="AD786" s="11">
        <v>2041</v>
      </c>
      <c r="AE786" s="11">
        <v>2041</v>
      </c>
      <c r="AF786" s="11">
        <v>0</v>
      </c>
      <c r="AG786" s="19">
        <f>ROUND((Z786*'Data-CostAssumptions'!$G$5)*(1+'Data-CostAssumptions'!$G$3)^(AC786-'Data-CostAssumptions'!$G$4),-3)</f>
        <v>969000</v>
      </c>
      <c r="AH786" s="19">
        <f>ROUND((Z786)*(1+'Data-CostAssumptions'!$G$3)^(AE786-'Data-CostAssumptions'!$G$4),-3)</f>
        <v>4402000</v>
      </c>
    </row>
    <row r="787" spans="1:34" ht="15" customHeight="1" x14ac:dyDescent="0.2">
      <c r="A787" s="11"/>
      <c r="B787" s="11" t="s">
        <v>1211</v>
      </c>
      <c r="C787" s="13">
        <v>581</v>
      </c>
      <c r="D787" s="13" t="s">
        <v>420</v>
      </c>
      <c r="E787" s="20">
        <v>402</v>
      </c>
      <c r="F787" s="20">
        <v>174</v>
      </c>
      <c r="G787" s="20">
        <v>786</v>
      </c>
      <c r="H787" s="13" t="s">
        <v>487</v>
      </c>
      <c r="I787" s="13" t="str">
        <f t="shared" si="24"/>
        <v>Nova Dr (SW 81st Terrace to SW 83rd Terrace)</v>
      </c>
      <c r="J787" s="13" t="s">
        <v>27</v>
      </c>
      <c r="K787" s="13" t="str">
        <f>VLOOKUP(J787,'Data-ProjectTypes'!A$3:B$13,2,FALSE)</f>
        <v>Program</v>
      </c>
      <c r="L787" s="21" t="s">
        <v>348</v>
      </c>
      <c r="M787" s="13" t="s">
        <v>248</v>
      </c>
      <c r="N787" s="13" t="s">
        <v>249</v>
      </c>
      <c r="O787" s="13" t="s">
        <v>273</v>
      </c>
      <c r="P787" s="13" t="s">
        <v>273</v>
      </c>
      <c r="Q787" s="22">
        <v>0.3</v>
      </c>
      <c r="R787" s="23">
        <v>93658</v>
      </c>
      <c r="S787" s="21" t="s">
        <v>24</v>
      </c>
      <c r="T787" s="21" t="s">
        <v>24</v>
      </c>
      <c r="U787" s="21"/>
      <c r="V787" s="24"/>
      <c r="W787" s="24"/>
      <c r="X787" s="24"/>
      <c r="Y787" s="17" t="s">
        <v>469</v>
      </c>
      <c r="Z787" s="18">
        <f>ROUND(R787*'Data-CostAssumptions'!$C$3,-3)</f>
        <v>130000</v>
      </c>
      <c r="AA787" s="11">
        <f t="shared" si="25"/>
        <v>0</v>
      </c>
      <c r="AB787" s="11">
        <v>2041</v>
      </c>
      <c r="AC787" s="11">
        <v>2041</v>
      </c>
      <c r="AD787" s="11">
        <v>2041</v>
      </c>
      <c r="AE787" s="11">
        <v>2041</v>
      </c>
      <c r="AF787" s="11">
        <v>0</v>
      </c>
      <c r="AG787" s="19">
        <f>ROUND((Z787*'Data-CostAssumptions'!$G$5)*(1+'Data-CostAssumptions'!$G$3)^(AC787-'Data-CostAssumptions'!$G$4),-3)</f>
        <v>73000</v>
      </c>
      <c r="AH787" s="19">
        <f>ROUND((Z787)*(1+'Data-CostAssumptions'!$G$3)^(AE787-'Data-CostAssumptions'!$G$4),-3)</f>
        <v>333000</v>
      </c>
    </row>
    <row r="788" spans="1:34" ht="15" customHeight="1" x14ac:dyDescent="0.2">
      <c r="A788" s="11"/>
      <c r="B788" s="11" t="s">
        <v>1213</v>
      </c>
      <c r="C788" s="13">
        <v>400</v>
      </c>
      <c r="D788" s="13" t="s">
        <v>420</v>
      </c>
      <c r="E788" s="20">
        <v>419</v>
      </c>
      <c r="F788" s="20">
        <v>163</v>
      </c>
      <c r="G788" s="20">
        <v>787</v>
      </c>
      <c r="H788" s="13" t="s">
        <v>1893</v>
      </c>
      <c r="I788" s="13" t="str">
        <f t="shared" si="24"/>
        <v>NE 40th St (NE 3rd Av to NE 2nd Av)</v>
      </c>
      <c r="J788" s="13" t="s">
        <v>27</v>
      </c>
      <c r="K788" s="13" t="str">
        <f>VLOOKUP(J788,'Data-ProjectTypes'!A$3:B$13,2,FALSE)</f>
        <v>Program</v>
      </c>
      <c r="L788" s="21" t="s">
        <v>348</v>
      </c>
      <c r="M788" s="13" t="s">
        <v>2033</v>
      </c>
      <c r="N788" s="13" t="s">
        <v>2032</v>
      </c>
      <c r="O788" s="13" t="s">
        <v>289</v>
      </c>
      <c r="P788" s="13" t="s">
        <v>289</v>
      </c>
      <c r="Q788" s="22">
        <v>0.2</v>
      </c>
      <c r="R788" s="23">
        <v>81898</v>
      </c>
      <c r="S788" s="21" t="s">
        <v>25</v>
      </c>
      <c r="T788" s="21"/>
      <c r="U788" s="21"/>
      <c r="V788" s="24"/>
      <c r="W788" s="24"/>
      <c r="X788" s="24"/>
      <c r="Y788" s="17" t="s">
        <v>492</v>
      </c>
      <c r="Z788" s="18">
        <f>ROUND(R788*'Data-CostAssumptions'!$C$3,-3)</f>
        <v>113000</v>
      </c>
      <c r="AA788" s="11">
        <f t="shared" si="25"/>
        <v>0</v>
      </c>
      <c r="AB788" s="11">
        <v>2041</v>
      </c>
      <c r="AC788" s="11">
        <v>2041</v>
      </c>
      <c r="AD788" s="11">
        <v>2041</v>
      </c>
      <c r="AE788" s="11">
        <v>2041</v>
      </c>
      <c r="AF788" s="11">
        <v>0</v>
      </c>
      <c r="AG788" s="19">
        <f>ROUND((Z788*'Data-CostAssumptions'!$G$5)*(1+'Data-CostAssumptions'!$G$3)^(AC788-'Data-CostAssumptions'!$G$4),-3)</f>
        <v>64000</v>
      </c>
      <c r="AH788" s="19">
        <f>ROUND((Z788)*(1+'Data-CostAssumptions'!$G$3)^(AE788-'Data-CostAssumptions'!$G$4),-3)</f>
        <v>290000</v>
      </c>
    </row>
    <row r="789" spans="1:34" ht="15" customHeight="1" x14ac:dyDescent="0.2">
      <c r="A789" s="11"/>
      <c r="B789" s="11" t="s">
        <v>1211</v>
      </c>
      <c r="C789" s="13">
        <v>582</v>
      </c>
      <c r="D789" s="13" t="s">
        <v>420</v>
      </c>
      <c r="E789" s="20">
        <v>416</v>
      </c>
      <c r="F789" s="20">
        <v>174</v>
      </c>
      <c r="G789" s="20">
        <v>788</v>
      </c>
      <c r="H789" s="13" t="s">
        <v>2081</v>
      </c>
      <c r="I789" s="13" t="str">
        <f t="shared" si="24"/>
        <v>NW 8th Av (NW 33rd St to Sample Rd)</v>
      </c>
      <c r="J789" s="13" t="s">
        <v>27</v>
      </c>
      <c r="K789" s="13" t="str">
        <f>VLOOKUP(J789,'Data-ProjectTypes'!A$3:B$13,2,FALSE)</f>
        <v>Program</v>
      </c>
      <c r="L789" s="21" t="s">
        <v>348</v>
      </c>
      <c r="M789" s="13" t="s">
        <v>1914</v>
      </c>
      <c r="N789" s="13" t="s">
        <v>1864</v>
      </c>
      <c r="O789" s="13" t="s">
        <v>272</v>
      </c>
      <c r="P789" s="13" t="s">
        <v>272</v>
      </c>
      <c r="Q789" s="22">
        <v>0.2</v>
      </c>
      <c r="R789" s="23">
        <v>89614</v>
      </c>
      <c r="S789" s="21"/>
      <c r="T789" s="21"/>
      <c r="U789" s="21"/>
      <c r="V789" s="24"/>
      <c r="W789" s="24"/>
      <c r="X789" s="24" t="s">
        <v>493</v>
      </c>
      <c r="Y789" s="17" t="s">
        <v>492</v>
      </c>
      <c r="Z789" s="18">
        <f>ROUND(R789*'Data-CostAssumptions'!$C$3,-3)</f>
        <v>124000</v>
      </c>
      <c r="AA789" s="11">
        <f t="shared" si="25"/>
        <v>0</v>
      </c>
      <c r="AB789" s="11">
        <v>2041</v>
      </c>
      <c r="AC789" s="11">
        <v>2041</v>
      </c>
      <c r="AD789" s="11">
        <v>2041</v>
      </c>
      <c r="AE789" s="11">
        <v>2041</v>
      </c>
      <c r="AF789" s="11">
        <v>0</v>
      </c>
      <c r="AG789" s="19">
        <f>ROUND((Z789*'Data-CostAssumptions'!$G$5)*(1+'Data-CostAssumptions'!$G$3)^(AC789-'Data-CostAssumptions'!$G$4),-3)</f>
        <v>70000</v>
      </c>
      <c r="AH789" s="19">
        <f>ROUND((Z789)*(1+'Data-CostAssumptions'!$G$3)^(AE789-'Data-CostAssumptions'!$G$4),-3)</f>
        <v>318000</v>
      </c>
    </row>
    <row r="790" spans="1:34" ht="15" customHeight="1" x14ac:dyDescent="0.2">
      <c r="A790" s="11"/>
      <c r="B790" s="11" t="s">
        <v>1211</v>
      </c>
      <c r="C790" s="13">
        <v>585</v>
      </c>
      <c r="D790" s="13" t="s">
        <v>420</v>
      </c>
      <c r="E790" s="20">
        <v>11</v>
      </c>
      <c r="F790" s="20">
        <v>174</v>
      </c>
      <c r="G790" s="20">
        <v>789</v>
      </c>
      <c r="H790" s="13" t="s">
        <v>1951</v>
      </c>
      <c r="I790" s="13" t="str">
        <f t="shared" si="24"/>
        <v>Sheridan St (NW 196th Av to US 27)</v>
      </c>
      <c r="J790" s="13" t="s">
        <v>27</v>
      </c>
      <c r="K790" s="13" t="str">
        <f>VLOOKUP(J790,'Data-ProjectTypes'!A$3:B$13,2,FALSE)</f>
        <v>Program</v>
      </c>
      <c r="L790" s="21" t="s">
        <v>348</v>
      </c>
      <c r="M790" s="13" t="s">
        <v>2055</v>
      </c>
      <c r="N790" s="13" t="s">
        <v>30</v>
      </c>
      <c r="O790" s="13" t="s">
        <v>273</v>
      </c>
      <c r="P790" s="13" t="s">
        <v>273</v>
      </c>
      <c r="Q790" s="22">
        <v>1.5</v>
      </c>
      <c r="R790" s="23">
        <v>543026</v>
      </c>
      <c r="S790" s="21"/>
      <c r="T790" s="21"/>
      <c r="U790" s="21"/>
      <c r="V790" s="24"/>
      <c r="W790" s="24"/>
      <c r="X790" s="24"/>
      <c r="Y790" s="17"/>
      <c r="Z790" s="18">
        <f>ROUND(R790*'Data-CostAssumptions'!$C$3,-3)</f>
        <v>752000</v>
      </c>
      <c r="AA790" s="11">
        <f t="shared" si="25"/>
        <v>0</v>
      </c>
      <c r="AB790" s="11">
        <v>2041</v>
      </c>
      <c r="AC790" s="11">
        <v>2041</v>
      </c>
      <c r="AD790" s="11">
        <v>2041</v>
      </c>
      <c r="AE790" s="11">
        <v>2041</v>
      </c>
      <c r="AF790" s="11">
        <v>0</v>
      </c>
      <c r="AG790" s="19">
        <f>ROUND((Z790*'Data-CostAssumptions'!$G$5)*(1+'Data-CostAssumptions'!$G$3)^(AC790-'Data-CostAssumptions'!$G$4),-3)</f>
        <v>424000</v>
      </c>
      <c r="AH790" s="19">
        <f>ROUND((Z790)*(1+'Data-CostAssumptions'!$G$3)^(AE790-'Data-CostAssumptions'!$G$4),-3)</f>
        <v>1928000</v>
      </c>
    </row>
    <row r="791" spans="1:34" ht="15" customHeight="1" x14ac:dyDescent="0.2">
      <c r="A791" s="11"/>
      <c r="B791" s="11" t="s">
        <v>1211</v>
      </c>
      <c r="C791" s="13">
        <v>586</v>
      </c>
      <c r="D791" s="13" t="s">
        <v>420</v>
      </c>
      <c r="E791" s="20">
        <v>50</v>
      </c>
      <c r="F791" s="20">
        <v>174</v>
      </c>
      <c r="G791" s="20">
        <v>790</v>
      </c>
      <c r="H791" s="13" t="s">
        <v>1968</v>
      </c>
      <c r="I791" s="13" t="str">
        <f t="shared" si="24"/>
        <v>Taft St (State Rd 7/US 441 to North 64th Av)</v>
      </c>
      <c r="J791" s="13" t="s">
        <v>27</v>
      </c>
      <c r="K791" s="13" t="str">
        <f>VLOOKUP(J791,'Data-ProjectTypes'!A$3:B$13,2,FALSE)</f>
        <v>Program</v>
      </c>
      <c r="L791" s="21" t="s">
        <v>543</v>
      </c>
      <c r="M791" s="13" t="s">
        <v>1773</v>
      </c>
      <c r="N791" s="13" t="s">
        <v>2043</v>
      </c>
      <c r="O791" s="13" t="s">
        <v>282</v>
      </c>
      <c r="P791" s="13" t="s">
        <v>282</v>
      </c>
      <c r="Q791" s="22">
        <v>0.5</v>
      </c>
      <c r="R791" s="23">
        <v>181598</v>
      </c>
      <c r="S791" s="21" t="s">
        <v>24</v>
      </c>
      <c r="T791" s="21" t="s">
        <v>25</v>
      </c>
      <c r="U791" s="21" t="s">
        <v>24</v>
      </c>
      <c r="V791" s="24"/>
      <c r="W791" s="24"/>
      <c r="X791" s="24"/>
      <c r="Y791" s="17" t="s">
        <v>538</v>
      </c>
      <c r="Z791" s="18">
        <f>ROUND(R791*'Data-CostAssumptions'!$C$3,-3)</f>
        <v>251000</v>
      </c>
      <c r="AA791" s="11">
        <f t="shared" si="25"/>
        <v>0</v>
      </c>
      <c r="AB791" s="11">
        <v>2041</v>
      </c>
      <c r="AC791" s="11">
        <v>2041</v>
      </c>
      <c r="AD791" s="11">
        <v>2041</v>
      </c>
      <c r="AE791" s="11">
        <v>2041</v>
      </c>
      <c r="AF791" s="11">
        <v>0</v>
      </c>
      <c r="AG791" s="19">
        <f>ROUND((Z791*'Data-CostAssumptions'!$G$5)*(1+'Data-CostAssumptions'!$G$3)^(AC791-'Data-CostAssumptions'!$G$4),-3)</f>
        <v>142000</v>
      </c>
      <c r="AH791" s="19">
        <f>ROUND((Z791)*(1+'Data-CostAssumptions'!$G$3)^(AE791-'Data-CostAssumptions'!$G$4),-3)</f>
        <v>644000</v>
      </c>
    </row>
    <row r="792" spans="1:34" ht="15" customHeight="1" x14ac:dyDescent="0.2">
      <c r="A792" s="11"/>
      <c r="B792" s="11" t="s">
        <v>1211</v>
      </c>
      <c r="C792" s="13">
        <v>587</v>
      </c>
      <c r="D792" s="13" t="s">
        <v>420</v>
      </c>
      <c r="E792" s="20">
        <v>62</v>
      </c>
      <c r="F792" s="20">
        <v>174</v>
      </c>
      <c r="G792" s="20">
        <v>791</v>
      </c>
      <c r="H792" s="13" t="s">
        <v>1795</v>
      </c>
      <c r="I792" s="13" t="str">
        <f t="shared" si="24"/>
        <v>North Ocean Dr (Sheridan St to Palm St)</v>
      </c>
      <c r="J792" s="13" t="s">
        <v>27</v>
      </c>
      <c r="K792" s="13" t="str">
        <f>VLOOKUP(J792,'Data-ProjectTypes'!A$3:B$13,2,FALSE)</f>
        <v>Program</v>
      </c>
      <c r="L792" s="21" t="s">
        <v>348</v>
      </c>
      <c r="M792" s="13" t="s">
        <v>1951</v>
      </c>
      <c r="N792" s="13" t="s">
        <v>2532</v>
      </c>
      <c r="O792" s="13" t="s">
        <v>270</v>
      </c>
      <c r="P792" s="13" t="s">
        <v>270</v>
      </c>
      <c r="Q792" s="22">
        <v>0.7</v>
      </c>
      <c r="R792" s="23">
        <v>266562</v>
      </c>
      <c r="S792" s="21" t="s">
        <v>24</v>
      </c>
      <c r="T792" s="21"/>
      <c r="U792" s="21"/>
      <c r="V792" s="24"/>
      <c r="W792" s="24"/>
      <c r="X792" s="24"/>
      <c r="Y792" s="17" t="s">
        <v>538</v>
      </c>
      <c r="Z792" s="18">
        <f>ROUND(R792*'Data-CostAssumptions'!$C$3,-3)</f>
        <v>369000</v>
      </c>
      <c r="AA792" s="11">
        <f t="shared" si="25"/>
        <v>0</v>
      </c>
      <c r="AB792" s="11">
        <v>2041</v>
      </c>
      <c r="AC792" s="11">
        <v>2041</v>
      </c>
      <c r="AD792" s="11">
        <v>2041</v>
      </c>
      <c r="AE792" s="11">
        <v>2041</v>
      </c>
      <c r="AF792" s="11">
        <v>0</v>
      </c>
      <c r="AG792" s="19">
        <f>ROUND((Z792*'Data-CostAssumptions'!$G$5)*(1+'Data-CostAssumptions'!$G$3)^(AC792-'Data-CostAssumptions'!$G$4),-3)</f>
        <v>208000</v>
      </c>
      <c r="AH792" s="19">
        <f>ROUND((Z792)*(1+'Data-CostAssumptions'!$G$3)^(AE792-'Data-CostAssumptions'!$G$4),-3)</f>
        <v>946000</v>
      </c>
    </row>
    <row r="793" spans="1:34" ht="15" customHeight="1" x14ac:dyDescent="0.2">
      <c r="A793" s="11"/>
      <c r="B793" s="11" t="s">
        <v>1211</v>
      </c>
      <c r="C793" s="13">
        <v>588</v>
      </c>
      <c r="D793" s="13" t="s">
        <v>420</v>
      </c>
      <c r="E793" s="20">
        <v>76</v>
      </c>
      <c r="F793" s="20">
        <v>174</v>
      </c>
      <c r="G793" s="20">
        <v>792</v>
      </c>
      <c r="H793" s="13" t="s">
        <v>2115</v>
      </c>
      <c r="I793" s="13" t="str">
        <f t="shared" si="24"/>
        <v>SW 19th Av/SW 16th St (SW 15th Av to Just north of Davie Bl)</v>
      </c>
      <c r="J793" s="13" t="s">
        <v>27</v>
      </c>
      <c r="K793" s="13" t="str">
        <f>VLOOKUP(J793,'Data-ProjectTypes'!A$3:B$13,2,FALSE)</f>
        <v>Program</v>
      </c>
      <c r="L793" s="21" t="s">
        <v>348</v>
      </c>
      <c r="M793" s="13" t="s">
        <v>2106</v>
      </c>
      <c r="N793" s="13" t="s">
        <v>2288</v>
      </c>
      <c r="O793" s="13" t="s">
        <v>270</v>
      </c>
      <c r="P793" s="13" t="s">
        <v>270</v>
      </c>
      <c r="Q793" s="22">
        <v>0.7</v>
      </c>
      <c r="R793" s="23">
        <v>254095</v>
      </c>
      <c r="S793" s="21"/>
      <c r="T793" s="21"/>
      <c r="U793" s="21"/>
      <c r="V793" s="24"/>
      <c r="W793" s="24"/>
      <c r="X793" s="24"/>
      <c r="Y793" s="17"/>
      <c r="Z793" s="18">
        <f>ROUND(R793*'Data-CostAssumptions'!$C$3,-3)</f>
        <v>352000</v>
      </c>
      <c r="AA793" s="11">
        <f t="shared" si="25"/>
        <v>0</v>
      </c>
      <c r="AB793" s="11">
        <v>2041</v>
      </c>
      <c r="AC793" s="11">
        <v>2041</v>
      </c>
      <c r="AD793" s="11">
        <v>2041</v>
      </c>
      <c r="AE793" s="11">
        <v>2041</v>
      </c>
      <c r="AF793" s="11">
        <v>0</v>
      </c>
      <c r="AG793" s="19">
        <f>ROUND((Z793*'Data-CostAssumptions'!$G$5)*(1+'Data-CostAssumptions'!$G$3)^(AC793-'Data-CostAssumptions'!$G$4),-3)</f>
        <v>199000</v>
      </c>
      <c r="AH793" s="19">
        <f>ROUND((Z793)*(1+'Data-CostAssumptions'!$G$3)^(AE793-'Data-CostAssumptions'!$G$4),-3)</f>
        <v>903000</v>
      </c>
    </row>
    <row r="794" spans="1:34" ht="15" customHeight="1" x14ac:dyDescent="0.2">
      <c r="A794" s="11"/>
      <c r="B794" s="11" t="s">
        <v>1211</v>
      </c>
      <c r="C794" s="13">
        <v>589</v>
      </c>
      <c r="D794" s="13" t="s">
        <v>420</v>
      </c>
      <c r="E794" s="20">
        <v>90</v>
      </c>
      <c r="F794" s="20">
        <v>174</v>
      </c>
      <c r="G794" s="20">
        <v>793</v>
      </c>
      <c r="H794" s="13" t="s">
        <v>1424</v>
      </c>
      <c r="I794" s="13" t="str">
        <f t="shared" si="24"/>
        <v>SR 5/US 1 (NE 57th St to Bayview Dr)</v>
      </c>
      <c r="J794" s="13" t="s">
        <v>27</v>
      </c>
      <c r="K794" s="13" t="str">
        <f>VLOOKUP(J794,'Data-ProjectTypes'!A$3:B$13,2,FALSE)</f>
        <v>Program</v>
      </c>
      <c r="L794" s="21" t="s">
        <v>348</v>
      </c>
      <c r="M794" s="13" t="s">
        <v>2531</v>
      </c>
      <c r="N794" s="13" t="s">
        <v>1781</v>
      </c>
      <c r="O794" s="13" t="s">
        <v>270</v>
      </c>
      <c r="P794" s="13" t="s">
        <v>270</v>
      </c>
      <c r="Q794" s="22">
        <v>0.4</v>
      </c>
      <c r="R794" s="23">
        <v>158622</v>
      </c>
      <c r="S794" s="21"/>
      <c r="T794" s="21"/>
      <c r="U794" s="21"/>
      <c r="V794" s="24"/>
      <c r="W794" s="24"/>
      <c r="X794" s="24"/>
      <c r="Y794" s="17"/>
      <c r="Z794" s="18">
        <f>ROUND(R794*'Data-CostAssumptions'!$C$3,-3)</f>
        <v>220000</v>
      </c>
      <c r="AA794" s="11">
        <f t="shared" si="25"/>
        <v>0</v>
      </c>
      <c r="AB794" s="11">
        <v>2041</v>
      </c>
      <c r="AC794" s="11">
        <v>2041</v>
      </c>
      <c r="AD794" s="11">
        <v>2041</v>
      </c>
      <c r="AE794" s="11">
        <v>2041</v>
      </c>
      <c r="AF794" s="11">
        <v>0</v>
      </c>
      <c r="AG794" s="19">
        <f>ROUND((Z794*'Data-CostAssumptions'!$G$5)*(1+'Data-CostAssumptions'!$G$3)^(AC794-'Data-CostAssumptions'!$G$4),-3)</f>
        <v>124000</v>
      </c>
      <c r="AH794" s="19">
        <f>ROUND((Z794)*(1+'Data-CostAssumptions'!$G$3)^(AE794-'Data-CostAssumptions'!$G$4),-3)</f>
        <v>564000</v>
      </c>
    </row>
    <row r="795" spans="1:34" ht="15" customHeight="1" x14ac:dyDescent="0.2">
      <c r="A795" s="11"/>
      <c r="B795" s="11" t="s">
        <v>1211</v>
      </c>
      <c r="C795" s="13">
        <v>590</v>
      </c>
      <c r="D795" s="13" t="s">
        <v>420</v>
      </c>
      <c r="E795" s="20">
        <v>131</v>
      </c>
      <c r="F795" s="20">
        <v>174</v>
      </c>
      <c r="G795" s="20">
        <v>794</v>
      </c>
      <c r="H795" s="13" t="s">
        <v>1761</v>
      </c>
      <c r="I795" s="13" t="str">
        <f t="shared" si="24"/>
        <v>Perimeter Rd (Commercial Bl to NW 21st Av)</v>
      </c>
      <c r="J795" s="13" t="s">
        <v>27</v>
      </c>
      <c r="K795" s="13" t="str">
        <f>VLOOKUP(J795,'Data-ProjectTypes'!A$3:B$13,2,FALSE)</f>
        <v>Program</v>
      </c>
      <c r="L795" s="21" t="s">
        <v>348</v>
      </c>
      <c r="M795" s="13" t="s">
        <v>1813</v>
      </c>
      <c r="N795" s="13" t="s">
        <v>2057</v>
      </c>
      <c r="O795" s="13" t="s">
        <v>270</v>
      </c>
      <c r="P795" s="13" t="s">
        <v>270</v>
      </c>
      <c r="Q795" s="22">
        <v>0.6</v>
      </c>
      <c r="R795" s="23">
        <v>226223</v>
      </c>
      <c r="S795" s="21"/>
      <c r="T795" s="21"/>
      <c r="U795" s="21"/>
      <c r="V795" s="24"/>
      <c r="W795" s="24"/>
      <c r="X795" s="24"/>
      <c r="Y795" s="17"/>
      <c r="Z795" s="18">
        <f>ROUND(R795*'Data-CostAssumptions'!$C$3,-3)</f>
        <v>313000</v>
      </c>
      <c r="AA795" s="11">
        <f t="shared" si="25"/>
        <v>0</v>
      </c>
      <c r="AB795" s="11">
        <v>2041</v>
      </c>
      <c r="AC795" s="11">
        <v>2041</v>
      </c>
      <c r="AD795" s="11">
        <v>2041</v>
      </c>
      <c r="AE795" s="11">
        <v>2041</v>
      </c>
      <c r="AF795" s="11">
        <v>0</v>
      </c>
      <c r="AG795" s="19">
        <f>ROUND((Z795*'Data-CostAssumptions'!$G$5)*(1+'Data-CostAssumptions'!$G$3)^(AC795-'Data-CostAssumptions'!$G$4),-3)</f>
        <v>177000</v>
      </c>
      <c r="AH795" s="19">
        <f>ROUND((Z795)*(1+'Data-CostAssumptions'!$G$3)^(AE795-'Data-CostAssumptions'!$G$4),-3)</f>
        <v>803000</v>
      </c>
    </row>
    <row r="796" spans="1:34" ht="15" customHeight="1" x14ac:dyDescent="0.2">
      <c r="A796" s="11"/>
      <c r="B796" s="11" t="s">
        <v>1211</v>
      </c>
      <c r="C796" s="13">
        <v>591</v>
      </c>
      <c r="D796" s="13" t="s">
        <v>420</v>
      </c>
      <c r="E796" s="20">
        <v>132</v>
      </c>
      <c r="F796" s="20">
        <v>174</v>
      </c>
      <c r="G796" s="20">
        <v>795</v>
      </c>
      <c r="H796" s="13" t="s">
        <v>1778</v>
      </c>
      <c r="I796" s="13" t="str">
        <f t="shared" si="24"/>
        <v>West Prospect Rd (NW 52nd Court to NW 31st Av)</v>
      </c>
      <c r="J796" s="13" t="s">
        <v>27</v>
      </c>
      <c r="K796" s="13" t="str">
        <f>VLOOKUP(J796,'Data-ProjectTypes'!A$3:B$13,2,FALSE)</f>
        <v>Program</v>
      </c>
      <c r="L796" s="21" t="s">
        <v>348</v>
      </c>
      <c r="M796" s="13" t="s">
        <v>80</v>
      </c>
      <c r="N796" s="13" t="s">
        <v>2062</v>
      </c>
      <c r="O796" s="13" t="s">
        <v>273</v>
      </c>
      <c r="P796" s="13" t="s">
        <v>273</v>
      </c>
      <c r="Q796" s="22">
        <v>1</v>
      </c>
      <c r="R796" s="23">
        <v>366355</v>
      </c>
      <c r="S796" s="21"/>
      <c r="T796" s="21"/>
      <c r="U796" s="21"/>
      <c r="V796" s="24"/>
      <c r="W796" s="24"/>
      <c r="X796" s="24"/>
      <c r="Y796" s="17"/>
      <c r="Z796" s="18">
        <f>ROUND(R796*'Data-CostAssumptions'!$C$3,-3)</f>
        <v>507000</v>
      </c>
      <c r="AA796" s="11">
        <f t="shared" si="25"/>
        <v>0</v>
      </c>
      <c r="AB796" s="11">
        <v>2041</v>
      </c>
      <c r="AC796" s="11">
        <v>2041</v>
      </c>
      <c r="AD796" s="11">
        <v>2041</v>
      </c>
      <c r="AE796" s="11">
        <v>2041</v>
      </c>
      <c r="AF796" s="11">
        <v>0</v>
      </c>
      <c r="AG796" s="19">
        <f>ROUND((Z796*'Data-CostAssumptions'!$G$5)*(1+'Data-CostAssumptions'!$G$3)^(AC796-'Data-CostAssumptions'!$G$4),-3)</f>
        <v>286000</v>
      </c>
      <c r="AH796" s="19">
        <f>ROUND((Z796)*(1+'Data-CostAssumptions'!$G$3)^(AE796-'Data-CostAssumptions'!$G$4),-3)</f>
        <v>1300000</v>
      </c>
    </row>
    <row r="797" spans="1:34" ht="15" customHeight="1" x14ac:dyDescent="0.2">
      <c r="A797" s="11"/>
      <c r="B797" s="11" t="s">
        <v>1211</v>
      </c>
      <c r="C797" s="13">
        <v>592</v>
      </c>
      <c r="D797" s="13" t="s">
        <v>420</v>
      </c>
      <c r="E797" s="20">
        <v>136</v>
      </c>
      <c r="F797" s="20">
        <v>174</v>
      </c>
      <c r="G797" s="20">
        <v>796</v>
      </c>
      <c r="H797" s="13" t="s">
        <v>2062</v>
      </c>
      <c r="I797" s="13" t="str">
        <f t="shared" si="24"/>
        <v>NW 31st Av (Commercial Bl to NW 62nd St/Cypress Creek Rd)</v>
      </c>
      <c r="J797" s="13" t="s">
        <v>27</v>
      </c>
      <c r="K797" s="13" t="str">
        <f>VLOOKUP(J797,'Data-ProjectTypes'!A$3:B$13,2,FALSE)</f>
        <v>Program</v>
      </c>
      <c r="L797" s="21" t="s">
        <v>348</v>
      </c>
      <c r="M797" s="13" t="s">
        <v>1813</v>
      </c>
      <c r="N797" s="13" t="s">
        <v>1928</v>
      </c>
      <c r="O797" s="13" t="s">
        <v>273</v>
      </c>
      <c r="P797" s="13" t="s">
        <v>273</v>
      </c>
      <c r="Q797" s="22">
        <v>1.1000000000000001</v>
      </c>
      <c r="R797" s="23">
        <v>400302</v>
      </c>
      <c r="S797" s="21"/>
      <c r="T797" s="21"/>
      <c r="U797" s="21"/>
      <c r="V797" s="24"/>
      <c r="W797" s="24"/>
      <c r="X797" s="24"/>
      <c r="Y797" s="17"/>
      <c r="Z797" s="18">
        <f>ROUND(R797*'Data-CostAssumptions'!$C$3,-3)</f>
        <v>554000</v>
      </c>
      <c r="AA797" s="11">
        <f t="shared" si="25"/>
        <v>0</v>
      </c>
      <c r="AB797" s="11">
        <v>2041</v>
      </c>
      <c r="AC797" s="11">
        <v>2041</v>
      </c>
      <c r="AD797" s="11">
        <v>2041</v>
      </c>
      <c r="AE797" s="11">
        <v>2041</v>
      </c>
      <c r="AF797" s="11">
        <v>0</v>
      </c>
      <c r="AG797" s="19">
        <f>ROUND((Z797*'Data-CostAssumptions'!$G$5)*(1+'Data-CostAssumptions'!$G$3)^(AC797-'Data-CostAssumptions'!$G$4),-3)</f>
        <v>312000</v>
      </c>
      <c r="AH797" s="19">
        <f>ROUND((Z797)*(1+'Data-CostAssumptions'!$G$3)^(AE797-'Data-CostAssumptions'!$G$4),-3)</f>
        <v>1420000</v>
      </c>
    </row>
    <row r="798" spans="1:34" ht="15" customHeight="1" x14ac:dyDescent="0.2">
      <c r="A798" s="11"/>
      <c r="B798" s="11" t="s">
        <v>1211</v>
      </c>
      <c r="C798" s="13">
        <v>593</v>
      </c>
      <c r="D798" s="13" t="s">
        <v>420</v>
      </c>
      <c r="E798" s="20">
        <v>137</v>
      </c>
      <c r="F798" s="20">
        <v>174</v>
      </c>
      <c r="G798" s="20">
        <v>797</v>
      </c>
      <c r="H798" s="13" t="s">
        <v>2063</v>
      </c>
      <c r="I798" s="13" t="str">
        <f t="shared" si="24"/>
        <v>NW 33rd Av (Commercial Bl to Prospect Rd)</v>
      </c>
      <c r="J798" s="13" t="s">
        <v>27</v>
      </c>
      <c r="K798" s="13" t="str">
        <f>VLOOKUP(J798,'Data-ProjectTypes'!A$3:B$13,2,FALSE)</f>
        <v>Program</v>
      </c>
      <c r="L798" s="21" t="s">
        <v>348</v>
      </c>
      <c r="M798" s="13" t="s">
        <v>1813</v>
      </c>
      <c r="N798" s="13" t="s">
        <v>1859</v>
      </c>
      <c r="O798" s="13" t="s">
        <v>273</v>
      </c>
      <c r="P798" s="13" t="s">
        <v>273</v>
      </c>
      <c r="Q798" s="22">
        <v>0.6</v>
      </c>
      <c r="R798" s="23">
        <v>222120</v>
      </c>
      <c r="S798" s="21"/>
      <c r="T798" s="21"/>
      <c r="U798" s="21"/>
      <c r="V798" s="24"/>
      <c r="W798" s="24"/>
      <c r="X798" s="24"/>
      <c r="Y798" s="17"/>
      <c r="Z798" s="18">
        <f>ROUND(R798*'Data-CostAssumptions'!$C$3,-3)</f>
        <v>307000</v>
      </c>
      <c r="AA798" s="11">
        <f t="shared" si="25"/>
        <v>0</v>
      </c>
      <c r="AB798" s="11">
        <v>2041</v>
      </c>
      <c r="AC798" s="11">
        <v>2041</v>
      </c>
      <c r="AD798" s="11">
        <v>2041</v>
      </c>
      <c r="AE798" s="11">
        <v>2041</v>
      </c>
      <c r="AF798" s="11">
        <v>0</v>
      </c>
      <c r="AG798" s="19">
        <f>ROUND((Z798*'Data-CostAssumptions'!$G$5)*(1+'Data-CostAssumptions'!$G$3)^(AC798-'Data-CostAssumptions'!$G$4),-3)</f>
        <v>173000</v>
      </c>
      <c r="AH798" s="19">
        <f>ROUND((Z798)*(1+'Data-CostAssumptions'!$G$3)^(AE798-'Data-CostAssumptions'!$G$4),-3)</f>
        <v>787000</v>
      </c>
    </row>
    <row r="799" spans="1:34" ht="15" customHeight="1" x14ac:dyDescent="0.2">
      <c r="A799" s="11"/>
      <c r="B799" s="11" t="s">
        <v>1211</v>
      </c>
      <c r="C799" s="13">
        <v>594</v>
      </c>
      <c r="D799" s="13" t="s">
        <v>420</v>
      </c>
      <c r="E799" s="20">
        <v>141</v>
      </c>
      <c r="F799" s="20">
        <v>175</v>
      </c>
      <c r="G799" s="20">
        <v>798</v>
      </c>
      <c r="H799" s="13" t="s">
        <v>1987</v>
      </c>
      <c r="I799" s="13" t="str">
        <f t="shared" si="24"/>
        <v>Brookwood Bl (NW 57th St to McNab Rd)</v>
      </c>
      <c r="J799" s="13" t="s">
        <v>27</v>
      </c>
      <c r="K799" s="13" t="str">
        <f>VLOOKUP(J799,'Data-ProjectTypes'!A$3:B$13,2,FALSE)</f>
        <v>Program</v>
      </c>
      <c r="L799" s="21" t="s">
        <v>348</v>
      </c>
      <c r="M799" s="13" t="s">
        <v>1925</v>
      </c>
      <c r="N799" s="13" t="s">
        <v>1854</v>
      </c>
      <c r="O799" s="13" t="s">
        <v>280</v>
      </c>
      <c r="P799" s="13" t="s">
        <v>280</v>
      </c>
      <c r="Q799" s="22">
        <v>1</v>
      </c>
      <c r="R799" s="23">
        <v>368981</v>
      </c>
      <c r="S799" s="21"/>
      <c r="T799" s="21"/>
      <c r="U799" s="21"/>
      <c r="V799" s="24"/>
      <c r="W799" s="24"/>
      <c r="X799" s="24"/>
      <c r="Y799" s="17"/>
      <c r="Z799" s="18">
        <f>ROUND(R799*'Data-CostAssumptions'!$C$3,-3)</f>
        <v>511000</v>
      </c>
      <c r="AA799" s="11">
        <f t="shared" si="25"/>
        <v>0</v>
      </c>
      <c r="AB799" s="11">
        <v>2041</v>
      </c>
      <c r="AC799" s="11">
        <v>2041</v>
      </c>
      <c r="AD799" s="11">
        <v>2041</v>
      </c>
      <c r="AE799" s="11">
        <v>2041</v>
      </c>
      <c r="AF799" s="11">
        <v>0</v>
      </c>
      <c r="AG799" s="19">
        <f>ROUND((Z799*'Data-CostAssumptions'!$G$5)*(1+'Data-CostAssumptions'!$G$3)^(AC799-'Data-CostAssumptions'!$G$4),-3)</f>
        <v>288000</v>
      </c>
      <c r="AH799" s="19">
        <f>ROUND((Z799)*(1+'Data-CostAssumptions'!$G$3)^(AE799-'Data-CostAssumptions'!$G$4),-3)</f>
        <v>1310000</v>
      </c>
    </row>
    <row r="800" spans="1:34" ht="15" customHeight="1" x14ac:dyDescent="0.2">
      <c r="A800" s="11"/>
      <c r="B800" s="11" t="s">
        <v>1211</v>
      </c>
      <c r="C800" s="13">
        <v>595</v>
      </c>
      <c r="D800" s="13" t="s">
        <v>420</v>
      </c>
      <c r="E800" s="20">
        <v>143</v>
      </c>
      <c r="F800" s="20">
        <v>175</v>
      </c>
      <c r="G800" s="20">
        <v>799</v>
      </c>
      <c r="H800" s="13" t="s">
        <v>1189</v>
      </c>
      <c r="I800" s="13" t="str">
        <f t="shared" si="24"/>
        <v>NW 44th St (Rock Island Rd to NW 65th Av)</v>
      </c>
      <c r="J800" s="13" t="s">
        <v>27</v>
      </c>
      <c r="K800" s="13" t="str">
        <f>VLOOKUP(J800,'Data-ProjectTypes'!A$3:B$13,2,FALSE)</f>
        <v>Program</v>
      </c>
      <c r="L800" s="21" t="s">
        <v>348</v>
      </c>
      <c r="M800" s="13" t="s">
        <v>1768</v>
      </c>
      <c r="N800" s="13" t="s">
        <v>2245</v>
      </c>
      <c r="O800" s="13" t="s">
        <v>281</v>
      </c>
      <c r="P800" s="13" t="s">
        <v>281</v>
      </c>
      <c r="Q800" s="22">
        <v>1.1000000000000001</v>
      </c>
      <c r="R800" s="23">
        <v>385474</v>
      </c>
      <c r="S800" s="21"/>
      <c r="T800" s="21"/>
      <c r="U800" s="21"/>
      <c r="V800" s="24"/>
      <c r="W800" s="24"/>
      <c r="X800" s="24"/>
      <c r="Y800" s="17"/>
      <c r="Z800" s="18">
        <f>ROUND(R800*'Data-CostAssumptions'!$C$3,-3)</f>
        <v>533000</v>
      </c>
      <c r="AA800" s="11">
        <f t="shared" si="25"/>
        <v>0</v>
      </c>
      <c r="AB800" s="11">
        <v>2041</v>
      </c>
      <c r="AC800" s="11">
        <v>2041</v>
      </c>
      <c r="AD800" s="11">
        <v>2041</v>
      </c>
      <c r="AE800" s="11">
        <v>2041</v>
      </c>
      <c r="AF800" s="11">
        <v>0</v>
      </c>
      <c r="AG800" s="19">
        <f>ROUND((Z800*'Data-CostAssumptions'!$G$5)*(1+'Data-CostAssumptions'!$G$3)^(AC800-'Data-CostAssumptions'!$G$4),-3)</f>
        <v>301000</v>
      </c>
      <c r="AH800" s="19">
        <f>ROUND((Z800)*(1+'Data-CostAssumptions'!$G$3)^(AE800-'Data-CostAssumptions'!$G$4),-3)</f>
        <v>1367000</v>
      </c>
    </row>
    <row r="801" spans="1:34" ht="15" customHeight="1" x14ac:dyDescent="0.2">
      <c r="A801" s="11"/>
      <c r="B801" s="11" t="s">
        <v>1211</v>
      </c>
      <c r="C801" s="13">
        <v>597</v>
      </c>
      <c r="D801" s="13" t="s">
        <v>420</v>
      </c>
      <c r="E801" s="20">
        <v>179</v>
      </c>
      <c r="F801" s="20">
        <v>175</v>
      </c>
      <c r="G801" s="20">
        <v>800</v>
      </c>
      <c r="H801" s="13" t="s">
        <v>1771</v>
      </c>
      <c r="I801" s="13" t="str">
        <f t="shared" si="24"/>
        <v>South Powerline Rd (Sample Rd to NW 48th St)</v>
      </c>
      <c r="J801" s="13" t="s">
        <v>27</v>
      </c>
      <c r="K801" s="13" t="str">
        <f>VLOOKUP(J801,'Data-ProjectTypes'!A$3:B$13,2,FALSE)</f>
        <v>Program</v>
      </c>
      <c r="L801" s="21" t="s">
        <v>348</v>
      </c>
      <c r="M801" s="13" t="s">
        <v>1864</v>
      </c>
      <c r="N801" s="13" t="s">
        <v>2562</v>
      </c>
      <c r="O801" s="13" t="s">
        <v>270</v>
      </c>
      <c r="P801" s="13" t="s">
        <v>270</v>
      </c>
      <c r="Q801" s="22">
        <v>1</v>
      </c>
      <c r="R801" s="23">
        <v>366012</v>
      </c>
      <c r="S801" s="21" t="s">
        <v>24</v>
      </c>
      <c r="T801" s="21"/>
      <c r="U801" s="21"/>
      <c r="V801" s="24"/>
      <c r="W801" s="24" t="s">
        <v>491</v>
      </c>
      <c r="X801" s="24"/>
      <c r="Y801" s="17" t="s">
        <v>492</v>
      </c>
      <c r="Z801" s="18">
        <f>ROUND(R801*'Data-CostAssumptions'!$C$3,-3)</f>
        <v>507000</v>
      </c>
      <c r="AA801" s="11">
        <f t="shared" si="25"/>
        <v>1</v>
      </c>
      <c r="AB801" s="11">
        <v>2041</v>
      </c>
      <c r="AC801" s="11">
        <v>2041</v>
      </c>
      <c r="AD801" s="11">
        <v>2041</v>
      </c>
      <c r="AE801" s="11">
        <v>2041</v>
      </c>
      <c r="AF801" s="11">
        <v>0</v>
      </c>
      <c r="AG801" s="19">
        <f>ROUND((Z801*'Data-CostAssumptions'!$G$5)*(1+'Data-CostAssumptions'!$G$3)^(AC801-'Data-CostAssumptions'!$G$4),-3)</f>
        <v>286000</v>
      </c>
      <c r="AH801" s="19">
        <f>ROUND((Z801)*(1+'Data-CostAssumptions'!$G$3)^(AE801-'Data-CostAssumptions'!$G$4),-3)</f>
        <v>1300000</v>
      </c>
    </row>
    <row r="802" spans="1:34" ht="15" customHeight="1" x14ac:dyDescent="0.2">
      <c r="A802" s="11"/>
      <c r="B802" s="11" t="s">
        <v>1211</v>
      </c>
      <c r="C802" s="13">
        <v>599</v>
      </c>
      <c r="D802" s="13" t="s">
        <v>420</v>
      </c>
      <c r="E802" s="20">
        <v>198</v>
      </c>
      <c r="F802" s="20">
        <v>175</v>
      </c>
      <c r="G802" s="20">
        <v>801</v>
      </c>
      <c r="H802" s="13" t="s">
        <v>159</v>
      </c>
      <c r="I802" s="13" t="str">
        <f t="shared" si="24"/>
        <v>Flamingo Rd (Panther Parkway to Oakland Park Bl)</v>
      </c>
      <c r="J802" s="13" t="s">
        <v>27</v>
      </c>
      <c r="K802" s="13" t="str">
        <f>VLOOKUP(J802,'Data-ProjectTypes'!A$3:B$13,2,FALSE)</f>
        <v>Program</v>
      </c>
      <c r="L802" s="21" t="s">
        <v>809</v>
      </c>
      <c r="M802" s="13" t="s">
        <v>86</v>
      </c>
      <c r="N802" s="13" t="s">
        <v>1825</v>
      </c>
      <c r="O802" s="13" t="s">
        <v>278</v>
      </c>
      <c r="P802" s="13" t="s">
        <v>278</v>
      </c>
      <c r="Q802" s="22">
        <v>0.6</v>
      </c>
      <c r="R802" s="23">
        <v>213451</v>
      </c>
      <c r="S802" s="21" t="s">
        <v>24</v>
      </c>
      <c r="T802" s="21" t="s">
        <v>25</v>
      </c>
      <c r="U802" s="21" t="s">
        <v>24</v>
      </c>
      <c r="V802" s="24" t="s">
        <v>808</v>
      </c>
      <c r="W802" s="24"/>
      <c r="X802" s="24" t="s">
        <v>812</v>
      </c>
      <c r="Y802" s="17" t="s">
        <v>806</v>
      </c>
      <c r="Z802" s="18">
        <f>ROUND(R802*'Data-CostAssumptions'!$C$3,-3)</f>
        <v>295000</v>
      </c>
      <c r="AA802" s="11">
        <f t="shared" si="25"/>
        <v>1</v>
      </c>
      <c r="AB802" s="11">
        <v>2041</v>
      </c>
      <c r="AC802" s="11">
        <v>2041</v>
      </c>
      <c r="AD802" s="11">
        <v>2041</v>
      </c>
      <c r="AE802" s="11">
        <v>2041</v>
      </c>
      <c r="AF802" s="11">
        <v>0</v>
      </c>
      <c r="AG802" s="19">
        <f>ROUND((Z802*'Data-CostAssumptions'!$G$5)*(1+'Data-CostAssumptions'!$G$3)^(AC802-'Data-CostAssumptions'!$G$4),-3)</f>
        <v>166000</v>
      </c>
      <c r="AH802" s="19">
        <f>ROUND((Z802)*(1+'Data-CostAssumptions'!$G$3)^(AE802-'Data-CostAssumptions'!$G$4),-3)</f>
        <v>756000</v>
      </c>
    </row>
    <row r="803" spans="1:34" ht="15" customHeight="1" x14ac:dyDescent="0.2">
      <c r="A803" s="11"/>
      <c r="B803" s="11" t="s">
        <v>1211</v>
      </c>
      <c r="C803" s="13">
        <v>600</v>
      </c>
      <c r="D803" s="13" t="s">
        <v>420</v>
      </c>
      <c r="E803" s="20">
        <v>210</v>
      </c>
      <c r="F803" s="20">
        <v>175</v>
      </c>
      <c r="G803" s="20">
        <v>802</v>
      </c>
      <c r="H803" s="13" t="s">
        <v>2103</v>
      </c>
      <c r="I803" s="13" t="str">
        <f t="shared" si="24"/>
        <v>SW 142nd Av (Orange Dr to SW 26th St)</v>
      </c>
      <c r="J803" s="13" t="s">
        <v>27</v>
      </c>
      <c r="K803" s="13" t="str">
        <f>VLOOKUP(J803,'Data-ProjectTypes'!A$3:B$13,2,FALSE)</f>
        <v>Program</v>
      </c>
      <c r="L803" s="21" t="s">
        <v>348</v>
      </c>
      <c r="M803" s="13" t="s">
        <v>184</v>
      </c>
      <c r="N803" s="13" t="s">
        <v>1959</v>
      </c>
      <c r="O803" s="13" t="s">
        <v>279</v>
      </c>
      <c r="P803" s="13" t="s">
        <v>279</v>
      </c>
      <c r="Q803" s="22">
        <v>1.6</v>
      </c>
      <c r="R803" s="23">
        <v>591005</v>
      </c>
      <c r="S803" s="21" t="s">
        <v>24</v>
      </c>
      <c r="T803" s="21" t="s">
        <v>24</v>
      </c>
      <c r="U803" s="21"/>
      <c r="V803" s="24"/>
      <c r="W803" s="24"/>
      <c r="X803" s="24"/>
      <c r="Y803" s="17" t="s">
        <v>469</v>
      </c>
      <c r="Z803" s="18">
        <f>ROUND(R803*'Data-CostAssumptions'!$C$3,-3)</f>
        <v>818000</v>
      </c>
      <c r="AA803" s="11">
        <f t="shared" si="25"/>
        <v>0</v>
      </c>
      <c r="AB803" s="11">
        <v>2041</v>
      </c>
      <c r="AC803" s="11">
        <v>2041</v>
      </c>
      <c r="AD803" s="11">
        <v>2041</v>
      </c>
      <c r="AE803" s="11">
        <v>2041</v>
      </c>
      <c r="AF803" s="11">
        <v>0</v>
      </c>
      <c r="AG803" s="19">
        <f>ROUND((Z803*'Data-CostAssumptions'!$G$5)*(1+'Data-CostAssumptions'!$G$3)^(AC803-'Data-CostAssumptions'!$G$4),-3)</f>
        <v>461000</v>
      </c>
      <c r="AH803" s="19">
        <f>ROUND((Z803)*(1+'Data-CostAssumptions'!$G$3)^(AE803-'Data-CostAssumptions'!$G$4),-3)</f>
        <v>2097000</v>
      </c>
    </row>
    <row r="804" spans="1:34" ht="15" customHeight="1" x14ac:dyDescent="0.2">
      <c r="A804" s="11"/>
      <c r="B804" s="11" t="s">
        <v>1211</v>
      </c>
      <c r="C804" s="13">
        <v>601</v>
      </c>
      <c r="D804" s="13" t="s">
        <v>420</v>
      </c>
      <c r="E804" s="20">
        <v>275</v>
      </c>
      <c r="F804" s="20">
        <v>175</v>
      </c>
      <c r="G804" s="20">
        <v>803</v>
      </c>
      <c r="H804" s="13" t="s">
        <v>1805</v>
      </c>
      <c r="I804" s="13" t="str">
        <f t="shared" si="24"/>
        <v>West Palomino Dr (SW 142nd Av to SW 148th Av)</v>
      </c>
      <c r="J804" s="13" t="s">
        <v>27</v>
      </c>
      <c r="K804" s="13" t="str">
        <f>VLOOKUP(J804,'Data-ProjectTypes'!A$3:B$13,2,FALSE)</f>
        <v>Program</v>
      </c>
      <c r="L804" s="21" t="s">
        <v>348</v>
      </c>
      <c r="M804" s="13" t="s">
        <v>2103</v>
      </c>
      <c r="N804" s="13" t="s">
        <v>2104</v>
      </c>
      <c r="O804" s="13" t="s">
        <v>272</v>
      </c>
      <c r="P804" s="13" t="s">
        <v>272</v>
      </c>
      <c r="Q804" s="22">
        <v>0.5</v>
      </c>
      <c r="R804" s="23">
        <v>178099</v>
      </c>
      <c r="S804" s="21" t="s">
        <v>24</v>
      </c>
      <c r="T804" s="21"/>
      <c r="U804" s="21"/>
      <c r="V804" s="24"/>
      <c r="W804" s="24" t="s">
        <v>789</v>
      </c>
      <c r="X804" s="37" t="s">
        <v>3241</v>
      </c>
      <c r="Y804" s="17" t="s">
        <v>782</v>
      </c>
      <c r="Z804" s="18">
        <f>ROUND(R804*'Data-CostAssumptions'!$C$3,-3)</f>
        <v>246000</v>
      </c>
      <c r="AA804" s="11">
        <f t="shared" si="25"/>
        <v>1</v>
      </c>
      <c r="AB804" s="11">
        <v>2041</v>
      </c>
      <c r="AC804" s="11">
        <v>2041</v>
      </c>
      <c r="AD804" s="11">
        <v>2041</v>
      </c>
      <c r="AE804" s="11">
        <v>2041</v>
      </c>
      <c r="AF804" s="11">
        <v>0</v>
      </c>
      <c r="AG804" s="19">
        <f>ROUND((Z804*'Data-CostAssumptions'!$G$5)*(1+'Data-CostAssumptions'!$G$3)^(AC804-'Data-CostAssumptions'!$G$4),-3)</f>
        <v>139000</v>
      </c>
      <c r="AH804" s="19">
        <f>ROUND((Z804)*(1+'Data-CostAssumptions'!$G$3)^(AE804-'Data-CostAssumptions'!$G$4),-3)</f>
        <v>631000</v>
      </c>
    </row>
    <row r="805" spans="1:34" ht="15" customHeight="1" x14ac:dyDescent="0.2">
      <c r="A805" s="11"/>
      <c r="B805" s="11" t="s">
        <v>1211</v>
      </c>
      <c r="C805" s="13">
        <v>602</v>
      </c>
      <c r="D805" s="13" t="s">
        <v>420</v>
      </c>
      <c r="E805" s="20">
        <v>328</v>
      </c>
      <c r="F805" s="20">
        <v>175</v>
      </c>
      <c r="G805" s="20">
        <v>804</v>
      </c>
      <c r="H805" s="13" t="s">
        <v>1786</v>
      </c>
      <c r="I805" s="13" t="str">
        <f t="shared" si="24"/>
        <v>Coral Ridge Dr (South Sawgrass Ramp to North Sawgrass Ramp)</v>
      </c>
      <c r="J805" s="13" t="s">
        <v>27</v>
      </c>
      <c r="K805" s="13" t="str">
        <f>VLOOKUP(J805,'Data-ProjectTypes'!A$3:B$13,2,FALSE)</f>
        <v>Program</v>
      </c>
      <c r="L805" s="21" t="s">
        <v>348</v>
      </c>
      <c r="M805" s="13" t="s">
        <v>261</v>
      </c>
      <c r="N805" s="13" t="s">
        <v>262</v>
      </c>
      <c r="O805" s="13" t="s">
        <v>273</v>
      </c>
      <c r="P805" s="13" t="s">
        <v>273</v>
      </c>
      <c r="Q805" s="22">
        <v>0.1</v>
      </c>
      <c r="R805" s="23">
        <v>39574</v>
      </c>
      <c r="S805" s="21" t="s">
        <v>24</v>
      </c>
      <c r="T805" s="21"/>
      <c r="U805" s="21"/>
      <c r="V805" s="24"/>
      <c r="W805" s="24"/>
      <c r="X805" s="24"/>
      <c r="Y805" s="17" t="s">
        <v>460</v>
      </c>
      <c r="Z805" s="18">
        <f>ROUND(R805*'Data-CostAssumptions'!$C$3,-3)</f>
        <v>55000</v>
      </c>
      <c r="AA805" s="11">
        <f t="shared" si="25"/>
        <v>0</v>
      </c>
      <c r="AB805" s="11">
        <v>2041</v>
      </c>
      <c r="AC805" s="11">
        <v>2041</v>
      </c>
      <c r="AD805" s="11">
        <v>2041</v>
      </c>
      <c r="AE805" s="11">
        <v>2041</v>
      </c>
      <c r="AF805" s="11">
        <v>0</v>
      </c>
      <c r="AG805" s="19">
        <f>ROUND((Z805*'Data-CostAssumptions'!$G$5)*(1+'Data-CostAssumptions'!$G$3)^(AC805-'Data-CostAssumptions'!$G$4),-3)</f>
        <v>31000</v>
      </c>
      <c r="AH805" s="19">
        <f>ROUND((Z805)*(1+'Data-CostAssumptions'!$G$3)^(AE805-'Data-CostAssumptions'!$G$4),-3)</f>
        <v>141000</v>
      </c>
    </row>
    <row r="806" spans="1:34" ht="15" customHeight="1" x14ac:dyDescent="0.2">
      <c r="A806" s="11"/>
      <c r="B806" s="11" t="s">
        <v>1211</v>
      </c>
      <c r="C806" s="13">
        <v>603</v>
      </c>
      <c r="D806" s="13" t="s">
        <v>420</v>
      </c>
      <c r="E806" s="20">
        <v>329</v>
      </c>
      <c r="F806" s="20">
        <v>175</v>
      </c>
      <c r="G806" s="20">
        <v>805</v>
      </c>
      <c r="H806" s="13" t="s">
        <v>2757</v>
      </c>
      <c r="I806" s="13" t="str">
        <f t="shared" si="24"/>
        <v>SR 870/ Commercial Bl (Just east of Hiatus Rd to Eastern Sawgrass Ramp)</v>
      </c>
      <c r="J806" s="13" t="s">
        <v>27</v>
      </c>
      <c r="K806" s="13" t="str">
        <f>VLOOKUP(J806,'Data-ProjectTypes'!A$3:B$13,2,FALSE)</f>
        <v>Program</v>
      </c>
      <c r="L806" s="21" t="s">
        <v>348</v>
      </c>
      <c r="M806" s="13" t="s">
        <v>2461</v>
      </c>
      <c r="N806" s="13" t="s">
        <v>78</v>
      </c>
      <c r="O806" s="13" t="s">
        <v>273</v>
      </c>
      <c r="P806" s="13" t="s">
        <v>273</v>
      </c>
      <c r="Q806" s="22">
        <v>0.3</v>
      </c>
      <c r="R806" s="23">
        <v>123753</v>
      </c>
      <c r="S806" s="21"/>
      <c r="T806" s="21"/>
      <c r="U806" s="21"/>
      <c r="V806" s="24"/>
      <c r="W806" s="24"/>
      <c r="X806" s="24"/>
      <c r="Y806" s="17"/>
      <c r="Z806" s="18">
        <f>ROUND(R806*'Data-CostAssumptions'!$C$3,-3)</f>
        <v>171000</v>
      </c>
      <c r="AA806" s="11">
        <f t="shared" si="25"/>
        <v>0</v>
      </c>
      <c r="AB806" s="11">
        <v>2041</v>
      </c>
      <c r="AC806" s="11">
        <v>2041</v>
      </c>
      <c r="AD806" s="11">
        <v>2041</v>
      </c>
      <c r="AE806" s="11">
        <v>2041</v>
      </c>
      <c r="AF806" s="11">
        <v>0</v>
      </c>
      <c r="AG806" s="19">
        <f>ROUND((Z806*'Data-CostAssumptions'!$G$5)*(1+'Data-CostAssumptions'!$G$3)^(AC806-'Data-CostAssumptions'!$G$4),-3)</f>
        <v>96000</v>
      </c>
      <c r="AH806" s="19">
        <f>ROUND((Z806)*(1+'Data-CostAssumptions'!$G$3)^(AE806-'Data-CostAssumptions'!$G$4),-3)</f>
        <v>438000</v>
      </c>
    </row>
    <row r="807" spans="1:34" ht="15" customHeight="1" x14ac:dyDescent="0.2">
      <c r="A807" s="11"/>
      <c r="B807" s="11" t="s">
        <v>1211</v>
      </c>
      <c r="C807" s="13">
        <v>604</v>
      </c>
      <c r="D807" s="13" t="s">
        <v>420</v>
      </c>
      <c r="E807" s="20">
        <v>330</v>
      </c>
      <c r="F807" s="20">
        <v>175</v>
      </c>
      <c r="G807" s="20">
        <v>806</v>
      </c>
      <c r="H807" s="13" t="s">
        <v>1755</v>
      </c>
      <c r="I807" s="13" t="str">
        <f t="shared" si="24"/>
        <v>Nob Hill Rd (NW 53rd St to Commercial Bl)</v>
      </c>
      <c r="J807" s="13" t="s">
        <v>27</v>
      </c>
      <c r="K807" s="13" t="str">
        <f>VLOOKUP(J807,'Data-ProjectTypes'!A$3:B$13,2,FALSE)</f>
        <v>Program</v>
      </c>
      <c r="L807" s="21" t="s">
        <v>348</v>
      </c>
      <c r="M807" s="13" t="s">
        <v>2516</v>
      </c>
      <c r="N807" s="13" t="s">
        <v>1813</v>
      </c>
      <c r="O807" s="13" t="s">
        <v>273</v>
      </c>
      <c r="P807" s="13" t="s">
        <v>273</v>
      </c>
      <c r="Q807" s="22">
        <v>0.3</v>
      </c>
      <c r="R807" s="23">
        <v>106185</v>
      </c>
      <c r="S807" s="21"/>
      <c r="T807" s="21"/>
      <c r="U807" s="21"/>
      <c r="V807" s="24"/>
      <c r="W807" s="24"/>
      <c r="X807" s="24"/>
      <c r="Y807" s="17"/>
      <c r="Z807" s="18">
        <f>ROUND(R807*'Data-CostAssumptions'!$C$3,-3)</f>
        <v>147000</v>
      </c>
      <c r="AA807" s="11">
        <f t="shared" si="25"/>
        <v>0</v>
      </c>
      <c r="AB807" s="11">
        <v>2041</v>
      </c>
      <c r="AC807" s="11">
        <v>2041</v>
      </c>
      <c r="AD807" s="11">
        <v>2041</v>
      </c>
      <c r="AE807" s="11">
        <v>2041</v>
      </c>
      <c r="AF807" s="11">
        <v>0</v>
      </c>
      <c r="AG807" s="19">
        <f>ROUND((Z807*'Data-CostAssumptions'!$G$5)*(1+'Data-CostAssumptions'!$G$3)^(AC807-'Data-CostAssumptions'!$G$4),-3)</f>
        <v>83000</v>
      </c>
      <c r="AH807" s="19">
        <f>ROUND((Z807)*(1+'Data-CostAssumptions'!$G$3)^(AE807-'Data-CostAssumptions'!$G$4),-3)</f>
        <v>377000</v>
      </c>
    </row>
    <row r="808" spans="1:34" ht="15" customHeight="1" x14ac:dyDescent="0.2">
      <c r="A808" s="11"/>
      <c r="B808" s="11" t="s">
        <v>1211</v>
      </c>
      <c r="C808" s="13">
        <v>605</v>
      </c>
      <c r="D808" s="13" t="s">
        <v>420</v>
      </c>
      <c r="E808" s="20">
        <v>331</v>
      </c>
      <c r="F808" s="20">
        <v>175</v>
      </c>
      <c r="G808" s="20">
        <v>807</v>
      </c>
      <c r="H808" s="13" t="s">
        <v>1951</v>
      </c>
      <c r="I808" s="13" t="str">
        <f t="shared" si="24"/>
        <v>Sheridan St (Just east of SW 166th Av to Just west of SW 166th Av)</v>
      </c>
      <c r="J808" s="13" t="s">
        <v>27</v>
      </c>
      <c r="K808" s="13" t="str">
        <f>VLOOKUP(J808,'Data-ProjectTypes'!A$3:B$13,2,FALSE)</f>
        <v>Program</v>
      </c>
      <c r="L808" s="21" t="s">
        <v>348</v>
      </c>
      <c r="M808" s="13" t="s">
        <v>2383</v>
      </c>
      <c r="N808" s="13" t="s">
        <v>2263</v>
      </c>
      <c r="O808" s="13" t="s">
        <v>273</v>
      </c>
      <c r="P808" s="13" t="s">
        <v>273</v>
      </c>
      <c r="Q808" s="22">
        <v>0.1</v>
      </c>
      <c r="R808" s="23">
        <v>34490</v>
      </c>
      <c r="S808" s="21"/>
      <c r="T808" s="21"/>
      <c r="U808" s="21"/>
      <c r="V808" s="24"/>
      <c r="W808" s="24"/>
      <c r="X808" s="24"/>
      <c r="Y808" s="17"/>
      <c r="Z808" s="18">
        <f>ROUND(R808*'Data-CostAssumptions'!$C$3,-3)</f>
        <v>48000</v>
      </c>
      <c r="AA808" s="11">
        <f t="shared" si="25"/>
        <v>0</v>
      </c>
      <c r="AB808" s="11">
        <v>2041</v>
      </c>
      <c r="AC808" s="11">
        <v>2041</v>
      </c>
      <c r="AD808" s="11">
        <v>2041</v>
      </c>
      <c r="AE808" s="11">
        <v>2041</v>
      </c>
      <c r="AF808" s="11">
        <v>0</v>
      </c>
      <c r="AG808" s="19">
        <f>ROUND((Z808*'Data-CostAssumptions'!$G$5)*(1+'Data-CostAssumptions'!$G$3)^(AC808-'Data-CostAssumptions'!$G$4),-3)</f>
        <v>27000</v>
      </c>
      <c r="AH808" s="19">
        <f>ROUND((Z808)*(1+'Data-CostAssumptions'!$G$3)^(AE808-'Data-CostAssumptions'!$G$4),-3)</f>
        <v>123000</v>
      </c>
    </row>
    <row r="809" spans="1:34" ht="15" customHeight="1" x14ac:dyDescent="0.2">
      <c r="A809" s="11"/>
      <c r="B809" s="11" t="s">
        <v>1211</v>
      </c>
      <c r="C809" s="13">
        <v>606</v>
      </c>
      <c r="D809" s="13" t="s">
        <v>420</v>
      </c>
      <c r="E809" s="20">
        <v>332</v>
      </c>
      <c r="F809" s="20">
        <v>175</v>
      </c>
      <c r="G809" s="20">
        <v>808</v>
      </c>
      <c r="H809" s="13" t="s">
        <v>250</v>
      </c>
      <c r="I809" s="13" t="str">
        <f t="shared" si="24"/>
        <v>SW 36th Court (Flamingo Rd to West end of the Rd)</v>
      </c>
      <c r="J809" s="13" t="s">
        <v>27</v>
      </c>
      <c r="K809" s="13" t="str">
        <f>VLOOKUP(J809,'Data-ProjectTypes'!A$3:B$13,2,FALSE)</f>
        <v>Program</v>
      </c>
      <c r="L809" s="21" t="s">
        <v>348</v>
      </c>
      <c r="M809" s="13" t="s">
        <v>159</v>
      </c>
      <c r="N809" s="13" t="s">
        <v>2460</v>
      </c>
      <c r="O809" s="13" t="s">
        <v>270</v>
      </c>
      <c r="P809" s="13" t="s">
        <v>270</v>
      </c>
      <c r="Q809" s="22">
        <v>0.5</v>
      </c>
      <c r="R809" s="23">
        <v>180438</v>
      </c>
      <c r="S809" s="21" t="s">
        <v>24</v>
      </c>
      <c r="T809" s="21"/>
      <c r="U809" s="21"/>
      <c r="V809" s="24"/>
      <c r="W809" s="24"/>
      <c r="X809" s="24"/>
      <c r="Y809" s="17" t="s">
        <v>469</v>
      </c>
      <c r="Z809" s="18">
        <f>ROUND(R809*'Data-CostAssumptions'!$C$3,-3)</f>
        <v>250000</v>
      </c>
      <c r="AA809" s="11">
        <f t="shared" si="25"/>
        <v>0</v>
      </c>
      <c r="AB809" s="11">
        <v>2041</v>
      </c>
      <c r="AC809" s="11">
        <v>2041</v>
      </c>
      <c r="AD809" s="11">
        <v>2041</v>
      </c>
      <c r="AE809" s="11">
        <v>2041</v>
      </c>
      <c r="AF809" s="11">
        <v>0</v>
      </c>
      <c r="AG809" s="19">
        <f>ROUND((Z809*'Data-CostAssumptions'!$G$5)*(1+'Data-CostAssumptions'!$G$3)^(AC809-'Data-CostAssumptions'!$G$4),-3)</f>
        <v>141000</v>
      </c>
      <c r="AH809" s="19">
        <f>ROUND((Z809)*(1+'Data-CostAssumptions'!$G$3)^(AE809-'Data-CostAssumptions'!$G$4),-3)</f>
        <v>641000</v>
      </c>
    </row>
    <row r="810" spans="1:34" ht="15" customHeight="1" x14ac:dyDescent="0.2">
      <c r="A810" s="11"/>
      <c r="B810" s="11" t="s">
        <v>1211</v>
      </c>
      <c r="C810" s="13">
        <v>607</v>
      </c>
      <c r="D810" s="13" t="s">
        <v>420</v>
      </c>
      <c r="E810" s="20">
        <v>345</v>
      </c>
      <c r="F810" s="20">
        <v>175</v>
      </c>
      <c r="G810" s="20">
        <v>809</v>
      </c>
      <c r="H810" s="13" t="s">
        <v>2091</v>
      </c>
      <c r="I810" s="13" t="str">
        <f t="shared" si="24"/>
        <v>SE 19th Av (SE 32nd St to Just north of Eller Dr)</v>
      </c>
      <c r="J810" s="13" t="s">
        <v>27</v>
      </c>
      <c r="K810" s="13" t="str">
        <f>VLOOKUP(J810,'Data-ProjectTypes'!A$3:B$13,2,FALSE)</f>
        <v>Program</v>
      </c>
      <c r="L810" s="21" t="s">
        <v>543</v>
      </c>
      <c r="M810" s="13" t="s">
        <v>2558</v>
      </c>
      <c r="N810" s="13" t="s">
        <v>2675</v>
      </c>
      <c r="O810" s="13" t="s">
        <v>282</v>
      </c>
      <c r="P810" s="13" t="s">
        <v>282</v>
      </c>
      <c r="Q810" s="22">
        <v>0.1</v>
      </c>
      <c r="R810" s="23">
        <v>36417</v>
      </c>
      <c r="S810" s="21" t="s">
        <v>24</v>
      </c>
      <c r="T810" s="21" t="s">
        <v>25</v>
      </c>
      <c r="U810" s="21" t="s">
        <v>24</v>
      </c>
      <c r="V810" s="24"/>
      <c r="W810" s="24"/>
      <c r="X810" s="24"/>
      <c r="Y810" s="17" t="s">
        <v>538</v>
      </c>
      <c r="Z810" s="18">
        <f>ROUND(R810*'Data-CostAssumptions'!$C$3,-3)</f>
        <v>50000</v>
      </c>
      <c r="AA810" s="11">
        <f t="shared" si="25"/>
        <v>0</v>
      </c>
      <c r="AB810" s="11">
        <v>2041</v>
      </c>
      <c r="AC810" s="11">
        <v>2041</v>
      </c>
      <c r="AD810" s="11">
        <v>2041</v>
      </c>
      <c r="AE810" s="11">
        <v>2041</v>
      </c>
      <c r="AF810" s="11">
        <v>0</v>
      </c>
      <c r="AG810" s="19">
        <f>ROUND((Z810*'Data-CostAssumptions'!$G$5)*(1+'Data-CostAssumptions'!$G$3)^(AC810-'Data-CostAssumptions'!$G$4),-3)</f>
        <v>28000</v>
      </c>
      <c r="AH810" s="19">
        <f>ROUND((Z810)*(1+'Data-CostAssumptions'!$G$3)^(AE810-'Data-CostAssumptions'!$G$4),-3)</f>
        <v>128000</v>
      </c>
    </row>
    <row r="811" spans="1:34" ht="15" customHeight="1" x14ac:dyDescent="0.2">
      <c r="A811" s="11"/>
      <c r="B811" s="11" t="s">
        <v>1211</v>
      </c>
      <c r="C811" s="13">
        <v>608</v>
      </c>
      <c r="D811" s="13" t="s">
        <v>420</v>
      </c>
      <c r="E811" s="20">
        <v>378</v>
      </c>
      <c r="F811" s="20">
        <v>175</v>
      </c>
      <c r="G811" s="20">
        <v>810</v>
      </c>
      <c r="H811" s="13" t="s">
        <v>1754</v>
      </c>
      <c r="I811" s="13" t="str">
        <f t="shared" si="24"/>
        <v>Lyons Rd (Just south of NW 15th St to NW 15th St)</v>
      </c>
      <c r="J811" s="13" t="s">
        <v>27</v>
      </c>
      <c r="K811" s="13" t="str">
        <f>VLOOKUP(J811,'Data-ProjectTypes'!A$3:B$13,2,FALSE)</f>
        <v>Program</v>
      </c>
      <c r="L811" s="21" t="s">
        <v>348</v>
      </c>
      <c r="M811" s="13" t="s">
        <v>2497</v>
      </c>
      <c r="N811" s="13" t="s">
        <v>1909</v>
      </c>
      <c r="O811" s="13" t="s">
        <v>283</v>
      </c>
      <c r="P811" s="13" t="s">
        <v>283</v>
      </c>
      <c r="Q811" s="22">
        <v>0.1</v>
      </c>
      <c r="R811" s="23">
        <v>18040</v>
      </c>
      <c r="S811" s="21"/>
      <c r="T811" s="21"/>
      <c r="U811" s="21"/>
      <c r="V811" s="24"/>
      <c r="W811" s="24"/>
      <c r="X811" s="24"/>
      <c r="Y811" s="17"/>
      <c r="Z811" s="18">
        <f>ROUND(R811*'Data-CostAssumptions'!$C$3,-3)</f>
        <v>25000</v>
      </c>
      <c r="AA811" s="11">
        <f t="shared" si="25"/>
        <v>0</v>
      </c>
      <c r="AB811" s="11">
        <v>2041</v>
      </c>
      <c r="AC811" s="11">
        <v>2041</v>
      </c>
      <c r="AD811" s="11">
        <v>2041</v>
      </c>
      <c r="AE811" s="11">
        <v>2041</v>
      </c>
      <c r="AF811" s="11">
        <v>0</v>
      </c>
      <c r="AG811" s="19">
        <f>ROUND((Z811*'Data-CostAssumptions'!$G$5)*(1+'Data-CostAssumptions'!$G$3)^(AC811-'Data-CostAssumptions'!$G$4),-3)</f>
        <v>14000</v>
      </c>
      <c r="AH811" s="19">
        <f>ROUND((Z811)*(1+'Data-CostAssumptions'!$G$3)^(AE811-'Data-CostAssumptions'!$G$4),-3)</f>
        <v>64000</v>
      </c>
    </row>
    <row r="812" spans="1:34" ht="15" customHeight="1" x14ac:dyDescent="0.2">
      <c r="A812" s="11"/>
      <c r="B812" s="11" t="s">
        <v>1211</v>
      </c>
      <c r="C812" s="13">
        <v>609</v>
      </c>
      <c r="D812" s="13" t="s">
        <v>420</v>
      </c>
      <c r="E812" s="20">
        <v>379</v>
      </c>
      <c r="F812" s="20">
        <v>175</v>
      </c>
      <c r="G812" s="20">
        <v>811</v>
      </c>
      <c r="H812" s="13" t="s">
        <v>1962</v>
      </c>
      <c r="I812" s="13" t="str">
        <f t="shared" si="24"/>
        <v>SW 3rd St (Just east of SW 19th Av to SW 19th Av)</v>
      </c>
      <c r="J812" s="13" t="s">
        <v>27</v>
      </c>
      <c r="K812" s="13" t="str">
        <f>VLOOKUP(J812,'Data-ProjectTypes'!A$3:B$13,2,FALSE)</f>
        <v>Program</v>
      </c>
      <c r="L812" s="21" t="s">
        <v>348</v>
      </c>
      <c r="M812" s="13" t="s">
        <v>2393</v>
      </c>
      <c r="N812" s="13" t="s">
        <v>2270</v>
      </c>
      <c r="O812" s="13" t="s">
        <v>273</v>
      </c>
      <c r="P812" s="13" t="s">
        <v>273</v>
      </c>
      <c r="Q812" s="22">
        <v>0.1</v>
      </c>
      <c r="R812" s="23">
        <v>41930</v>
      </c>
      <c r="S812" s="21"/>
      <c r="T812" s="21"/>
      <c r="U812" s="21"/>
      <c r="V812" s="24"/>
      <c r="W812" s="24"/>
      <c r="X812" s="24" t="s">
        <v>764</v>
      </c>
      <c r="Y812" s="17" t="s">
        <v>765</v>
      </c>
      <c r="Z812" s="18">
        <f>ROUND(R812*'Data-CostAssumptions'!$C$3,-3)</f>
        <v>58000</v>
      </c>
      <c r="AA812" s="11">
        <f t="shared" si="25"/>
        <v>0</v>
      </c>
      <c r="AB812" s="11">
        <v>2041</v>
      </c>
      <c r="AC812" s="11">
        <v>2041</v>
      </c>
      <c r="AD812" s="11">
        <v>2041</v>
      </c>
      <c r="AE812" s="11">
        <v>2041</v>
      </c>
      <c r="AF812" s="11">
        <v>0</v>
      </c>
      <c r="AG812" s="19">
        <f>ROUND((Z812*'Data-CostAssumptions'!$G$5)*(1+'Data-CostAssumptions'!$G$3)^(AC812-'Data-CostAssumptions'!$G$4),-3)</f>
        <v>33000</v>
      </c>
      <c r="AH812" s="19">
        <f>ROUND((Z812)*(1+'Data-CostAssumptions'!$G$3)^(AE812-'Data-CostAssumptions'!$G$4),-3)</f>
        <v>149000</v>
      </c>
    </row>
    <row r="813" spans="1:34" ht="15" customHeight="1" x14ac:dyDescent="0.2">
      <c r="A813" s="11"/>
      <c r="B813" s="11" t="s">
        <v>1211</v>
      </c>
      <c r="C813" s="13">
        <v>611</v>
      </c>
      <c r="D813" s="13" t="s">
        <v>420</v>
      </c>
      <c r="E813" s="20">
        <v>394</v>
      </c>
      <c r="F813" s="20">
        <v>176</v>
      </c>
      <c r="G813" s="20">
        <v>812</v>
      </c>
      <c r="H813" s="13" t="s">
        <v>1909</v>
      </c>
      <c r="I813" s="13" t="str">
        <f t="shared" si="24"/>
        <v>NW 15th St (NW 13th Av to NW 18th Av)</v>
      </c>
      <c r="J813" s="13" t="s">
        <v>27</v>
      </c>
      <c r="K813" s="13" t="str">
        <f>VLOOKUP(J813,'Data-ProjectTypes'!A$3:B$13,2,FALSE)</f>
        <v>Program</v>
      </c>
      <c r="L813" s="21" t="s">
        <v>348</v>
      </c>
      <c r="M813" s="13" t="s">
        <v>2053</v>
      </c>
      <c r="N813" s="13" t="s">
        <v>2239</v>
      </c>
      <c r="O813" s="13" t="s">
        <v>273</v>
      </c>
      <c r="P813" s="13" t="s">
        <v>273</v>
      </c>
      <c r="Q813" s="22">
        <v>0.4</v>
      </c>
      <c r="R813" s="23">
        <v>128521</v>
      </c>
      <c r="S813" s="21"/>
      <c r="T813" s="21"/>
      <c r="U813" s="21"/>
      <c r="V813" s="24"/>
      <c r="W813" s="24"/>
      <c r="X813" s="24" t="s">
        <v>764</v>
      </c>
      <c r="Y813" s="17" t="s">
        <v>765</v>
      </c>
      <c r="Z813" s="18">
        <f>ROUND(R813*'Data-CostAssumptions'!$C$3,-3)</f>
        <v>178000</v>
      </c>
      <c r="AA813" s="11">
        <f t="shared" si="25"/>
        <v>0</v>
      </c>
      <c r="AB813" s="11">
        <v>2041</v>
      </c>
      <c r="AC813" s="11">
        <v>2041</v>
      </c>
      <c r="AD813" s="11">
        <v>2041</v>
      </c>
      <c r="AE813" s="11">
        <v>2041</v>
      </c>
      <c r="AF813" s="11">
        <v>0</v>
      </c>
      <c r="AG813" s="19">
        <f>ROUND((Z813*'Data-CostAssumptions'!$G$5)*(1+'Data-CostAssumptions'!$G$3)^(AC813-'Data-CostAssumptions'!$G$4),-3)</f>
        <v>100000</v>
      </c>
      <c r="AH813" s="19">
        <f>ROUND((Z813)*(1+'Data-CostAssumptions'!$G$3)^(AE813-'Data-CostAssumptions'!$G$4),-3)</f>
        <v>456000</v>
      </c>
    </row>
    <row r="814" spans="1:34" ht="15" customHeight="1" x14ac:dyDescent="0.2">
      <c r="A814" s="11"/>
      <c r="B814" s="11" t="s">
        <v>1211</v>
      </c>
      <c r="C814" s="13">
        <v>612</v>
      </c>
      <c r="D814" s="13" t="s">
        <v>420</v>
      </c>
      <c r="E814" s="20">
        <v>439</v>
      </c>
      <c r="F814" s="20">
        <v>176</v>
      </c>
      <c r="G814" s="20">
        <v>813</v>
      </c>
      <c r="H814" s="13" t="s">
        <v>1914</v>
      </c>
      <c r="I814" s="13" t="str">
        <f t="shared" si="24"/>
        <v>NW 33rd St (NW 8th Av to Andrews Av)</v>
      </c>
      <c r="J814" s="13" t="s">
        <v>27</v>
      </c>
      <c r="K814" s="13" t="str">
        <f>VLOOKUP(J814,'Data-ProjectTypes'!A$3:B$13,2,FALSE)</f>
        <v>Program</v>
      </c>
      <c r="L814" s="21" t="s">
        <v>348</v>
      </c>
      <c r="M814" s="13" t="s">
        <v>2081</v>
      </c>
      <c r="N814" s="13" t="s">
        <v>2014</v>
      </c>
      <c r="O814" s="13" t="s">
        <v>275</v>
      </c>
      <c r="P814" s="13" t="s">
        <v>275</v>
      </c>
      <c r="Q814" s="22">
        <v>0.1</v>
      </c>
      <c r="R814" s="23">
        <v>48777</v>
      </c>
      <c r="S814" s="21"/>
      <c r="T814" s="21"/>
      <c r="U814" s="21"/>
      <c r="V814" s="24"/>
      <c r="W814" s="24"/>
      <c r="X814" s="24"/>
      <c r="Y814" s="17"/>
      <c r="Z814" s="18">
        <f>ROUND(R814*'Data-CostAssumptions'!$C$3,-3)</f>
        <v>68000</v>
      </c>
      <c r="AA814" s="11">
        <f t="shared" si="25"/>
        <v>0</v>
      </c>
      <c r="AB814" s="11">
        <v>2041</v>
      </c>
      <c r="AC814" s="11">
        <v>2041</v>
      </c>
      <c r="AD814" s="11">
        <v>2041</v>
      </c>
      <c r="AE814" s="11">
        <v>2041</v>
      </c>
      <c r="AF814" s="11">
        <v>0</v>
      </c>
      <c r="AG814" s="19">
        <f>ROUND((Z814*'Data-CostAssumptions'!$G$5)*(1+'Data-CostAssumptions'!$G$3)^(AC814-'Data-CostAssumptions'!$G$4),-3)</f>
        <v>38000</v>
      </c>
      <c r="AH814" s="19">
        <f>ROUND((Z814)*(1+'Data-CostAssumptions'!$G$3)^(AE814-'Data-CostAssumptions'!$G$4),-3)</f>
        <v>174000</v>
      </c>
    </row>
    <row r="815" spans="1:34" ht="15" customHeight="1" x14ac:dyDescent="0.2">
      <c r="A815" s="11"/>
      <c r="B815" s="11" t="s">
        <v>1211</v>
      </c>
      <c r="C815" s="13">
        <v>613</v>
      </c>
      <c r="D815" s="13" t="s">
        <v>420</v>
      </c>
      <c r="E815" s="20">
        <v>440</v>
      </c>
      <c r="F815" s="20">
        <v>176</v>
      </c>
      <c r="G815" s="20">
        <v>814</v>
      </c>
      <c r="H815" s="13" t="s">
        <v>231</v>
      </c>
      <c r="I815" s="13" t="str">
        <f t="shared" si="24"/>
        <v>Crystreetal Lake 
Drive (Just west of NW 9th Av to NW 45th St)</v>
      </c>
      <c r="J815" s="13" t="s">
        <v>27</v>
      </c>
      <c r="K815" s="13" t="str">
        <f>VLOOKUP(J815,'Data-ProjectTypes'!A$3:B$13,2,FALSE)</f>
        <v>Program</v>
      </c>
      <c r="L815" s="21" t="s">
        <v>348</v>
      </c>
      <c r="M815" s="13" t="s">
        <v>2342</v>
      </c>
      <c r="N815" s="13" t="s">
        <v>1923</v>
      </c>
      <c r="O815" s="13" t="s">
        <v>289</v>
      </c>
      <c r="P815" s="13" t="s">
        <v>289</v>
      </c>
      <c r="Q815" s="22">
        <v>0.7</v>
      </c>
      <c r="R815" s="23">
        <v>247264</v>
      </c>
      <c r="S815" s="21" t="s">
        <v>24</v>
      </c>
      <c r="T815" s="21" t="s">
        <v>25</v>
      </c>
      <c r="U815" s="21"/>
      <c r="V815" s="24"/>
      <c r="W815" s="24"/>
      <c r="X815" s="24"/>
      <c r="Y815" s="17" t="s">
        <v>492</v>
      </c>
      <c r="Z815" s="18">
        <f>ROUND(R815*'Data-CostAssumptions'!$C$3,-3)</f>
        <v>342000</v>
      </c>
      <c r="AA815" s="11">
        <f t="shared" si="25"/>
        <v>0</v>
      </c>
      <c r="AB815" s="11">
        <v>2041</v>
      </c>
      <c r="AC815" s="11">
        <v>2041</v>
      </c>
      <c r="AD815" s="11">
        <v>2041</v>
      </c>
      <c r="AE815" s="11">
        <v>2041</v>
      </c>
      <c r="AF815" s="11">
        <v>0</v>
      </c>
      <c r="AG815" s="19">
        <f>ROUND((Z815*'Data-CostAssumptions'!$G$5)*(1+'Data-CostAssumptions'!$G$3)^(AC815-'Data-CostAssumptions'!$G$4),-3)</f>
        <v>193000</v>
      </c>
      <c r="AH815" s="19">
        <f>ROUND((Z815)*(1+'Data-CostAssumptions'!$G$3)^(AE815-'Data-CostAssumptions'!$G$4),-3)</f>
        <v>877000</v>
      </c>
    </row>
    <row r="816" spans="1:34" ht="15" customHeight="1" x14ac:dyDescent="0.2">
      <c r="A816" s="11"/>
      <c r="B816" s="11" t="s">
        <v>1211</v>
      </c>
      <c r="C816" s="13">
        <v>614</v>
      </c>
      <c r="D816" s="13" t="s">
        <v>420</v>
      </c>
      <c r="E816" s="20">
        <v>6</v>
      </c>
      <c r="F816" s="20">
        <v>176</v>
      </c>
      <c r="G816" s="20">
        <v>815</v>
      </c>
      <c r="H816" s="13" t="s">
        <v>2101</v>
      </c>
      <c r="I816" s="13" t="str">
        <f t="shared" si="24"/>
        <v>SW 130th Av (SW 33rd Place to SW 14th St)</v>
      </c>
      <c r="J816" s="13" t="s">
        <v>27</v>
      </c>
      <c r="K816" s="13" t="str">
        <f>VLOOKUP(J816,'Data-ProjectTypes'!A$3:B$13,2,FALSE)</f>
        <v>Program</v>
      </c>
      <c r="L816" s="21" t="s">
        <v>348</v>
      </c>
      <c r="M816" s="13" t="s">
        <v>254</v>
      </c>
      <c r="N816" s="13" t="s">
        <v>2560</v>
      </c>
      <c r="O816" s="13" t="s">
        <v>279</v>
      </c>
      <c r="P816" s="13" t="s">
        <v>279</v>
      </c>
      <c r="Q816" s="22">
        <v>1.5</v>
      </c>
      <c r="R816" s="23">
        <v>542268</v>
      </c>
      <c r="S816" s="21" t="s">
        <v>24</v>
      </c>
      <c r="T816" s="21" t="s">
        <v>24</v>
      </c>
      <c r="U816" s="21"/>
      <c r="V816" s="24"/>
      <c r="W816" s="24"/>
      <c r="X816" s="24"/>
      <c r="Y816" s="17" t="s">
        <v>469</v>
      </c>
      <c r="Z816" s="18">
        <f>ROUND(R816*'Data-CostAssumptions'!$C$3,-3)</f>
        <v>750000</v>
      </c>
      <c r="AA816" s="11">
        <f t="shared" si="25"/>
        <v>0</v>
      </c>
      <c r="AB816" s="11">
        <v>2041</v>
      </c>
      <c r="AC816" s="11">
        <v>2041</v>
      </c>
      <c r="AD816" s="11">
        <v>2041</v>
      </c>
      <c r="AE816" s="11">
        <v>2041</v>
      </c>
      <c r="AF816" s="11">
        <v>0</v>
      </c>
      <c r="AG816" s="19">
        <f>ROUND((Z816*'Data-CostAssumptions'!$G$5)*(1+'Data-CostAssumptions'!$G$3)^(AC816-'Data-CostAssumptions'!$G$4),-3)</f>
        <v>423000</v>
      </c>
      <c r="AH816" s="19">
        <f>ROUND((Z816)*(1+'Data-CostAssumptions'!$G$3)^(AE816-'Data-CostAssumptions'!$G$4),-3)</f>
        <v>1923000</v>
      </c>
    </row>
    <row r="817" spans="1:34" ht="15" customHeight="1" x14ac:dyDescent="0.2">
      <c r="A817" s="11"/>
      <c r="B817" s="11" t="s">
        <v>1211</v>
      </c>
      <c r="C817" s="13">
        <v>615</v>
      </c>
      <c r="D817" s="13" t="s">
        <v>420</v>
      </c>
      <c r="E817" s="20">
        <v>150</v>
      </c>
      <c r="F817" s="20">
        <v>176</v>
      </c>
      <c r="G817" s="20">
        <v>816</v>
      </c>
      <c r="H817" s="13" t="s">
        <v>79</v>
      </c>
      <c r="I817" s="13" t="str">
        <f t="shared" si="24"/>
        <v>NW 84th Terrace (Commercial Bl to Lagos De Campo Bl)</v>
      </c>
      <c r="J817" s="13" t="s">
        <v>27</v>
      </c>
      <c r="K817" s="13" t="str">
        <f>VLOOKUP(J817,'Data-ProjectTypes'!A$3:B$13,2,FALSE)</f>
        <v>Program</v>
      </c>
      <c r="L817" s="21" t="s">
        <v>348</v>
      </c>
      <c r="M817" s="13" t="s">
        <v>1813</v>
      </c>
      <c r="N817" s="13" t="s">
        <v>2280</v>
      </c>
      <c r="O817" s="13" t="s">
        <v>280</v>
      </c>
      <c r="P817" s="13" t="s">
        <v>280</v>
      </c>
      <c r="Q817" s="22">
        <v>0.7</v>
      </c>
      <c r="R817" s="23">
        <v>244062</v>
      </c>
      <c r="S817" s="21"/>
      <c r="T817" s="21"/>
      <c r="U817" s="21"/>
      <c r="V817" s="24"/>
      <c r="W817" s="24"/>
      <c r="X817" s="24"/>
      <c r="Y817" s="17"/>
      <c r="Z817" s="18">
        <f>ROUND(R817*'Data-CostAssumptions'!$C$3,-3)</f>
        <v>338000</v>
      </c>
      <c r="AA817" s="11">
        <f t="shared" si="25"/>
        <v>0</v>
      </c>
      <c r="AB817" s="11">
        <v>2041</v>
      </c>
      <c r="AC817" s="11">
        <v>2041</v>
      </c>
      <c r="AD817" s="11">
        <v>2041</v>
      </c>
      <c r="AE817" s="11">
        <v>2041</v>
      </c>
      <c r="AF817" s="11">
        <v>0</v>
      </c>
      <c r="AG817" s="19">
        <f>ROUND((Z817*'Data-CostAssumptions'!$G$5)*(1+'Data-CostAssumptions'!$G$3)^(AC817-'Data-CostAssumptions'!$G$4),-3)</f>
        <v>191000</v>
      </c>
      <c r="AH817" s="19">
        <f>ROUND((Z817)*(1+'Data-CostAssumptions'!$G$3)^(AE817-'Data-CostAssumptions'!$G$4),-3)</f>
        <v>867000</v>
      </c>
    </row>
    <row r="818" spans="1:34" ht="15" customHeight="1" x14ac:dyDescent="0.2">
      <c r="A818" s="11"/>
      <c r="B818" s="11" t="s">
        <v>1211</v>
      </c>
      <c r="C818" s="13">
        <v>616</v>
      </c>
      <c r="D818" s="13" t="s">
        <v>420</v>
      </c>
      <c r="E818" s="20">
        <v>177</v>
      </c>
      <c r="F818" s="20">
        <v>176</v>
      </c>
      <c r="G818" s="20">
        <v>817</v>
      </c>
      <c r="H818" s="13" t="s">
        <v>1771</v>
      </c>
      <c r="I818" s="13" t="str">
        <f t="shared" si="24"/>
        <v>South Powerline Rd (SW 10th St to SW 4th St)</v>
      </c>
      <c r="J818" s="13" t="s">
        <v>27</v>
      </c>
      <c r="K818" s="13" t="str">
        <f>VLOOKUP(J818,'Data-ProjectTypes'!A$3:B$13,2,FALSE)</f>
        <v>Program</v>
      </c>
      <c r="L818" s="21" t="s">
        <v>348</v>
      </c>
      <c r="M818" s="13" t="s">
        <v>1954</v>
      </c>
      <c r="N818" s="13" t="s">
        <v>1964</v>
      </c>
      <c r="O818" s="13" t="s">
        <v>270</v>
      </c>
      <c r="P818" s="13" t="s">
        <v>270</v>
      </c>
      <c r="Q818" s="22">
        <v>0.5</v>
      </c>
      <c r="R818" s="23">
        <v>174788</v>
      </c>
      <c r="S818" s="21" t="s">
        <v>24</v>
      </c>
      <c r="T818" s="21"/>
      <c r="U818" s="21"/>
      <c r="V818" s="24"/>
      <c r="W818" s="24" t="s">
        <v>491</v>
      </c>
      <c r="X818" s="24"/>
      <c r="Y818" s="17" t="s">
        <v>492</v>
      </c>
      <c r="Z818" s="18">
        <f>ROUND(R818*'Data-CostAssumptions'!$C$3,-3)</f>
        <v>242000</v>
      </c>
      <c r="AA818" s="11">
        <f t="shared" si="25"/>
        <v>1</v>
      </c>
      <c r="AB818" s="11">
        <v>2041</v>
      </c>
      <c r="AC818" s="11">
        <v>2041</v>
      </c>
      <c r="AD818" s="11">
        <v>2041</v>
      </c>
      <c r="AE818" s="11">
        <v>2041</v>
      </c>
      <c r="AF818" s="11">
        <v>0</v>
      </c>
      <c r="AG818" s="19">
        <f>ROUND((Z818*'Data-CostAssumptions'!$G$5)*(1+'Data-CostAssumptions'!$G$3)^(AC818-'Data-CostAssumptions'!$G$4),-3)</f>
        <v>137000</v>
      </c>
      <c r="AH818" s="19">
        <f>ROUND((Z818)*(1+'Data-CostAssumptions'!$G$3)^(AE818-'Data-CostAssumptions'!$G$4),-3)</f>
        <v>620000</v>
      </c>
    </row>
    <row r="819" spans="1:34" ht="15" customHeight="1" x14ac:dyDescent="0.2">
      <c r="A819" s="11"/>
      <c r="B819" s="11" t="s">
        <v>1211</v>
      </c>
      <c r="C819" s="13">
        <v>617</v>
      </c>
      <c r="D819" s="13" t="s">
        <v>420</v>
      </c>
      <c r="E819" s="20">
        <v>178</v>
      </c>
      <c r="F819" s="20">
        <v>176</v>
      </c>
      <c r="G819" s="20">
        <v>818</v>
      </c>
      <c r="H819" s="13" t="s">
        <v>1771</v>
      </c>
      <c r="I819" s="13" t="str">
        <f t="shared" si="24"/>
        <v>South Powerline Rd (NW 48th St to SW 10th St)</v>
      </c>
      <c r="J819" s="13" t="s">
        <v>27</v>
      </c>
      <c r="K819" s="13" t="str">
        <f>VLOOKUP(J819,'Data-ProjectTypes'!A$3:B$13,2,FALSE)</f>
        <v>Program</v>
      </c>
      <c r="L819" s="21" t="s">
        <v>348</v>
      </c>
      <c r="M819" s="13" t="s">
        <v>2562</v>
      </c>
      <c r="N819" s="13" t="s">
        <v>1954</v>
      </c>
      <c r="O819" s="13" t="s">
        <v>270</v>
      </c>
      <c r="P819" s="13" t="s">
        <v>270</v>
      </c>
      <c r="Q819" s="22">
        <v>0.9</v>
      </c>
      <c r="R819" s="23">
        <v>336636</v>
      </c>
      <c r="S819" s="21" t="s">
        <v>24</v>
      </c>
      <c r="T819" s="21"/>
      <c r="U819" s="21"/>
      <c r="V819" s="24"/>
      <c r="W819" s="24" t="s">
        <v>491</v>
      </c>
      <c r="X819" s="24"/>
      <c r="Y819" s="17" t="s">
        <v>492</v>
      </c>
      <c r="Z819" s="18">
        <f>ROUND(R819*'Data-CostAssumptions'!$C$3,-3)</f>
        <v>466000</v>
      </c>
      <c r="AA819" s="11">
        <f t="shared" si="25"/>
        <v>1</v>
      </c>
      <c r="AB819" s="11">
        <v>2041</v>
      </c>
      <c r="AC819" s="11">
        <v>2041</v>
      </c>
      <c r="AD819" s="11">
        <v>2041</v>
      </c>
      <c r="AE819" s="11">
        <v>2041</v>
      </c>
      <c r="AF819" s="11">
        <v>0</v>
      </c>
      <c r="AG819" s="19">
        <f>ROUND((Z819*'Data-CostAssumptions'!$G$5)*(1+'Data-CostAssumptions'!$G$3)^(AC819-'Data-CostAssumptions'!$G$4),-3)</f>
        <v>263000</v>
      </c>
      <c r="AH819" s="19">
        <f>ROUND((Z819)*(1+'Data-CostAssumptions'!$G$3)^(AE819-'Data-CostAssumptions'!$G$4),-3)</f>
        <v>1195000</v>
      </c>
    </row>
    <row r="820" spans="1:34" ht="15" customHeight="1" x14ac:dyDescent="0.2">
      <c r="A820" s="11"/>
      <c r="B820" s="11" t="s">
        <v>1211</v>
      </c>
      <c r="C820" s="13">
        <v>618</v>
      </c>
      <c r="D820" s="13" t="s">
        <v>420</v>
      </c>
      <c r="E820" s="20">
        <v>182</v>
      </c>
      <c r="F820" s="20">
        <v>176</v>
      </c>
      <c r="G820" s="20">
        <v>819</v>
      </c>
      <c r="H820" s="13" t="s">
        <v>1776</v>
      </c>
      <c r="I820" s="13" t="str">
        <f t="shared" si="24"/>
        <v>West Copans Rd (NW 15th Av to Powerline Rd)</v>
      </c>
      <c r="J820" s="13" t="s">
        <v>27</v>
      </c>
      <c r="K820" s="13" t="str">
        <f>VLOOKUP(J820,'Data-ProjectTypes'!A$3:B$13,2,FALSE)</f>
        <v>Program</v>
      </c>
      <c r="L820" s="21" t="s">
        <v>348</v>
      </c>
      <c r="M820" s="13" t="s">
        <v>2054</v>
      </c>
      <c r="N820" s="13" t="s">
        <v>1858</v>
      </c>
      <c r="O820" s="13" t="s">
        <v>273</v>
      </c>
      <c r="P820" s="13" t="s">
        <v>273</v>
      </c>
      <c r="Q820" s="22">
        <v>0.5</v>
      </c>
      <c r="R820" s="23">
        <v>182154</v>
      </c>
      <c r="S820" s="21"/>
      <c r="T820" s="21"/>
      <c r="U820" s="21"/>
      <c r="V820" s="24"/>
      <c r="W820" s="24"/>
      <c r="X820" s="24"/>
      <c r="Y820" s="17"/>
      <c r="Z820" s="18">
        <f>ROUND(R820*'Data-CostAssumptions'!$C$3,-3)</f>
        <v>252000</v>
      </c>
      <c r="AA820" s="11">
        <f t="shared" si="25"/>
        <v>0</v>
      </c>
      <c r="AB820" s="11">
        <v>2041</v>
      </c>
      <c r="AC820" s="11">
        <v>2041</v>
      </c>
      <c r="AD820" s="11">
        <v>2041</v>
      </c>
      <c r="AE820" s="11">
        <v>2041</v>
      </c>
      <c r="AF820" s="11">
        <v>0</v>
      </c>
      <c r="AG820" s="19">
        <f>ROUND((Z820*'Data-CostAssumptions'!$G$5)*(1+'Data-CostAssumptions'!$G$3)^(AC820-'Data-CostAssumptions'!$G$4),-3)</f>
        <v>142000</v>
      </c>
      <c r="AH820" s="19">
        <f>ROUND((Z820)*(1+'Data-CostAssumptions'!$G$3)^(AE820-'Data-CostAssumptions'!$G$4),-3)</f>
        <v>646000</v>
      </c>
    </row>
    <row r="821" spans="1:34" ht="15" customHeight="1" x14ac:dyDescent="0.2">
      <c r="A821" s="11"/>
      <c r="B821" s="11" t="s">
        <v>1211</v>
      </c>
      <c r="C821" s="13">
        <v>619</v>
      </c>
      <c r="D821" s="13" t="s">
        <v>420</v>
      </c>
      <c r="E821" s="20">
        <v>403</v>
      </c>
      <c r="F821" s="20">
        <v>176</v>
      </c>
      <c r="G821" s="20">
        <v>820</v>
      </c>
      <c r="H821" s="13" t="s">
        <v>2062</v>
      </c>
      <c r="I821" s="13" t="str">
        <f t="shared" si="24"/>
        <v>NW 31st Av (NW 24th St to Just north of NW 24th St)</v>
      </c>
      <c r="J821" s="13" t="s">
        <v>27</v>
      </c>
      <c r="K821" s="13" t="str">
        <f>VLOOKUP(J821,'Data-ProjectTypes'!A$3:B$13,2,FALSE)</f>
        <v>Program</v>
      </c>
      <c r="L821" s="21" t="s">
        <v>348</v>
      </c>
      <c r="M821" s="13" t="s">
        <v>2542</v>
      </c>
      <c r="N821" s="13" t="s">
        <v>2541</v>
      </c>
      <c r="O821" s="13" t="s">
        <v>273</v>
      </c>
      <c r="P821" s="13" t="s">
        <v>273</v>
      </c>
      <c r="Q821" s="22">
        <v>0.1</v>
      </c>
      <c r="R821" s="23">
        <v>25170</v>
      </c>
      <c r="S821" s="21"/>
      <c r="T821" s="21"/>
      <c r="U821" s="21"/>
      <c r="V821" s="24"/>
      <c r="W821" s="24"/>
      <c r="X821" s="28"/>
      <c r="Y821" s="17"/>
      <c r="Z821" s="18">
        <f>ROUND(R821*'Data-CostAssumptions'!$C$3,-3)</f>
        <v>35000</v>
      </c>
      <c r="AA821" s="11">
        <f t="shared" si="25"/>
        <v>0</v>
      </c>
      <c r="AB821" s="11">
        <v>2041</v>
      </c>
      <c r="AC821" s="11">
        <v>2041</v>
      </c>
      <c r="AD821" s="11">
        <v>2041</v>
      </c>
      <c r="AE821" s="11">
        <v>2041</v>
      </c>
      <c r="AF821" s="11">
        <v>0</v>
      </c>
      <c r="AG821" s="19">
        <f>ROUND((Z821*'Data-CostAssumptions'!$G$5)*(1+'Data-CostAssumptions'!$G$3)^(AC821-'Data-CostAssumptions'!$G$4),-3)</f>
        <v>20000</v>
      </c>
      <c r="AH821" s="19">
        <f>ROUND((Z821)*(1+'Data-CostAssumptions'!$G$3)^(AE821-'Data-CostAssumptions'!$G$4),-3)</f>
        <v>90000</v>
      </c>
    </row>
    <row r="822" spans="1:34" ht="15" customHeight="1" x14ac:dyDescent="0.2">
      <c r="A822" s="11"/>
      <c r="B822" s="11" t="s">
        <v>1211</v>
      </c>
      <c r="C822" s="13">
        <v>620</v>
      </c>
      <c r="D822" s="13" t="s">
        <v>420</v>
      </c>
      <c r="E822" s="20">
        <v>415</v>
      </c>
      <c r="F822" s="20">
        <v>176</v>
      </c>
      <c r="G822" s="20">
        <v>821</v>
      </c>
      <c r="H822" s="13" t="s">
        <v>1923</v>
      </c>
      <c r="I822" s="13" t="str">
        <f t="shared" si="24"/>
        <v>NW 45th St (Military Trail to Crystal Lake Dr)</v>
      </c>
      <c r="J822" s="13" t="s">
        <v>27</v>
      </c>
      <c r="K822" s="13" t="str">
        <f>VLOOKUP(J822,'Data-ProjectTypes'!A$3:B$13,2,FALSE)</f>
        <v>Program</v>
      </c>
      <c r="L822" s="21" t="s">
        <v>348</v>
      </c>
      <c r="M822" s="13" t="s">
        <v>113</v>
      </c>
      <c r="N822" s="13" t="s">
        <v>2666</v>
      </c>
      <c r="O822" s="13" t="s">
        <v>273</v>
      </c>
      <c r="P822" s="13" t="s">
        <v>273</v>
      </c>
      <c r="Q822" s="22">
        <v>0.6</v>
      </c>
      <c r="R822" s="23">
        <v>226528</v>
      </c>
      <c r="S822" s="21" t="s">
        <v>24</v>
      </c>
      <c r="T822" s="21"/>
      <c r="U822" s="21"/>
      <c r="V822" s="24"/>
      <c r="W822" s="24" t="s">
        <v>491</v>
      </c>
      <c r="X822" s="24"/>
      <c r="Y822" s="17" t="s">
        <v>492</v>
      </c>
      <c r="Z822" s="18">
        <f>ROUND(R822*'Data-CostAssumptions'!$C$3,-3)</f>
        <v>314000</v>
      </c>
      <c r="AA822" s="11">
        <f t="shared" si="25"/>
        <v>1</v>
      </c>
      <c r="AB822" s="11">
        <v>2041</v>
      </c>
      <c r="AC822" s="11">
        <v>2041</v>
      </c>
      <c r="AD822" s="11">
        <v>2041</v>
      </c>
      <c r="AE822" s="11">
        <v>2041</v>
      </c>
      <c r="AF822" s="11">
        <v>0</v>
      </c>
      <c r="AG822" s="19">
        <f>ROUND((Z822*'Data-CostAssumptions'!$G$5)*(1+'Data-CostAssumptions'!$G$3)^(AC822-'Data-CostAssumptions'!$G$4),-3)</f>
        <v>177000</v>
      </c>
      <c r="AH822" s="19">
        <f>ROUND((Z822)*(1+'Data-CostAssumptions'!$G$3)^(AE822-'Data-CostAssumptions'!$G$4),-3)</f>
        <v>805000</v>
      </c>
    </row>
    <row r="823" spans="1:34" ht="15" customHeight="1" x14ac:dyDescent="0.2">
      <c r="A823" s="11"/>
      <c r="B823" s="11" t="s">
        <v>1211</v>
      </c>
      <c r="C823" s="13">
        <v>622</v>
      </c>
      <c r="D823" s="13" t="s">
        <v>420</v>
      </c>
      <c r="E823" s="20">
        <v>176</v>
      </c>
      <c r="F823" s="20">
        <v>176</v>
      </c>
      <c r="G823" s="20">
        <v>822</v>
      </c>
      <c r="H823" s="13" t="s">
        <v>237</v>
      </c>
      <c r="I823" s="13" t="str">
        <f t="shared" si="24"/>
        <v>NW 49th Court (Military Trail to Powerline Rd)</v>
      </c>
      <c r="J823" s="13" t="s">
        <v>27</v>
      </c>
      <c r="K823" s="13" t="str">
        <f>VLOOKUP(J823,'Data-ProjectTypes'!A$3:B$13,2,FALSE)</f>
        <v>Program</v>
      </c>
      <c r="L823" s="21" t="s">
        <v>348</v>
      </c>
      <c r="M823" s="13" t="s">
        <v>113</v>
      </c>
      <c r="N823" s="13" t="s">
        <v>1858</v>
      </c>
      <c r="O823" s="13" t="s">
        <v>273</v>
      </c>
      <c r="P823" s="13" t="s">
        <v>273</v>
      </c>
      <c r="Q823" s="22">
        <v>1.1000000000000001</v>
      </c>
      <c r="R823" s="23">
        <v>378898</v>
      </c>
      <c r="S823" s="21" t="s">
        <v>24</v>
      </c>
      <c r="T823" s="21"/>
      <c r="U823" s="21"/>
      <c r="V823" s="24"/>
      <c r="W823" s="24" t="s">
        <v>491</v>
      </c>
      <c r="X823" s="24"/>
      <c r="Y823" s="17" t="s">
        <v>492</v>
      </c>
      <c r="Z823" s="18">
        <f>ROUND(R823*'Data-CostAssumptions'!$C$3,-3)</f>
        <v>524000</v>
      </c>
      <c r="AA823" s="11">
        <f t="shared" si="25"/>
        <v>1</v>
      </c>
      <c r="AB823" s="11">
        <v>2041</v>
      </c>
      <c r="AC823" s="11">
        <v>2041</v>
      </c>
      <c r="AD823" s="11">
        <v>2041</v>
      </c>
      <c r="AE823" s="11">
        <v>2041</v>
      </c>
      <c r="AF823" s="11">
        <v>0</v>
      </c>
      <c r="AG823" s="19">
        <f>ROUND((Z823*'Data-CostAssumptions'!$G$5)*(1+'Data-CostAssumptions'!$G$3)^(AC823-'Data-CostAssumptions'!$G$4),-3)</f>
        <v>296000</v>
      </c>
      <c r="AH823" s="19">
        <f>ROUND((Z823)*(1+'Data-CostAssumptions'!$G$3)^(AE823-'Data-CostAssumptions'!$G$4),-3)</f>
        <v>1344000</v>
      </c>
    </row>
    <row r="824" spans="1:34" ht="15" customHeight="1" x14ac:dyDescent="0.2">
      <c r="A824" s="11"/>
      <c r="B824" s="11" t="s">
        <v>1211</v>
      </c>
      <c r="C824" s="13">
        <v>624</v>
      </c>
      <c r="D824" s="13" t="s">
        <v>420</v>
      </c>
      <c r="E824" s="20">
        <v>282</v>
      </c>
      <c r="F824" s="20">
        <v>176</v>
      </c>
      <c r="G824" s="20">
        <v>823</v>
      </c>
      <c r="H824" s="13" t="s">
        <v>1968</v>
      </c>
      <c r="I824" s="13" t="str">
        <f t="shared" si="24"/>
        <v>Taft St (NW 209th Av to US 27)</v>
      </c>
      <c r="J824" s="13" t="s">
        <v>27</v>
      </c>
      <c r="K824" s="13" t="str">
        <f>VLOOKUP(J824,'Data-ProjectTypes'!A$3:B$13,2,FALSE)</f>
        <v>Program</v>
      </c>
      <c r="L824" s="21" t="s">
        <v>348</v>
      </c>
      <c r="M824" s="13" t="s">
        <v>2397</v>
      </c>
      <c r="N824" s="13" t="s">
        <v>30</v>
      </c>
      <c r="O824" s="13" t="s">
        <v>270</v>
      </c>
      <c r="P824" s="13" t="s">
        <v>270</v>
      </c>
      <c r="Q824" s="22">
        <v>0.2</v>
      </c>
      <c r="R824" s="23">
        <v>65523</v>
      </c>
      <c r="S824" s="21"/>
      <c r="T824" s="21"/>
      <c r="U824" s="21"/>
      <c r="V824" s="24"/>
      <c r="W824" s="24"/>
      <c r="X824" s="24"/>
      <c r="Y824" s="17"/>
      <c r="Z824" s="18">
        <f>ROUND(R824*'Data-CostAssumptions'!$C$3,-3)</f>
        <v>91000</v>
      </c>
      <c r="AA824" s="11">
        <f t="shared" si="25"/>
        <v>0</v>
      </c>
      <c r="AB824" s="11">
        <v>2041</v>
      </c>
      <c r="AC824" s="11">
        <v>2041</v>
      </c>
      <c r="AD824" s="11">
        <v>2041</v>
      </c>
      <c r="AE824" s="11">
        <v>2041</v>
      </c>
      <c r="AF824" s="11">
        <v>0</v>
      </c>
      <c r="AG824" s="19">
        <f>ROUND((Z824*'Data-CostAssumptions'!$G$5)*(1+'Data-CostAssumptions'!$G$3)^(AC824-'Data-CostAssumptions'!$G$4),-3)</f>
        <v>51000</v>
      </c>
      <c r="AH824" s="19">
        <f>ROUND((Z824)*(1+'Data-CostAssumptions'!$G$3)^(AE824-'Data-CostAssumptions'!$G$4),-3)</f>
        <v>233000</v>
      </c>
    </row>
    <row r="825" spans="1:34" ht="15" customHeight="1" x14ac:dyDescent="0.2">
      <c r="A825" s="11"/>
      <c r="B825" s="11" t="s">
        <v>1213</v>
      </c>
      <c r="C825" s="13">
        <v>262</v>
      </c>
      <c r="D825" s="13" t="s">
        <v>420</v>
      </c>
      <c r="E825" s="20">
        <v>339</v>
      </c>
      <c r="F825" s="20">
        <v>155</v>
      </c>
      <c r="G825" s="20">
        <v>824</v>
      </c>
      <c r="H825" s="13" t="s">
        <v>2043</v>
      </c>
      <c r="I825" s="13" t="str">
        <f t="shared" si="24"/>
        <v>North 64th Av (Pines Bl to Taylor St)</v>
      </c>
      <c r="J825" s="13" t="s">
        <v>27</v>
      </c>
      <c r="K825" s="13" t="str">
        <f>VLOOKUP(J825,'Data-ProjectTypes'!A$3:B$13,2,FALSE)</f>
        <v>Program</v>
      </c>
      <c r="L825" s="21" t="s">
        <v>543</v>
      </c>
      <c r="M825" s="13" t="s">
        <v>1826</v>
      </c>
      <c r="N825" s="13" t="s">
        <v>2523</v>
      </c>
      <c r="O825" s="13" t="s">
        <v>272</v>
      </c>
      <c r="P825" s="13" t="s">
        <v>272</v>
      </c>
      <c r="Q825" s="22">
        <v>0.2</v>
      </c>
      <c r="R825" s="23">
        <v>76410</v>
      </c>
      <c r="S825" s="21" t="s">
        <v>25</v>
      </c>
      <c r="T825" s="21" t="s">
        <v>24</v>
      </c>
      <c r="U825" s="21"/>
      <c r="V825" s="24" t="s">
        <v>542</v>
      </c>
      <c r="W825" s="24"/>
      <c r="X825" s="24"/>
      <c r="Y825" s="17" t="s">
        <v>538</v>
      </c>
      <c r="Z825" s="18">
        <f>ROUND(R825*'Data-CostAssumptions'!$C$3,-3)</f>
        <v>106000</v>
      </c>
      <c r="AA825" s="11">
        <f t="shared" si="25"/>
        <v>1</v>
      </c>
      <c r="AB825" s="11">
        <v>2041</v>
      </c>
      <c r="AC825" s="11">
        <v>2041</v>
      </c>
      <c r="AD825" s="11">
        <v>2041</v>
      </c>
      <c r="AE825" s="11">
        <v>2041</v>
      </c>
      <c r="AF825" s="11">
        <v>0</v>
      </c>
      <c r="AG825" s="19">
        <f>ROUND((Z825*'Data-CostAssumptions'!$G$5)*(1+'Data-CostAssumptions'!$G$3)^(AC825-'Data-CostAssumptions'!$G$4),-3)</f>
        <v>60000</v>
      </c>
      <c r="AH825" s="19">
        <f>ROUND((Z825)*(1+'Data-CostAssumptions'!$G$3)^(AE825-'Data-CostAssumptions'!$G$4),-3)</f>
        <v>272000</v>
      </c>
    </row>
    <row r="826" spans="1:34" ht="15" customHeight="1" x14ac:dyDescent="0.2">
      <c r="A826" s="11"/>
      <c r="B826" s="11" t="s">
        <v>1213</v>
      </c>
      <c r="C826" s="13">
        <v>521</v>
      </c>
      <c r="D826" s="13" t="s">
        <v>420</v>
      </c>
      <c r="E826" s="20">
        <v>218</v>
      </c>
      <c r="F826" s="20">
        <v>170</v>
      </c>
      <c r="G826" s="20">
        <v>825</v>
      </c>
      <c r="H826" s="13" t="s">
        <v>2075</v>
      </c>
      <c r="I826" s="13" t="str">
        <f t="shared" si="24"/>
        <v>NW 63rd Av (Royal Palm Bl to Winfield Bl)</v>
      </c>
      <c r="J826" s="13" t="s">
        <v>27</v>
      </c>
      <c r="K826" s="13" t="str">
        <f>VLOOKUP(J826,'Data-ProjectTypes'!A$3:B$13,2,FALSE)</f>
        <v>Program</v>
      </c>
      <c r="L826" s="21" t="s">
        <v>348</v>
      </c>
      <c r="M826" s="13" t="s">
        <v>1827</v>
      </c>
      <c r="N826" s="13" t="s">
        <v>2278</v>
      </c>
      <c r="O826" s="13" t="s">
        <v>291</v>
      </c>
      <c r="P826" s="13" t="s">
        <v>291</v>
      </c>
      <c r="Q826" s="22">
        <v>0.3</v>
      </c>
      <c r="R826" s="23">
        <v>107993</v>
      </c>
      <c r="S826" s="21" t="s">
        <v>25</v>
      </c>
      <c r="T826" s="21"/>
      <c r="U826" s="21"/>
      <c r="V826" s="24"/>
      <c r="W826" s="24"/>
      <c r="X826" s="24"/>
      <c r="Y826" s="17" t="s">
        <v>680</v>
      </c>
      <c r="Z826" s="18">
        <f>ROUND(R826*'Data-CostAssumptions'!$C$3,-3)</f>
        <v>149000</v>
      </c>
      <c r="AA826" s="11">
        <f t="shared" si="25"/>
        <v>0</v>
      </c>
      <c r="AB826" s="11">
        <v>2041</v>
      </c>
      <c r="AC826" s="11">
        <v>2041</v>
      </c>
      <c r="AD826" s="11">
        <v>2041</v>
      </c>
      <c r="AE826" s="11">
        <v>2041</v>
      </c>
      <c r="AF826" s="11">
        <v>0</v>
      </c>
      <c r="AG826" s="19">
        <f>ROUND((Z826*'Data-CostAssumptions'!$G$5)*(1+'Data-CostAssumptions'!$G$3)^(AC826-'Data-CostAssumptions'!$G$4),-3)</f>
        <v>84000</v>
      </c>
      <c r="AH826" s="19">
        <f>ROUND((Z826)*(1+'Data-CostAssumptions'!$G$3)^(AE826-'Data-CostAssumptions'!$G$4),-3)</f>
        <v>382000</v>
      </c>
    </row>
    <row r="827" spans="1:34" ht="15" customHeight="1" x14ac:dyDescent="0.2">
      <c r="A827" s="11"/>
      <c r="B827" s="11" t="s">
        <v>1213</v>
      </c>
      <c r="C827" s="13">
        <v>562</v>
      </c>
      <c r="D827" s="13" t="s">
        <v>420</v>
      </c>
      <c r="E827" s="20">
        <v>217</v>
      </c>
      <c r="F827" s="20">
        <v>172</v>
      </c>
      <c r="G827" s="20">
        <v>826</v>
      </c>
      <c r="H827" s="13" t="s">
        <v>1768</v>
      </c>
      <c r="I827" s="13" t="str">
        <f t="shared" si="24"/>
        <v>Rock Island Rd (NW 10th Court to Royal Palm Bl)</v>
      </c>
      <c r="J827" s="13" t="s">
        <v>27</v>
      </c>
      <c r="K827" s="13" t="str">
        <f>VLOOKUP(J827,'Data-ProjectTypes'!A$3:B$13,2,FALSE)</f>
        <v>Program</v>
      </c>
      <c r="L827" s="21" t="s">
        <v>348</v>
      </c>
      <c r="M827" s="13" t="s">
        <v>168</v>
      </c>
      <c r="N827" s="13" t="s">
        <v>1827</v>
      </c>
      <c r="O827" s="13" t="s">
        <v>291</v>
      </c>
      <c r="P827" s="13" t="s">
        <v>291</v>
      </c>
      <c r="Q827" s="22">
        <v>0.6</v>
      </c>
      <c r="R827" s="23">
        <v>218448</v>
      </c>
      <c r="S827" s="21" t="s">
        <v>25</v>
      </c>
      <c r="T827" s="21"/>
      <c r="U827" s="21"/>
      <c r="V827" s="24"/>
      <c r="W827" s="24"/>
      <c r="X827" s="24"/>
      <c r="Y827" s="17" t="s">
        <v>680</v>
      </c>
      <c r="Z827" s="18">
        <f>ROUND(R827*'Data-CostAssumptions'!$C$3,-3)</f>
        <v>302000</v>
      </c>
      <c r="AA827" s="11">
        <f t="shared" si="25"/>
        <v>0</v>
      </c>
      <c r="AB827" s="11">
        <v>2041</v>
      </c>
      <c r="AC827" s="11">
        <v>2041</v>
      </c>
      <c r="AD827" s="11">
        <v>2041</v>
      </c>
      <c r="AE827" s="11">
        <v>2041</v>
      </c>
      <c r="AF827" s="11">
        <v>0</v>
      </c>
      <c r="AG827" s="19">
        <f>ROUND((Z827*'Data-CostAssumptions'!$G$5)*(1+'Data-CostAssumptions'!$G$3)^(AC827-'Data-CostAssumptions'!$G$4),-3)</f>
        <v>170000</v>
      </c>
      <c r="AH827" s="19">
        <f>ROUND((Z827)*(1+'Data-CostAssumptions'!$G$3)^(AE827-'Data-CostAssumptions'!$G$4),-3)</f>
        <v>774000</v>
      </c>
    </row>
    <row r="828" spans="1:34" ht="15" customHeight="1" x14ac:dyDescent="0.2">
      <c r="A828" s="11"/>
      <c r="B828" s="11" t="s">
        <v>1213</v>
      </c>
      <c r="C828" s="13">
        <v>396</v>
      </c>
      <c r="D828" s="13" t="s">
        <v>420</v>
      </c>
      <c r="E828" s="20">
        <v>398</v>
      </c>
      <c r="F828" s="20">
        <v>163</v>
      </c>
      <c r="G828" s="20">
        <v>827</v>
      </c>
      <c r="H828" s="13" t="s">
        <v>2092</v>
      </c>
      <c r="I828" s="13" t="str">
        <f t="shared" si="24"/>
        <v>SE 2nd Av (SE 2nd St to Hillsboro Bl)</v>
      </c>
      <c r="J828" s="13" t="s">
        <v>27</v>
      </c>
      <c r="K828" s="13" t="str">
        <f>VLOOKUP(J828,'Data-ProjectTypes'!A$3:B$13,2,FALSE)</f>
        <v>Program</v>
      </c>
      <c r="L828" s="21" t="s">
        <v>348</v>
      </c>
      <c r="M828" s="13" t="s">
        <v>1943</v>
      </c>
      <c r="N828" s="13" t="s">
        <v>1819</v>
      </c>
      <c r="O828" s="13" t="s">
        <v>289</v>
      </c>
      <c r="P828" s="13" t="s">
        <v>289</v>
      </c>
      <c r="Q828" s="22">
        <v>0.1</v>
      </c>
      <c r="R828" s="23">
        <v>52457</v>
      </c>
      <c r="S828" s="21" t="s">
        <v>25</v>
      </c>
      <c r="T828" s="21"/>
      <c r="U828" s="21"/>
      <c r="V828" s="24"/>
      <c r="W828" s="24"/>
      <c r="X828" s="24" t="s">
        <v>770</v>
      </c>
      <c r="Y828" s="17" t="s">
        <v>768</v>
      </c>
      <c r="Z828" s="18">
        <f>ROUND(R828*'Data-CostAssumptions'!$C$3,-3)</f>
        <v>73000</v>
      </c>
      <c r="AA828" s="11">
        <f t="shared" si="25"/>
        <v>0</v>
      </c>
      <c r="AB828" s="11">
        <v>2041</v>
      </c>
      <c r="AC828" s="11">
        <v>2041</v>
      </c>
      <c r="AD828" s="11">
        <v>2041</v>
      </c>
      <c r="AE828" s="11">
        <v>2041</v>
      </c>
      <c r="AF828" s="11">
        <v>0</v>
      </c>
      <c r="AG828" s="19">
        <f>ROUND((Z828*'Data-CostAssumptions'!$G$5)*(1+'Data-CostAssumptions'!$G$3)^(AC828-'Data-CostAssumptions'!$G$4),-3)</f>
        <v>41000</v>
      </c>
      <c r="AH828" s="19">
        <f>ROUND((Z828)*(1+'Data-CostAssumptions'!$G$3)^(AE828-'Data-CostAssumptions'!$G$4),-3)</f>
        <v>187000</v>
      </c>
    </row>
    <row r="829" spans="1:34" ht="15" customHeight="1" x14ac:dyDescent="0.2">
      <c r="A829" s="11"/>
      <c r="B829" s="11" t="s">
        <v>1213</v>
      </c>
      <c r="C829" s="13">
        <v>493</v>
      </c>
      <c r="D829" s="13" t="s">
        <v>420</v>
      </c>
      <c r="E829" s="20">
        <v>56</v>
      </c>
      <c r="F829" s="20">
        <v>168</v>
      </c>
      <c r="G829" s="20">
        <v>828</v>
      </c>
      <c r="H829" s="13" t="s">
        <v>57</v>
      </c>
      <c r="I829" s="13" t="str">
        <f t="shared" si="24"/>
        <v>SR 7/US 441 (SW 40th Court to SW 25th St)</v>
      </c>
      <c r="J829" s="13" t="s">
        <v>27</v>
      </c>
      <c r="K829" s="13" t="str">
        <f>VLOOKUP(J829,'Data-ProjectTypes'!A$3:B$13,2,FALSE)</f>
        <v>Program</v>
      </c>
      <c r="L829" s="21" t="s">
        <v>348</v>
      </c>
      <c r="M829" s="13" t="s">
        <v>162</v>
      </c>
      <c r="N829" s="13" t="s">
        <v>1958</v>
      </c>
      <c r="O829" s="13" t="s">
        <v>270</v>
      </c>
      <c r="P829" s="13" t="s">
        <v>270</v>
      </c>
      <c r="Q829" s="22">
        <v>0.9</v>
      </c>
      <c r="R829" s="23">
        <v>339446</v>
      </c>
      <c r="S829" s="21" t="s">
        <v>25</v>
      </c>
      <c r="T829" s="21" t="s">
        <v>25</v>
      </c>
      <c r="U829" s="21" t="s">
        <v>25</v>
      </c>
      <c r="V829" s="24"/>
      <c r="W829" s="24"/>
      <c r="X829" s="28"/>
      <c r="Y829" s="17" t="s">
        <v>685</v>
      </c>
      <c r="Z829" s="18">
        <f>ROUND(R829*'Data-CostAssumptions'!$C$8,-3)</f>
        <v>339000</v>
      </c>
      <c r="AA829" s="11">
        <f t="shared" si="25"/>
        <v>0</v>
      </c>
      <c r="AB829" s="11">
        <v>2041</v>
      </c>
      <c r="AC829" s="11">
        <v>2041</v>
      </c>
      <c r="AD829" s="11">
        <v>2041</v>
      </c>
      <c r="AE829" s="11">
        <v>2041</v>
      </c>
      <c r="AF829" s="11">
        <v>0</v>
      </c>
      <c r="AG829" s="19">
        <f>ROUND((Z829*'Data-CostAssumptions'!$G$5)*(1+'Data-CostAssumptions'!$G$3)^(AC829-'Data-CostAssumptions'!$G$4),-3)</f>
        <v>191000</v>
      </c>
      <c r="AH829" s="19">
        <f>ROUND((Z829)*(1+'Data-CostAssumptions'!$G$3)^(AE829-'Data-CostAssumptions'!$G$4),-3)</f>
        <v>869000</v>
      </c>
    </row>
    <row r="830" spans="1:34" ht="15" customHeight="1" x14ac:dyDescent="0.2">
      <c r="A830" s="11"/>
      <c r="B830" s="11" t="s">
        <v>1213</v>
      </c>
      <c r="C830" s="13">
        <v>596</v>
      </c>
      <c r="D830" s="13" t="s">
        <v>420</v>
      </c>
      <c r="E830" s="20">
        <v>160</v>
      </c>
      <c r="F830" s="20">
        <v>175</v>
      </c>
      <c r="G830" s="20">
        <v>829</v>
      </c>
      <c r="H830" s="13" t="s">
        <v>2734</v>
      </c>
      <c r="I830" s="13" t="str">
        <f t="shared" si="24"/>
        <v>SR 814/Atlantic Bl (Lake View Dr to Sawgrass Expressway Ramp)</v>
      </c>
      <c r="J830" s="13" t="s">
        <v>27</v>
      </c>
      <c r="K830" s="13" t="str">
        <f>VLOOKUP(J830,'Data-ProjectTypes'!A$3:B$13,2,FALSE)</f>
        <v>Program</v>
      </c>
      <c r="L830" s="21" t="s">
        <v>348</v>
      </c>
      <c r="M830" s="13" t="s">
        <v>2682</v>
      </c>
      <c r="N830" s="13" t="s">
        <v>264</v>
      </c>
      <c r="O830" s="13" t="s">
        <v>273</v>
      </c>
      <c r="P830" s="13" t="s">
        <v>273</v>
      </c>
      <c r="Q830" s="22">
        <v>0.1</v>
      </c>
      <c r="R830" s="23">
        <v>35509</v>
      </c>
      <c r="S830" s="21" t="s">
        <v>350</v>
      </c>
      <c r="T830" s="21"/>
      <c r="U830" s="21"/>
      <c r="V830" s="24"/>
      <c r="W830" s="24"/>
      <c r="X830" s="24" t="s">
        <v>462</v>
      </c>
      <c r="Y830" s="17" t="s">
        <v>460</v>
      </c>
      <c r="Z830" s="18">
        <f>ROUND(R830*'Data-CostAssumptions'!$C$8,-3)</f>
        <v>36000</v>
      </c>
      <c r="AA830" s="11">
        <f t="shared" si="25"/>
        <v>0</v>
      </c>
      <c r="AB830" s="11">
        <v>2041</v>
      </c>
      <c r="AC830" s="11">
        <v>2041</v>
      </c>
      <c r="AD830" s="11">
        <v>2041</v>
      </c>
      <c r="AE830" s="11">
        <v>2041</v>
      </c>
      <c r="AF830" s="11">
        <v>0</v>
      </c>
      <c r="AG830" s="19">
        <f>ROUND((Z830*'Data-CostAssumptions'!$G$5)*(1+'Data-CostAssumptions'!$G$3)^(AC830-'Data-CostAssumptions'!$G$4),-3)</f>
        <v>20000</v>
      </c>
      <c r="AH830" s="19">
        <f>ROUND((Z830)*(1+'Data-CostAssumptions'!$G$3)^(AE830-'Data-CostAssumptions'!$G$4),-3)</f>
        <v>92000</v>
      </c>
    </row>
    <row r="831" spans="1:34" ht="15" customHeight="1" x14ac:dyDescent="0.2">
      <c r="A831" s="11"/>
      <c r="B831" s="11" t="s">
        <v>1213</v>
      </c>
      <c r="C831" s="13">
        <v>248</v>
      </c>
      <c r="D831" s="13" t="s">
        <v>420</v>
      </c>
      <c r="E831" s="20">
        <v>261</v>
      </c>
      <c r="F831" s="20">
        <v>154</v>
      </c>
      <c r="G831" s="20">
        <v>830</v>
      </c>
      <c r="H831" s="13" t="s">
        <v>2740</v>
      </c>
      <c r="I831" s="13" t="str">
        <f t="shared" si="24"/>
        <v>SR 862/I-595 (Davie Rd to University Dr)</v>
      </c>
      <c r="J831" s="13" t="s">
        <v>27</v>
      </c>
      <c r="K831" s="13" t="str">
        <f>VLOOKUP(J831,'Data-ProjectTypes'!A$3:B$13,2,FALSE)</f>
        <v>Program</v>
      </c>
      <c r="L831" s="21" t="s">
        <v>348</v>
      </c>
      <c r="M831" s="13" t="s">
        <v>1845</v>
      </c>
      <c r="N831" s="13" t="s">
        <v>1804</v>
      </c>
      <c r="O831" s="13" t="s">
        <v>270</v>
      </c>
      <c r="P831" s="13" t="s">
        <v>270</v>
      </c>
      <c r="Q831" s="22">
        <v>1.5</v>
      </c>
      <c r="R831" s="23">
        <v>540303</v>
      </c>
      <c r="S831" s="21"/>
      <c r="T831" s="21"/>
      <c r="U831" s="21"/>
      <c r="V831" s="24"/>
      <c r="W831" s="24"/>
      <c r="X831" s="24"/>
      <c r="Y831" s="17"/>
      <c r="Z831" s="18">
        <f>ROUND(R831*'Data-CostAssumptions'!$C$8,-3)</f>
        <v>540000</v>
      </c>
      <c r="AA831" s="11">
        <f t="shared" si="25"/>
        <v>0</v>
      </c>
      <c r="AB831" s="11">
        <v>2041</v>
      </c>
      <c r="AC831" s="11">
        <v>2041</v>
      </c>
      <c r="AD831" s="11">
        <v>2041</v>
      </c>
      <c r="AE831" s="11">
        <v>2041</v>
      </c>
      <c r="AF831" s="11">
        <v>0</v>
      </c>
      <c r="AG831" s="19">
        <f>ROUND((Z831*'Data-CostAssumptions'!$G$5)*(1+'Data-CostAssumptions'!$G$3)^(AC831-'Data-CostAssumptions'!$G$4),-3)</f>
        <v>305000</v>
      </c>
      <c r="AH831" s="19">
        <f>ROUND((Z831)*(1+'Data-CostAssumptions'!$G$3)^(AE831-'Data-CostAssumptions'!$G$4),-3)</f>
        <v>1385000</v>
      </c>
    </row>
    <row r="832" spans="1:34" ht="15" customHeight="1" x14ac:dyDescent="0.2">
      <c r="A832" s="11"/>
      <c r="B832" s="11" t="s">
        <v>1213</v>
      </c>
      <c r="C832" s="13">
        <v>439</v>
      </c>
      <c r="D832" s="13" t="s">
        <v>420</v>
      </c>
      <c r="E832" s="20">
        <v>189</v>
      </c>
      <c r="F832" s="20">
        <v>166</v>
      </c>
      <c r="G832" s="20">
        <v>831</v>
      </c>
      <c r="H832" s="13" t="s">
        <v>2104</v>
      </c>
      <c r="I832" s="13" t="str">
        <f t="shared" si="24"/>
        <v>SW 148th Av (Sheridan St to Stirling Rd)</v>
      </c>
      <c r="J832" s="13" t="s">
        <v>27</v>
      </c>
      <c r="K832" s="13" t="str">
        <f>VLOOKUP(J832,'Data-ProjectTypes'!A$3:B$13,2,FALSE)</f>
        <v>Program</v>
      </c>
      <c r="L832" s="21" t="s">
        <v>348</v>
      </c>
      <c r="M832" s="13" t="s">
        <v>1951</v>
      </c>
      <c r="N832" s="13" t="s">
        <v>177</v>
      </c>
      <c r="O832" s="13" t="s">
        <v>279</v>
      </c>
      <c r="P832" s="13" t="s">
        <v>279</v>
      </c>
      <c r="Q832" s="22">
        <v>1</v>
      </c>
      <c r="R832" s="23">
        <v>358927</v>
      </c>
      <c r="S832" s="21" t="s">
        <v>350</v>
      </c>
      <c r="T832" s="21" t="s">
        <v>25</v>
      </c>
      <c r="U832" s="21"/>
      <c r="V832" s="24"/>
      <c r="W832" s="24"/>
      <c r="X832" s="24"/>
      <c r="Y832" s="17" t="s">
        <v>469</v>
      </c>
      <c r="Z832" s="18">
        <f>ROUND(R832*'Data-CostAssumptions'!$C$8,-3)</f>
        <v>359000</v>
      </c>
      <c r="AA832" s="11">
        <f t="shared" si="25"/>
        <v>0</v>
      </c>
      <c r="AB832" s="11">
        <v>2041</v>
      </c>
      <c r="AC832" s="11">
        <v>2041</v>
      </c>
      <c r="AD832" s="11">
        <v>2041</v>
      </c>
      <c r="AE832" s="11">
        <v>2041</v>
      </c>
      <c r="AF832" s="11">
        <v>0</v>
      </c>
      <c r="AG832" s="19">
        <f>ROUND((Z832*'Data-CostAssumptions'!$G$5)*(1+'Data-CostAssumptions'!$G$3)^(AC832-'Data-CostAssumptions'!$G$4),-3)</f>
        <v>203000</v>
      </c>
      <c r="AH832" s="19">
        <f>ROUND((Z832)*(1+'Data-CostAssumptions'!$G$3)^(AE832-'Data-CostAssumptions'!$G$4),-3)</f>
        <v>920000</v>
      </c>
    </row>
    <row r="833" spans="1:34" ht="15" customHeight="1" x14ac:dyDescent="0.2">
      <c r="A833" s="11"/>
      <c r="B833" s="11" t="s">
        <v>1213</v>
      </c>
      <c r="C833" s="13">
        <v>542</v>
      </c>
      <c r="D833" s="13" t="s">
        <v>420</v>
      </c>
      <c r="E833" s="20">
        <v>9</v>
      </c>
      <c r="F833" s="20">
        <v>171</v>
      </c>
      <c r="G833" s="20">
        <v>832</v>
      </c>
      <c r="H833" s="13" t="s">
        <v>2110</v>
      </c>
      <c r="I833" s="13" t="str">
        <f t="shared" si="24"/>
        <v>SW 172nd Av (Sheridan St to Griffin Rd)</v>
      </c>
      <c r="J833" s="13" t="s">
        <v>27</v>
      </c>
      <c r="K833" s="13" t="str">
        <f>VLOOKUP(J833,'Data-ProjectTypes'!A$3:B$13,2,FALSE)</f>
        <v>Program</v>
      </c>
      <c r="L833" s="21" t="s">
        <v>788</v>
      </c>
      <c r="M833" s="13" t="s">
        <v>1951</v>
      </c>
      <c r="N833" s="13" t="s">
        <v>1750</v>
      </c>
      <c r="O833" s="13" t="s">
        <v>294</v>
      </c>
      <c r="P833" s="13" t="s">
        <v>294</v>
      </c>
      <c r="Q833" s="22">
        <v>2.2000000000000002</v>
      </c>
      <c r="R833" s="23">
        <v>803916</v>
      </c>
      <c r="S833" s="21" t="s">
        <v>25</v>
      </c>
      <c r="T833" s="21" t="s">
        <v>25</v>
      </c>
      <c r="U833" s="21" t="s">
        <v>24</v>
      </c>
      <c r="V833" s="36" t="s">
        <v>3238</v>
      </c>
      <c r="W833" s="24"/>
      <c r="X833" s="24" t="s">
        <v>787</v>
      </c>
      <c r="Y833" s="17" t="s">
        <v>783</v>
      </c>
      <c r="Z833" s="18">
        <f>ROUND(R833*'Data-CostAssumptions'!$C$8,-3)</f>
        <v>804000</v>
      </c>
      <c r="AA833" s="11">
        <f t="shared" si="25"/>
        <v>1</v>
      </c>
      <c r="AB833" s="11">
        <v>2041</v>
      </c>
      <c r="AC833" s="11">
        <v>2041</v>
      </c>
      <c r="AD833" s="11">
        <v>2041</v>
      </c>
      <c r="AE833" s="11">
        <v>2041</v>
      </c>
      <c r="AF833" s="11">
        <v>0</v>
      </c>
      <c r="AG833" s="19">
        <f>ROUND((Z833*'Data-CostAssumptions'!$G$5)*(1+'Data-CostAssumptions'!$G$3)^(AC833-'Data-CostAssumptions'!$G$4),-3)</f>
        <v>454000</v>
      </c>
      <c r="AH833" s="19">
        <f>ROUND((Z833)*(1+'Data-CostAssumptions'!$G$3)^(AE833-'Data-CostAssumptions'!$G$4),-3)</f>
        <v>2061000</v>
      </c>
    </row>
    <row r="834" spans="1:34" ht="15" customHeight="1" x14ac:dyDescent="0.2">
      <c r="A834" s="11"/>
      <c r="B834" s="11" t="s">
        <v>1213</v>
      </c>
      <c r="C834" s="13">
        <v>623</v>
      </c>
      <c r="D834" s="13" t="s">
        <v>420</v>
      </c>
      <c r="E834" s="20">
        <v>211</v>
      </c>
      <c r="F834" s="20">
        <v>176</v>
      </c>
      <c r="G834" s="20">
        <v>833</v>
      </c>
      <c r="H834" s="13" t="s">
        <v>1959</v>
      </c>
      <c r="I834" s="13" t="str">
        <f t="shared" ref="I834:I897" si="26">IF(M834="@",H834&amp;" ("&amp;M834&amp;"  "&amp;N834&amp;")",H834&amp;" ("&amp;M834&amp;" to "&amp;N834&amp;")")</f>
        <v>SW 26th St (Just east of 139th Av to SW 148th Av)</v>
      </c>
      <c r="J834" s="13" t="s">
        <v>27</v>
      </c>
      <c r="K834" s="13" t="str">
        <f>VLOOKUP(J834,'Data-ProjectTypes'!A$3:B$13,2,FALSE)</f>
        <v>Program</v>
      </c>
      <c r="L834" s="21" t="s">
        <v>348</v>
      </c>
      <c r="M834" s="13" t="s">
        <v>2391</v>
      </c>
      <c r="N834" s="13" t="s">
        <v>2104</v>
      </c>
      <c r="O834" s="13" t="s">
        <v>279</v>
      </c>
      <c r="P834" s="13" t="s">
        <v>279</v>
      </c>
      <c r="Q834" s="22">
        <v>0.8</v>
      </c>
      <c r="R834" s="23">
        <v>291318</v>
      </c>
      <c r="S834" s="21" t="s">
        <v>350</v>
      </c>
      <c r="T834" s="21" t="s">
        <v>471</v>
      </c>
      <c r="U834" s="21"/>
      <c r="V834" s="24"/>
      <c r="W834" s="24"/>
      <c r="X834" s="24"/>
      <c r="Y834" s="17" t="s">
        <v>469</v>
      </c>
      <c r="Z834" s="18">
        <f>ROUND(R834*'Data-CostAssumptions'!$C$8,-3)</f>
        <v>291000</v>
      </c>
      <c r="AA834" s="11">
        <f t="shared" si="25"/>
        <v>0</v>
      </c>
      <c r="AB834" s="11">
        <v>2041</v>
      </c>
      <c r="AC834" s="11">
        <v>2041</v>
      </c>
      <c r="AD834" s="11">
        <v>2041</v>
      </c>
      <c r="AE834" s="11">
        <v>2041</v>
      </c>
      <c r="AF834" s="11">
        <v>0</v>
      </c>
      <c r="AG834" s="19">
        <f>ROUND((Z834*'Data-CostAssumptions'!$G$5)*(1+'Data-CostAssumptions'!$G$3)^(AC834-'Data-CostAssumptions'!$G$4),-3)</f>
        <v>164000</v>
      </c>
      <c r="AH834" s="19">
        <f>ROUND((Z834)*(1+'Data-CostAssumptions'!$G$3)^(AE834-'Data-CostAssumptions'!$G$4),-3)</f>
        <v>746000</v>
      </c>
    </row>
    <row r="835" spans="1:34" ht="15" customHeight="1" x14ac:dyDescent="0.2">
      <c r="A835" s="11"/>
      <c r="B835" s="11" t="s">
        <v>1213</v>
      </c>
      <c r="C835" s="13">
        <v>288</v>
      </c>
      <c r="D835" s="13" t="s">
        <v>420</v>
      </c>
      <c r="E835" s="20">
        <v>44</v>
      </c>
      <c r="F835" s="20">
        <v>156</v>
      </c>
      <c r="G835" s="20">
        <v>834</v>
      </c>
      <c r="H835" s="13" t="s">
        <v>2124</v>
      </c>
      <c r="I835" s="13" t="str">
        <f t="shared" si="26"/>
        <v>SW 40th Av (Stirling Rd to Griffin Rd)</v>
      </c>
      <c r="J835" s="13" t="s">
        <v>27</v>
      </c>
      <c r="K835" s="13" t="str">
        <f>VLOOKUP(J835,'Data-ProjectTypes'!A$3:B$13,2,FALSE)</f>
        <v>Program</v>
      </c>
      <c r="L835" s="21" t="s">
        <v>543</v>
      </c>
      <c r="M835" s="13" t="s">
        <v>177</v>
      </c>
      <c r="N835" s="13" t="s">
        <v>1750</v>
      </c>
      <c r="O835" s="13" t="s">
        <v>272</v>
      </c>
      <c r="P835" s="13" t="s">
        <v>272</v>
      </c>
      <c r="Q835" s="22">
        <v>1.1000000000000001</v>
      </c>
      <c r="R835" s="23">
        <v>399229</v>
      </c>
      <c r="S835" s="21" t="s">
        <v>25</v>
      </c>
      <c r="T835" s="21" t="s">
        <v>24</v>
      </c>
      <c r="U835" s="21"/>
      <c r="V835" s="24"/>
      <c r="W835" s="24" t="s">
        <v>545</v>
      </c>
      <c r="X835" s="28"/>
      <c r="Y835" s="17" t="s">
        <v>538</v>
      </c>
      <c r="Z835" s="18">
        <f>ROUND(R835*'Data-CostAssumptions'!$C$8,-3)</f>
        <v>399000</v>
      </c>
      <c r="AA835" s="11">
        <f t="shared" ref="AA835:AA898" si="27">IF(V835="",IF(W835="",0,1),1)</f>
        <v>1</v>
      </c>
      <c r="AB835" s="11">
        <v>2041</v>
      </c>
      <c r="AC835" s="11">
        <v>2041</v>
      </c>
      <c r="AD835" s="11">
        <v>2041</v>
      </c>
      <c r="AE835" s="11">
        <v>2041</v>
      </c>
      <c r="AF835" s="11">
        <v>0</v>
      </c>
      <c r="AG835" s="19">
        <f>ROUND((Z835*'Data-CostAssumptions'!$G$5)*(1+'Data-CostAssumptions'!$G$3)^(AC835-'Data-CostAssumptions'!$G$4),-3)</f>
        <v>225000</v>
      </c>
      <c r="AH835" s="19">
        <f>ROUND((Z835)*(1+'Data-CostAssumptions'!$G$3)^(AE835-'Data-CostAssumptions'!$G$4),-3)</f>
        <v>1023000</v>
      </c>
    </row>
    <row r="836" spans="1:34" ht="15" customHeight="1" x14ac:dyDescent="0.2">
      <c r="A836" s="11"/>
      <c r="B836" s="11" t="s">
        <v>1213</v>
      </c>
      <c r="C836" s="13">
        <v>437</v>
      </c>
      <c r="D836" s="13" t="s">
        <v>420</v>
      </c>
      <c r="E836" s="20">
        <v>175</v>
      </c>
      <c r="F836" s="20">
        <v>165</v>
      </c>
      <c r="G836" s="20">
        <v>835</v>
      </c>
      <c r="H836" s="13" t="s">
        <v>2003</v>
      </c>
      <c r="I836" s="13" t="str">
        <f t="shared" si="26"/>
        <v>SW Natura Bl (Tivoli Park Bl to Hillsboro Bl)</v>
      </c>
      <c r="J836" s="13" t="s">
        <v>27</v>
      </c>
      <c r="K836" s="13" t="str">
        <f>VLOOKUP(J836,'Data-ProjectTypes'!A$3:B$13,2,FALSE)</f>
        <v>Program</v>
      </c>
      <c r="L836" s="21" t="s">
        <v>348</v>
      </c>
      <c r="M836" s="13" t="s">
        <v>2333</v>
      </c>
      <c r="N836" s="13" t="s">
        <v>1819</v>
      </c>
      <c r="O836" s="13" t="s">
        <v>289</v>
      </c>
      <c r="P836" s="13" t="s">
        <v>289</v>
      </c>
      <c r="Q836" s="22">
        <v>0.8</v>
      </c>
      <c r="R836" s="23">
        <v>293049</v>
      </c>
      <c r="S836" s="21" t="s">
        <v>350</v>
      </c>
      <c r="T836" s="21"/>
      <c r="U836" s="21"/>
      <c r="V836" s="24"/>
      <c r="W836" s="24"/>
      <c r="X836" s="28" t="s">
        <v>494</v>
      </c>
      <c r="Y836" s="17" t="s">
        <v>492</v>
      </c>
      <c r="Z836" s="18">
        <f>ROUND(R836*'Data-CostAssumptions'!$C$8,-3)</f>
        <v>293000</v>
      </c>
      <c r="AA836" s="11">
        <f t="shared" si="27"/>
        <v>0</v>
      </c>
      <c r="AB836" s="11">
        <v>2041</v>
      </c>
      <c r="AC836" s="11">
        <v>2041</v>
      </c>
      <c r="AD836" s="11">
        <v>2041</v>
      </c>
      <c r="AE836" s="11">
        <v>2041</v>
      </c>
      <c r="AF836" s="11">
        <v>0</v>
      </c>
      <c r="AG836" s="19">
        <f>ROUND((Z836*'Data-CostAssumptions'!$G$5)*(1+'Data-CostAssumptions'!$G$3)^(AC836-'Data-CostAssumptions'!$G$4),-3)</f>
        <v>165000</v>
      </c>
      <c r="AH836" s="19">
        <f>ROUND((Z836)*(1+'Data-CostAssumptions'!$G$3)^(AE836-'Data-CostAssumptions'!$G$4),-3)</f>
        <v>751000</v>
      </c>
    </row>
    <row r="837" spans="1:34" ht="15" customHeight="1" x14ac:dyDescent="0.2">
      <c r="A837" s="11"/>
      <c r="B837" s="11" t="s">
        <v>1213</v>
      </c>
      <c r="C837" s="13">
        <v>302</v>
      </c>
      <c r="D837" s="13" t="s">
        <v>420</v>
      </c>
      <c r="E837" s="20">
        <v>191</v>
      </c>
      <c r="F837" s="20">
        <v>157</v>
      </c>
      <c r="G837" s="20">
        <v>836</v>
      </c>
      <c r="H837" s="13" t="s">
        <v>1779</v>
      </c>
      <c r="I837" s="13" t="str">
        <f t="shared" si="26"/>
        <v>Weston Rd (SW 66th St to Griffin Rd)</v>
      </c>
      <c r="J837" s="13" t="s">
        <v>27</v>
      </c>
      <c r="K837" s="13" t="str">
        <f>VLOOKUP(J837,'Data-ProjectTypes'!A$3:B$13,2,FALSE)</f>
        <v>Program</v>
      </c>
      <c r="L837" s="21" t="s">
        <v>348</v>
      </c>
      <c r="M837" s="13" t="s">
        <v>2592</v>
      </c>
      <c r="N837" s="13" t="s">
        <v>1750</v>
      </c>
      <c r="O837" s="13" t="s">
        <v>279</v>
      </c>
      <c r="P837" s="13" t="s">
        <v>279</v>
      </c>
      <c r="Q837" s="22">
        <v>1.8</v>
      </c>
      <c r="R837" s="23">
        <v>642032</v>
      </c>
      <c r="S837" s="21" t="s">
        <v>350</v>
      </c>
      <c r="T837" s="21" t="s">
        <v>25</v>
      </c>
      <c r="U837" s="21"/>
      <c r="V837" s="24"/>
      <c r="W837" s="24"/>
      <c r="X837" s="24"/>
      <c r="Y837" s="17" t="s">
        <v>469</v>
      </c>
      <c r="Z837" s="18">
        <f>ROUND(R837/1.384,-3)</f>
        <v>464000</v>
      </c>
      <c r="AA837" s="11">
        <f t="shared" si="27"/>
        <v>0</v>
      </c>
      <c r="AB837" s="11">
        <v>2041</v>
      </c>
      <c r="AC837" s="11">
        <v>2041</v>
      </c>
      <c r="AD837" s="11">
        <v>2041</v>
      </c>
      <c r="AE837" s="11">
        <v>2041</v>
      </c>
      <c r="AF837" s="11">
        <v>0</v>
      </c>
      <c r="AG837" s="19">
        <f>ROUND((Z837*'Data-CostAssumptions'!$G$5)*(1+'Data-CostAssumptions'!$G$3)^(AC837-'Data-CostAssumptions'!$G$4),-3)</f>
        <v>262000</v>
      </c>
      <c r="AH837" s="19">
        <f>ROUND((Z837)*(1+'Data-CostAssumptions'!$G$3)^(AE837-'Data-CostAssumptions'!$G$4),-3)</f>
        <v>1190000</v>
      </c>
    </row>
    <row r="838" spans="1:34" ht="15" customHeight="1" x14ac:dyDescent="0.2">
      <c r="A838" s="11"/>
      <c r="B838" s="11" t="s">
        <v>1213</v>
      </c>
      <c r="C838" s="13">
        <v>987</v>
      </c>
      <c r="D838" s="13" t="s">
        <v>420</v>
      </c>
      <c r="E838" s="20">
        <v>2</v>
      </c>
      <c r="F838" s="20">
        <v>198</v>
      </c>
      <c r="G838" s="20">
        <v>837</v>
      </c>
      <c r="H838" s="13" t="s">
        <v>2015</v>
      </c>
      <c r="I838" s="13" t="str">
        <f t="shared" si="26"/>
        <v>Andrews Av Extension (Copans Rd to NW 18th St)</v>
      </c>
      <c r="J838" s="13" t="s">
        <v>300</v>
      </c>
      <c r="K838" s="13" t="str">
        <f>VLOOKUP(J838,'Data-ProjectTypes'!A$3:B$13,2,FALSE)</f>
        <v>Project</v>
      </c>
      <c r="L838" s="21" t="s">
        <v>304</v>
      </c>
      <c r="M838" s="13" t="s">
        <v>1836</v>
      </c>
      <c r="N838" s="13" t="s">
        <v>2480</v>
      </c>
      <c r="O838" s="13" t="s">
        <v>275</v>
      </c>
      <c r="P838" s="13" t="s">
        <v>275</v>
      </c>
      <c r="Q838" s="22">
        <v>0.7</v>
      </c>
      <c r="R838" s="23">
        <v>6900000</v>
      </c>
      <c r="S838" s="21"/>
      <c r="T838" s="21"/>
      <c r="U838" s="21"/>
      <c r="V838" s="24"/>
      <c r="W838" s="24" t="s">
        <v>779</v>
      </c>
      <c r="X838" s="24"/>
      <c r="Y838" s="17" t="s">
        <v>2756</v>
      </c>
      <c r="Z838" s="49">
        <f>ROUND(R838*'Data-CostAssumptions'!$C$3,-3)</f>
        <v>9550000</v>
      </c>
      <c r="AA838" s="11">
        <f t="shared" si="27"/>
        <v>1</v>
      </c>
      <c r="AB838" s="11">
        <v>2041</v>
      </c>
      <c r="AC838" s="11">
        <v>2041</v>
      </c>
      <c r="AD838" s="11">
        <v>2041</v>
      </c>
      <c r="AE838" s="11">
        <v>2041</v>
      </c>
      <c r="AF838" s="11">
        <v>0</v>
      </c>
      <c r="AG838" s="19">
        <f>ROUND((Z838*'Data-CostAssumptions'!$G$5)*(1+'Data-CostAssumptions'!$G$3)^(AC838-'Data-CostAssumptions'!$G$4),-3)</f>
        <v>5387000</v>
      </c>
      <c r="AH838" s="19">
        <f>ROUND((Z838)*(1+'Data-CostAssumptions'!$G$3)^(AE838-'Data-CostAssumptions'!$G$4),-3)</f>
        <v>24486000</v>
      </c>
    </row>
    <row r="839" spans="1:34" ht="15" customHeight="1" x14ac:dyDescent="0.2">
      <c r="A839" s="11"/>
      <c r="B839" s="11" t="s">
        <v>1213</v>
      </c>
      <c r="C839" s="13">
        <v>1035</v>
      </c>
      <c r="D839" s="13" t="s">
        <v>420</v>
      </c>
      <c r="E839" s="20">
        <v>10</v>
      </c>
      <c r="F839" s="20">
        <v>204</v>
      </c>
      <c r="G839" s="20">
        <v>838</v>
      </c>
      <c r="H839" s="13" t="s">
        <v>1817</v>
      </c>
      <c r="I839" s="13" t="str">
        <f t="shared" si="26"/>
        <v>Eisenhower Bl ( to )</v>
      </c>
      <c r="J839" s="13" t="s">
        <v>300</v>
      </c>
      <c r="K839" s="13" t="str">
        <f>VLOOKUP(J839,'Data-ProjectTypes'!A$3:B$13,2,FALSE)</f>
        <v>Project</v>
      </c>
      <c r="L839" s="21" t="s">
        <v>326</v>
      </c>
      <c r="M839" s="13"/>
      <c r="N839" s="13"/>
      <c r="O839" s="13" t="s">
        <v>270</v>
      </c>
      <c r="P839" s="13" t="s">
        <v>270</v>
      </c>
      <c r="Q839" s="22"/>
      <c r="R839" s="23">
        <v>562754</v>
      </c>
      <c r="S839" s="21"/>
      <c r="T839" s="21"/>
      <c r="U839" s="21"/>
      <c r="V839" s="24"/>
      <c r="W839" s="24"/>
      <c r="X839" s="24"/>
      <c r="Y839" s="17" t="s">
        <v>2847</v>
      </c>
      <c r="Z839" s="18">
        <f>ROUND(R839*'Data-CostAssumptions'!$C$3,-3)</f>
        <v>779000</v>
      </c>
      <c r="AA839" s="11">
        <f t="shared" si="27"/>
        <v>0</v>
      </c>
      <c r="AB839" s="11">
        <v>2041</v>
      </c>
      <c r="AC839" s="11">
        <v>2041</v>
      </c>
      <c r="AD839" s="11">
        <v>2041</v>
      </c>
      <c r="AE839" s="11">
        <v>2041</v>
      </c>
      <c r="AF839" s="11">
        <v>0</v>
      </c>
      <c r="AG839" s="19">
        <f>ROUND((Z839*'Data-CostAssumptions'!$G$5)*(1+'Data-CostAssumptions'!$G$3)^(AC839-'Data-CostAssumptions'!$G$4),-3)</f>
        <v>439000</v>
      </c>
      <c r="AH839" s="19">
        <f>ROUND((Z839)*(1+'Data-CostAssumptions'!$G$3)^(AE839-'Data-CostAssumptions'!$G$4),-3)</f>
        <v>1997000</v>
      </c>
    </row>
    <row r="840" spans="1:34" ht="15" customHeight="1" x14ac:dyDescent="0.2">
      <c r="A840" s="11"/>
      <c r="B840" s="11" t="s">
        <v>1213</v>
      </c>
      <c r="C840" s="13">
        <v>1040</v>
      </c>
      <c r="D840" s="13" t="s">
        <v>420</v>
      </c>
      <c r="E840" s="20">
        <v>15</v>
      </c>
      <c r="F840" s="20">
        <v>205</v>
      </c>
      <c r="G840" s="20">
        <v>839</v>
      </c>
      <c r="H840" s="13" t="s">
        <v>1789</v>
      </c>
      <c r="I840" s="13" t="str">
        <f t="shared" si="26"/>
        <v>Eller Dr ( to Port Entrance)</v>
      </c>
      <c r="J840" s="13" t="s">
        <v>300</v>
      </c>
      <c r="K840" s="13" t="str">
        <f>VLOOKUP(J840,'Data-ProjectTypes'!A$3:B$13,2,FALSE)</f>
        <v>Project</v>
      </c>
      <c r="L840" s="21" t="s">
        <v>331</v>
      </c>
      <c r="M840" s="13"/>
      <c r="N840" s="13" t="s">
        <v>201</v>
      </c>
      <c r="O840" s="13" t="s">
        <v>270</v>
      </c>
      <c r="P840" s="13" t="s">
        <v>270</v>
      </c>
      <c r="Q840" s="22"/>
      <c r="R840" s="23">
        <v>562754</v>
      </c>
      <c r="S840" s="21" t="s">
        <v>350</v>
      </c>
      <c r="T840" s="21"/>
      <c r="U840" s="21"/>
      <c r="V840" s="24"/>
      <c r="W840" s="24" t="s">
        <v>580</v>
      </c>
      <c r="X840" s="24"/>
      <c r="Y840" s="17" t="s">
        <v>3018</v>
      </c>
      <c r="Z840" s="18">
        <f>ROUND(R840*'Data-CostAssumptions'!$C$3,-3)</f>
        <v>779000</v>
      </c>
      <c r="AA840" s="11">
        <f t="shared" si="27"/>
        <v>1</v>
      </c>
      <c r="AB840" s="11">
        <v>2041</v>
      </c>
      <c r="AC840" s="11">
        <v>2041</v>
      </c>
      <c r="AD840" s="11">
        <v>2041</v>
      </c>
      <c r="AE840" s="11">
        <v>2041</v>
      </c>
      <c r="AF840" s="11">
        <v>0</v>
      </c>
      <c r="AG840" s="19">
        <f>ROUND((Z840*'Data-CostAssumptions'!$G$5)*(1+'Data-CostAssumptions'!$G$3)^(AC840-'Data-CostAssumptions'!$G$4),-3)</f>
        <v>439000</v>
      </c>
      <c r="AH840" s="19">
        <f>ROUND((Z840)*(1+'Data-CostAssumptions'!$G$3)^(AE840-'Data-CostAssumptions'!$G$4),-3)</f>
        <v>1997000</v>
      </c>
    </row>
    <row r="841" spans="1:34" ht="15" customHeight="1" x14ac:dyDescent="0.2">
      <c r="A841" s="11"/>
      <c r="B841" s="11" t="s">
        <v>1213</v>
      </c>
      <c r="C841" s="13">
        <v>988</v>
      </c>
      <c r="D841" s="13" t="s">
        <v>420</v>
      </c>
      <c r="E841" s="20">
        <v>14</v>
      </c>
      <c r="F841" s="20">
        <v>198</v>
      </c>
      <c r="G841" s="20">
        <v>840</v>
      </c>
      <c r="H841" s="13" t="s">
        <v>2033</v>
      </c>
      <c r="I841" s="13" t="str">
        <f t="shared" si="26"/>
        <v>NE 3rd Av (Sample Rd to Copans Rd)</v>
      </c>
      <c r="J841" s="13" t="s">
        <v>300</v>
      </c>
      <c r="K841" s="13" t="str">
        <f>VLOOKUP(J841,'Data-ProjectTypes'!A$3:B$13,2,FALSE)</f>
        <v>Project</v>
      </c>
      <c r="L841" s="21" t="s">
        <v>304</v>
      </c>
      <c r="M841" s="13" t="s">
        <v>1864</v>
      </c>
      <c r="N841" s="13" t="s">
        <v>1836</v>
      </c>
      <c r="O841" s="13" t="s">
        <v>275</v>
      </c>
      <c r="P841" s="13" t="s">
        <v>275</v>
      </c>
      <c r="Q841" s="22">
        <v>1</v>
      </c>
      <c r="R841" s="23">
        <v>12860000</v>
      </c>
      <c r="S841" s="21" t="s">
        <v>25</v>
      </c>
      <c r="T841" s="21"/>
      <c r="U841" s="21"/>
      <c r="V841" s="24"/>
      <c r="W841" s="24"/>
      <c r="X841" s="24"/>
      <c r="Y841" s="17" t="s">
        <v>765</v>
      </c>
      <c r="Z841" s="18">
        <f>ROUND(R841*'Data-CostAssumptions'!$C$3,-3)</f>
        <v>17798000</v>
      </c>
      <c r="AA841" s="11">
        <f t="shared" si="27"/>
        <v>0</v>
      </c>
      <c r="AB841" s="11">
        <v>2041</v>
      </c>
      <c r="AC841" s="11">
        <v>2041</v>
      </c>
      <c r="AD841" s="11">
        <v>2041</v>
      </c>
      <c r="AE841" s="11">
        <v>2041</v>
      </c>
      <c r="AF841" s="11">
        <v>0</v>
      </c>
      <c r="AG841" s="19">
        <f>ROUND((Z841*'Data-CostAssumptions'!$G$5)*(1+'Data-CostAssumptions'!$G$3)^(AC841-'Data-CostAssumptions'!$G$4),-3)</f>
        <v>10039000</v>
      </c>
      <c r="AH841" s="19">
        <f>ROUND((Z841)*(1+'Data-CostAssumptions'!$G$3)^(AE841-'Data-CostAssumptions'!$G$4),-3)</f>
        <v>45633000</v>
      </c>
    </row>
    <row r="842" spans="1:34" ht="15" customHeight="1" x14ac:dyDescent="0.2">
      <c r="A842" s="11"/>
      <c r="B842" s="11" t="s">
        <v>1211</v>
      </c>
      <c r="C842" s="13">
        <v>958</v>
      </c>
      <c r="D842" s="13" t="s">
        <v>420</v>
      </c>
      <c r="E842" s="20">
        <v>31</v>
      </c>
      <c r="F842" s="20">
        <v>196</v>
      </c>
      <c r="G842" s="20">
        <v>841</v>
      </c>
      <c r="H842" s="13" t="s">
        <v>2787</v>
      </c>
      <c r="I842" s="13" t="str">
        <f t="shared" si="26"/>
        <v>SR 822/Sheridan St (US 1 to Dixie Hwy)</v>
      </c>
      <c r="J842" s="13" t="s">
        <v>300</v>
      </c>
      <c r="K842" s="13" t="str">
        <f>VLOOKUP(J842,'Data-ProjectTypes'!A$3:B$13,2,FALSE)</f>
        <v>Project</v>
      </c>
      <c r="L842" s="21" t="s">
        <v>179</v>
      </c>
      <c r="M842" s="13" t="s">
        <v>98</v>
      </c>
      <c r="N842" s="13" t="s">
        <v>728</v>
      </c>
      <c r="O842" s="13" t="s">
        <v>270</v>
      </c>
      <c r="P842" s="13" t="s">
        <v>270</v>
      </c>
      <c r="Q842" s="22">
        <v>0.4</v>
      </c>
      <c r="R842" s="23">
        <v>32392983.920483727</v>
      </c>
      <c r="S842" s="21" t="s">
        <v>24</v>
      </c>
      <c r="T842" s="21"/>
      <c r="U842" s="21"/>
      <c r="V842" s="24"/>
      <c r="W842" s="24" t="s">
        <v>577</v>
      </c>
      <c r="X842" s="24"/>
      <c r="Y842" s="17" t="s">
        <v>538</v>
      </c>
      <c r="Z842" s="18">
        <f>ROUND(R842*'Data-CostAssumptions'!$C$3,-3)</f>
        <v>44832000</v>
      </c>
      <c r="AA842" s="11">
        <f t="shared" si="27"/>
        <v>1</v>
      </c>
      <c r="AB842" s="11">
        <v>2041</v>
      </c>
      <c r="AC842" s="11">
        <v>2041</v>
      </c>
      <c r="AD842" s="11">
        <v>2041</v>
      </c>
      <c r="AE842" s="11">
        <v>2041</v>
      </c>
      <c r="AF842" s="11">
        <v>0</v>
      </c>
      <c r="AG842" s="19">
        <f>ROUND((Z842*'Data-CostAssumptions'!$G$5)*(1+'Data-CostAssumptions'!$G$3)^(AC842-'Data-CostAssumptions'!$G$4),-3)</f>
        <v>25288000</v>
      </c>
      <c r="AH842" s="19">
        <f>ROUND((Z842)*(1+'Data-CostAssumptions'!$G$3)^(AE842-'Data-CostAssumptions'!$G$4),-3)</f>
        <v>114947000</v>
      </c>
    </row>
    <row r="843" spans="1:34" ht="15" customHeight="1" x14ac:dyDescent="0.2">
      <c r="A843" s="11"/>
      <c r="B843" s="11" t="s">
        <v>1211</v>
      </c>
      <c r="C843" s="13">
        <v>959</v>
      </c>
      <c r="D843" s="13" t="s">
        <v>420</v>
      </c>
      <c r="E843" s="20">
        <v>20</v>
      </c>
      <c r="F843" s="20">
        <v>196</v>
      </c>
      <c r="G843" s="20">
        <v>842</v>
      </c>
      <c r="H843" s="13" t="s">
        <v>2710</v>
      </c>
      <c r="I843" s="13" t="str">
        <f t="shared" si="26"/>
        <v>SR 816/Oakland Park Bl (Powerline Rd to I-95)</v>
      </c>
      <c r="J843" s="13" t="s">
        <v>300</v>
      </c>
      <c r="K843" s="13" t="str">
        <f>VLOOKUP(J843,'Data-ProjectTypes'!A$3:B$13,2,FALSE)</f>
        <v>Project</v>
      </c>
      <c r="L843" s="21" t="s">
        <v>301</v>
      </c>
      <c r="M843" s="13" t="s">
        <v>1858</v>
      </c>
      <c r="N843" s="13" t="s">
        <v>41</v>
      </c>
      <c r="O843" s="13" t="s">
        <v>287</v>
      </c>
      <c r="P843" s="13" t="s">
        <v>287</v>
      </c>
      <c r="Q843" s="22">
        <v>0</v>
      </c>
      <c r="R843" s="23">
        <v>9446379.063187765</v>
      </c>
      <c r="S843" s="21"/>
      <c r="T843" s="21"/>
      <c r="U843" s="21"/>
      <c r="V843" s="24"/>
      <c r="W843" s="24" t="s">
        <v>712</v>
      </c>
      <c r="X843" s="29" t="s">
        <v>713</v>
      </c>
      <c r="Y843" s="17" t="s">
        <v>287</v>
      </c>
      <c r="Z843" s="18">
        <f>ROUND(R843*'Data-CostAssumptions'!$C$3,-3)</f>
        <v>13074000</v>
      </c>
      <c r="AA843" s="11">
        <f t="shared" si="27"/>
        <v>1</v>
      </c>
      <c r="AB843" s="11">
        <v>2041</v>
      </c>
      <c r="AC843" s="11">
        <v>2041</v>
      </c>
      <c r="AD843" s="11">
        <v>2041</v>
      </c>
      <c r="AE843" s="11">
        <v>2041</v>
      </c>
      <c r="AF843" s="11">
        <v>0</v>
      </c>
      <c r="AG843" s="19">
        <f>ROUND((Z843*'Data-CostAssumptions'!$G$5)*(1+'Data-CostAssumptions'!$G$3)^(AC843-'Data-CostAssumptions'!$G$4),-3)</f>
        <v>7375000</v>
      </c>
      <c r="AH843" s="19">
        <f>ROUND((Z843)*(1+'Data-CostAssumptions'!$G$3)^(AE843-'Data-CostAssumptions'!$G$4),-3)</f>
        <v>33521000</v>
      </c>
    </row>
    <row r="844" spans="1:34" ht="15" customHeight="1" x14ac:dyDescent="0.2">
      <c r="A844" s="11"/>
      <c r="B844" s="11" t="s">
        <v>1211</v>
      </c>
      <c r="C844" s="13">
        <v>960</v>
      </c>
      <c r="D844" s="13" t="s">
        <v>420</v>
      </c>
      <c r="E844" s="20">
        <v>34</v>
      </c>
      <c r="F844" s="20">
        <v>196</v>
      </c>
      <c r="G844" s="20">
        <v>843</v>
      </c>
      <c r="H844" s="13" t="s">
        <v>57</v>
      </c>
      <c r="I844" s="13" t="str">
        <f t="shared" si="26"/>
        <v>SR 7/US 441 (Stirling Rd to North of Fillmore St)</v>
      </c>
      <c r="J844" s="13" t="s">
        <v>300</v>
      </c>
      <c r="K844" s="13" t="str">
        <f>VLOOKUP(J844,'Data-ProjectTypes'!A$3:B$13,2,FALSE)</f>
        <v>Project</v>
      </c>
      <c r="L844" s="21" t="s">
        <v>179</v>
      </c>
      <c r="M844" s="13" t="s">
        <v>177</v>
      </c>
      <c r="N844" s="13" t="s">
        <v>178</v>
      </c>
      <c r="O844" s="13" t="s">
        <v>270</v>
      </c>
      <c r="P844" s="13" t="s">
        <v>270</v>
      </c>
      <c r="Q844" s="22">
        <v>2.4</v>
      </c>
      <c r="R844" s="23">
        <v>159335870.80949265</v>
      </c>
      <c r="S844" s="21" t="s">
        <v>24</v>
      </c>
      <c r="T844" s="21"/>
      <c r="U844" s="21"/>
      <c r="V844" s="24"/>
      <c r="W844" s="24" t="s">
        <v>577</v>
      </c>
      <c r="X844" s="24"/>
      <c r="Y844" s="17" t="s">
        <v>538</v>
      </c>
      <c r="Z844" s="18">
        <f>ROUND(R844*'Data-CostAssumptions'!$C$3,-3)</f>
        <v>220521000</v>
      </c>
      <c r="AA844" s="11">
        <f t="shared" si="27"/>
        <v>1</v>
      </c>
      <c r="AB844" s="11">
        <v>2041</v>
      </c>
      <c r="AC844" s="11">
        <v>2041</v>
      </c>
      <c r="AD844" s="11">
        <v>2041</v>
      </c>
      <c r="AE844" s="11">
        <v>2041</v>
      </c>
      <c r="AF844" s="11">
        <v>0</v>
      </c>
      <c r="AG844" s="19">
        <f>ROUND((Z844*'Data-CostAssumptions'!$G$5)*(1+'Data-CostAssumptions'!$G$3)^(AC844-'Data-CostAssumptions'!$G$4),-3)</f>
        <v>124389000</v>
      </c>
      <c r="AH844" s="19">
        <f>ROUND((Z844)*(1+'Data-CostAssumptions'!$G$3)^(AE844-'Data-CostAssumptions'!$G$4),-3)</f>
        <v>565405000</v>
      </c>
    </row>
    <row r="845" spans="1:34" ht="15" customHeight="1" x14ac:dyDescent="0.2">
      <c r="A845" s="11"/>
      <c r="B845" s="11" t="s">
        <v>1211</v>
      </c>
      <c r="C845" s="13">
        <v>961</v>
      </c>
      <c r="D845" s="13" t="s">
        <v>420</v>
      </c>
      <c r="E845" s="20">
        <v>36</v>
      </c>
      <c r="F845" s="20">
        <v>196</v>
      </c>
      <c r="G845" s="20">
        <v>844</v>
      </c>
      <c r="H845" s="13" t="s">
        <v>57</v>
      </c>
      <c r="I845" s="13" t="str">
        <f t="shared" si="26"/>
        <v>SR 7/US 441 (@  Hollywood Bl)</v>
      </c>
      <c r="J845" s="13" t="s">
        <v>300</v>
      </c>
      <c r="K845" s="13" t="str">
        <f>VLOOKUP(J845,'Data-ProjectTypes'!A$3:B$13,2,FALSE)</f>
        <v>Project</v>
      </c>
      <c r="L845" s="21" t="s">
        <v>301</v>
      </c>
      <c r="M845" s="13" t="s">
        <v>2835</v>
      </c>
      <c r="N845" s="13" t="s">
        <v>1820</v>
      </c>
      <c r="O845" s="13" t="s">
        <v>270</v>
      </c>
      <c r="P845" s="13" t="s">
        <v>270</v>
      </c>
      <c r="Q845" s="22">
        <v>0</v>
      </c>
      <c r="R845" s="23">
        <v>2403583.3956766413</v>
      </c>
      <c r="S845" s="21" t="s">
        <v>24</v>
      </c>
      <c r="T845" s="21"/>
      <c r="U845" s="21"/>
      <c r="V845" s="24"/>
      <c r="W845" s="24"/>
      <c r="X845" s="24"/>
      <c r="Y845" s="17" t="s">
        <v>538</v>
      </c>
      <c r="Z845" s="18">
        <f>ROUND(R845*'Data-CostAssumptions'!$C$3,-3)</f>
        <v>3327000</v>
      </c>
      <c r="AA845" s="11">
        <f t="shared" si="27"/>
        <v>0</v>
      </c>
      <c r="AB845" s="11">
        <v>2041</v>
      </c>
      <c r="AC845" s="11">
        <v>2041</v>
      </c>
      <c r="AD845" s="11">
        <v>2041</v>
      </c>
      <c r="AE845" s="11">
        <v>2041</v>
      </c>
      <c r="AF845" s="11">
        <v>0</v>
      </c>
      <c r="AG845" s="19">
        <f>ROUND((Z845*'Data-CostAssumptions'!$G$5)*(1+'Data-CostAssumptions'!$G$3)^(AC845-'Data-CostAssumptions'!$G$4),-3)</f>
        <v>1877000</v>
      </c>
      <c r="AH845" s="19">
        <f>ROUND((Z845)*(1+'Data-CostAssumptions'!$G$3)^(AE845-'Data-CostAssumptions'!$G$4),-3)</f>
        <v>8530000</v>
      </c>
    </row>
    <row r="846" spans="1:34" ht="15" customHeight="1" x14ac:dyDescent="0.2">
      <c r="A846" s="11"/>
      <c r="B846" s="11" t="s">
        <v>1211</v>
      </c>
      <c r="C846" s="13">
        <v>962</v>
      </c>
      <c r="D846" s="13" t="s">
        <v>420</v>
      </c>
      <c r="E846" s="20">
        <v>49</v>
      </c>
      <c r="F846" s="20">
        <v>196</v>
      </c>
      <c r="G846" s="20">
        <v>845</v>
      </c>
      <c r="H846" s="13" t="s">
        <v>1780</v>
      </c>
      <c r="I846" s="13" t="str">
        <f t="shared" si="26"/>
        <v>Wiles Rd (State Rd 7/US 441 to Rock Island Rd)</v>
      </c>
      <c r="J846" s="13" t="s">
        <v>300</v>
      </c>
      <c r="K846" s="13" t="str">
        <f>VLOOKUP(J846,'Data-ProjectTypes'!A$3:B$13,2,FALSE)</f>
        <v>Project</v>
      </c>
      <c r="L846" s="21" t="s">
        <v>179</v>
      </c>
      <c r="M846" s="13" t="s">
        <v>1773</v>
      </c>
      <c r="N846" s="13" t="s">
        <v>1768</v>
      </c>
      <c r="O846" s="13" t="s">
        <v>273</v>
      </c>
      <c r="P846" s="13" t="s">
        <v>273</v>
      </c>
      <c r="Q846" s="22">
        <v>1.3</v>
      </c>
      <c r="R846" s="23">
        <v>12715845.117665131</v>
      </c>
      <c r="S846" s="21" t="s">
        <v>350</v>
      </c>
      <c r="T846" s="21"/>
      <c r="U846" s="21"/>
      <c r="V846" s="24"/>
      <c r="W846" s="24"/>
      <c r="X846" s="24" t="s">
        <v>463</v>
      </c>
      <c r="Y846" s="17" t="s">
        <v>3017</v>
      </c>
      <c r="Z846" s="18">
        <f>ROUND(R846*'Data-CostAssumptions'!$C$3,-3)</f>
        <v>17599000</v>
      </c>
      <c r="AA846" s="11">
        <f t="shared" si="27"/>
        <v>0</v>
      </c>
      <c r="AB846" s="11">
        <v>2041</v>
      </c>
      <c r="AC846" s="11">
        <v>2041</v>
      </c>
      <c r="AD846" s="11">
        <v>2041</v>
      </c>
      <c r="AE846" s="11">
        <v>2041</v>
      </c>
      <c r="AF846" s="11">
        <v>0</v>
      </c>
      <c r="AG846" s="19">
        <f>ROUND((Z846*'Data-CostAssumptions'!$G$5)*(1+'Data-CostAssumptions'!$G$3)^(AC846-'Data-CostAssumptions'!$G$4),-3)</f>
        <v>9927000</v>
      </c>
      <c r="AH846" s="19">
        <f>ROUND((Z846)*(1+'Data-CostAssumptions'!$G$3)^(AE846-'Data-CostAssumptions'!$G$4),-3)</f>
        <v>45123000</v>
      </c>
    </row>
    <row r="847" spans="1:34" ht="15" customHeight="1" x14ac:dyDescent="0.2">
      <c r="A847" s="11"/>
      <c r="B847" s="11" t="s">
        <v>1211</v>
      </c>
      <c r="C847" s="13">
        <v>963</v>
      </c>
      <c r="D847" s="13" t="s">
        <v>420</v>
      </c>
      <c r="E847" s="20">
        <v>27</v>
      </c>
      <c r="F847" s="20">
        <v>196</v>
      </c>
      <c r="G847" s="20">
        <v>846</v>
      </c>
      <c r="H847" s="13" t="s">
        <v>2717</v>
      </c>
      <c r="I847" s="13" t="str">
        <f t="shared" si="26"/>
        <v>SR 820/Pines Bl (@  University Dr)</v>
      </c>
      <c r="J847" s="13" t="s">
        <v>300</v>
      </c>
      <c r="K847" s="13" t="str">
        <f>VLOOKUP(J847,'Data-ProjectTypes'!A$3:B$13,2,FALSE)</f>
        <v>Project</v>
      </c>
      <c r="L847" s="21" t="s">
        <v>301</v>
      </c>
      <c r="M847" s="13" t="s">
        <v>2835</v>
      </c>
      <c r="N847" s="13" t="s">
        <v>1804</v>
      </c>
      <c r="O847" s="13" t="s">
        <v>271</v>
      </c>
      <c r="P847" s="13" t="s">
        <v>271</v>
      </c>
      <c r="Q847" s="22">
        <v>0</v>
      </c>
      <c r="R847" s="23">
        <v>1109666.7711790476</v>
      </c>
      <c r="S847" s="21"/>
      <c r="T847" s="21"/>
      <c r="U847" s="21"/>
      <c r="V847" s="24"/>
      <c r="W847" s="24"/>
      <c r="X847" s="24"/>
      <c r="Y847" s="17"/>
      <c r="Z847" s="18">
        <f>ROUND(R847*'Data-CostAssumptions'!$C$3,-3)</f>
        <v>1536000</v>
      </c>
      <c r="AA847" s="11">
        <f t="shared" si="27"/>
        <v>0</v>
      </c>
      <c r="AB847" s="11">
        <v>2041</v>
      </c>
      <c r="AC847" s="11">
        <v>2041</v>
      </c>
      <c r="AD847" s="11">
        <v>2041</v>
      </c>
      <c r="AE847" s="11">
        <v>2041</v>
      </c>
      <c r="AF847" s="11">
        <v>0</v>
      </c>
      <c r="AG847" s="19">
        <f>ROUND((Z847*'Data-CostAssumptions'!$G$5)*(1+'Data-CostAssumptions'!$G$3)^(AC847-'Data-CostAssumptions'!$G$4),-3)</f>
        <v>866000</v>
      </c>
      <c r="AH847" s="19">
        <f>ROUND((Z847)*(1+'Data-CostAssumptions'!$G$3)^(AE847-'Data-CostAssumptions'!$G$4),-3)</f>
        <v>3938000</v>
      </c>
    </row>
    <row r="848" spans="1:34" ht="15" customHeight="1" x14ac:dyDescent="0.2">
      <c r="A848" s="11"/>
      <c r="B848" s="11" t="s">
        <v>1211</v>
      </c>
      <c r="C848" s="13">
        <v>964</v>
      </c>
      <c r="D848" s="13" t="s">
        <v>420</v>
      </c>
      <c r="E848" s="20">
        <v>28</v>
      </c>
      <c r="F848" s="20">
        <v>196</v>
      </c>
      <c r="G848" s="20">
        <v>847</v>
      </c>
      <c r="H848" s="13" t="s">
        <v>2799</v>
      </c>
      <c r="I848" s="13" t="str">
        <f t="shared" si="26"/>
        <v>SR 845/Powerline Rd (Palm Beach County Line to SW 10th St)</v>
      </c>
      <c r="J848" s="13" t="s">
        <v>300</v>
      </c>
      <c r="K848" s="13" t="str">
        <f>VLOOKUP(J848,'Data-ProjectTypes'!A$3:B$13,2,FALSE)</f>
        <v>Project</v>
      </c>
      <c r="L848" s="21" t="s">
        <v>179</v>
      </c>
      <c r="M848" s="13" t="s">
        <v>43</v>
      </c>
      <c r="N848" s="13" t="s">
        <v>1954</v>
      </c>
      <c r="O848" s="13" t="s">
        <v>270</v>
      </c>
      <c r="P848" s="13" t="s">
        <v>270</v>
      </c>
      <c r="Q848" s="22">
        <v>1.6</v>
      </c>
      <c r="R848" s="23">
        <v>25196887.320105366</v>
      </c>
      <c r="S848" s="21"/>
      <c r="T848" s="21"/>
      <c r="U848" s="21"/>
      <c r="V848" s="24"/>
      <c r="W848" s="24"/>
      <c r="X848" s="24"/>
      <c r="Y848" s="17"/>
      <c r="Z848" s="18">
        <f>ROUND(R848*'Data-CostAssumptions'!$C$3,-3)</f>
        <v>34872000</v>
      </c>
      <c r="AA848" s="11">
        <f t="shared" si="27"/>
        <v>0</v>
      </c>
      <c r="AB848" s="11">
        <v>2041</v>
      </c>
      <c r="AC848" s="11">
        <v>2041</v>
      </c>
      <c r="AD848" s="11">
        <v>2041</v>
      </c>
      <c r="AE848" s="11">
        <v>2041</v>
      </c>
      <c r="AF848" s="11">
        <v>0</v>
      </c>
      <c r="AG848" s="19">
        <f>ROUND((Z848*'Data-CostAssumptions'!$G$5)*(1+'Data-CostAssumptions'!$G$3)^(AC848-'Data-CostAssumptions'!$G$4),-3)</f>
        <v>19670000</v>
      </c>
      <c r="AH848" s="19">
        <f>ROUND((Z848)*(1+'Data-CostAssumptions'!$G$3)^(AE848-'Data-CostAssumptions'!$G$4),-3)</f>
        <v>89410000</v>
      </c>
    </row>
    <row r="849" spans="1:34" ht="15" customHeight="1" x14ac:dyDescent="0.2">
      <c r="A849" s="11"/>
      <c r="B849" s="11" t="s">
        <v>1211</v>
      </c>
      <c r="C849" s="13">
        <v>965</v>
      </c>
      <c r="D849" s="13" t="s">
        <v>420</v>
      </c>
      <c r="E849" s="20">
        <v>35</v>
      </c>
      <c r="F849" s="20">
        <v>196</v>
      </c>
      <c r="G849" s="20">
        <v>848</v>
      </c>
      <c r="H849" s="13" t="s">
        <v>57</v>
      </c>
      <c r="I849" s="13" t="str">
        <f t="shared" si="26"/>
        <v>SR 7/US 441 (@  Oakland Park Bl)</v>
      </c>
      <c r="J849" s="13" t="s">
        <v>300</v>
      </c>
      <c r="K849" s="13" t="str">
        <f>VLOOKUP(J849,'Data-ProjectTypes'!A$3:B$13,2,FALSE)</f>
        <v>Project</v>
      </c>
      <c r="L849" s="21" t="s">
        <v>301</v>
      </c>
      <c r="M849" s="13" t="s">
        <v>2835</v>
      </c>
      <c r="N849" s="13" t="s">
        <v>1825</v>
      </c>
      <c r="O849" s="13" t="s">
        <v>270</v>
      </c>
      <c r="P849" s="13" t="s">
        <v>270</v>
      </c>
      <c r="Q849" s="22">
        <v>0</v>
      </c>
      <c r="R849" s="23">
        <v>1041984.8452193954</v>
      </c>
      <c r="S849" s="21"/>
      <c r="T849" s="21"/>
      <c r="U849" s="21"/>
      <c r="V849" s="24"/>
      <c r="W849" s="24"/>
      <c r="X849" s="24"/>
      <c r="Y849" s="17"/>
      <c r="Z849" s="18">
        <f>ROUND(R849*'Data-CostAssumptions'!$C$3,-3)</f>
        <v>1442000</v>
      </c>
      <c r="AA849" s="11">
        <f t="shared" si="27"/>
        <v>0</v>
      </c>
      <c r="AB849" s="11">
        <v>2041</v>
      </c>
      <c r="AC849" s="11">
        <v>2041</v>
      </c>
      <c r="AD849" s="11">
        <v>2041</v>
      </c>
      <c r="AE849" s="11">
        <v>2041</v>
      </c>
      <c r="AF849" s="11">
        <v>0</v>
      </c>
      <c r="AG849" s="19">
        <f>ROUND((Z849*'Data-CostAssumptions'!$G$5)*(1+'Data-CostAssumptions'!$G$3)^(AC849-'Data-CostAssumptions'!$G$4),-3)</f>
        <v>813000</v>
      </c>
      <c r="AH849" s="19">
        <f>ROUND((Z849)*(1+'Data-CostAssumptions'!$G$3)^(AE849-'Data-CostAssumptions'!$G$4),-3)</f>
        <v>3697000</v>
      </c>
    </row>
    <row r="850" spans="1:34" ht="15" customHeight="1" x14ac:dyDescent="0.2">
      <c r="A850" s="11"/>
      <c r="B850" s="11" t="s">
        <v>1211</v>
      </c>
      <c r="C850" s="13">
        <v>967</v>
      </c>
      <c r="D850" s="13" t="s">
        <v>420</v>
      </c>
      <c r="E850" s="20">
        <v>16</v>
      </c>
      <c r="F850" s="20">
        <v>196</v>
      </c>
      <c r="G850" s="20">
        <v>849</v>
      </c>
      <c r="H850" s="13" t="s">
        <v>487</v>
      </c>
      <c r="I850" s="13" t="str">
        <f t="shared" si="26"/>
        <v>Nova Dr (Pine Island Rd to University Dr)</v>
      </c>
      <c r="J850" s="13" t="s">
        <v>300</v>
      </c>
      <c r="K850" s="13" t="str">
        <f>VLOOKUP(J850,'Data-ProjectTypes'!A$3:B$13,2,FALSE)</f>
        <v>Project</v>
      </c>
      <c r="L850" s="21" t="s">
        <v>303</v>
      </c>
      <c r="M850" s="13" t="s">
        <v>266</v>
      </c>
      <c r="N850" s="13" t="s">
        <v>1804</v>
      </c>
      <c r="O850" s="13" t="s">
        <v>273</v>
      </c>
      <c r="P850" s="13" t="s">
        <v>273</v>
      </c>
      <c r="Q850" s="22">
        <v>0.9</v>
      </c>
      <c r="R850" s="23">
        <v>2202204.6783047938</v>
      </c>
      <c r="S850" s="21" t="s">
        <v>24</v>
      </c>
      <c r="T850" s="21" t="s">
        <v>24</v>
      </c>
      <c r="U850" s="21"/>
      <c r="V850" s="24"/>
      <c r="W850" s="24"/>
      <c r="X850" s="24"/>
      <c r="Y850" s="17" t="s">
        <v>469</v>
      </c>
      <c r="Z850" s="18">
        <f>ROUND(R850*'Data-CostAssumptions'!$C$3,-3)</f>
        <v>3048000</v>
      </c>
      <c r="AA850" s="11">
        <f t="shared" si="27"/>
        <v>0</v>
      </c>
      <c r="AB850" s="11">
        <v>2041</v>
      </c>
      <c r="AC850" s="11">
        <v>2041</v>
      </c>
      <c r="AD850" s="11">
        <v>2041</v>
      </c>
      <c r="AE850" s="11">
        <v>2041</v>
      </c>
      <c r="AF850" s="11">
        <v>0</v>
      </c>
      <c r="AG850" s="19">
        <f>ROUND((Z850*'Data-CostAssumptions'!$G$5)*(1+'Data-CostAssumptions'!$G$3)^(AC850-'Data-CostAssumptions'!$G$4),-3)</f>
        <v>1719000</v>
      </c>
      <c r="AH850" s="19">
        <f>ROUND((Z850)*(1+'Data-CostAssumptions'!$G$3)^(AE850-'Data-CostAssumptions'!$G$4),-3)</f>
        <v>7815000</v>
      </c>
    </row>
    <row r="851" spans="1:34" ht="15" customHeight="1" x14ac:dyDescent="0.2">
      <c r="A851" s="11"/>
      <c r="B851" s="11" t="s">
        <v>1211</v>
      </c>
      <c r="C851" s="13">
        <v>968</v>
      </c>
      <c r="D851" s="13" t="s">
        <v>420</v>
      </c>
      <c r="E851" s="20">
        <v>26</v>
      </c>
      <c r="F851" s="20">
        <v>196</v>
      </c>
      <c r="G851" s="20">
        <v>850</v>
      </c>
      <c r="H851" s="13" t="s">
        <v>2717</v>
      </c>
      <c r="I851" s="13" t="str">
        <f t="shared" si="26"/>
        <v>SR 820/Pines Bl (@  Flamingo Rd)</v>
      </c>
      <c r="J851" s="13" t="s">
        <v>300</v>
      </c>
      <c r="K851" s="13" t="str">
        <f>VLOOKUP(J851,'Data-ProjectTypes'!A$3:B$13,2,FALSE)</f>
        <v>Project</v>
      </c>
      <c r="L851" s="21" t="s">
        <v>301</v>
      </c>
      <c r="M851" s="13" t="s">
        <v>2835</v>
      </c>
      <c r="N851" s="13" t="s">
        <v>159</v>
      </c>
      <c r="O851" s="13" t="s">
        <v>271</v>
      </c>
      <c r="P851" s="13" t="s">
        <v>271</v>
      </c>
      <c r="Q851" s="22">
        <v>0</v>
      </c>
      <c r="R851" s="23">
        <v>830000</v>
      </c>
      <c r="S851" s="21"/>
      <c r="T851" s="21"/>
      <c r="U851" s="21"/>
      <c r="V851" s="24"/>
      <c r="W851" s="24"/>
      <c r="X851" s="24"/>
      <c r="Y851" s="17"/>
      <c r="Z851" s="18">
        <f>ROUND(R851*'Data-CostAssumptions'!$C$3,-3)</f>
        <v>1149000</v>
      </c>
      <c r="AA851" s="11">
        <f t="shared" si="27"/>
        <v>0</v>
      </c>
      <c r="AB851" s="11">
        <v>2041</v>
      </c>
      <c r="AC851" s="11">
        <v>2041</v>
      </c>
      <c r="AD851" s="11">
        <v>2041</v>
      </c>
      <c r="AE851" s="11">
        <v>2041</v>
      </c>
      <c r="AF851" s="11">
        <v>0</v>
      </c>
      <c r="AG851" s="19">
        <f>ROUND((Z851*'Data-CostAssumptions'!$G$5)*(1+'Data-CostAssumptions'!$G$3)^(AC851-'Data-CostAssumptions'!$G$4),-3)</f>
        <v>648000</v>
      </c>
      <c r="AH851" s="19">
        <f>ROUND((Z851)*(1+'Data-CostAssumptions'!$G$3)^(AE851-'Data-CostAssumptions'!$G$4),-3)</f>
        <v>2946000</v>
      </c>
    </row>
    <row r="852" spans="1:34" ht="15" customHeight="1" x14ac:dyDescent="0.2">
      <c r="A852" s="11"/>
      <c r="B852" s="11" t="s">
        <v>1211</v>
      </c>
      <c r="C852" s="13">
        <v>969</v>
      </c>
      <c r="D852" s="13" t="s">
        <v>420</v>
      </c>
      <c r="E852" s="20">
        <v>37</v>
      </c>
      <c r="F852" s="20">
        <v>196</v>
      </c>
      <c r="G852" s="20">
        <v>851</v>
      </c>
      <c r="H852" s="13" t="s">
        <v>57</v>
      </c>
      <c r="I852" s="13" t="str">
        <f t="shared" si="26"/>
        <v>SR 7/US 441 (@  Atlantic Bl)</v>
      </c>
      <c r="J852" s="13" t="s">
        <v>300</v>
      </c>
      <c r="K852" s="13" t="str">
        <f>VLOOKUP(J852,'Data-ProjectTypes'!A$3:B$13,2,FALSE)</f>
        <v>Project</v>
      </c>
      <c r="L852" s="21" t="s">
        <v>301</v>
      </c>
      <c r="M852" s="13" t="s">
        <v>2835</v>
      </c>
      <c r="N852" s="13" t="s">
        <v>1809</v>
      </c>
      <c r="O852" s="13" t="s">
        <v>270</v>
      </c>
      <c r="P852" s="13" t="s">
        <v>270</v>
      </c>
      <c r="Q852" s="22">
        <v>0</v>
      </c>
      <c r="R852" s="23">
        <v>2532000</v>
      </c>
      <c r="S852" s="21"/>
      <c r="T852" s="21"/>
      <c r="U852" s="21"/>
      <c r="V852" s="24"/>
      <c r="W852" s="24"/>
      <c r="X852" s="24"/>
      <c r="Y852" s="17"/>
      <c r="Z852" s="18">
        <f>ROUND(R852*'Data-CostAssumptions'!$C$3,-3)</f>
        <v>3504000</v>
      </c>
      <c r="AA852" s="11">
        <f t="shared" si="27"/>
        <v>0</v>
      </c>
      <c r="AB852" s="11">
        <v>2041</v>
      </c>
      <c r="AC852" s="11">
        <v>2041</v>
      </c>
      <c r="AD852" s="11">
        <v>2041</v>
      </c>
      <c r="AE852" s="11">
        <v>2041</v>
      </c>
      <c r="AF852" s="11">
        <v>0</v>
      </c>
      <c r="AG852" s="19">
        <f>ROUND((Z852*'Data-CostAssumptions'!$G$5)*(1+'Data-CostAssumptions'!$G$3)^(AC852-'Data-CostAssumptions'!$G$4),-3)</f>
        <v>1976000</v>
      </c>
      <c r="AH852" s="19">
        <f>ROUND((Z852)*(1+'Data-CostAssumptions'!$G$3)^(AE852-'Data-CostAssumptions'!$G$4),-3)</f>
        <v>8984000</v>
      </c>
    </row>
    <row r="853" spans="1:34" ht="15" customHeight="1" x14ac:dyDescent="0.2">
      <c r="A853" s="11"/>
      <c r="B853" s="11" t="s">
        <v>1211</v>
      </c>
      <c r="C853" s="13">
        <v>970</v>
      </c>
      <c r="D853" s="13" t="s">
        <v>420</v>
      </c>
      <c r="E853" s="20">
        <v>40</v>
      </c>
      <c r="F853" s="20">
        <v>196</v>
      </c>
      <c r="G853" s="20">
        <v>852</v>
      </c>
      <c r="H853" s="13" t="s">
        <v>1954</v>
      </c>
      <c r="I853" s="13" t="str">
        <f t="shared" si="26"/>
        <v>SW 10th St (Military Trail to Powerline Rd)</v>
      </c>
      <c r="J853" s="13" t="s">
        <v>300</v>
      </c>
      <c r="K853" s="13" t="str">
        <f>VLOOKUP(J853,'Data-ProjectTypes'!A$3:B$13,2,FALSE)</f>
        <v>Project</v>
      </c>
      <c r="L853" s="21" t="s">
        <v>179</v>
      </c>
      <c r="M853" s="13" t="s">
        <v>113</v>
      </c>
      <c r="N853" s="13" t="s">
        <v>1858</v>
      </c>
      <c r="O853" s="13" t="s">
        <v>270</v>
      </c>
      <c r="P853" s="13" t="s">
        <v>270</v>
      </c>
      <c r="Q853" s="22">
        <v>1.4</v>
      </c>
      <c r="R853" s="23">
        <v>64014608.891715527</v>
      </c>
      <c r="S853" s="21"/>
      <c r="T853" s="21"/>
      <c r="U853" s="21"/>
      <c r="V853" s="24"/>
      <c r="W853" s="24"/>
      <c r="X853" s="24"/>
      <c r="Y853" s="17"/>
      <c r="Z853" s="18">
        <f>ROUND(R853*'Data-CostAssumptions'!$C$3,-3)</f>
        <v>88596000</v>
      </c>
      <c r="AA853" s="11">
        <f t="shared" si="27"/>
        <v>0</v>
      </c>
      <c r="AB853" s="11">
        <v>2041</v>
      </c>
      <c r="AC853" s="11">
        <v>2041</v>
      </c>
      <c r="AD853" s="11">
        <v>2041</v>
      </c>
      <c r="AE853" s="11">
        <v>2041</v>
      </c>
      <c r="AF853" s="11">
        <v>0</v>
      </c>
      <c r="AG853" s="19">
        <f>ROUND((Z853*'Data-CostAssumptions'!$G$5)*(1+'Data-CostAssumptions'!$G$3)^(AC853-'Data-CostAssumptions'!$G$4),-3)</f>
        <v>49974000</v>
      </c>
      <c r="AH853" s="19">
        <f>ROUND((Z853)*(1+'Data-CostAssumptions'!$G$3)^(AE853-'Data-CostAssumptions'!$G$4),-3)</f>
        <v>227156000</v>
      </c>
    </row>
    <row r="854" spans="1:34" ht="15" customHeight="1" x14ac:dyDescent="0.2">
      <c r="A854" s="11"/>
      <c r="B854" s="11" t="s">
        <v>1211</v>
      </c>
      <c r="C854" s="13">
        <v>971</v>
      </c>
      <c r="D854" s="13" t="s">
        <v>420</v>
      </c>
      <c r="E854" s="20">
        <v>17</v>
      </c>
      <c r="F854" s="20">
        <v>197</v>
      </c>
      <c r="G854" s="20">
        <v>853</v>
      </c>
      <c r="H854" s="13" t="s">
        <v>221</v>
      </c>
      <c r="I854" s="13" t="str">
        <f t="shared" si="26"/>
        <v>NW 7th/9th Connector (NW 6th Court to South of Sunrise Bl)</v>
      </c>
      <c r="J854" s="13" t="s">
        <v>300</v>
      </c>
      <c r="K854" s="13" t="str">
        <f>VLOOKUP(J854,'Data-ProjectTypes'!A$3:B$13,2,FALSE)</f>
        <v>Project</v>
      </c>
      <c r="L854" s="21" t="s">
        <v>304</v>
      </c>
      <c r="M854" s="13" t="s">
        <v>172</v>
      </c>
      <c r="N854" s="13" t="s">
        <v>2279</v>
      </c>
      <c r="O854" s="13" t="s">
        <v>276</v>
      </c>
      <c r="P854" s="13" t="s">
        <v>276</v>
      </c>
      <c r="Q854" s="22">
        <v>0.5</v>
      </c>
      <c r="R854" s="23">
        <v>29813010.183955085</v>
      </c>
      <c r="S854" s="21"/>
      <c r="T854" s="21"/>
      <c r="U854" s="21"/>
      <c r="V854" s="24"/>
      <c r="W854" s="24"/>
      <c r="X854" s="24"/>
      <c r="Y854" s="17"/>
      <c r="Z854" s="18">
        <f>ROUND(R854*'Data-CostAssumptions'!$C$3,-3)</f>
        <v>41261000</v>
      </c>
      <c r="AA854" s="11">
        <f t="shared" si="27"/>
        <v>0</v>
      </c>
      <c r="AB854" s="11">
        <v>2041</v>
      </c>
      <c r="AC854" s="11">
        <v>2041</v>
      </c>
      <c r="AD854" s="11">
        <v>2041</v>
      </c>
      <c r="AE854" s="11">
        <v>2041</v>
      </c>
      <c r="AF854" s="11">
        <v>0</v>
      </c>
      <c r="AG854" s="19">
        <f>ROUND((Z854*'Data-CostAssumptions'!$G$5)*(1+'Data-CostAssumptions'!$G$3)^(AC854-'Data-CostAssumptions'!$G$4),-3)</f>
        <v>23274000</v>
      </c>
      <c r="AH854" s="19">
        <f>ROUND((Z854)*(1+'Data-CostAssumptions'!$G$3)^(AE854-'Data-CostAssumptions'!$G$4),-3)</f>
        <v>105791000</v>
      </c>
    </row>
    <row r="855" spans="1:34" ht="15" customHeight="1" x14ac:dyDescent="0.2">
      <c r="A855" s="11"/>
      <c r="B855" s="11" t="s">
        <v>1211</v>
      </c>
      <c r="C855" s="13">
        <v>972</v>
      </c>
      <c r="D855" s="13" t="s">
        <v>420</v>
      </c>
      <c r="E855" s="20">
        <v>24</v>
      </c>
      <c r="F855" s="20">
        <v>197</v>
      </c>
      <c r="G855" s="20">
        <v>854</v>
      </c>
      <c r="H855" s="13" t="s">
        <v>2792</v>
      </c>
      <c r="I855" s="13" t="str">
        <f t="shared" si="26"/>
        <v>SR 827/Pembroke Rd (Douglas Rd to University Dr)</v>
      </c>
      <c r="J855" s="13" t="s">
        <v>300</v>
      </c>
      <c r="K855" s="13" t="str">
        <f>VLOOKUP(J855,'Data-ProjectTypes'!A$3:B$13,2,FALSE)</f>
        <v>Project</v>
      </c>
      <c r="L855" s="21" t="s">
        <v>179</v>
      </c>
      <c r="M855" s="13" t="s">
        <v>2425</v>
      </c>
      <c r="N855" s="13" t="s">
        <v>1804</v>
      </c>
      <c r="O855" s="13" t="s">
        <v>272</v>
      </c>
      <c r="P855" s="13" t="s">
        <v>272</v>
      </c>
      <c r="Q855" s="22">
        <v>1</v>
      </c>
      <c r="R855" s="23">
        <v>9813000</v>
      </c>
      <c r="S855" s="21" t="s">
        <v>24</v>
      </c>
      <c r="T855" s="21" t="s">
        <v>25</v>
      </c>
      <c r="U855" s="21" t="s">
        <v>25</v>
      </c>
      <c r="V855" s="24"/>
      <c r="W855" s="24"/>
      <c r="X855" s="24"/>
      <c r="Y855" s="17" t="s">
        <v>685</v>
      </c>
      <c r="Z855" s="18">
        <f>ROUND(R855*'Data-CostAssumptions'!$C$3,-3)</f>
        <v>13581000</v>
      </c>
      <c r="AA855" s="11">
        <f t="shared" si="27"/>
        <v>0</v>
      </c>
      <c r="AB855" s="11">
        <v>2041</v>
      </c>
      <c r="AC855" s="11">
        <v>2041</v>
      </c>
      <c r="AD855" s="11">
        <v>2041</v>
      </c>
      <c r="AE855" s="11">
        <v>2041</v>
      </c>
      <c r="AF855" s="11">
        <v>0</v>
      </c>
      <c r="AG855" s="19">
        <f>ROUND((Z855*'Data-CostAssumptions'!$G$5)*(1+'Data-CostAssumptions'!$G$3)^(AC855-'Data-CostAssumptions'!$G$4),-3)</f>
        <v>7661000</v>
      </c>
      <c r="AH855" s="19">
        <f>ROUND((Z855)*(1+'Data-CostAssumptions'!$G$3)^(AE855-'Data-CostAssumptions'!$G$4),-3)</f>
        <v>34821000</v>
      </c>
    </row>
    <row r="856" spans="1:34" ht="15" customHeight="1" x14ac:dyDescent="0.2">
      <c r="A856" s="11"/>
      <c r="B856" s="11" t="s">
        <v>1211</v>
      </c>
      <c r="C856" s="13">
        <v>973</v>
      </c>
      <c r="D856" s="13" t="s">
        <v>420</v>
      </c>
      <c r="E856" s="20">
        <v>30</v>
      </c>
      <c r="F856" s="20">
        <v>197</v>
      </c>
      <c r="G856" s="20">
        <v>855</v>
      </c>
      <c r="H856" s="13" t="s">
        <v>2793</v>
      </c>
      <c r="I856" s="13" t="str">
        <f t="shared" si="26"/>
        <v>SR 834/Sample Rd (@  Military Trail)</v>
      </c>
      <c r="J856" s="13" t="s">
        <v>300</v>
      </c>
      <c r="K856" s="13" t="str">
        <f>VLOOKUP(J856,'Data-ProjectTypes'!A$3:B$13,2,FALSE)</f>
        <v>Project</v>
      </c>
      <c r="L856" s="21" t="s">
        <v>301</v>
      </c>
      <c r="M856" s="13" t="s">
        <v>2835</v>
      </c>
      <c r="N856" s="13" t="s">
        <v>113</v>
      </c>
      <c r="O856" s="13" t="s">
        <v>275</v>
      </c>
      <c r="P856" s="13" t="s">
        <v>275</v>
      </c>
      <c r="Q856" s="22">
        <v>0</v>
      </c>
      <c r="R856" s="23">
        <v>830000</v>
      </c>
      <c r="S856" s="21"/>
      <c r="T856" s="21"/>
      <c r="U856" s="21"/>
      <c r="V856" s="24"/>
      <c r="W856" s="24"/>
      <c r="X856" s="24"/>
      <c r="Y856" s="17"/>
      <c r="Z856" s="18">
        <f>ROUND(R856*'Data-CostAssumptions'!$C$3,-3)</f>
        <v>1149000</v>
      </c>
      <c r="AA856" s="11">
        <f t="shared" si="27"/>
        <v>0</v>
      </c>
      <c r="AB856" s="11">
        <v>2041</v>
      </c>
      <c r="AC856" s="11">
        <v>2041</v>
      </c>
      <c r="AD856" s="11">
        <v>2041</v>
      </c>
      <c r="AE856" s="11">
        <v>2041</v>
      </c>
      <c r="AF856" s="11">
        <v>0</v>
      </c>
      <c r="AG856" s="19">
        <f>ROUND((Z856*'Data-CostAssumptions'!$G$5)*(1+'Data-CostAssumptions'!$G$3)^(AC856-'Data-CostAssumptions'!$G$4),-3)</f>
        <v>648000</v>
      </c>
      <c r="AH856" s="19">
        <f>ROUND((Z856)*(1+'Data-CostAssumptions'!$G$3)^(AE856-'Data-CostAssumptions'!$G$4),-3)</f>
        <v>2946000</v>
      </c>
    </row>
    <row r="857" spans="1:34" ht="15" customHeight="1" x14ac:dyDescent="0.2">
      <c r="A857" s="11"/>
      <c r="B857" s="11" t="s">
        <v>1211</v>
      </c>
      <c r="C857" s="13">
        <v>974</v>
      </c>
      <c r="D857" s="13" t="s">
        <v>420</v>
      </c>
      <c r="E857" s="20">
        <v>33</v>
      </c>
      <c r="F857" s="20">
        <v>197</v>
      </c>
      <c r="G857" s="20">
        <v>856</v>
      </c>
      <c r="H857" s="13" t="s">
        <v>110</v>
      </c>
      <c r="I857" s="13" t="str">
        <f t="shared" si="26"/>
        <v>SR A1A (Flamingo Dr to Oakland Park Bl)</v>
      </c>
      <c r="J857" s="13" t="s">
        <v>300</v>
      </c>
      <c r="K857" s="13" t="str">
        <f>VLOOKUP(J857,'Data-ProjectTypes'!A$3:B$13,2,FALSE)</f>
        <v>Project</v>
      </c>
      <c r="L857" s="21" t="s">
        <v>305</v>
      </c>
      <c r="M857" s="13" t="s">
        <v>2680</v>
      </c>
      <c r="N857" s="13" t="s">
        <v>1825</v>
      </c>
      <c r="O857" s="13" t="s">
        <v>272</v>
      </c>
      <c r="P857" s="13" t="s">
        <v>272</v>
      </c>
      <c r="Q857" s="22">
        <v>1.1000000000000001</v>
      </c>
      <c r="R857" s="23">
        <v>12300000</v>
      </c>
      <c r="S857" s="21"/>
      <c r="T857" s="21"/>
      <c r="U857" s="21"/>
      <c r="V857" s="24"/>
      <c r="W857" s="24"/>
      <c r="X857" s="24"/>
      <c r="Y857" s="17"/>
      <c r="Z857" s="18">
        <f>ROUND(R857*'Data-CostAssumptions'!$C$3,-3)</f>
        <v>17023000</v>
      </c>
      <c r="AA857" s="11">
        <f t="shared" si="27"/>
        <v>0</v>
      </c>
      <c r="AB857" s="11">
        <v>2041</v>
      </c>
      <c r="AC857" s="11">
        <v>2041</v>
      </c>
      <c r="AD857" s="11">
        <v>2041</v>
      </c>
      <c r="AE857" s="11">
        <v>2041</v>
      </c>
      <c r="AF857" s="11">
        <v>0</v>
      </c>
      <c r="AG857" s="19">
        <f>ROUND((Z857*'Data-CostAssumptions'!$G$5)*(1+'Data-CostAssumptions'!$G$3)^(AC857-'Data-CostAssumptions'!$G$4),-3)</f>
        <v>9602000</v>
      </c>
      <c r="AH857" s="19">
        <f>ROUND((Z857)*(1+'Data-CostAssumptions'!$G$3)^(AE857-'Data-CostAssumptions'!$G$4),-3)</f>
        <v>43646000</v>
      </c>
    </row>
    <row r="858" spans="1:34" ht="15" customHeight="1" x14ac:dyDescent="0.2">
      <c r="A858" s="11"/>
      <c r="B858" s="11" t="s">
        <v>1211</v>
      </c>
      <c r="C858" s="13">
        <v>975</v>
      </c>
      <c r="D858" s="13" t="s">
        <v>420</v>
      </c>
      <c r="E858" s="20">
        <v>48</v>
      </c>
      <c r="F858" s="20">
        <v>197</v>
      </c>
      <c r="G858" s="20">
        <v>857</v>
      </c>
      <c r="H858" s="13" t="s">
        <v>2709</v>
      </c>
      <c r="I858" s="13" t="str">
        <f t="shared" si="26"/>
        <v>SR 817/University Dr (Sawgrass Expressway to NW 40th St (Cardinal))</v>
      </c>
      <c r="J858" s="13" t="s">
        <v>300</v>
      </c>
      <c r="K858" s="13" t="str">
        <f>VLOOKUP(J858,'Data-ProjectTypes'!A$3:B$13,2,FALSE)</f>
        <v>Project</v>
      </c>
      <c r="L858" s="21" t="s">
        <v>179</v>
      </c>
      <c r="M858" s="13" t="s">
        <v>72</v>
      </c>
      <c r="N858" s="13" t="s">
        <v>2589</v>
      </c>
      <c r="O858" s="13" t="s">
        <v>272</v>
      </c>
      <c r="P858" s="13" t="s">
        <v>272</v>
      </c>
      <c r="Q858" s="22">
        <v>1.7</v>
      </c>
      <c r="R858" s="23">
        <v>17547018.528315876</v>
      </c>
      <c r="S858" s="21" t="s">
        <v>24</v>
      </c>
      <c r="T858" s="21"/>
      <c r="U858" s="21"/>
      <c r="V858" s="24"/>
      <c r="W858" s="24"/>
      <c r="X858" s="50" t="s">
        <v>747</v>
      </c>
      <c r="Y858" s="17" t="s">
        <v>742</v>
      </c>
      <c r="Z858" s="18">
        <f>ROUND(R858*'Data-CostAssumptions'!$C$3,-3)</f>
        <v>24285000</v>
      </c>
      <c r="AA858" s="11">
        <f t="shared" si="27"/>
        <v>0</v>
      </c>
      <c r="AB858" s="11">
        <v>2041</v>
      </c>
      <c r="AC858" s="11">
        <v>2041</v>
      </c>
      <c r="AD858" s="11">
        <v>2041</v>
      </c>
      <c r="AE858" s="11">
        <v>2041</v>
      </c>
      <c r="AF858" s="11">
        <v>0</v>
      </c>
      <c r="AG858" s="19">
        <f>ROUND((Z858*'Data-CostAssumptions'!$G$5)*(1+'Data-CostAssumptions'!$G$3)^(AC858-'Data-CostAssumptions'!$G$4),-3)</f>
        <v>13698000</v>
      </c>
      <c r="AH858" s="19">
        <f>ROUND((Z858)*(1+'Data-CostAssumptions'!$G$3)^(AE858-'Data-CostAssumptions'!$G$4),-3)</f>
        <v>62265000</v>
      </c>
    </row>
    <row r="859" spans="1:34" ht="15" customHeight="1" x14ac:dyDescent="0.2">
      <c r="A859" s="11"/>
      <c r="B859" s="11" t="s">
        <v>1211</v>
      </c>
      <c r="C859" s="13">
        <v>976</v>
      </c>
      <c r="D859" s="13" t="s">
        <v>420</v>
      </c>
      <c r="E859" s="20">
        <v>12</v>
      </c>
      <c r="F859" s="20">
        <v>197</v>
      </c>
      <c r="G859" s="20">
        <v>858</v>
      </c>
      <c r="H859" s="13" t="s">
        <v>2784</v>
      </c>
      <c r="I859" s="13" t="str">
        <f t="shared" si="26"/>
        <v>SR 818/Griffin Rd (Flamingo Rd to I-75)</v>
      </c>
      <c r="J859" s="13" t="s">
        <v>300</v>
      </c>
      <c r="K859" s="13" t="str">
        <f>VLOOKUP(J859,'Data-ProjectTypes'!A$3:B$13,2,FALSE)</f>
        <v>Project</v>
      </c>
      <c r="L859" s="21" t="s">
        <v>179</v>
      </c>
      <c r="M859" s="13" t="s">
        <v>159</v>
      </c>
      <c r="N859" s="13" t="s">
        <v>31</v>
      </c>
      <c r="O859" s="13" t="s">
        <v>273</v>
      </c>
      <c r="P859" s="13" t="s">
        <v>273</v>
      </c>
      <c r="Q859" s="22">
        <v>2.5</v>
      </c>
      <c r="R859" s="23">
        <v>20457485.105460431</v>
      </c>
      <c r="S859" s="21" t="s">
        <v>24</v>
      </c>
      <c r="T859" s="21"/>
      <c r="U859" s="21"/>
      <c r="V859" s="24"/>
      <c r="W859" s="24"/>
      <c r="X859" s="24"/>
      <c r="Y859" s="17" t="s">
        <v>469</v>
      </c>
      <c r="Z859" s="18">
        <f>ROUND(R859*'Data-CostAssumptions'!$C$3,-3)</f>
        <v>28313000</v>
      </c>
      <c r="AA859" s="11">
        <f t="shared" si="27"/>
        <v>0</v>
      </c>
      <c r="AB859" s="11">
        <v>2041</v>
      </c>
      <c r="AC859" s="11">
        <v>2041</v>
      </c>
      <c r="AD859" s="11">
        <v>2041</v>
      </c>
      <c r="AE859" s="11">
        <v>2041</v>
      </c>
      <c r="AF859" s="11">
        <v>0</v>
      </c>
      <c r="AG859" s="19">
        <f>ROUND((Z859*'Data-CostAssumptions'!$G$5)*(1+'Data-CostAssumptions'!$G$3)^(AC859-'Data-CostAssumptions'!$G$4),-3)</f>
        <v>15970000</v>
      </c>
      <c r="AH859" s="19">
        <f>ROUND((Z859)*(1+'Data-CostAssumptions'!$G$3)^(AE859-'Data-CostAssumptions'!$G$4),-3)</f>
        <v>72593000</v>
      </c>
    </row>
    <row r="860" spans="1:34" ht="15" customHeight="1" x14ac:dyDescent="0.2">
      <c r="A860" s="11"/>
      <c r="B860" s="11" t="s">
        <v>1211</v>
      </c>
      <c r="C860" s="13">
        <v>977</v>
      </c>
      <c r="D860" s="13" t="s">
        <v>420</v>
      </c>
      <c r="E860" s="20">
        <v>18</v>
      </c>
      <c r="F860" s="20">
        <v>197</v>
      </c>
      <c r="G860" s="20">
        <v>859</v>
      </c>
      <c r="H860" s="13" t="s">
        <v>2057</v>
      </c>
      <c r="I860" s="13" t="str">
        <f t="shared" si="26"/>
        <v>NW 21st Av (Commercial Bl to Oakland Park Bl)</v>
      </c>
      <c r="J860" s="13" t="s">
        <v>300</v>
      </c>
      <c r="K860" s="13" t="str">
        <f>VLOOKUP(J860,'Data-ProjectTypes'!A$3:B$13,2,FALSE)</f>
        <v>Project</v>
      </c>
      <c r="L860" s="21" t="s">
        <v>304</v>
      </c>
      <c r="M860" s="13" t="s">
        <v>1813</v>
      </c>
      <c r="N860" s="13" t="s">
        <v>1825</v>
      </c>
      <c r="O860" s="13" t="s">
        <v>273</v>
      </c>
      <c r="P860" s="13" t="s">
        <v>273</v>
      </c>
      <c r="Q860" s="22">
        <v>1.3</v>
      </c>
      <c r="R860" s="23">
        <v>15074168.051548667</v>
      </c>
      <c r="S860" s="21"/>
      <c r="T860" s="21"/>
      <c r="U860" s="21"/>
      <c r="V860" s="24"/>
      <c r="W860" s="24" t="s">
        <v>714</v>
      </c>
      <c r="X860" s="29" t="s">
        <v>304</v>
      </c>
      <c r="Y860" s="17" t="s">
        <v>538</v>
      </c>
      <c r="Z860" s="18">
        <f>ROUND(R860*'Data-CostAssumptions'!$C$3,-3)</f>
        <v>20863000</v>
      </c>
      <c r="AA860" s="11">
        <f t="shared" si="27"/>
        <v>1</v>
      </c>
      <c r="AB860" s="11">
        <v>2041</v>
      </c>
      <c r="AC860" s="11">
        <v>2041</v>
      </c>
      <c r="AD860" s="11">
        <v>2041</v>
      </c>
      <c r="AE860" s="11">
        <v>2041</v>
      </c>
      <c r="AF860" s="11">
        <v>0</v>
      </c>
      <c r="AG860" s="19">
        <f>ROUND((Z860*'Data-CostAssumptions'!$G$5)*(1+'Data-CostAssumptions'!$G$3)^(AC860-'Data-CostAssumptions'!$G$4),-3)</f>
        <v>11768000</v>
      </c>
      <c r="AH860" s="19">
        <f>ROUND((Z860)*(1+'Data-CostAssumptions'!$G$3)^(AE860-'Data-CostAssumptions'!$G$4),-3)</f>
        <v>53492000</v>
      </c>
    </row>
    <row r="861" spans="1:34" ht="15" customHeight="1" x14ac:dyDescent="0.2">
      <c r="A861" s="11"/>
      <c r="B861" s="11" t="s">
        <v>1211</v>
      </c>
      <c r="C861" s="13">
        <v>978</v>
      </c>
      <c r="D861" s="13" t="s">
        <v>420</v>
      </c>
      <c r="E861" s="20">
        <v>23</v>
      </c>
      <c r="F861" s="20">
        <v>197</v>
      </c>
      <c r="G861" s="20">
        <v>860</v>
      </c>
      <c r="H861" s="13" t="s">
        <v>2792</v>
      </c>
      <c r="I861" s="13" t="str">
        <f t="shared" si="26"/>
        <v>SR 827/Pembroke Rd (State Rd 7/US 441 to West of Florida's Turnpike)</v>
      </c>
      <c r="J861" s="13" t="s">
        <v>300</v>
      </c>
      <c r="K861" s="13" t="str">
        <f>VLOOKUP(J861,'Data-ProjectTypes'!A$3:B$13,2,FALSE)</f>
        <v>Project</v>
      </c>
      <c r="L861" s="21" t="s">
        <v>302</v>
      </c>
      <c r="M861" s="13" t="s">
        <v>1773</v>
      </c>
      <c r="N861" s="13" t="s">
        <v>40</v>
      </c>
      <c r="O861" s="13" t="s">
        <v>270</v>
      </c>
      <c r="P861" s="13" t="s">
        <v>270</v>
      </c>
      <c r="Q861" s="22">
        <v>1.4</v>
      </c>
      <c r="R861" s="23">
        <v>5098334.2584478483</v>
      </c>
      <c r="S861" s="21" t="s">
        <v>1122</v>
      </c>
      <c r="T861" s="21" t="s">
        <v>1128</v>
      </c>
      <c r="U861" s="21" t="s">
        <v>1128</v>
      </c>
      <c r="V861" s="24"/>
      <c r="W861" s="24" t="s">
        <v>1108</v>
      </c>
      <c r="X861" s="24" t="s">
        <v>1127</v>
      </c>
      <c r="Y861" s="17" t="s">
        <v>1110</v>
      </c>
      <c r="Z861" s="18">
        <f>ROUND(R861*'Data-CostAssumptions'!$C$3,-3)</f>
        <v>7056000</v>
      </c>
      <c r="AA861" s="11">
        <f t="shared" si="27"/>
        <v>1</v>
      </c>
      <c r="AB861" s="11">
        <v>2041</v>
      </c>
      <c r="AC861" s="11">
        <v>2041</v>
      </c>
      <c r="AD861" s="11">
        <v>2041</v>
      </c>
      <c r="AE861" s="11">
        <v>2041</v>
      </c>
      <c r="AF861" s="11">
        <v>0</v>
      </c>
      <c r="AG861" s="19">
        <f>ROUND((Z861*'Data-CostAssumptions'!$G$5)*(1+'Data-CostAssumptions'!$G$3)^(AC861-'Data-CostAssumptions'!$G$4),-3)</f>
        <v>3980000</v>
      </c>
      <c r="AH861" s="19">
        <f>ROUND((Z861)*(1+'Data-CostAssumptions'!$G$3)^(AE861-'Data-CostAssumptions'!$G$4),-3)</f>
        <v>18091000</v>
      </c>
    </row>
    <row r="862" spans="1:34" ht="15" customHeight="1" x14ac:dyDescent="0.2">
      <c r="A862" s="11"/>
      <c r="B862" s="11" t="s">
        <v>1211</v>
      </c>
      <c r="C862" s="13">
        <v>979</v>
      </c>
      <c r="D862" s="13" t="s">
        <v>420</v>
      </c>
      <c r="E862" s="20">
        <v>29</v>
      </c>
      <c r="F862" s="20">
        <v>197</v>
      </c>
      <c r="G862" s="20">
        <v>861</v>
      </c>
      <c r="H862" s="13" t="s">
        <v>1765</v>
      </c>
      <c r="I862" s="13" t="str">
        <f t="shared" si="26"/>
        <v>Ravenswood Rd (SW 42nd St to Griffin Rd)</v>
      </c>
      <c r="J862" s="13" t="s">
        <v>300</v>
      </c>
      <c r="K862" s="13" t="str">
        <f>VLOOKUP(J862,'Data-ProjectTypes'!A$3:B$13,2,FALSE)</f>
        <v>Project</v>
      </c>
      <c r="L862" s="21" t="s">
        <v>304</v>
      </c>
      <c r="M862" s="13" t="s">
        <v>2556</v>
      </c>
      <c r="N862" s="13" t="s">
        <v>1750</v>
      </c>
      <c r="O862" s="13" t="s">
        <v>273</v>
      </c>
      <c r="P862" s="13" t="s">
        <v>273</v>
      </c>
      <c r="Q862" s="22">
        <v>1</v>
      </c>
      <c r="R862" s="23">
        <v>14342124.260031871</v>
      </c>
      <c r="S862" s="21"/>
      <c r="T862" s="21"/>
      <c r="U862" s="21"/>
      <c r="V862" s="24"/>
      <c r="W862" s="24"/>
      <c r="X862" s="34" t="s">
        <v>1173</v>
      </c>
      <c r="Y862" s="17" t="s">
        <v>1171</v>
      </c>
      <c r="Z862" s="18">
        <f>ROUND(R862*'Data-CostAssumptions'!$C$3,-3)</f>
        <v>19849000</v>
      </c>
      <c r="AA862" s="11">
        <f t="shared" si="27"/>
        <v>0</v>
      </c>
      <c r="AB862" s="11">
        <v>2041</v>
      </c>
      <c r="AC862" s="11">
        <v>2041</v>
      </c>
      <c r="AD862" s="11">
        <v>2041</v>
      </c>
      <c r="AE862" s="11">
        <v>2041</v>
      </c>
      <c r="AF862" s="11">
        <v>0</v>
      </c>
      <c r="AG862" s="19">
        <f>ROUND((Z862*'Data-CostAssumptions'!$G$5)*(1+'Data-CostAssumptions'!$G$3)^(AC862-'Data-CostAssumptions'!$G$4),-3)</f>
        <v>11196000</v>
      </c>
      <c r="AH862" s="19">
        <f>ROUND((Z862)*(1+'Data-CostAssumptions'!$G$3)^(AE862-'Data-CostAssumptions'!$G$4),-3)</f>
        <v>50892000</v>
      </c>
    </row>
    <row r="863" spans="1:34" ht="15" customHeight="1" x14ac:dyDescent="0.2">
      <c r="A863" s="11"/>
      <c r="B863" s="11" t="s">
        <v>1211</v>
      </c>
      <c r="C863" s="13">
        <v>980</v>
      </c>
      <c r="D863" s="13" t="s">
        <v>420</v>
      </c>
      <c r="E863" s="20">
        <v>11</v>
      </c>
      <c r="F863" s="20">
        <v>197</v>
      </c>
      <c r="G863" s="20">
        <v>862</v>
      </c>
      <c r="H863" s="13" t="s">
        <v>2838</v>
      </c>
      <c r="I863" s="13" t="str">
        <f t="shared" si="26"/>
        <v>Davie Rd Ext. (SW 72nd Av to East of University Dr)</v>
      </c>
      <c r="J863" s="13" t="s">
        <v>300</v>
      </c>
      <c r="K863" s="13" t="str">
        <f>VLOOKUP(J863,'Data-ProjectTypes'!A$3:B$13,2,FALSE)</f>
        <v>Project</v>
      </c>
      <c r="L863" s="21" t="s">
        <v>303</v>
      </c>
      <c r="M863" s="13" t="s">
        <v>2133</v>
      </c>
      <c r="N863" s="13" t="s">
        <v>2651</v>
      </c>
      <c r="O863" s="13" t="s">
        <v>273</v>
      </c>
      <c r="P863" s="13" t="s">
        <v>273</v>
      </c>
      <c r="Q863" s="22">
        <v>0.9</v>
      </c>
      <c r="R863" s="23">
        <v>8396490.7308588903</v>
      </c>
      <c r="S863" s="21" t="s">
        <v>24</v>
      </c>
      <c r="T863" s="21"/>
      <c r="U863" s="21"/>
      <c r="V863" s="24"/>
      <c r="W863" s="24" t="s">
        <v>578</v>
      </c>
      <c r="X863" s="24" t="s">
        <v>579</v>
      </c>
      <c r="Y863" s="17" t="s">
        <v>547</v>
      </c>
      <c r="Z863" s="18">
        <f>ROUND(R863*'Data-CostAssumptions'!$C$3,-3)</f>
        <v>11621000</v>
      </c>
      <c r="AA863" s="11">
        <f t="shared" si="27"/>
        <v>1</v>
      </c>
      <c r="AB863" s="11">
        <v>2041</v>
      </c>
      <c r="AC863" s="11">
        <v>2041</v>
      </c>
      <c r="AD863" s="11">
        <v>2041</v>
      </c>
      <c r="AE863" s="11">
        <v>2041</v>
      </c>
      <c r="AF863" s="11">
        <v>0</v>
      </c>
      <c r="AG863" s="19">
        <f>ROUND((Z863*'Data-CostAssumptions'!$G$5)*(1+'Data-CostAssumptions'!$G$3)^(AC863-'Data-CostAssumptions'!$G$4),-3)</f>
        <v>6555000</v>
      </c>
      <c r="AH863" s="19">
        <f>ROUND((Z863)*(1+'Data-CostAssumptions'!$G$3)^(AE863-'Data-CostAssumptions'!$G$4),-3)</f>
        <v>29796000</v>
      </c>
    </row>
    <row r="864" spans="1:34" ht="15" customHeight="1" x14ac:dyDescent="0.2">
      <c r="A864" s="11"/>
      <c r="B864" s="11" t="s">
        <v>1211</v>
      </c>
      <c r="C864" s="13">
        <v>981</v>
      </c>
      <c r="D864" s="13" t="s">
        <v>420</v>
      </c>
      <c r="E864" s="20">
        <v>32</v>
      </c>
      <c r="F864" s="20">
        <v>197</v>
      </c>
      <c r="G864" s="20">
        <v>863</v>
      </c>
      <c r="H864" s="13" t="s">
        <v>1951</v>
      </c>
      <c r="I864" s="13" t="str">
        <f t="shared" si="26"/>
        <v>Sheridan St (Douglas Rd to SW 148th Av)</v>
      </c>
      <c r="J864" s="13" t="s">
        <v>300</v>
      </c>
      <c r="K864" s="13" t="str">
        <f>VLOOKUP(J864,'Data-ProjectTypes'!A$3:B$13,2,FALSE)</f>
        <v>Project</v>
      </c>
      <c r="L864" s="21" t="s">
        <v>179</v>
      </c>
      <c r="M864" s="13" t="s">
        <v>2425</v>
      </c>
      <c r="N864" s="13" t="s">
        <v>2104</v>
      </c>
      <c r="O864" s="13" t="s">
        <v>272</v>
      </c>
      <c r="P864" s="13" t="s">
        <v>272</v>
      </c>
      <c r="Q864" s="22">
        <v>5</v>
      </c>
      <c r="R864" s="23">
        <v>42345000</v>
      </c>
      <c r="S864" s="21"/>
      <c r="T864" s="21"/>
      <c r="U864" s="21"/>
      <c r="V864" s="24"/>
      <c r="W864" s="24"/>
      <c r="X864" s="24"/>
      <c r="Y864" s="17"/>
      <c r="Z864" s="18">
        <f>ROUND(R864*'Data-CostAssumptions'!$C$3,-3)</f>
        <v>58605000</v>
      </c>
      <c r="AA864" s="11">
        <f t="shared" si="27"/>
        <v>0</v>
      </c>
      <c r="AB864" s="11">
        <v>2041</v>
      </c>
      <c r="AC864" s="11">
        <v>2041</v>
      </c>
      <c r="AD864" s="11">
        <v>2041</v>
      </c>
      <c r="AE864" s="11">
        <v>2041</v>
      </c>
      <c r="AF864" s="11">
        <v>0</v>
      </c>
      <c r="AG864" s="19">
        <f>ROUND((Z864*'Data-CostAssumptions'!$G$5)*(1+'Data-CostAssumptions'!$G$3)^(AC864-'Data-CostAssumptions'!$G$4),-3)</f>
        <v>33057000</v>
      </c>
      <c r="AH864" s="19">
        <f>ROUND((Z864)*(1+'Data-CostAssumptions'!$G$3)^(AE864-'Data-CostAssumptions'!$G$4),-3)</f>
        <v>150260000</v>
      </c>
    </row>
    <row r="865" spans="1:34" ht="15" customHeight="1" x14ac:dyDescent="0.2">
      <c r="A865" s="11"/>
      <c r="B865" s="11" t="s">
        <v>1211</v>
      </c>
      <c r="C865" s="13">
        <v>982</v>
      </c>
      <c r="D865" s="13" t="s">
        <v>420</v>
      </c>
      <c r="E865" s="20">
        <v>47</v>
      </c>
      <c r="F865" s="20">
        <v>197</v>
      </c>
      <c r="G865" s="20">
        <v>864</v>
      </c>
      <c r="H865" s="13" t="s">
        <v>2709</v>
      </c>
      <c r="I865" s="13" t="str">
        <f t="shared" si="26"/>
        <v>SR 817/University Dr (County Line Rd to Holmberg Rd)</v>
      </c>
      <c r="J865" s="13" t="s">
        <v>300</v>
      </c>
      <c r="K865" s="13" t="str">
        <f>VLOOKUP(J865,'Data-ProjectTypes'!A$3:B$13,2,FALSE)</f>
        <v>Project</v>
      </c>
      <c r="L865" s="21" t="s">
        <v>304</v>
      </c>
      <c r="M865" s="13" t="s">
        <v>1839</v>
      </c>
      <c r="N865" s="13" t="s">
        <v>2404</v>
      </c>
      <c r="O865" s="13" t="s">
        <v>272</v>
      </c>
      <c r="P865" s="13" t="s">
        <v>272</v>
      </c>
      <c r="Q865" s="22">
        <v>1.5</v>
      </c>
      <c r="R865" s="23">
        <v>13746000</v>
      </c>
      <c r="S865" s="21" t="s">
        <v>24</v>
      </c>
      <c r="T865" s="21" t="s">
        <v>25</v>
      </c>
      <c r="U865" s="21" t="s">
        <v>25</v>
      </c>
      <c r="V865" s="24"/>
      <c r="W865" s="31" t="s">
        <v>749</v>
      </c>
      <c r="X865" s="31" t="s">
        <v>748</v>
      </c>
      <c r="Y865" s="17" t="s">
        <v>735</v>
      </c>
      <c r="Z865" s="18">
        <f>ROUND(R865*'Data-CostAssumptions'!$C$3,-3)</f>
        <v>19024000</v>
      </c>
      <c r="AA865" s="11">
        <f t="shared" si="27"/>
        <v>1</v>
      </c>
      <c r="AB865" s="11">
        <v>2041</v>
      </c>
      <c r="AC865" s="11">
        <v>2041</v>
      </c>
      <c r="AD865" s="11">
        <v>2041</v>
      </c>
      <c r="AE865" s="11">
        <v>2041</v>
      </c>
      <c r="AF865" s="11">
        <v>0</v>
      </c>
      <c r="AG865" s="19">
        <f>ROUND((Z865*'Data-CostAssumptions'!$G$5)*(1+'Data-CostAssumptions'!$G$3)^(AC865-'Data-CostAssumptions'!$G$4),-3)</f>
        <v>10731000</v>
      </c>
      <c r="AH865" s="19">
        <f>ROUND((Z865)*(1+'Data-CostAssumptions'!$G$3)^(AE865-'Data-CostAssumptions'!$G$4),-3)</f>
        <v>48777000</v>
      </c>
    </row>
    <row r="866" spans="1:34" ht="15" customHeight="1" x14ac:dyDescent="0.2">
      <c r="A866" s="11"/>
      <c r="B866" s="11" t="s">
        <v>1211</v>
      </c>
      <c r="C866" s="13">
        <v>983</v>
      </c>
      <c r="D866" s="13" t="s">
        <v>420</v>
      </c>
      <c r="E866" s="20">
        <v>9</v>
      </c>
      <c r="F866" s="20">
        <v>198</v>
      </c>
      <c r="G866" s="20">
        <v>865</v>
      </c>
      <c r="H866" s="13" t="s">
        <v>1845</v>
      </c>
      <c r="I866" s="13" t="str">
        <f t="shared" si="26"/>
        <v>Davie Rd (I-595 to Nova Dr)</v>
      </c>
      <c r="J866" s="13" t="s">
        <v>300</v>
      </c>
      <c r="K866" s="13" t="str">
        <f>VLOOKUP(J866,'Data-ProjectTypes'!A$3:B$13,2,FALSE)</f>
        <v>Project</v>
      </c>
      <c r="L866" s="21" t="s">
        <v>179</v>
      </c>
      <c r="M866" s="13" t="s">
        <v>34</v>
      </c>
      <c r="N866" s="13" t="s">
        <v>487</v>
      </c>
      <c r="O866" s="13" t="s">
        <v>270</v>
      </c>
      <c r="P866" s="13" t="s">
        <v>270</v>
      </c>
      <c r="Q866" s="22">
        <v>0.5</v>
      </c>
      <c r="R866" s="23">
        <v>5541000</v>
      </c>
      <c r="S866" s="21" t="s">
        <v>24</v>
      </c>
      <c r="T866" s="21"/>
      <c r="U866" s="21"/>
      <c r="V866" s="24"/>
      <c r="W866" s="24"/>
      <c r="Y866" s="17" t="s">
        <v>469</v>
      </c>
      <c r="Z866" s="18">
        <f>ROUND(R866*'Data-CostAssumptions'!$C$3,-3)</f>
        <v>7669000</v>
      </c>
      <c r="AA866" s="11">
        <f t="shared" si="27"/>
        <v>0</v>
      </c>
      <c r="AB866" s="11">
        <v>2041</v>
      </c>
      <c r="AC866" s="11">
        <v>2041</v>
      </c>
      <c r="AD866" s="11">
        <v>2041</v>
      </c>
      <c r="AE866" s="11">
        <v>2041</v>
      </c>
      <c r="AF866" s="11">
        <v>0</v>
      </c>
      <c r="AG866" s="19">
        <f>ROUND((Z866*'Data-CostAssumptions'!$G$5)*(1+'Data-CostAssumptions'!$G$3)^(AC866-'Data-CostAssumptions'!$G$4),-3)</f>
        <v>4326000</v>
      </c>
      <c r="AH866" s="19">
        <f>ROUND((Z866)*(1+'Data-CostAssumptions'!$G$3)^(AE866-'Data-CostAssumptions'!$G$4),-3)</f>
        <v>19663000</v>
      </c>
    </row>
    <row r="867" spans="1:34" ht="15" customHeight="1" x14ac:dyDescent="0.2">
      <c r="A867" s="11"/>
      <c r="B867" s="11" t="s">
        <v>1211</v>
      </c>
      <c r="C867" s="13">
        <v>984</v>
      </c>
      <c r="D867" s="13" t="s">
        <v>420</v>
      </c>
      <c r="E867" s="20">
        <v>10</v>
      </c>
      <c r="F867" s="20">
        <v>198</v>
      </c>
      <c r="G867" s="20">
        <v>866</v>
      </c>
      <c r="H867" s="13" t="s">
        <v>2838</v>
      </c>
      <c r="I867" s="13" t="str">
        <f t="shared" si="26"/>
        <v>Davie Rd Ext. (East of University Dr to University Dr)</v>
      </c>
      <c r="J867" s="13" t="s">
        <v>300</v>
      </c>
      <c r="K867" s="13" t="str">
        <f>VLOOKUP(J867,'Data-ProjectTypes'!A$3:B$13,2,FALSE)</f>
        <v>Project</v>
      </c>
      <c r="L867" s="21" t="s">
        <v>306</v>
      </c>
      <c r="M867" s="13" t="s">
        <v>2651</v>
      </c>
      <c r="N867" s="13" t="s">
        <v>1804</v>
      </c>
      <c r="O867" s="13" t="s">
        <v>273</v>
      </c>
      <c r="P867" s="13" t="s">
        <v>273</v>
      </c>
      <c r="Q867" s="22">
        <v>0.3</v>
      </c>
      <c r="R867" s="23">
        <v>3185000</v>
      </c>
      <c r="S867" s="21" t="s">
        <v>24</v>
      </c>
      <c r="T867" s="21"/>
      <c r="U867" s="21"/>
      <c r="V867" s="24"/>
      <c r="W867" s="24" t="s">
        <v>578</v>
      </c>
      <c r="X867" s="24" t="s">
        <v>579</v>
      </c>
      <c r="Y867" s="17" t="s">
        <v>547</v>
      </c>
      <c r="Z867" s="18">
        <f>ROUND(R867*'Data-CostAssumptions'!$C$3,-3)</f>
        <v>4408000</v>
      </c>
      <c r="AA867" s="11">
        <f t="shared" si="27"/>
        <v>1</v>
      </c>
      <c r="AB867" s="11">
        <v>2041</v>
      </c>
      <c r="AC867" s="11">
        <v>2041</v>
      </c>
      <c r="AD867" s="11">
        <v>2041</v>
      </c>
      <c r="AE867" s="11">
        <v>2041</v>
      </c>
      <c r="AF867" s="11">
        <v>0</v>
      </c>
      <c r="AG867" s="19">
        <f>ROUND((Z867*'Data-CostAssumptions'!$G$5)*(1+'Data-CostAssumptions'!$G$3)^(AC867-'Data-CostAssumptions'!$G$4),-3)</f>
        <v>2486000</v>
      </c>
      <c r="AH867" s="19">
        <f>ROUND((Z867)*(1+'Data-CostAssumptions'!$G$3)^(AE867-'Data-CostAssumptions'!$G$4),-3)</f>
        <v>11302000</v>
      </c>
    </row>
    <row r="868" spans="1:34" ht="15" customHeight="1" x14ac:dyDescent="0.2">
      <c r="A868" s="11"/>
      <c r="B868" s="11" t="s">
        <v>1211</v>
      </c>
      <c r="C868" s="13">
        <v>985</v>
      </c>
      <c r="D868" s="13" t="s">
        <v>420</v>
      </c>
      <c r="E868" s="20">
        <v>44</v>
      </c>
      <c r="F868" s="20">
        <v>198</v>
      </c>
      <c r="G868" s="20">
        <v>867</v>
      </c>
      <c r="H868" s="13" t="s">
        <v>2114</v>
      </c>
      <c r="I868" s="13" t="str">
        <f t="shared" si="26"/>
        <v>SW 196th Av (Pines Bl to Miramar Parkway)</v>
      </c>
      <c r="J868" s="13" t="s">
        <v>300</v>
      </c>
      <c r="K868" s="13" t="str">
        <f>VLOOKUP(J868,'Data-ProjectTypes'!A$3:B$13,2,FALSE)</f>
        <v>Project</v>
      </c>
      <c r="L868" s="21" t="s">
        <v>690</v>
      </c>
      <c r="M868" s="13" t="s">
        <v>1826</v>
      </c>
      <c r="N868" s="13" t="s">
        <v>39</v>
      </c>
      <c r="O868" s="13" t="s">
        <v>272</v>
      </c>
      <c r="P868" s="13" t="s">
        <v>272</v>
      </c>
      <c r="Q868" s="22">
        <v>2</v>
      </c>
      <c r="R868" s="23">
        <v>18446000</v>
      </c>
      <c r="S868" s="21" t="s">
        <v>24</v>
      </c>
      <c r="T868" s="21" t="s">
        <v>25</v>
      </c>
      <c r="U868" s="21" t="s">
        <v>24</v>
      </c>
      <c r="V868" s="24"/>
      <c r="W868" s="24"/>
      <c r="X868" s="24"/>
      <c r="Y868" s="17" t="s">
        <v>685</v>
      </c>
      <c r="Z868" s="18">
        <f>ROUND(R868*'Data-CostAssumptions'!$C$3,-3)</f>
        <v>25529000</v>
      </c>
      <c r="AA868" s="11">
        <f t="shared" si="27"/>
        <v>0</v>
      </c>
      <c r="AB868" s="11">
        <v>2041</v>
      </c>
      <c r="AC868" s="11">
        <v>2041</v>
      </c>
      <c r="AD868" s="11">
        <v>2041</v>
      </c>
      <c r="AE868" s="11">
        <v>2041</v>
      </c>
      <c r="AF868" s="11">
        <v>0</v>
      </c>
      <c r="AG868" s="19">
        <f>ROUND((Z868*'Data-CostAssumptions'!$G$5)*(1+'Data-CostAssumptions'!$G$3)^(AC868-'Data-CostAssumptions'!$G$4),-3)</f>
        <v>14400000</v>
      </c>
      <c r="AH868" s="19">
        <f>ROUND((Z868)*(1+'Data-CostAssumptions'!$G$3)^(AE868-'Data-CostAssumptions'!$G$4),-3)</f>
        <v>65455000</v>
      </c>
    </row>
    <row r="869" spans="1:34" ht="15" customHeight="1" x14ac:dyDescent="0.2">
      <c r="A869" s="11"/>
      <c r="B869" s="11" t="s">
        <v>1211</v>
      </c>
      <c r="C869" s="13">
        <v>986</v>
      </c>
      <c r="D869" s="13" t="s">
        <v>420</v>
      </c>
      <c r="E869" s="20">
        <v>1</v>
      </c>
      <c r="F869" s="20">
        <v>198</v>
      </c>
      <c r="G869" s="20">
        <v>868</v>
      </c>
      <c r="H869" s="13" t="s">
        <v>2014</v>
      </c>
      <c r="I869" s="13" t="str">
        <f t="shared" si="26"/>
        <v>Andrews Av (Atlantic Bl to Pompano Parkway/ SW 3 St)</v>
      </c>
      <c r="J869" s="13" t="s">
        <v>300</v>
      </c>
      <c r="K869" s="13" t="str">
        <f>VLOOKUP(J869,'Data-ProjectTypes'!A$3:B$13,2,FALSE)</f>
        <v>Project</v>
      </c>
      <c r="L869" s="21" t="s">
        <v>115</v>
      </c>
      <c r="M869" s="13" t="s">
        <v>1809</v>
      </c>
      <c r="N869" s="13" t="s">
        <v>114</v>
      </c>
      <c r="O869" s="13" t="s">
        <v>270</v>
      </c>
      <c r="P869" s="13" t="s">
        <v>270</v>
      </c>
      <c r="Q869" s="22">
        <v>0.4</v>
      </c>
      <c r="R869" s="23">
        <v>44898000</v>
      </c>
      <c r="S869" s="21"/>
      <c r="T869" s="21"/>
      <c r="U869" s="21"/>
      <c r="V869" s="24"/>
      <c r="W869" s="24"/>
      <c r="X869" s="24"/>
      <c r="Y869" s="17"/>
      <c r="Z869" s="18">
        <f>ROUND(R869*'Data-CostAssumptions'!$C$3,-3)</f>
        <v>62139000</v>
      </c>
      <c r="AA869" s="11">
        <f t="shared" si="27"/>
        <v>0</v>
      </c>
      <c r="AB869" s="11">
        <v>2041</v>
      </c>
      <c r="AC869" s="11">
        <v>2041</v>
      </c>
      <c r="AD869" s="11">
        <v>2041</v>
      </c>
      <c r="AE869" s="11">
        <v>2041</v>
      </c>
      <c r="AF869" s="11">
        <v>0</v>
      </c>
      <c r="AG869" s="19">
        <f>ROUND((Z869*'Data-CostAssumptions'!$G$5)*(1+'Data-CostAssumptions'!$G$3)^(AC869-'Data-CostAssumptions'!$G$4),-3)</f>
        <v>35051000</v>
      </c>
      <c r="AH869" s="19">
        <f>ROUND((Z869)*(1+'Data-CostAssumptions'!$G$3)^(AE869-'Data-CostAssumptions'!$G$4),-3)</f>
        <v>159321000</v>
      </c>
    </row>
    <row r="870" spans="1:34" ht="15" customHeight="1" x14ac:dyDescent="0.2">
      <c r="A870" s="11"/>
      <c r="B870" s="11" t="s">
        <v>1211</v>
      </c>
      <c r="C870" s="13">
        <v>989</v>
      </c>
      <c r="D870" s="13" t="s">
        <v>420</v>
      </c>
      <c r="E870" s="20">
        <v>41</v>
      </c>
      <c r="F870" s="20">
        <v>198</v>
      </c>
      <c r="G870" s="20">
        <v>869</v>
      </c>
      <c r="H870" s="13" t="s">
        <v>2104</v>
      </c>
      <c r="I870" s="13" t="str">
        <f t="shared" si="26"/>
        <v>SW 148th Av (Miramar Parkway to Bass Creek Rd)</v>
      </c>
      <c r="J870" s="13" t="s">
        <v>300</v>
      </c>
      <c r="K870" s="13" t="str">
        <f>VLOOKUP(J870,'Data-ProjectTypes'!A$3:B$13,2,FALSE)</f>
        <v>Project</v>
      </c>
      <c r="L870" s="21" t="s">
        <v>304</v>
      </c>
      <c r="M870" s="13" t="s">
        <v>39</v>
      </c>
      <c r="N870" s="13" t="s">
        <v>1833</v>
      </c>
      <c r="O870" s="13" t="s">
        <v>274</v>
      </c>
      <c r="P870" s="13" t="s">
        <v>274</v>
      </c>
      <c r="Q870" s="22">
        <v>1</v>
      </c>
      <c r="R870" s="23">
        <v>11012000</v>
      </c>
      <c r="S870" s="21" t="s">
        <v>24</v>
      </c>
      <c r="T870" s="21" t="s">
        <v>25</v>
      </c>
      <c r="U870" s="21" t="s">
        <v>25</v>
      </c>
      <c r="V870" s="24"/>
      <c r="W870" s="24"/>
      <c r="X870" s="28"/>
      <c r="Y870" s="17" t="s">
        <v>685</v>
      </c>
      <c r="Z870" s="18">
        <f>ROUND(R870*'Data-CostAssumptions'!$C$3,-3)</f>
        <v>15241000</v>
      </c>
      <c r="AA870" s="11">
        <f t="shared" si="27"/>
        <v>0</v>
      </c>
      <c r="AB870" s="11">
        <v>2041</v>
      </c>
      <c r="AC870" s="11">
        <v>2041</v>
      </c>
      <c r="AD870" s="11">
        <v>2041</v>
      </c>
      <c r="AE870" s="11">
        <v>2041</v>
      </c>
      <c r="AF870" s="11">
        <v>0</v>
      </c>
      <c r="AG870" s="19">
        <f>ROUND((Z870*'Data-CostAssumptions'!$G$5)*(1+'Data-CostAssumptions'!$G$3)^(AC870-'Data-CostAssumptions'!$G$4),-3)</f>
        <v>8597000</v>
      </c>
      <c r="AH870" s="19">
        <f>ROUND((Z870)*(1+'Data-CostAssumptions'!$G$3)^(AE870-'Data-CostAssumptions'!$G$4),-3)</f>
        <v>39077000</v>
      </c>
    </row>
    <row r="871" spans="1:34" ht="15" customHeight="1" x14ac:dyDescent="0.2">
      <c r="A871" s="11"/>
      <c r="B871" s="11" t="s">
        <v>1211</v>
      </c>
      <c r="C871" s="13">
        <v>990</v>
      </c>
      <c r="D871" s="13" t="s">
        <v>420</v>
      </c>
      <c r="E871" s="20">
        <v>42</v>
      </c>
      <c r="F871" s="20">
        <v>198</v>
      </c>
      <c r="G871" s="20">
        <v>870</v>
      </c>
      <c r="H871" s="13" t="s">
        <v>2111</v>
      </c>
      <c r="I871" s="13" t="str">
        <f t="shared" si="26"/>
        <v>SW 184th Av (Miramar Parkway to Sheridan St)</v>
      </c>
      <c r="J871" s="13" t="s">
        <v>300</v>
      </c>
      <c r="K871" s="13" t="str">
        <f>VLOOKUP(J871,'Data-ProjectTypes'!A$3:B$13,2,FALSE)</f>
        <v>Project</v>
      </c>
      <c r="L871" s="21" t="s">
        <v>304</v>
      </c>
      <c r="M871" s="13" t="s">
        <v>39</v>
      </c>
      <c r="N871" s="13" t="s">
        <v>1951</v>
      </c>
      <c r="O871" s="13" t="s">
        <v>272</v>
      </c>
      <c r="P871" s="13" t="s">
        <v>272</v>
      </c>
      <c r="Q871" s="22">
        <v>3.5</v>
      </c>
      <c r="R871" s="23">
        <v>35205127.687963195</v>
      </c>
      <c r="S871" s="21" t="s">
        <v>24</v>
      </c>
      <c r="T871" s="21" t="s">
        <v>25</v>
      </c>
      <c r="U871" s="21" t="s">
        <v>25</v>
      </c>
      <c r="V871" s="24"/>
      <c r="W871" s="24"/>
      <c r="X871" s="24"/>
      <c r="Y871" s="17" t="s">
        <v>685</v>
      </c>
      <c r="Z871" s="18">
        <f>ROUND(R871*'Data-CostAssumptions'!$C$3,-3)</f>
        <v>48724000</v>
      </c>
      <c r="AA871" s="11">
        <f t="shared" si="27"/>
        <v>0</v>
      </c>
      <c r="AB871" s="11">
        <v>2041</v>
      </c>
      <c r="AC871" s="11">
        <v>2041</v>
      </c>
      <c r="AD871" s="11">
        <v>2041</v>
      </c>
      <c r="AE871" s="11">
        <v>2041</v>
      </c>
      <c r="AF871" s="11">
        <v>0</v>
      </c>
      <c r="AG871" s="19">
        <f>ROUND((Z871*'Data-CostAssumptions'!$G$5)*(1+'Data-CostAssumptions'!$G$3)^(AC871-'Data-CostAssumptions'!$G$4),-3)</f>
        <v>27484000</v>
      </c>
      <c r="AH871" s="19">
        <f>ROUND((Z871)*(1+'Data-CostAssumptions'!$G$3)^(AE871-'Data-CostAssumptions'!$G$4),-3)</f>
        <v>124926000</v>
      </c>
    </row>
    <row r="872" spans="1:34" ht="15" customHeight="1" x14ac:dyDescent="0.2">
      <c r="A872" s="11"/>
      <c r="B872" s="11" t="s">
        <v>1211</v>
      </c>
      <c r="C872" s="13">
        <v>991</v>
      </c>
      <c r="D872" s="13" t="s">
        <v>420</v>
      </c>
      <c r="E872" s="20">
        <v>45</v>
      </c>
      <c r="F872" s="20">
        <v>198</v>
      </c>
      <c r="G872" s="20">
        <v>871</v>
      </c>
      <c r="H872" s="13" t="s">
        <v>2119</v>
      </c>
      <c r="I872" s="13" t="str">
        <f t="shared" si="26"/>
        <v>SW 30th Av (SW 45th St to Griffin Rd)</v>
      </c>
      <c r="J872" s="13" t="s">
        <v>300</v>
      </c>
      <c r="K872" s="13" t="str">
        <f>VLOOKUP(J872,'Data-ProjectTypes'!A$3:B$13,2,FALSE)</f>
        <v>Project</v>
      </c>
      <c r="L872" s="21" t="s">
        <v>304</v>
      </c>
      <c r="M872" s="13" t="s">
        <v>1963</v>
      </c>
      <c r="N872" s="13" t="s">
        <v>1750</v>
      </c>
      <c r="O872" s="13" t="s">
        <v>273</v>
      </c>
      <c r="P872" s="13" t="s">
        <v>273</v>
      </c>
      <c r="Q872" s="22">
        <v>0.3</v>
      </c>
      <c r="R872" s="23">
        <v>5132042.0516022639</v>
      </c>
      <c r="S872" s="21" t="s">
        <v>24</v>
      </c>
      <c r="T872" s="21"/>
      <c r="U872" s="21"/>
      <c r="V872" s="24"/>
      <c r="W872" s="24"/>
      <c r="X872" s="24"/>
      <c r="Y872" s="17" t="s">
        <v>538</v>
      </c>
      <c r="Z872" s="18">
        <f>ROUND(R872*'Data-CostAssumptions'!$C$3,-3)</f>
        <v>7103000</v>
      </c>
      <c r="AA872" s="11">
        <f t="shared" si="27"/>
        <v>0</v>
      </c>
      <c r="AB872" s="11">
        <v>2041</v>
      </c>
      <c r="AC872" s="11">
        <v>2041</v>
      </c>
      <c r="AD872" s="11">
        <v>2041</v>
      </c>
      <c r="AE872" s="11">
        <v>2041</v>
      </c>
      <c r="AF872" s="11">
        <v>0</v>
      </c>
      <c r="AG872" s="19">
        <f>ROUND((Z872*'Data-CostAssumptions'!$G$5)*(1+'Data-CostAssumptions'!$G$3)^(AC872-'Data-CostAssumptions'!$G$4),-3)</f>
        <v>4007000</v>
      </c>
      <c r="AH872" s="19">
        <f>ROUND((Z872)*(1+'Data-CostAssumptions'!$G$3)^(AE872-'Data-CostAssumptions'!$G$4),-3)</f>
        <v>18212000</v>
      </c>
    </row>
    <row r="873" spans="1:34" ht="15" customHeight="1" x14ac:dyDescent="0.2">
      <c r="A873" s="11"/>
      <c r="B873" s="11" t="s">
        <v>1211</v>
      </c>
      <c r="C873" s="13">
        <v>992</v>
      </c>
      <c r="D873" s="13" t="s">
        <v>420</v>
      </c>
      <c r="E873" s="20">
        <v>4</v>
      </c>
      <c r="F873" s="20">
        <v>198</v>
      </c>
      <c r="G873" s="20">
        <v>872</v>
      </c>
      <c r="H873" s="13" t="s">
        <v>1833</v>
      </c>
      <c r="I873" s="13" t="str">
        <f t="shared" si="26"/>
        <v>Bass Creek Rd (SW 172nd Av to SW 184th Av)</v>
      </c>
      <c r="J873" s="13" t="s">
        <v>300</v>
      </c>
      <c r="K873" s="13" t="str">
        <f>VLOOKUP(J873,'Data-ProjectTypes'!A$3:B$13,2,FALSE)</f>
        <v>Project</v>
      </c>
      <c r="L873" s="21" t="s">
        <v>692</v>
      </c>
      <c r="M873" s="13" t="s">
        <v>2110</v>
      </c>
      <c r="N873" s="13" t="s">
        <v>2111</v>
      </c>
      <c r="O873" s="13" t="s">
        <v>274</v>
      </c>
      <c r="P873" s="13" t="s">
        <v>274</v>
      </c>
      <c r="Q873" s="22">
        <v>1</v>
      </c>
      <c r="R873" s="23">
        <v>12655211.247017963</v>
      </c>
      <c r="S873" s="21" t="s">
        <v>24</v>
      </c>
      <c r="T873" s="21" t="s">
        <v>25</v>
      </c>
      <c r="U873" s="21" t="s">
        <v>24</v>
      </c>
      <c r="V873" s="24" t="s">
        <v>691</v>
      </c>
      <c r="W873" s="24"/>
      <c r="X873" s="24"/>
      <c r="Y873" s="17" t="s">
        <v>685</v>
      </c>
      <c r="Z873" s="18">
        <f>ROUND(R873*'Data-CostAssumptions'!$C$3,-3)</f>
        <v>17515000</v>
      </c>
      <c r="AA873" s="11">
        <f t="shared" si="27"/>
        <v>1</v>
      </c>
      <c r="AB873" s="11">
        <v>2041</v>
      </c>
      <c r="AC873" s="11">
        <v>2041</v>
      </c>
      <c r="AD873" s="11">
        <v>2041</v>
      </c>
      <c r="AE873" s="11">
        <v>2041</v>
      </c>
      <c r="AF873" s="11">
        <v>0</v>
      </c>
      <c r="AG873" s="19">
        <f>ROUND((Z873*'Data-CostAssumptions'!$G$5)*(1+'Data-CostAssumptions'!$G$3)^(AC873-'Data-CostAssumptions'!$G$4),-3)</f>
        <v>9880000</v>
      </c>
      <c r="AH873" s="19">
        <f>ROUND((Z873)*(1+'Data-CostAssumptions'!$G$3)^(AE873-'Data-CostAssumptions'!$G$4),-3)</f>
        <v>44908000</v>
      </c>
    </row>
    <row r="874" spans="1:34" ht="15" customHeight="1" x14ac:dyDescent="0.2">
      <c r="A874" s="11"/>
      <c r="B874" s="11" t="s">
        <v>1211</v>
      </c>
      <c r="C874" s="13">
        <v>993</v>
      </c>
      <c r="D874" s="13" t="s">
        <v>420</v>
      </c>
      <c r="E874" s="20">
        <v>5</v>
      </c>
      <c r="F874" s="20">
        <v>198</v>
      </c>
      <c r="G874" s="20">
        <v>873</v>
      </c>
      <c r="H874" s="13" t="s">
        <v>1833</v>
      </c>
      <c r="I874" s="13" t="str">
        <f t="shared" si="26"/>
        <v>Bass Creek Rd (SW 148th Av to SW 172nd Av)</v>
      </c>
      <c r="J874" s="13" t="s">
        <v>300</v>
      </c>
      <c r="K874" s="13" t="str">
        <f>VLOOKUP(J874,'Data-ProjectTypes'!A$3:B$13,2,FALSE)</f>
        <v>Project</v>
      </c>
      <c r="L874" s="21" t="s">
        <v>306</v>
      </c>
      <c r="M874" s="13" t="s">
        <v>2104</v>
      </c>
      <c r="N874" s="13" t="s">
        <v>2110</v>
      </c>
      <c r="O874" s="13" t="s">
        <v>274</v>
      </c>
      <c r="P874" s="13" t="s">
        <v>274</v>
      </c>
      <c r="Q874" s="22">
        <v>2.2999999999999998</v>
      </c>
      <c r="R874" s="23">
        <v>18900949.114988856</v>
      </c>
      <c r="S874" s="21" t="s">
        <v>24</v>
      </c>
      <c r="T874" s="21" t="s">
        <v>25</v>
      </c>
      <c r="U874" s="21" t="s">
        <v>25</v>
      </c>
      <c r="V874" s="24" t="s">
        <v>691</v>
      </c>
      <c r="W874" s="24"/>
      <c r="X874" s="24"/>
      <c r="Y874" s="17" t="s">
        <v>685</v>
      </c>
      <c r="Z874" s="18">
        <f>ROUND(R874*'Data-CostAssumptions'!$C$3,-3)</f>
        <v>26159000</v>
      </c>
      <c r="AA874" s="11">
        <f t="shared" si="27"/>
        <v>1</v>
      </c>
      <c r="AB874" s="11">
        <v>2041</v>
      </c>
      <c r="AC874" s="11">
        <v>2041</v>
      </c>
      <c r="AD874" s="11">
        <v>2041</v>
      </c>
      <c r="AE874" s="11">
        <v>2041</v>
      </c>
      <c r="AF874" s="11">
        <v>0</v>
      </c>
      <c r="AG874" s="19">
        <f>ROUND((Z874*'Data-CostAssumptions'!$G$5)*(1+'Data-CostAssumptions'!$G$3)^(AC874-'Data-CostAssumptions'!$G$4),-3)</f>
        <v>14755000</v>
      </c>
      <c r="AH874" s="19">
        <f>ROUND((Z874)*(1+'Data-CostAssumptions'!$G$3)^(AE874-'Data-CostAssumptions'!$G$4),-3)</f>
        <v>67070000</v>
      </c>
    </row>
    <row r="875" spans="1:34" ht="15" customHeight="1" x14ac:dyDescent="0.2">
      <c r="A875" s="11"/>
      <c r="B875" s="11" t="s">
        <v>1211</v>
      </c>
      <c r="C875" s="13">
        <v>994</v>
      </c>
      <c r="D875" s="13" t="s">
        <v>420</v>
      </c>
      <c r="E875" s="20">
        <v>6</v>
      </c>
      <c r="F875" s="20">
        <v>198</v>
      </c>
      <c r="G875" s="20">
        <v>874</v>
      </c>
      <c r="H875" s="13" t="s">
        <v>1834</v>
      </c>
      <c r="I875" s="13" t="str">
        <f t="shared" si="26"/>
        <v>Blount Rd (Copans Rd to Hammondville Rd)</v>
      </c>
      <c r="J875" s="13" t="s">
        <v>300</v>
      </c>
      <c r="K875" s="13" t="str">
        <f>VLOOKUP(J875,'Data-ProjectTypes'!A$3:B$13,2,FALSE)</f>
        <v>Project</v>
      </c>
      <c r="L875" s="21" t="s">
        <v>304</v>
      </c>
      <c r="M875" s="13" t="s">
        <v>1836</v>
      </c>
      <c r="N875" s="13" t="s">
        <v>1751</v>
      </c>
      <c r="O875" s="13" t="s">
        <v>273</v>
      </c>
      <c r="P875" s="13" t="s">
        <v>273</v>
      </c>
      <c r="Q875" s="22">
        <v>1</v>
      </c>
      <c r="R875" s="23">
        <v>13842869.762897193</v>
      </c>
      <c r="S875" s="21"/>
      <c r="T875" s="21"/>
      <c r="U875" s="21"/>
      <c r="V875" s="24"/>
      <c r="W875" s="24"/>
      <c r="X875" s="24"/>
      <c r="Y875" s="17"/>
      <c r="Z875" s="18">
        <f>ROUND(R875*'Data-CostAssumptions'!$C$3,-3)</f>
        <v>19159000</v>
      </c>
      <c r="AA875" s="11">
        <f t="shared" si="27"/>
        <v>0</v>
      </c>
      <c r="AB875" s="11">
        <v>2041</v>
      </c>
      <c r="AC875" s="11">
        <v>2041</v>
      </c>
      <c r="AD875" s="11">
        <v>2041</v>
      </c>
      <c r="AE875" s="11">
        <v>2041</v>
      </c>
      <c r="AF875" s="11">
        <v>0</v>
      </c>
      <c r="AG875" s="19">
        <f>ROUND((Z875*'Data-CostAssumptions'!$G$5)*(1+'Data-CostAssumptions'!$G$3)^(AC875-'Data-CostAssumptions'!$G$4),-3)</f>
        <v>10807000</v>
      </c>
      <c r="AH875" s="19">
        <f>ROUND((Z875)*(1+'Data-CostAssumptions'!$G$3)^(AE875-'Data-CostAssumptions'!$G$4),-3)</f>
        <v>49123000</v>
      </c>
    </row>
    <row r="876" spans="1:34" ht="15" customHeight="1" x14ac:dyDescent="0.2">
      <c r="A876" s="11"/>
      <c r="B876" s="11" t="s">
        <v>1211</v>
      </c>
      <c r="C876" s="13">
        <v>995</v>
      </c>
      <c r="D876" s="13" t="s">
        <v>420</v>
      </c>
      <c r="E876" s="20">
        <v>7</v>
      </c>
      <c r="F876" s="20">
        <v>198</v>
      </c>
      <c r="G876" s="20">
        <v>875</v>
      </c>
      <c r="H876" s="13" t="s">
        <v>1839</v>
      </c>
      <c r="I876" s="13" t="str">
        <f t="shared" si="26"/>
        <v>County Line Rd (Hillsboro Bl Extension to University Dr)</v>
      </c>
      <c r="J876" s="13" t="s">
        <v>300</v>
      </c>
      <c r="K876" s="13" t="str">
        <f>VLOOKUP(J876,'Data-ProjectTypes'!A$3:B$13,2,FALSE)</f>
        <v>Project</v>
      </c>
      <c r="L876" s="21" t="s">
        <v>308</v>
      </c>
      <c r="M876" s="13" t="s">
        <v>2327</v>
      </c>
      <c r="N876" s="13" t="s">
        <v>1804</v>
      </c>
      <c r="O876" s="13" t="s">
        <v>273</v>
      </c>
      <c r="P876" s="13" t="s">
        <v>273</v>
      </c>
      <c r="Q876" s="22">
        <v>2.75</v>
      </c>
      <c r="R876" s="23">
        <v>60165406.194427706</v>
      </c>
      <c r="S876" s="21" t="s">
        <v>24</v>
      </c>
      <c r="T876" s="21" t="s">
        <v>25</v>
      </c>
      <c r="U876" s="21" t="s">
        <v>25</v>
      </c>
      <c r="V876" s="31" t="s">
        <v>751</v>
      </c>
      <c r="W876" s="24"/>
      <c r="X876" s="50" t="s">
        <v>750</v>
      </c>
      <c r="Y876" s="17" t="s">
        <v>735</v>
      </c>
      <c r="Z876" s="18">
        <f>ROUND(R876*'Data-CostAssumptions'!$C$3,-3)</f>
        <v>83269000</v>
      </c>
      <c r="AA876" s="11">
        <f t="shared" si="27"/>
        <v>1</v>
      </c>
      <c r="AB876" s="11">
        <v>2041</v>
      </c>
      <c r="AC876" s="11">
        <v>2041</v>
      </c>
      <c r="AD876" s="11">
        <v>2041</v>
      </c>
      <c r="AE876" s="11">
        <v>2041</v>
      </c>
      <c r="AF876" s="11">
        <v>0</v>
      </c>
      <c r="AG876" s="19">
        <f>ROUND((Z876*'Data-CostAssumptions'!$G$5)*(1+'Data-CostAssumptions'!$G$3)^(AC876-'Data-CostAssumptions'!$G$4),-3)</f>
        <v>46969000</v>
      </c>
      <c r="AH876" s="19">
        <f>ROUND((Z876)*(1+'Data-CostAssumptions'!$G$3)^(AE876-'Data-CostAssumptions'!$G$4),-3)</f>
        <v>213497000</v>
      </c>
    </row>
    <row r="877" spans="1:34" ht="15" customHeight="1" x14ac:dyDescent="0.2">
      <c r="A877" s="11"/>
      <c r="B877" s="11" t="s">
        <v>1211</v>
      </c>
      <c r="C877" s="13">
        <v>996</v>
      </c>
      <c r="D877" s="13" t="s">
        <v>420</v>
      </c>
      <c r="E877" s="20">
        <v>21</v>
      </c>
      <c r="F877" s="20">
        <v>199</v>
      </c>
      <c r="G877" s="20">
        <v>876</v>
      </c>
      <c r="H877" s="13" t="s">
        <v>2792</v>
      </c>
      <c r="I877" s="13" t="str">
        <f t="shared" si="26"/>
        <v>SR 827/Pembroke Rd (SW 184th Av to SW 160th Av)</v>
      </c>
      <c r="J877" s="13" t="s">
        <v>300</v>
      </c>
      <c r="K877" s="13" t="str">
        <f>VLOOKUP(J877,'Data-ProjectTypes'!A$3:B$13,2,FALSE)</f>
        <v>Project</v>
      </c>
      <c r="L877" s="21" t="s">
        <v>304</v>
      </c>
      <c r="M877" s="13" t="s">
        <v>2111</v>
      </c>
      <c r="N877" s="13" t="s">
        <v>2107</v>
      </c>
      <c r="O877" s="13" t="s">
        <v>271</v>
      </c>
      <c r="P877" s="13" t="s">
        <v>271</v>
      </c>
      <c r="Q877" s="22">
        <v>1.9</v>
      </c>
      <c r="R877" s="23">
        <v>16966000</v>
      </c>
      <c r="S877" s="21"/>
      <c r="T877" s="21"/>
      <c r="U877" s="21"/>
      <c r="V877" s="24"/>
      <c r="W877" s="24"/>
      <c r="X877" s="24"/>
      <c r="Y877" s="17"/>
      <c r="Z877" s="18">
        <f>ROUND(R877*'Data-CostAssumptions'!$C$3,-3)</f>
        <v>23481000</v>
      </c>
      <c r="AA877" s="11">
        <f t="shared" si="27"/>
        <v>0</v>
      </c>
      <c r="AB877" s="11">
        <v>2041</v>
      </c>
      <c r="AC877" s="11">
        <v>2041</v>
      </c>
      <c r="AD877" s="11">
        <v>2041</v>
      </c>
      <c r="AE877" s="11">
        <v>2041</v>
      </c>
      <c r="AF877" s="11">
        <v>0</v>
      </c>
      <c r="AG877" s="19">
        <f>ROUND((Z877*'Data-CostAssumptions'!$G$5)*(1+'Data-CostAssumptions'!$G$3)^(AC877-'Data-CostAssumptions'!$G$4),-3)</f>
        <v>13245000</v>
      </c>
      <c r="AH877" s="19">
        <f>ROUND((Z877)*(1+'Data-CostAssumptions'!$G$3)^(AE877-'Data-CostAssumptions'!$G$4),-3)</f>
        <v>60204000</v>
      </c>
    </row>
    <row r="878" spans="1:34" ht="15" customHeight="1" x14ac:dyDescent="0.2">
      <c r="A878" s="11"/>
      <c r="B878" s="11" t="s">
        <v>1211</v>
      </c>
      <c r="C878" s="13">
        <v>998</v>
      </c>
      <c r="D878" s="13" t="s">
        <v>420</v>
      </c>
      <c r="E878" s="20">
        <v>13</v>
      </c>
      <c r="F878" s="20">
        <v>199</v>
      </c>
      <c r="G878" s="20">
        <v>877</v>
      </c>
      <c r="H878" s="13" t="s">
        <v>1752</v>
      </c>
      <c r="I878" s="13" t="str">
        <f t="shared" si="26"/>
        <v>Hiatus Rd (Stirling Rd to Sheridan Rd)</v>
      </c>
      <c r="J878" s="13" t="s">
        <v>300</v>
      </c>
      <c r="K878" s="13" t="str">
        <f>VLOOKUP(J878,'Data-ProjectTypes'!A$3:B$13,2,FALSE)</f>
        <v>Project</v>
      </c>
      <c r="L878" s="21" t="s">
        <v>304</v>
      </c>
      <c r="M878" s="13" t="s">
        <v>177</v>
      </c>
      <c r="N878" s="13" t="s">
        <v>2415</v>
      </c>
      <c r="O878" s="13" t="s">
        <v>272</v>
      </c>
      <c r="P878" s="13" t="s">
        <v>272</v>
      </c>
      <c r="Q878" s="22">
        <v>1</v>
      </c>
      <c r="R878" s="23">
        <v>12449000</v>
      </c>
      <c r="S878" s="21"/>
      <c r="T878" s="21"/>
      <c r="U878" s="21"/>
      <c r="V878" s="24"/>
      <c r="W878" s="24"/>
      <c r="X878" s="24"/>
      <c r="Y878" s="17"/>
      <c r="Z878" s="18">
        <f>ROUND(R878*'Data-CostAssumptions'!$C$3,-3)</f>
        <v>17229000</v>
      </c>
      <c r="AA878" s="11">
        <f t="shared" si="27"/>
        <v>0</v>
      </c>
      <c r="AB878" s="11">
        <v>2041</v>
      </c>
      <c r="AC878" s="11">
        <v>2041</v>
      </c>
      <c r="AD878" s="11">
        <v>2041</v>
      </c>
      <c r="AE878" s="11">
        <v>2041</v>
      </c>
      <c r="AF878" s="11">
        <v>0</v>
      </c>
      <c r="AG878" s="19">
        <f>ROUND((Z878*'Data-CostAssumptions'!$G$5)*(1+'Data-CostAssumptions'!$G$3)^(AC878-'Data-CostAssumptions'!$G$4),-3)</f>
        <v>9718000</v>
      </c>
      <c r="AH878" s="19">
        <f>ROUND((Z878)*(1+'Data-CostAssumptions'!$G$3)^(AE878-'Data-CostAssumptions'!$G$4),-3)</f>
        <v>44174000</v>
      </c>
    </row>
    <row r="879" spans="1:34" ht="15" customHeight="1" x14ac:dyDescent="0.2">
      <c r="A879" s="11"/>
      <c r="B879" s="11" t="s">
        <v>1211</v>
      </c>
      <c r="C879" s="13">
        <v>999</v>
      </c>
      <c r="D879" s="13" t="s">
        <v>420</v>
      </c>
      <c r="E879" s="20">
        <v>19</v>
      </c>
      <c r="F879" s="20">
        <v>199</v>
      </c>
      <c r="G879" s="20">
        <v>878</v>
      </c>
      <c r="H879" s="13" t="s">
        <v>1856</v>
      </c>
      <c r="I879" s="13" t="str">
        <f t="shared" si="26"/>
        <v>Oakes Rd (State Rd 7/US 441 to Davie Rd)</v>
      </c>
      <c r="J879" s="13" t="s">
        <v>300</v>
      </c>
      <c r="K879" s="13" t="str">
        <f>VLOOKUP(J879,'Data-ProjectTypes'!A$3:B$13,2,FALSE)</f>
        <v>Project</v>
      </c>
      <c r="L879" s="21" t="s">
        <v>310</v>
      </c>
      <c r="M879" s="13" t="s">
        <v>1773</v>
      </c>
      <c r="N879" s="13" t="s">
        <v>1845</v>
      </c>
      <c r="O879" s="13" t="s">
        <v>270</v>
      </c>
      <c r="P879" s="13" t="s">
        <v>270</v>
      </c>
      <c r="Q879" s="22">
        <v>1.7</v>
      </c>
      <c r="R879" s="23">
        <v>40805000</v>
      </c>
      <c r="S879" s="21" t="s">
        <v>24</v>
      </c>
      <c r="T879" s="21" t="s">
        <v>24</v>
      </c>
      <c r="U879" s="21"/>
      <c r="V879" s="24"/>
      <c r="W879" s="24"/>
      <c r="X879" s="24"/>
      <c r="Y879" s="17" t="s">
        <v>469</v>
      </c>
      <c r="Z879" s="18">
        <f>ROUND(R879*'Data-CostAssumptions'!$C$3,-3)</f>
        <v>56474000</v>
      </c>
      <c r="AA879" s="11">
        <f t="shared" si="27"/>
        <v>0</v>
      </c>
      <c r="AB879" s="11">
        <v>2041</v>
      </c>
      <c r="AC879" s="11">
        <v>2041</v>
      </c>
      <c r="AD879" s="11">
        <v>2041</v>
      </c>
      <c r="AE879" s="11">
        <v>2041</v>
      </c>
      <c r="AF879" s="11">
        <v>0</v>
      </c>
      <c r="AG879" s="19">
        <f>ROUND((Z879*'Data-CostAssumptions'!$G$5)*(1+'Data-CostAssumptions'!$G$3)^(AC879-'Data-CostAssumptions'!$G$4),-3)</f>
        <v>31855000</v>
      </c>
      <c r="AH879" s="19">
        <f>ROUND((Z879)*(1+'Data-CostAssumptions'!$G$3)^(AE879-'Data-CostAssumptions'!$G$4),-3)</f>
        <v>144796000</v>
      </c>
    </row>
    <row r="880" spans="1:34" ht="15" customHeight="1" x14ac:dyDescent="0.2">
      <c r="A880" s="11"/>
      <c r="B880" s="11" t="s">
        <v>1211</v>
      </c>
      <c r="C880" s="13">
        <v>1000</v>
      </c>
      <c r="D880" s="13" t="s">
        <v>420</v>
      </c>
      <c r="E880" s="20">
        <v>43</v>
      </c>
      <c r="F880" s="20">
        <v>199</v>
      </c>
      <c r="G880" s="20">
        <v>879</v>
      </c>
      <c r="H880" s="13" t="s">
        <v>2111</v>
      </c>
      <c r="I880" s="13" t="str">
        <f t="shared" si="26"/>
        <v>SW 184th Av (Griffin Rd to Sheridan St)</v>
      </c>
      <c r="J880" s="13" t="s">
        <v>300</v>
      </c>
      <c r="K880" s="13" t="str">
        <f>VLOOKUP(J880,'Data-ProjectTypes'!A$3:B$13,2,FALSE)</f>
        <v>Project</v>
      </c>
      <c r="L880" s="21" t="s">
        <v>311</v>
      </c>
      <c r="M880" s="13" t="s">
        <v>1750</v>
      </c>
      <c r="N880" s="13" t="s">
        <v>1951</v>
      </c>
      <c r="O880" s="13" t="s">
        <v>272</v>
      </c>
      <c r="P880" s="13" t="s">
        <v>272</v>
      </c>
      <c r="Q880" s="22">
        <v>2.2000000000000002</v>
      </c>
      <c r="R880" s="23">
        <v>28129000</v>
      </c>
      <c r="S880" s="21" t="s">
        <v>24</v>
      </c>
      <c r="T880" s="21" t="s">
        <v>684</v>
      </c>
      <c r="U880" s="21" t="s">
        <v>684</v>
      </c>
      <c r="V880" s="24"/>
      <c r="W880" s="24" t="s">
        <v>3242</v>
      </c>
      <c r="X880" s="24" t="s">
        <v>3243</v>
      </c>
      <c r="Y880" s="17" t="s">
        <v>794</v>
      </c>
      <c r="Z880" s="18">
        <f>ROUND(R880*'Data-CostAssumptions'!$C$3,-3)</f>
        <v>38931000</v>
      </c>
      <c r="AA880" s="11">
        <f t="shared" si="27"/>
        <v>1</v>
      </c>
      <c r="AB880" s="11">
        <v>2041</v>
      </c>
      <c r="AC880" s="11">
        <v>2041</v>
      </c>
      <c r="AD880" s="11">
        <v>2041</v>
      </c>
      <c r="AE880" s="11">
        <v>2041</v>
      </c>
      <c r="AF880" s="11">
        <v>0</v>
      </c>
      <c r="AG880" s="19">
        <f>ROUND((Z880*'Data-CostAssumptions'!$G$5)*(1+'Data-CostAssumptions'!$G$3)^(AC880-'Data-CostAssumptions'!$G$4),-3)</f>
        <v>21960000</v>
      </c>
      <c r="AH880" s="19">
        <f>ROUND((Z880)*(1+'Data-CostAssumptions'!$G$3)^(AE880-'Data-CostAssumptions'!$G$4),-3)</f>
        <v>99817000</v>
      </c>
    </row>
    <row r="881" spans="1:34" ht="15" customHeight="1" x14ac:dyDescent="0.2">
      <c r="A881" s="11"/>
      <c r="B881" s="11" t="s">
        <v>1211</v>
      </c>
      <c r="C881" s="13">
        <v>1001</v>
      </c>
      <c r="D881" s="13" t="s">
        <v>420</v>
      </c>
      <c r="E881" s="20">
        <v>46</v>
      </c>
      <c r="F881" s="20">
        <v>199</v>
      </c>
      <c r="G881" s="20">
        <v>880</v>
      </c>
      <c r="H881" s="13" t="s">
        <v>1867</v>
      </c>
      <c r="I881" s="13" t="str">
        <f t="shared" si="26"/>
        <v>Trails End Rd (County Line Rd to University Dr)</v>
      </c>
      <c r="J881" s="13" t="s">
        <v>300</v>
      </c>
      <c r="K881" s="13" t="str">
        <f>VLOOKUP(J881,'Data-ProjectTypes'!A$3:B$13,2,FALSE)</f>
        <v>Project</v>
      </c>
      <c r="L881" s="21" t="s">
        <v>311</v>
      </c>
      <c r="M881" s="13" t="s">
        <v>1839</v>
      </c>
      <c r="N881" s="13" t="s">
        <v>1804</v>
      </c>
      <c r="O881" s="13" t="s">
        <v>272</v>
      </c>
      <c r="P881" s="13" t="s">
        <v>272</v>
      </c>
      <c r="Q881" s="22">
        <v>0.7</v>
      </c>
      <c r="R881" s="23">
        <v>9389000</v>
      </c>
      <c r="S881" s="21" t="s">
        <v>24</v>
      </c>
      <c r="T881" s="21" t="s">
        <v>25</v>
      </c>
      <c r="U881" s="21" t="s">
        <v>25</v>
      </c>
      <c r="V881" s="24"/>
      <c r="W881" s="31" t="s">
        <v>753</v>
      </c>
      <c r="X881" s="31" t="s">
        <v>752</v>
      </c>
      <c r="Y881" s="17" t="s">
        <v>735</v>
      </c>
      <c r="Z881" s="18">
        <f>ROUND(R881*'Data-CostAssumptions'!$C$3,-3)</f>
        <v>12994000</v>
      </c>
      <c r="AA881" s="11">
        <f t="shared" si="27"/>
        <v>1</v>
      </c>
      <c r="AB881" s="11">
        <v>2041</v>
      </c>
      <c r="AC881" s="11">
        <v>2041</v>
      </c>
      <c r="AD881" s="11">
        <v>2041</v>
      </c>
      <c r="AE881" s="11">
        <v>2041</v>
      </c>
      <c r="AF881" s="11">
        <v>0</v>
      </c>
      <c r="AG881" s="19">
        <f>ROUND((Z881*'Data-CostAssumptions'!$G$5)*(1+'Data-CostAssumptions'!$G$3)^(AC881-'Data-CostAssumptions'!$G$4),-3)</f>
        <v>7330000</v>
      </c>
      <c r="AH881" s="19">
        <f>ROUND((Z881)*(1+'Data-CostAssumptions'!$G$3)^(AE881-'Data-CostAssumptions'!$G$4),-3)</f>
        <v>33316000</v>
      </c>
    </row>
    <row r="882" spans="1:34" ht="15" customHeight="1" x14ac:dyDescent="0.2">
      <c r="A882" s="11"/>
      <c r="B882" s="11" t="s">
        <v>1211</v>
      </c>
      <c r="C882" s="13">
        <v>1002</v>
      </c>
      <c r="D882" s="13" t="s">
        <v>420</v>
      </c>
      <c r="E882" s="20">
        <v>22</v>
      </c>
      <c r="F882" s="20">
        <v>199</v>
      </c>
      <c r="G882" s="20">
        <v>881</v>
      </c>
      <c r="H882" s="13" t="s">
        <v>2792</v>
      </c>
      <c r="I882" s="13" t="str">
        <f t="shared" si="26"/>
        <v>SR 827/Pembroke Rd (SW 200th Av to SW 184th Av)</v>
      </c>
      <c r="J882" s="13" t="s">
        <v>300</v>
      </c>
      <c r="K882" s="13" t="str">
        <f>VLOOKUP(J882,'Data-ProjectTypes'!A$3:B$13,2,FALSE)</f>
        <v>Project</v>
      </c>
      <c r="L882" s="21" t="s">
        <v>311</v>
      </c>
      <c r="M882" s="13" t="s">
        <v>2371</v>
      </c>
      <c r="N882" s="13" t="s">
        <v>2111</v>
      </c>
      <c r="O882" s="13" t="s">
        <v>271</v>
      </c>
      <c r="P882" s="13" t="s">
        <v>271</v>
      </c>
      <c r="Q882" s="22">
        <v>1</v>
      </c>
      <c r="R882" s="23">
        <v>4443783.1552675245</v>
      </c>
      <c r="S882" s="21"/>
      <c r="T882" s="21"/>
      <c r="U882" s="21"/>
      <c r="V882" s="24"/>
      <c r="W882" s="24"/>
      <c r="X882" s="24"/>
      <c r="Y882" s="17"/>
      <c r="Z882" s="18">
        <f>ROUND(R882*'Data-CostAssumptions'!$C$3,-3)</f>
        <v>6150000</v>
      </c>
      <c r="AA882" s="11">
        <f t="shared" si="27"/>
        <v>0</v>
      </c>
      <c r="AB882" s="11">
        <v>2041</v>
      </c>
      <c r="AC882" s="11">
        <v>2041</v>
      </c>
      <c r="AD882" s="11">
        <v>2041</v>
      </c>
      <c r="AE882" s="11">
        <v>2041</v>
      </c>
      <c r="AF882" s="11">
        <v>0</v>
      </c>
      <c r="AG882" s="19">
        <f>ROUND((Z882*'Data-CostAssumptions'!$G$5)*(1+'Data-CostAssumptions'!$G$3)^(AC882-'Data-CostAssumptions'!$G$4),-3)</f>
        <v>3469000</v>
      </c>
      <c r="AH882" s="19">
        <f>ROUND((Z882)*(1+'Data-CostAssumptions'!$G$3)^(AE882-'Data-CostAssumptions'!$G$4),-3)</f>
        <v>15768000</v>
      </c>
    </row>
    <row r="883" spans="1:34" ht="15" customHeight="1" x14ac:dyDescent="0.2">
      <c r="A883" s="51"/>
      <c r="B883" s="51" t="s">
        <v>1211</v>
      </c>
      <c r="C883" s="52">
        <v>1010</v>
      </c>
      <c r="D883" s="52" t="s">
        <v>420</v>
      </c>
      <c r="E883" s="53">
        <v>73</v>
      </c>
      <c r="F883" s="53">
        <v>200</v>
      </c>
      <c r="G883" s="20">
        <v>882</v>
      </c>
      <c r="H883" s="13" t="s">
        <v>2740</v>
      </c>
      <c r="I883" s="13" t="str">
        <f t="shared" si="26"/>
        <v>SR 862/I-595 (State Rd 7 to I-75)</v>
      </c>
      <c r="J883" s="52" t="s">
        <v>300</v>
      </c>
      <c r="K883" s="52" t="str">
        <f>VLOOKUP(J883,'Data-ProjectTypes'!A$3:B$13,2,FALSE)</f>
        <v>Project</v>
      </c>
      <c r="L883" s="52" t="s">
        <v>317</v>
      </c>
      <c r="M883" s="52" t="s">
        <v>1772</v>
      </c>
      <c r="N883" s="52" t="s">
        <v>31</v>
      </c>
      <c r="O883" s="52" t="s">
        <v>270</v>
      </c>
      <c r="P883" s="52" t="s">
        <v>270</v>
      </c>
      <c r="Q883" s="54">
        <v>9.5</v>
      </c>
      <c r="R883" s="55">
        <v>1382000000</v>
      </c>
      <c r="S883" s="52"/>
      <c r="T883" s="52"/>
      <c r="U883" s="52"/>
      <c r="V883" s="56"/>
      <c r="W883" s="56"/>
      <c r="X883" s="56"/>
      <c r="Y883" s="57" t="s">
        <v>1735</v>
      </c>
      <c r="Z883" s="18">
        <f>ROUND(R883*'Data-CostAssumptions'!$C$3,-3)</f>
        <v>1912688000</v>
      </c>
      <c r="AA883" s="11">
        <f t="shared" si="27"/>
        <v>0</v>
      </c>
      <c r="AB883" s="11">
        <v>2041</v>
      </c>
      <c r="AC883" s="11">
        <v>2041</v>
      </c>
      <c r="AD883" s="11">
        <v>2041</v>
      </c>
      <c r="AE883" s="11">
        <v>2041</v>
      </c>
      <c r="AF883" s="11">
        <v>0</v>
      </c>
      <c r="AG883" s="19">
        <f>ROUND((Z883*'Data-CostAssumptions'!$G$5)*(1+'Data-CostAssumptions'!$G$3)^(AC883-'Data-CostAssumptions'!$G$4),-3)</f>
        <v>1078887000</v>
      </c>
      <c r="AH883" s="19">
        <f>ROUND((Z883)*(1+'Data-CostAssumptions'!$G$3)^(AE883-'Data-CostAssumptions'!$G$4),-3)</f>
        <v>4904034000</v>
      </c>
    </row>
    <row r="884" spans="1:34" ht="15" customHeight="1" x14ac:dyDescent="0.2">
      <c r="A884" s="11"/>
      <c r="B884" s="11" t="s">
        <v>1211</v>
      </c>
      <c r="C884" s="13">
        <v>1011</v>
      </c>
      <c r="D884" s="13" t="s">
        <v>420</v>
      </c>
      <c r="E884" s="20">
        <v>53</v>
      </c>
      <c r="F884" s="20">
        <v>200</v>
      </c>
      <c r="G884" s="20">
        <v>883</v>
      </c>
      <c r="H884" s="13" t="s">
        <v>2741</v>
      </c>
      <c r="I884" s="13" t="str">
        <f t="shared" si="26"/>
        <v>SR 862/I-595 Causeway (I-95 to State Rd 7/US 441)</v>
      </c>
      <c r="J884" s="13" t="s">
        <v>300</v>
      </c>
      <c r="K884" s="13" t="str">
        <f>VLOOKUP(J884,'Data-ProjectTypes'!A$3:B$13,2,FALSE)</f>
        <v>Project</v>
      </c>
      <c r="L884" s="21" t="s">
        <v>317</v>
      </c>
      <c r="M884" s="13" t="s">
        <v>41</v>
      </c>
      <c r="N884" s="13" t="s">
        <v>1773</v>
      </c>
      <c r="O884" s="13" t="s">
        <v>270</v>
      </c>
      <c r="P884" s="13" t="s">
        <v>270</v>
      </c>
      <c r="Q884" s="22">
        <v>2.2000000000000002</v>
      </c>
      <c r="R884" s="23">
        <v>21000000</v>
      </c>
      <c r="S884" s="21"/>
      <c r="T884" s="21"/>
      <c r="U884" s="21"/>
      <c r="V884" s="24"/>
      <c r="W884" s="24"/>
      <c r="X884" s="24"/>
      <c r="Y884" s="17"/>
      <c r="Z884" s="18">
        <f>ROUND(R884*'Data-CostAssumptions'!$C$3,-3)</f>
        <v>29064000</v>
      </c>
      <c r="AA884" s="11">
        <f t="shared" si="27"/>
        <v>0</v>
      </c>
      <c r="AB884" s="11">
        <v>2041</v>
      </c>
      <c r="AC884" s="11">
        <v>2041</v>
      </c>
      <c r="AD884" s="11">
        <v>2041</v>
      </c>
      <c r="AE884" s="11">
        <v>2041</v>
      </c>
      <c r="AF884" s="11">
        <v>0</v>
      </c>
      <c r="AG884" s="19">
        <f>ROUND((Z884*'Data-CostAssumptions'!$G$5)*(1+'Data-CostAssumptions'!$G$3)^(AC884-'Data-CostAssumptions'!$G$4),-3)</f>
        <v>16394000</v>
      </c>
      <c r="AH884" s="19">
        <f>ROUND((Z884)*(1+'Data-CostAssumptions'!$G$3)^(AE884-'Data-CostAssumptions'!$G$4),-3)</f>
        <v>74519000</v>
      </c>
    </row>
    <row r="885" spans="1:34" ht="15" customHeight="1" x14ac:dyDescent="0.2">
      <c r="A885" s="11"/>
      <c r="B885" s="11" t="s">
        <v>1213</v>
      </c>
      <c r="C885" s="13">
        <v>1014</v>
      </c>
      <c r="D885" s="13" t="s">
        <v>420</v>
      </c>
      <c r="E885" s="20">
        <v>66</v>
      </c>
      <c r="F885" s="20">
        <v>201</v>
      </c>
      <c r="G885" s="20">
        <v>884</v>
      </c>
      <c r="H885" s="13" t="s">
        <v>2802</v>
      </c>
      <c r="I885" s="13" t="str">
        <f t="shared" si="26"/>
        <v>SR 869/Sawgrass Expressway (Florida Turnpike Main Line to at Hollywood Bl)</v>
      </c>
      <c r="J885" s="13" t="s">
        <v>300</v>
      </c>
      <c r="K885" s="13" t="str">
        <f>VLOOKUP(J885,'Data-ProjectTypes'!A$3:B$13,2,FALSE)</f>
        <v>Project</v>
      </c>
      <c r="L885" s="21" t="s">
        <v>320</v>
      </c>
      <c r="M885" s="13" t="s">
        <v>71</v>
      </c>
      <c r="N885" s="11" t="s">
        <v>2313</v>
      </c>
      <c r="O885" s="13" t="s">
        <v>270</v>
      </c>
      <c r="P885" s="13" t="s">
        <v>270</v>
      </c>
      <c r="Q885" s="22">
        <v>22.1</v>
      </c>
      <c r="R885" s="23">
        <v>36986178.746661052</v>
      </c>
      <c r="S885" s="21" t="s">
        <v>25</v>
      </c>
      <c r="T885" s="21"/>
      <c r="U885" s="21"/>
      <c r="V885" s="24"/>
      <c r="W885" s="24"/>
      <c r="X885" s="31" t="s">
        <v>755</v>
      </c>
      <c r="Y885" s="17" t="s">
        <v>3131</v>
      </c>
      <c r="Z885" s="18">
        <f>ROUND(R885*'Data-CostAssumptions'!$C$3,-3)</f>
        <v>51189000</v>
      </c>
      <c r="AA885" s="11">
        <f t="shared" si="27"/>
        <v>0</v>
      </c>
      <c r="AB885" s="11">
        <v>2041</v>
      </c>
      <c r="AC885" s="11">
        <v>2041</v>
      </c>
      <c r="AD885" s="11">
        <v>2041</v>
      </c>
      <c r="AE885" s="11">
        <v>2041</v>
      </c>
      <c r="AF885" s="11">
        <v>0</v>
      </c>
      <c r="AG885" s="19">
        <f>ROUND((Z885*'Data-CostAssumptions'!$G$5)*(1+'Data-CostAssumptions'!$G$3)^(AC885-'Data-CostAssumptions'!$G$4),-3)</f>
        <v>28874000</v>
      </c>
      <c r="AH885" s="19">
        <f>ROUND((Z885)*(1+'Data-CostAssumptions'!$G$3)^(AE885-'Data-CostAssumptions'!$G$4),-3)</f>
        <v>131246000</v>
      </c>
    </row>
    <row r="886" spans="1:34" ht="15" customHeight="1" x14ac:dyDescent="0.2">
      <c r="A886" s="11"/>
      <c r="B886" s="11" t="s">
        <v>1211</v>
      </c>
      <c r="C886" s="13">
        <v>1027</v>
      </c>
      <c r="D886" s="13" t="s">
        <v>420</v>
      </c>
      <c r="E886" s="20">
        <v>2</v>
      </c>
      <c r="F886" s="20">
        <v>204</v>
      </c>
      <c r="G886" s="20">
        <v>885</v>
      </c>
      <c r="H886" s="13" t="s">
        <v>2014</v>
      </c>
      <c r="I886" s="13" t="str">
        <f t="shared" si="26"/>
        <v>Andrews Av (SE 28th St to South of SW 33rd St)</v>
      </c>
      <c r="J886" s="13" t="s">
        <v>300</v>
      </c>
      <c r="K886" s="13" t="str">
        <f>VLOOKUP(J886,'Data-ProjectTypes'!A$3:B$13,2,FALSE)</f>
        <v>Project</v>
      </c>
      <c r="L886" s="21" t="s">
        <v>322</v>
      </c>
      <c r="M886" s="13" t="s">
        <v>2476</v>
      </c>
      <c r="N886" s="13" t="s">
        <v>2475</v>
      </c>
      <c r="O886" s="13" t="s">
        <v>270</v>
      </c>
      <c r="P886" s="13" t="s">
        <v>270</v>
      </c>
      <c r="Q886" s="22">
        <v>0.5</v>
      </c>
      <c r="R886" s="23">
        <v>350000</v>
      </c>
      <c r="S886" s="21"/>
      <c r="T886" s="21"/>
      <c r="U886" s="21"/>
      <c r="V886" s="24"/>
      <c r="W886" s="24"/>
      <c r="X886" s="24"/>
      <c r="Y886" s="17"/>
      <c r="Z886" s="18">
        <f>ROUND(R886*'Data-CostAssumptions'!$C$3,-3)</f>
        <v>484000</v>
      </c>
      <c r="AA886" s="11">
        <f t="shared" si="27"/>
        <v>0</v>
      </c>
      <c r="AB886" s="11">
        <v>2041</v>
      </c>
      <c r="AC886" s="11">
        <v>2041</v>
      </c>
      <c r="AD886" s="11">
        <v>2041</v>
      </c>
      <c r="AE886" s="11">
        <v>2041</v>
      </c>
      <c r="AF886" s="11">
        <v>0</v>
      </c>
      <c r="AG886" s="19">
        <f>ROUND((Z886*'Data-CostAssumptions'!$G$5)*(1+'Data-CostAssumptions'!$G$3)^(AC886-'Data-CostAssumptions'!$G$4),-3)</f>
        <v>273000</v>
      </c>
      <c r="AH886" s="19">
        <f>ROUND((Z886)*(1+'Data-CostAssumptions'!$G$3)^(AE886-'Data-CostAssumptions'!$G$4),-3)</f>
        <v>1241000</v>
      </c>
    </row>
    <row r="887" spans="1:34" ht="15" customHeight="1" x14ac:dyDescent="0.2">
      <c r="A887" s="11"/>
      <c r="B887" s="11" t="s">
        <v>1211</v>
      </c>
      <c r="C887" s="13">
        <v>1036</v>
      </c>
      <c r="D887" s="13" t="s">
        <v>420</v>
      </c>
      <c r="E887" s="20">
        <v>11</v>
      </c>
      <c r="F887" s="20">
        <v>204</v>
      </c>
      <c r="G887" s="20">
        <v>886</v>
      </c>
      <c r="H887" s="13" t="s">
        <v>1791</v>
      </c>
      <c r="I887" s="13" t="str">
        <f t="shared" si="26"/>
        <v>Eller Dr/ICTF ( to 7th Av)</v>
      </c>
      <c r="J887" s="13" t="s">
        <v>300</v>
      </c>
      <c r="K887" s="13" t="str">
        <f>VLOOKUP(J887,'Data-ProjectTypes'!A$3:B$13,2,FALSE)</f>
        <v>Project</v>
      </c>
      <c r="L887" s="21" t="s">
        <v>327</v>
      </c>
      <c r="M887" s="13"/>
      <c r="N887" s="13" t="s">
        <v>2219</v>
      </c>
      <c r="O887" s="13" t="s">
        <v>270</v>
      </c>
      <c r="P887" s="13" t="s">
        <v>270</v>
      </c>
      <c r="Q887" s="22"/>
      <c r="R887" s="23">
        <v>3336209.802258647</v>
      </c>
      <c r="S887" s="21"/>
      <c r="T887" s="21"/>
      <c r="U887" s="21"/>
      <c r="V887" s="24"/>
      <c r="W887" s="24"/>
      <c r="X887" s="24"/>
      <c r="Y887" s="17"/>
      <c r="Z887" s="18">
        <f>ROUND(R887*'Data-CostAssumptions'!$C$3,-3)</f>
        <v>4617000</v>
      </c>
      <c r="AA887" s="11">
        <f t="shared" si="27"/>
        <v>0</v>
      </c>
      <c r="AB887" s="11">
        <v>2041</v>
      </c>
      <c r="AC887" s="11">
        <v>2041</v>
      </c>
      <c r="AD887" s="11">
        <v>2041</v>
      </c>
      <c r="AE887" s="11">
        <v>2041</v>
      </c>
      <c r="AF887" s="11">
        <v>0</v>
      </c>
      <c r="AG887" s="19">
        <f>ROUND((Z887*'Data-CostAssumptions'!$G$5)*(1+'Data-CostAssumptions'!$G$3)^(AC887-'Data-CostAssumptions'!$G$4),-3)</f>
        <v>2604000</v>
      </c>
      <c r="AH887" s="19">
        <f>ROUND((Z887)*(1+'Data-CostAssumptions'!$G$3)^(AE887-'Data-CostAssumptions'!$G$4),-3)</f>
        <v>11838000</v>
      </c>
    </row>
    <row r="888" spans="1:34" ht="15" customHeight="1" x14ac:dyDescent="0.2">
      <c r="A888" s="11"/>
      <c r="B888" s="11" t="s">
        <v>1211</v>
      </c>
      <c r="C888" s="13">
        <v>1037</v>
      </c>
      <c r="D888" s="13" t="s">
        <v>420</v>
      </c>
      <c r="E888" s="20">
        <v>12</v>
      </c>
      <c r="F888" s="20">
        <v>204</v>
      </c>
      <c r="G888" s="20">
        <v>887</v>
      </c>
      <c r="H888" s="13" t="s">
        <v>1789</v>
      </c>
      <c r="I888" s="13" t="str">
        <f t="shared" si="26"/>
        <v>Eller Dr ( to McKintosh Rd)</v>
      </c>
      <c r="J888" s="13" t="s">
        <v>300</v>
      </c>
      <c r="K888" s="13" t="str">
        <f>VLOOKUP(J888,'Data-ProjectTypes'!A$3:B$13,2,FALSE)</f>
        <v>Project</v>
      </c>
      <c r="L888" s="21" t="s">
        <v>328</v>
      </c>
      <c r="M888" s="13"/>
      <c r="N888" s="13" t="s">
        <v>2409</v>
      </c>
      <c r="O888" s="13" t="s">
        <v>270</v>
      </c>
      <c r="P888" s="13" t="s">
        <v>270</v>
      </c>
      <c r="Q888" s="22"/>
      <c r="R888" s="23">
        <v>350000</v>
      </c>
      <c r="S888" s="21" t="s">
        <v>24</v>
      </c>
      <c r="T888" s="21"/>
      <c r="U888" s="21"/>
      <c r="V888" s="24"/>
      <c r="W888" s="24" t="s">
        <v>552</v>
      </c>
      <c r="X888" s="24"/>
      <c r="Y888" s="17" t="s">
        <v>538</v>
      </c>
      <c r="Z888" s="18">
        <f>ROUND(R888*'Data-CostAssumptions'!$C$3,-3)</f>
        <v>484000</v>
      </c>
      <c r="AA888" s="11">
        <f t="shared" si="27"/>
        <v>1</v>
      </c>
      <c r="AB888" s="11">
        <v>2041</v>
      </c>
      <c r="AC888" s="11">
        <v>2041</v>
      </c>
      <c r="AD888" s="11">
        <v>2041</v>
      </c>
      <c r="AE888" s="11">
        <v>2041</v>
      </c>
      <c r="AF888" s="11">
        <v>0</v>
      </c>
      <c r="AG888" s="19">
        <f>ROUND((Z888*'Data-CostAssumptions'!$G$5)*(1+'Data-CostAssumptions'!$G$3)^(AC888-'Data-CostAssumptions'!$G$4),-3)</f>
        <v>273000</v>
      </c>
      <c r="AH888" s="19">
        <f>ROUND((Z888)*(1+'Data-CostAssumptions'!$G$3)^(AE888-'Data-CostAssumptions'!$G$4),-3)</f>
        <v>1241000</v>
      </c>
    </row>
    <row r="889" spans="1:34" ht="15" customHeight="1" x14ac:dyDescent="0.2">
      <c r="A889" s="11"/>
      <c r="B889" s="11" t="s">
        <v>1211</v>
      </c>
      <c r="C889" s="13">
        <v>1038</v>
      </c>
      <c r="D889" s="13" t="s">
        <v>420</v>
      </c>
      <c r="E889" s="20">
        <v>13</v>
      </c>
      <c r="F889" s="20">
        <v>205</v>
      </c>
      <c r="G889" s="20">
        <v>888</v>
      </c>
      <c r="H889" s="13" t="s">
        <v>1789</v>
      </c>
      <c r="I889" s="13" t="str">
        <f t="shared" si="26"/>
        <v>Eller Dr ( to State Rd 84/I-595 frontage)</v>
      </c>
      <c r="J889" s="13" t="s">
        <v>300</v>
      </c>
      <c r="K889" s="13" t="str">
        <f>VLOOKUP(J889,'Data-ProjectTypes'!A$3:B$13,2,FALSE)</f>
        <v>Project</v>
      </c>
      <c r="L889" s="21" t="s">
        <v>329</v>
      </c>
      <c r="M889" s="13"/>
      <c r="N889" s="13" t="s">
        <v>2410</v>
      </c>
      <c r="O889" s="13" t="s">
        <v>270</v>
      </c>
      <c r="P889" s="13" t="s">
        <v>270</v>
      </c>
      <c r="Q889" s="22"/>
      <c r="R889" s="23">
        <v>350000</v>
      </c>
      <c r="S889" s="21"/>
      <c r="T889" s="21"/>
      <c r="U889" s="21"/>
      <c r="V889" s="24"/>
      <c r="W889" s="24"/>
      <c r="X889" s="28"/>
      <c r="Y889" s="17"/>
      <c r="Z889" s="18">
        <f>ROUND(R889*'Data-CostAssumptions'!$C$3,-3)</f>
        <v>484000</v>
      </c>
      <c r="AA889" s="11">
        <f t="shared" si="27"/>
        <v>0</v>
      </c>
      <c r="AB889" s="11">
        <v>2041</v>
      </c>
      <c r="AC889" s="11">
        <v>2041</v>
      </c>
      <c r="AD889" s="11">
        <v>2041</v>
      </c>
      <c r="AE889" s="11">
        <v>2041</v>
      </c>
      <c r="AF889" s="11">
        <v>0</v>
      </c>
      <c r="AG889" s="19">
        <f>ROUND((Z889*'Data-CostAssumptions'!$G$5)*(1+'Data-CostAssumptions'!$G$3)^(AC889-'Data-CostAssumptions'!$G$4),-3)</f>
        <v>273000</v>
      </c>
      <c r="AH889" s="19">
        <f>ROUND((Z889)*(1+'Data-CostAssumptions'!$G$3)^(AE889-'Data-CostAssumptions'!$G$4),-3)</f>
        <v>1241000</v>
      </c>
    </row>
    <row r="890" spans="1:34" ht="15" customHeight="1" x14ac:dyDescent="0.2">
      <c r="A890" s="11"/>
      <c r="B890" s="11" t="s">
        <v>1211</v>
      </c>
      <c r="C890" s="13">
        <v>1039</v>
      </c>
      <c r="D890" s="13" t="s">
        <v>420</v>
      </c>
      <c r="E890" s="20">
        <v>14</v>
      </c>
      <c r="F890" s="20">
        <v>205</v>
      </c>
      <c r="G890" s="20">
        <v>889</v>
      </c>
      <c r="H890" s="13" t="s">
        <v>1790</v>
      </c>
      <c r="I890" s="13" t="str">
        <f t="shared" si="26"/>
        <v>Eller Dr/Eller Dr Extension ( to I-595)</v>
      </c>
      <c r="J890" s="13" t="s">
        <v>300</v>
      </c>
      <c r="K890" s="13" t="str">
        <f>VLOOKUP(J890,'Data-ProjectTypes'!A$3:B$13,2,FALSE)</f>
        <v>Project</v>
      </c>
      <c r="L890" s="21" t="s">
        <v>330</v>
      </c>
      <c r="M890" s="13"/>
      <c r="N890" s="13" t="s">
        <v>34</v>
      </c>
      <c r="O890" s="13" t="s">
        <v>270</v>
      </c>
      <c r="P890" s="13" t="s">
        <v>270</v>
      </c>
      <c r="Q890" s="22"/>
      <c r="R890" s="23">
        <v>350000</v>
      </c>
      <c r="S890" s="21"/>
      <c r="T890" s="21"/>
      <c r="U890" s="21"/>
      <c r="V890" s="24"/>
      <c r="W890" s="24"/>
      <c r="X890" s="24"/>
      <c r="Y890" s="17"/>
      <c r="Z890" s="18">
        <f>ROUND(R890*'Data-CostAssumptions'!$C$3,-3)</f>
        <v>484000</v>
      </c>
      <c r="AA890" s="11">
        <f t="shared" si="27"/>
        <v>0</v>
      </c>
      <c r="AB890" s="11">
        <v>2041</v>
      </c>
      <c r="AC890" s="11">
        <v>2041</v>
      </c>
      <c r="AD890" s="11">
        <v>2041</v>
      </c>
      <c r="AE890" s="11">
        <v>2041</v>
      </c>
      <c r="AF890" s="11">
        <v>0</v>
      </c>
      <c r="AG890" s="19">
        <f>ROUND((Z890*'Data-CostAssumptions'!$G$5)*(1+'Data-CostAssumptions'!$G$3)^(AC890-'Data-CostAssumptions'!$G$4),-3)</f>
        <v>273000</v>
      </c>
      <c r="AH890" s="19">
        <f>ROUND((Z890)*(1+'Data-CostAssumptions'!$G$3)^(AE890-'Data-CostAssumptions'!$G$4),-3)</f>
        <v>1241000</v>
      </c>
    </row>
    <row r="891" spans="1:34" ht="15" customHeight="1" x14ac:dyDescent="0.2">
      <c r="A891" s="11"/>
      <c r="B891" s="11" t="s">
        <v>1211</v>
      </c>
      <c r="C891" s="13">
        <v>1044</v>
      </c>
      <c r="D891" s="13" t="s">
        <v>420</v>
      </c>
      <c r="E891" s="20">
        <v>20</v>
      </c>
      <c r="F891" s="20">
        <v>205</v>
      </c>
      <c r="G891" s="20">
        <v>890</v>
      </c>
      <c r="H891" s="13" t="s">
        <v>1852</v>
      </c>
      <c r="I891" s="13" t="str">
        <f t="shared" si="26"/>
        <v>McIntosh Rd (North of SE 36th St to North of SE 46th St)</v>
      </c>
      <c r="J891" s="13" t="s">
        <v>300</v>
      </c>
      <c r="K891" s="13" t="str">
        <f>VLOOKUP(J891,'Data-ProjectTypes'!A$3:B$13,2,FALSE)</f>
        <v>Project</v>
      </c>
      <c r="L891" s="21" t="s">
        <v>333</v>
      </c>
      <c r="M891" s="13" t="s">
        <v>2500</v>
      </c>
      <c r="N891" s="13" t="s">
        <v>2499</v>
      </c>
      <c r="O891" s="13" t="s">
        <v>270</v>
      </c>
      <c r="P891" s="13" t="s">
        <v>270</v>
      </c>
      <c r="Q891" s="22">
        <v>0.75</v>
      </c>
      <c r="R891" s="23">
        <v>350000</v>
      </c>
      <c r="S891" s="21" t="s">
        <v>24</v>
      </c>
      <c r="T891" s="21"/>
      <c r="U891" s="21"/>
      <c r="V891" s="24"/>
      <c r="W891" s="24" t="s">
        <v>552</v>
      </c>
      <c r="X891" s="28"/>
      <c r="Y891" s="17" t="s">
        <v>538</v>
      </c>
      <c r="Z891" s="18">
        <f>ROUND(R891*'Data-CostAssumptions'!$C$3,-3)</f>
        <v>484000</v>
      </c>
      <c r="AA891" s="11">
        <f t="shared" si="27"/>
        <v>1</v>
      </c>
      <c r="AB891" s="11">
        <v>2041</v>
      </c>
      <c r="AC891" s="11">
        <v>2041</v>
      </c>
      <c r="AD891" s="11">
        <v>2041</v>
      </c>
      <c r="AE891" s="11">
        <v>2041</v>
      </c>
      <c r="AF891" s="11">
        <v>0</v>
      </c>
      <c r="AG891" s="19">
        <f>ROUND((Z891*'Data-CostAssumptions'!$G$5)*(1+'Data-CostAssumptions'!$G$3)^(AC891-'Data-CostAssumptions'!$G$4),-3)</f>
        <v>273000</v>
      </c>
      <c r="AH891" s="19">
        <f>ROUND((Z891)*(1+'Data-CostAssumptions'!$G$3)^(AE891-'Data-CostAssumptions'!$G$4),-3)</f>
        <v>1241000</v>
      </c>
    </row>
    <row r="892" spans="1:34" ht="15" customHeight="1" x14ac:dyDescent="0.2">
      <c r="A892" s="11"/>
      <c r="B892" s="11" t="s">
        <v>1211</v>
      </c>
      <c r="C892" s="11">
        <v>1045</v>
      </c>
      <c r="D892" s="13" t="s">
        <v>420</v>
      </c>
      <c r="E892" s="14"/>
      <c r="F892" s="14">
        <v>205</v>
      </c>
      <c r="G892" s="20">
        <v>891</v>
      </c>
      <c r="H892" s="13" t="s">
        <v>1853</v>
      </c>
      <c r="I892" s="13" t="str">
        <f t="shared" si="26"/>
        <v>McIntosh Rd Loop ( to )</v>
      </c>
      <c r="J892" s="13" t="s">
        <v>300</v>
      </c>
      <c r="K892" s="13" t="str">
        <f>VLOOKUP(J892,'Data-ProjectTypes'!A$3:B$13,2,FALSE)</f>
        <v>Project</v>
      </c>
      <c r="L892" s="11" t="s">
        <v>395</v>
      </c>
      <c r="M892" s="11"/>
      <c r="N892" s="11"/>
      <c r="O892" s="11" t="s">
        <v>270</v>
      </c>
      <c r="P892" s="11" t="s">
        <v>270</v>
      </c>
      <c r="Q892" s="15"/>
      <c r="R892" s="16">
        <v>137000</v>
      </c>
      <c r="S892" s="11"/>
      <c r="T892" s="11"/>
      <c r="U892" s="11"/>
      <c r="V892" s="11"/>
      <c r="W892" s="11"/>
      <c r="X892" s="11"/>
      <c r="Y892" s="17"/>
      <c r="Z892" s="18">
        <f>ROUND(R892*'Data-CostAssumptions'!$C$3,-3)</f>
        <v>190000</v>
      </c>
      <c r="AA892" s="11">
        <f t="shared" si="27"/>
        <v>0</v>
      </c>
      <c r="AB892" s="11">
        <v>2041</v>
      </c>
      <c r="AC892" s="11">
        <v>2041</v>
      </c>
      <c r="AD892" s="11">
        <v>2041</v>
      </c>
      <c r="AE892" s="11">
        <v>2041</v>
      </c>
      <c r="AF892" s="11">
        <v>0</v>
      </c>
      <c r="AG892" s="19">
        <f>ROUND((Z892*'Data-CostAssumptions'!$G$5)*(1+'Data-CostAssumptions'!$G$3)^(AC892-'Data-CostAssumptions'!$G$4),-3)</f>
        <v>107000</v>
      </c>
      <c r="AH892" s="19">
        <f>ROUND((Z892)*(1+'Data-CostAssumptions'!$G$3)^(AE892-'Data-CostAssumptions'!$G$4),-3)</f>
        <v>487000</v>
      </c>
    </row>
    <row r="893" spans="1:34" ht="15" customHeight="1" x14ac:dyDescent="0.2">
      <c r="A893" s="11"/>
      <c r="B893" s="11" t="s">
        <v>1211</v>
      </c>
      <c r="C893" s="13">
        <v>1049</v>
      </c>
      <c r="D893" s="13" t="s">
        <v>420</v>
      </c>
      <c r="E893" s="20">
        <v>26</v>
      </c>
      <c r="F893" s="20">
        <v>206</v>
      </c>
      <c r="G893" s="20">
        <v>892</v>
      </c>
      <c r="H893" s="13" t="s">
        <v>2799</v>
      </c>
      <c r="I893" s="13" t="str">
        <f t="shared" si="26"/>
        <v>SR 845/Powerline Rd ( to NW 15th St)</v>
      </c>
      <c r="J893" s="13" t="s">
        <v>300</v>
      </c>
      <c r="K893" s="13" t="str">
        <f>VLOOKUP(J893,'Data-ProjectTypes'!A$3:B$13,2,FALSE)</f>
        <v>Project</v>
      </c>
      <c r="L893" s="21" t="s">
        <v>336</v>
      </c>
      <c r="M893" s="13"/>
      <c r="N893" s="13" t="s">
        <v>1909</v>
      </c>
      <c r="O893" s="13" t="s">
        <v>270</v>
      </c>
      <c r="P893" s="13" t="s">
        <v>270</v>
      </c>
      <c r="Q893" s="22"/>
      <c r="R893" s="23">
        <v>40000</v>
      </c>
      <c r="S893" s="21"/>
      <c r="T893" s="21"/>
      <c r="U893" s="21"/>
      <c r="V893" s="24"/>
      <c r="W893" s="24"/>
      <c r="X893" s="24"/>
      <c r="Y893" s="17"/>
      <c r="Z893" s="18">
        <f>ROUND(R893*'Data-CostAssumptions'!$C$3,-3)</f>
        <v>55000</v>
      </c>
      <c r="AA893" s="11">
        <f t="shared" si="27"/>
        <v>0</v>
      </c>
      <c r="AB893" s="11">
        <v>2041</v>
      </c>
      <c r="AC893" s="11">
        <v>2041</v>
      </c>
      <c r="AD893" s="11">
        <v>2041</v>
      </c>
      <c r="AE893" s="11">
        <v>2041</v>
      </c>
      <c r="AF893" s="11">
        <v>0</v>
      </c>
      <c r="AG893" s="19">
        <f>ROUND((Z893*'Data-CostAssumptions'!$G$5)*(1+'Data-CostAssumptions'!$G$3)^(AC893-'Data-CostAssumptions'!$G$4),-3)</f>
        <v>31000</v>
      </c>
      <c r="AH893" s="19">
        <f>ROUND((Z893)*(1+'Data-CostAssumptions'!$G$3)^(AE893-'Data-CostAssumptions'!$G$4),-3)</f>
        <v>141000</v>
      </c>
    </row>
    <row r="894" spans="1:34" ht="15" customHeight="1" x14ac:dyDescent="0.2">
      <c r="A894" s="11"/>
      <c r="B894" s="11" t="s">
        <v>1211</v>
      </c>
      <c r="C894" s="13">
        <v>1051</v>
      </c>
      <c r="D894" s="13" t="s">
        <v>420</v>
      </c>
      <c r="E894" s="20">
        <v>28</v>
      </c>
      <c r="F894" s="20">
        <v>206</v>
      </c>
      <c r="G894" s="20">
        <v>893</v>
      </c>
      <c r="H894" s="13" t="s">
        <v>2802</v>
      </c>
      <c r="I894" s="13" t="str">
        <f t="shared" si="26"/>
        <v>SR 869/Sawgrass Expressway ( to at Sunrise Bl)</v>
      </c>
      <c r="J894" s="13" t="s">
        <v>300</v>
      </c>
      <c r="K894" s="13" t="str">
        <f>VLOOKUP(J894,'Data-ProjectTypes'!A$3:B$13,2,FALSE)</f>
        <v>Project</v>
      </c>
      <c r="L894" s="21" t="s">
        <v>337</v>
      </c>
      <c r="M894" s="13"/>
      <c r="N894" s="11" t="s">
        <v>2314</v>
      </c>
      <c r="O894" s="13" t="s">
        <v>270</v>
      </c>
      <c r="P894" s="13" t="s">
        <v>270</v>
      </c>
      <c r="Q894" s="22"/>
      <c r="R894" s="23">
        <v>20000</v>
      </c>
      <c r="S894" s="21"/>
      <c r="T894" s="21"/>
      <c r="U894" s="21"/>
      <c r="V894" s="24"/>
      <c r="W894" s="24"/>
      <c r="X894" s="24"/>
      <c r="Y894" s="17"/>
      <c r="Z894" s="18">
        <f>ROUND(R894*'Data-CostAssumptions'!$C$3,-3)</f>
        <v>28000</v>
      </c>
      <c r="AA894" s="11">
        <f t="shared" si="27"/>
        <v>0</v>
      </c>
      <c r="AB894" s="11">
        <v>2041</v>
      </c>
      <c r="AC894" s="11">
        <v>2041</v>
      </c>
      <c r="AD894" s="11">
        <v>2041</v>
      </c>
      <c r="AE894" s="11">
        <v>2041</v>
      </c>
      <c r="AF894" s="11">
        <v>0</v>
      </c>
      <c r="AG894" s="19">
        <f>ROUND((Z894*'Data-CostAssumptions'!$G$5)*(1+'Data-CostAssumptions'!$G$3)^(AC894-'Data-CostAssumptions'!$G$4),-3)</f>
        <v>16000</v>
      </c>
      <c r="AH894" s="19">
        <f>ROUND((Z894)*(1+'Data-CostAssumptions'!$G$3)^(AE894-'Data-CostAssumptions'!$G$4),-3)</f>
        <v>72000</v>
      </c>
    </row>
    <row r="895" spans="1:34" ht="15" customHeight="1" x14ac:dyDescent="0.2">
      <c r="A895" s="11"/>
      <c r="B895" s="11" t="s">
        <v>1211</v>
      </c>
      <c r="C895" s="13">
        <v>1054</v>
      </c>
      <c r="D895" s="13" t="s">
        <v>420</v>
      </c>
      <c r="E895" s="20">
        <v>32</v>
      </c>
      <c r="F895" s="20">
        <v>206</v>
      </c>
      <c r="G895" s="20">
        <v>894</v>
      </c>
      <c r="H895" s="13" t="s">
        <v>1865</v>
      </c>
      <c r="I895" s="13" t="str">
        <f t="shared" si="26"/>
        <v>Spangler Rd (Eisenhower Bl to Miami Rd)</v>
      </c>
      <c r="J895" s="13" t="s">
        <v>300</v>
      </c>
      <c r="K895" s="13" t="str">
        <f>VLOOKUP(J895,'Data-ProjectTypes'!A$3:B$13,2,FALSE)</f>
        <v>Project</v>
      </c>
      <c r="L895" s="21" t="s">
        <v>339</v>
      </c>
      <c r="M895" s="13" t="s">
        <v>1817</v>
      </c>
      <c r="N895" s="13" t="s">
        <v>2451</v>
      </c>
      <c r="O895" s="13" t="s">
        <v>270</v>
      </c>
      <c r="P895" s="13" t="s">
        <v>270</v>
      </c>
      <c r="Q895" s="22"/>
      <c r="R895" s="23">
        <v>350000</v>
      </c>
      <c r="S895" s="21" t="s">
        <v>24</v>
      </c>
      <c r="T895" s="21"/>
      <c r="U895" s="21"/>
      <c r="V895" s="24"/>
      <c r="W895" s="24" t="s">
        <v>552</v>
      </c>
      <c r="X895" s="24"/>
      <c r="Y895" s="17" t="s">
        <v>538</v>
      </c>
      <c r="Z895" s="18">
        <f>ROUND(R895*'Data-CostAssumptions'!$C$3,-3)</f>
        <v>484000</v>
      </c>
      <c r="AA895" s="11">
        <f t="shared" si="27"/>
        <v>1</v>
      </c>
      <c r="AB895" s="11">
        <v>2041</v>
      </c>
      <c r="AC895" s="11">
        <v>2041</v>
      </c>
      <c r="AD895" s="11">
        <v>2041</v>
      </c>
      <c r="AE895" s="11">
        <v>2041</v>
      </c>
      <c r="AF895" s="11">
        <v>0</v>
      </c>
      <c r="AG895" s="19">
        <f>ROUND((Z895*'Data-CostAssumptions'!$G$5)*(1+'Data-CostAssumptions'!$G$3)^(AC895-'Data-CostAssumptions'!$G$4),-3)</f>
        <v>273000</v>
      </c>
      <c r="AH895" s="19">
        <f>ROUND((Z895)*(1+'Data-CostAssumptions'!$G$3)^(AE895-'Data-CostAssumptions'!$G$4),-3)</f>
        <v>1241000</v>
      </c>
    </row>
    <row r="896" spans="1:34" ht="15" customHeight="1" x14ac:dyDescent="0.2">
      <c r="A896" s="11"/>
      <c r="B896" s="11" t="s">
        <v>1211</v>
      </c>
      <c r="C896" s="13">
        <v>1056</v>
      </c>
      <c r="D896" s="13" t="s">
        <v>420</v>
      </c>
      <c r="E896" s="20">
        <v>34</v>
      </c>
      <c r="F896" s="20">
        <v>206</v>
      </c>
      <c r="G896" s="20">
        <v>895</v>
      </c>
      <c r="H896" s="13" t="s">
        <v>45</v>
      </c>
      <c r="I896" s="13" t="str">
        <f t="shared" si="26"/>
        <v>SR 84 (@  Andrews Av)</v>
      </c>
      <c r="J896" s="13" t="s">
        <v>300</v>
      </c>
      <c r="K896" s="13" t="str">
        <f>VLOOKUP(J896,'Data-ProjectTypes'!A$3:B$13,2,FALSE)</f>
        <v>Project</v>
      </c>
      <c r="L896" s="21" t="s">
        <v>301</v>
      </c>
      <c r="M896" s="13" t="s">
        <v>2835</v>
      </c>
      <c r="N896" s="13" t="s">
        <v>2014</v>
      </c>
      <c r="O896" s="13" t="s">
        <v>270</v>
      </c>
      <c r="P896" s="13" t="s">
        <v>270</v>
      </c>
      <c r="Q896" s="22"/>
      <c r="R896" s="23">
        <v>100000</v>
      </c>
      <c r="S896" s="21"/>
      <c r="T896" s="21"/>
      <c r="U896" s="21"/>
      <c r="V896" s="24"/>
      <c r="W896" s="24"/>
      <c r="X896" s="24"/>
      <c r="Y896" s="17"/>
      <c r="Z896" s="18">
        <f>ROUND(R896*'Data-CostAssumptions'!$C$3,-3)</f>
        <v>138000</v>
      </c>
      <c r="AA896" s="11">
        <f t="shared" si="27"/>
        <v>0</v>
      </c>
      <c r="AB896" s="11">
        <v>2041</v>
      </c>
      <c r="AC896" s="11">
        <v>2041</v>
      </c>
      <c r="AD896" s="11">
        <v>2041</v>
      </c>
      <c r="AE896" s="11">
        <v>2041</v>
      </c>
      <c r="AF896" s="11">
        <v>0</v>
      </c>
      <c r="AG896" s="19">
        <f>ROUND((Z896*'Data-CostAssumptions'!$G$5)*(1+'Data-CostAssumptions'!$G$3)^(AC896-'Data-CostAssumptions'!$G$4),-3)</f>
        <v>78000</v>
      </c>
      <c r="AH896" s="19">
        <f>ROUND((Z896)*(1+'Data-CostAssumptions'!$G$3)^(AE896-'Data-CostAssumptions'!$G$4),-3)</f>
        <v>354000</v>
      </c>
    </row>
    <row r="897" spans="1:34" ht="15" customHeight="1" x14ac:dyDescent="0.2">
      <c r="A897" s="11"/>
      <c r="B897" s="11" t="s">
        <v>1211</v>
      </c>
      <c r="C897" s="13">
        <v>1057</v>
      </c>
      <c r="D897" s="13" t="s">
        <v>420</v>
      </c>
      <c r="E897" s="20">
        <v>35</v>
      </c>
      <c r="F897" s="20">
        <v>206</v>
      </c>
      <c r="G897" s="20">
        <v>896</v>
      </c>
      <c r="H897" s="13" t="s">
        <v>45</v>
      </c>
      <c r="I897" s="13" t="str">
        <f t="shared" si="26"/>
        <v>SR 84 (@  I-95)</v>
      </c>
      <c r="J897" s="13" t="s">
        <v>300</v>
      </c>
      <c r="K897" s="13" t="str">
        <f>VLOOKUP(J897,'Data-ProjectTypes'!A$3:B$13,2,FALSE)</f>
        <v>Project</v>
      </c>
      <c r="L897" s="21" t="s">
        <v>341</v>
      </c>
      <c r="M897" s="13" t="s">
        <v>2835</v>
      </c>
      <c r="N897" s="13" t="s">
        <v>41</v>
      </c>
      <c r="O897" s="13" t="s">
        <v>270</v>
      </c>
      <c r="P897" s="13" t="s">
        <v>270</v>
      </c>
      <c r="Q897" s="22"/>
      <c r="R897" s="23">
        <v>15000000</v>
      </c>
      <c r="S897" s="21"/>
      <c r="T897" s="21"/>
      <c r="U897" s="21"/>
      <c r="V897" s="24"/>
      <c r="W897" s="24"/>
      <c r="X897" s="24"/>
      <c r="Y897" s="17"/>
      <c r="Z897" s="18">
        <f>ROUND(R897*'Data-CostAssumptions'!$C$3,-3)</f>
        <v>20760000</v>
      </c>
      <c r="AA897" s="11">
        <f t="shared" si="27"/>
        <v>0</v>
      </c>
      <c r="AB897" s="11">
        <v>2041</v>
      </c>
      <c r="AC897" s="11">
        <v>2041</v>
      </c>
      <c r="AD897" s="11">
        <v>2041</v>
      </c>
      <c r="AE897" s="11">
        <v>2041</v>
      </c>
      <c r="AF897" s="11">
        <v>0</v>
      </c>
      <c r="AG897" s="19">
        <f>ROUND((Z897*'Data-CostAssumptions'!$G$5)*(1+'Data-CostAssumptions'!$G$3)^(AC897-'Data-CostAssumptions'!$G$4),-3)</f>
        <v>11710000</v>
      </c>
      <c r="AH897" s="19">
        <f>ROUND((Z897)*(1+'Data-CostAssumptions'!$G$3)^(AE897-'Data-CostAssumptions'!$G$4),-3)</f>
        <v>53228000</v>
      </c>
    </row>
    <row r="898" spans="1:34" ht="15" customHeight="1" x14ac:dyDescent="0.2">
      <c r="A898" s="11"/>
      <c r="B898" s="11" t="s">
        <v>1211</v>
      </c>
      <c r="C898" s="13">
        <v>1059</v>
      </c>
      <c r="D898" s="13" t="s">
        <v>420</v>
      </c>
      <c r="E898" s="20">
        <v>37</v>
      </c>
      <c r="F898" s="20">
        <v>207</v>
      </c>
      <c r="G898" s="20">
        <v>897</v>
      </c>
      <c r="H898" s="13" t="s">
        <v>45</v>
      </c>
      <c r="I898" s="13" t="str">
        <f t="shared" ref="I898:I961" si="28">IF(M898="@",H898&amp;" ("&amp;M898&amp;"  "&amp;N898&amp;")",H898&amp;" ("&amp;M898&amp;" to "&amp;N898&amp;")")</f>
        <v>SR 84 (@  SW 15th Av)</v>
      </c>
      <c r="J898" s="13" t="s">
        <v>300</v>
      </c>
      <c r="K898" s="13" t="str">
        <f>VLOOKUP(J898,'Data-ProjectTypes'!A$3:B$13,2,FALSE)</f>
        <v>Project</v>
      </c>
      <c r="L898" s="21" t="s">
        <v>301</v>
      </c>
      <c r="M898" s="13" t="s">
        <v>2835</v>
      </c>
      <c r="N898" s="13" t="s">
        <v>2106</v>
      </c>
      <c r="O898" s="13" t="s">
        <v>270</v>
      </c>
      <c r="P898" s="13" t="s">
        <v>270</v>
      </c>
      <c r="Q898" s="22"/>
      <c r="R898" s="23">
        <v>350000</v>
      </c>
      <c r="S898" s="21"/>
      <c r="T898" s="21"/>
      <c r="U898" s="21"/>
      <c r="V898" s="24"/>
      <c r="W898" s="24"/>
      <c r="X898" s="24"/>
      <c r="Y898" s="17"/>
      <c r="Z898" s="18">
        <f>ROUND(R898*'Data-CostAssumptions'!$C$3,-3)</f>
        <v>484000</v>
      </c>
      <c r="AA898" s="11">
        <f t="shared" si="27"/>
        <v>0</v>
      </c>
      <c r="AB898" s="11">
        <v>2041</v>
      </c>
      <c r="AC898" s="11">
        <v>2041</v>
      </c>
      <c r="AD898" s="11">
        <v>2041</v>
      </c>
      <c r="AE898" s="11">
        <v>2041</v>
      </c>
      <c r="AF898" s="11">
        <v>0</v>
      </c>
      <c r="AG898" s="19">
        <f>ROUND((Z898*'Data-CostAssumptions'!$G$5)*(1+'Data-CostAssumptions'!$G$3)^(AC898-'Data-CostAssumptions'!$G$4),-3)</f>
        <v>273000</v>
      </c>
      <c r="AH898" s="19">
        <f>ROUND((Z898)*(1+'Data-CostAssumptions'!$G$3)^(AE898-'Data-CostAssumptions'!$G$4),-3)</f>
        <v>1241000</v>
      </c>
    </row>
    <row r="899" spans="1:34" ht="15" customHeight="1" x14ac:dyDescent="0.2">
      <c r="A899" s="11"/>
      <c r="B899" s="11" t="s">
        <v>1211</v>
      </c>
      <c r="C899" s="13">
        <v>1060</v>
      </c>
      <c r="D899" s="13" t="s">
        <v>420</v>
      </c>
      <c r="E899" s="20">
        <v>38</v>
      </c>
      <c r="F899" s="20">
        <v>207</v>
      </c>
      <c r="G899" s="20">
        <v>898</v>
      </c>
      <c r="H899" s="13" t="s">
        <v>2127</v>
      </c>
      <c r="I899" s="13" t="str">
        <f t="shared" si="28"/>
        <v>SW 4th Av ( to 28th St)</v>
      </c>
      <c r="J899" s="13" t="s">
        <v>300</v>
      </c>
      <c r="K899" s="13" t="str">
        <f>VLOOKUP(J899,'Data-ProjectTypes'!A$3:B$13,2,FALSE)</f>
        <v>Project</v>
      </c>
      <c r="L899" s="21" t="s">
        <v>336</v>
      </c>
      <c r="M899" s="13"/>
      <c r="N899" s="13" t="s">
        <v>2582</v>
      </c>
      <c r="O899" s="13" t="s">
        <v>270</v>
      </c>
      <c r="P899" s="13" t="s">
        <v>270</v>
      </c>
      <c r="Q899" s="22"/>
      <c r="R899" s="23">
        <v>40000</v>
      </c>
      <c r="S899" s="21"/>
      <c r="T899" s="21"/>
      <c r="U899" s="21"/>
      <c r="V899" s="24"/>
      <c r="W899" s="24"/>
      <c r="X899" s="24"/>
      <c r="Y899" s="17"/>
      <c r="Z899" s="18">
        <f>ROUND(R899*'Data-CostAssumptions'!$C$3,-3)</f>
        <v>55000</v>
      </c>
      <c r="AA899" s="11">
        <f t="shared" ref="AA899:AA962" si="29">IF(V899="",IF(W899="",0,1),1)</f>
        <v>0</v>
      </c>
      <c r="AB899" s="11">
        <v>2041</v>
      </c>
      <c r="AC899" s="11">
        <v>2041</v>
      </c>
      <c r="AD899" s="11">
        <v>2041</v>
      </c>
      <c r="AE899" s="11">
        <v>2041</v>
      </c>
      <c r="AF899" s="11">
        <v>0</v>
      </c>
      <c r="AG899" s="19">
        <f>ROUND((Z899*'Data-CostAssumptions'!$G$5)*(1+'Data-CostAssumptions'!$G$3)^(AC899-'Data-CostAssumptions'!$G$4),-3)</f>
        <v>31000</v>
      </c>
      <c r="AH899" s="19">
        <f>ROUND((Z899)*(1+'Data-CostAssumptions'!$G$3)^(AE899-'Data-CostAssumptions'!$G$4),-3)</f>
        <v>141000</v>
      </c>
    </row>
    <row r="900" spans="1:34" ht="15" customHeight="1" x14ac:dyDescent="0.2">
      <c r="A900" s="11"/>
      <c r="B900" s="11" t="s">
        <v>1213</v>
      </c>
      <c r="C900" s="13">
        <v>966</v>
      </c>
      <c r="D900" s="13" t="s">
        <v>420</v>
      </c>
      <c r="E900" s="20">
        <v>3</v>
      </c>
      <c r="F900" s="20">
        <v>196</v>
      </c>
      <c r="G900" s="20">
        <v>899</v>
      </c>
      <c r="H900" s="13" t="s">
        <v>2734</v>
      </c>
      <c r="I900" s="13" t="str">
        <f t="shared" si="28"/>
        <v>SR 814/Atlantic Bl (US 1 to Cypress Rd)</v>
      </c>
      <c r="J900" s="13" t="s">
        <v>300</v>
      </c>
      <c r="K900" s="13" t="str">
        <f>VLOOKUP(J900,'Data-ProjectTypes'!A$3:B$13,2,FALSE)</f>
        <v>Project</v>
      </c>
      <c r="L900" s="21" t="s">
        <v>302</v>
      </c>
      <c r="M900" s="13" t="s">
        <v>98</v>
      </c>
      <c r="N900" s="13" t="s">
        <v>1843</v>
      </c>
      <c r="O900" s="13" t="s">
        <v>270</v>
      </c>
      <c r="P900" s="13" t="s">
        <v>270</v>
      </c>
      <c r="Q900" s="22">
        <v>1.1000000000000001</v>
      </c>
      <c r="R900" s="23">
        <v>5068079.7677849084</v>
      </c>
      <c r="S900" s="21" t="s">
        <v>25</v>
      </c>
      <c r="T900" s="21"/>
      <c r="U900" s="21"/>
      <c r="V900" s="24"/>
      <c r="W900" s="24" t="s">
        <v>778</v>
      </c>
      <c r="X900" s="24"/>
      <c r="Y900" s="17" t="s">
        <v>1736</v>
      </c>
      <c r="Z900" s="18">
        <f>ROUND(R900*'Data-CostAssumptions'!$C$8,-3)</f>
        <v>5068000</v>
      </c>
      <c r="AA900" s="11">
        <f t="shared" si="29"/>
        <v>1</v>
      </c>
      <c r="AB900" s="11">
        <v>2041</v>
      </c>
      <c r="AC900" s="11">
        <v>2041</v>
      </c>
      <c r="AD900" s="11">
        <v>2041</v>
      </c>
      <c r="AE900" s="11">
        <v>2041</v>
      </c>
      <c r="AF900" s="11">
        <v>0</v>
      </c>
      <c r="AG900" s="19">
        <f>ROUND((Z900*'Data-CostAssumptions'!$G$5)*(1+'Data-CostAssumptions'!$G$3)^(AC900-'Data-CostAssumptions'!$G$4),-3)</f>
        <v>2859000</v>
      </c>
      <c r="AH900" s="19">
        <f>ROUND((Z900)*(1+'Data-CostAssumptions'!$G$3)^(AE900-'Data-CostAssumptions'!$G$4),-3)</f>
        <v>12994000</v>
      </c>
    </row>
    <row r="901" spans="1:34" ht="15" customHeight="1" x14ac:dyDescent="0.2">
      <c r="A901" s="11"/>
      <c r="B901" s="11" t="s">
        <v>1213</v>
      </c>
      <c r="C901" s="13">
        <v>1006</v>
      </c>
      <c r="D901" s="13" t="s">
        <v>420</v>
      </c>
      <c r="E901" s="20">
        <v>69</v>
      </c>
      <c r="F901" s="20">
        <v>200</v>
      </c>
      <c r="G901" s="20">
        <v>900</v>
      </c>
      <c r="H901" s="13" t="s">
        <v>2740</v>
      </c>
      <c r="I901" s="13" t="str">
        <f t="shared" si="28"/>
        <v>SR 862/I-595 (West of I-95 to I-75)</v>
      </c>
      <c r="J901" s="13" t="s">
        <v>300</v>
      </c>
      <c r="K901" s="13" t="str">
        <f>VLOOKUP(J901,'Data-ProjectTypes'!A$3:B$13,2,FALSE)</f>
        <v>Project</v>
      </c>
      <c r="L901" s="21" t="s">
        <v>314</v>
      </c>
      <c r="M901" s="13" t="s">
        <v>91</v>
      </c>
      <c r="N901" s="13" t="s">
        <v>31</v>
      </c>
      <c r="O901" s="13" t="s">
        <v>270</v>
      </c>
      <c r="P901" s="13" t="s">
        <v>270</v>
      </c>
      <c r="Q901" s="22">
        <v>11.7</v>
      </c>
      <c r="R901" s="23">
        <v>168608</v>
      </c>
      <c r="S901" s="21"/>
      <c r="T901" s="21"/>
      <c r="U901" s="21"/>
      <c r="V901" s="24"/>
      <c r="W901" s="24"/>
      <c r="X901" s="24"/>
      <c r="Y901" s="17"/>
      <c r="Z901" s="18">
        <f>ROUND(R901*'Data-CostAssumptions'!$C$8,-3)</f>
        <v>169000</v>
      </c>
      <c r="AA901" s="11">
        <f t="shared" si="29"/>
        <v>0</v>
      </c>
      <c r="AB901" s="11">
        <v>2041</v>
      </c>
      <c r="AC901" s="11">
        <v>2041</v>
      </c>
      <c r="AD901" s="11">
        <v>2041</v>
      </c>
      <c r="AE901" s="11">
        <v>2041</v>
      </c>
      <c r="AF901" s="11">
        <v>0</v>
      </c>
      <c r="AG901" s="19">
        <f>ROUND((Z901*'Data-CostAssumptions'!$G$5)*(1+'Data-CostAssumptions'!$G$3)^(AC901-'Data-CostAssumptions'!$G$4),-3)</f>
        <v>95000</v>
      </c>
      <c r="AH901" s="19">
        <f>ROUND((Z901)*(1+'Data-CostAssumptions'!$G$3)^(AE901-'Data-CostAssumptions'!$G$4),-3)</f>
        <v>433000</v>
      </c>
    </row>
    <row r="902" spans="1:34" ht="15" customHeight="1" x14ac:dyDescent="0.2">
      <c r="A902" s="11"/>
      <c r="B902" s="11" t="s">
        <v>1213</v>
      </c>
      <c r="C902" s="13">
        <v>1007</v>
      </c>
      <c r="D902" s="13" t="s">
        <v>420</v>
      </c>
      <c r="E902" s="20">
        <v>70</v>
      </c>
      <c r="F902" s="20">
        <v>200</v>
      </c>
      <c r="G902" s="20">
        <v>901</v>
      </c>
      <c r="H902" s="13" t="s">
        <v>2740</v>
      </c>
      <c r="I902" s="13" t="str">
        <f t="shared" si="28"/>
        <v>SR 862/I-595 (West of I-95 to East of I-75)</v>
      </c>
      <c r="J902" s="13" t="s">
        <v>300</v>
      </c>
      <c r="K902" s="13" t="str">
        <f>VLOOKUP(J902,'Data-ProjectTypes'!A$3:B$13,2,FALSE)</f>
        <v>Project</v>
      </c>
      <c r="L902" s="21" t="s">
        <v>315</v>
      </c>
      <c r="M902" s="13" t="s">
        <v>91</v>
      </c>
      <c r="N902" s="13" t="s">
        <v>92</v>
      </c>
      <c r="O902" s="13" t="s">
        <v>270</v>
      </c>
      <c r="P902" s="13" t="s">
        <v>270</v>
      </c>
      <c r="Q902" s="22">
        <v>11.7</v>
      </c>
      <c r="R902" s="23">
        <v>168608</v>
      </c>
      <c r="S902" s="21"/>
      <c r="T902" s="21"/>
      <c r="U902" s="21"/>
      <c r="V902" s="24"/>
      <c r="W902" s="24"/>
      <c r="X902" s="24"/>
      <c r="Y902" s="17"/>
      <c r="Z902" s="18">
        <f>ROUND(R902*'Data-CostAssumptions'!$C$8,-3)</f>
        <v>169000</v>
      </c>
      <c r="AA902" s="11">
        <f t="shared" si="29"/>
        <v>0</v>
      </c>
      <c r="AB902" s="11">
        <v>2041</v>
      </c>
      <c r="AC902" s="11">
        <v>2041</v>
      </c>
      <c r="AD902" s="11">
        <v>2041</v>
      </c>
      <c r="AE902" s="11">
        <v>2041</v>
      </c>
      <c r="AF902" s="11">
        <v>0</v>
      </c>
      <c r="AG902" s="19">
        <f>ROUND((Z902*'Data-CostAssumptions'!$G$5)*(1+'Data-CostAssumptions'!$G$3)^(AC902-'Data-CostAssumptions'!$G$4),-3)</f>
        <v>95000</v>
      </c>
      <c r="AH902" s="19">
        <f>ROUND((Z902)*(1+'Data-CostAssumptions'!$G$3)^(AE902-'Data-CostAssumptions'!$G$4),-3)</f>
        <v>433000</v>
      </c>
    </row>
    <row r="903" spans="1:34" ht="15" customHeight="1" x14ac:dyDescent="0.2">
      <c r="A903" s="11"/>
      <c r="B903" s="11" t="s">
        <v>1213</v>
      </c>
      <c r="C903" s="13">
        <v>1008</v>
      </c>
      <c r="D903" s="13" t="s">
        <v>420</v>
      </c>
      <c r="E903" s="20">
        <v>71</v>
      </c>
      <c r="F903" s="20">
        <v>200</v>
      </c>
      <c r="G903" s="20">
        <v>902</v>
      </c>
      <c r="H903" s="13" t="s">
        <v>2740</v>
      </c>
      <c r="I903" s="13" t="str">
        <f t="shared" si="28"/>
        <v>SR 862/I-595 (State Rd 5/US 1 to I-75/Sawgrass Expressway)</v>
      </c>
      <c r="J903" s="13" t="s">
        <v>300</v>
      </c>
      <c r="K903" s="13" t="str">
        <f>VLOOKUP(J903,'Data-ProjectTypes'!A$3:B$13,2,FALSE)</f>
        <v>Project</v>
      </c>
      <c r="L903" s="21" t="s">
        <v>316</v>
      </c>
      <c r="M903" s="13" t="s">
        <v>2418</v>
      </c>
      <c r="N903" s="13" t="s">
        <v>90</v>
      </c>
      <c r="O903" s="13" t="s">
        <v>270</v>
      </c>
      <c r="P903" s="13" t="s">
        <v>270</v>
      </c>
      <c r="Q903" s="22"/>
      <c r="R903" s="23">
        <v>1711511.6283835557</v>
      </c>
      <c r="S903" s="21" t="s">
        <v>350</v>
      </c>
      <c r="T903" s="21"/>
      <c r="U903" s="21"/>
      <c r="V903" s="24"/>
      <c r="W903" s="24" t="s">
        <v>580</v>
      </c>
      <c r="X903" s="24"/>
      <c r="Y903" s="17" t="s">
        <v>538</v>
      </c>
      <c r="Z903" s="18">
        <f>ROUND(R903*'Data-CostAssumptions'!$C$8,-3)</f>
        <v>1712000</v>
      </c>
      <c r="AA903" s="11">
        <f t="shared" si="29"/>
        <v>1</v>
      </c>
      <c r="AB903" s="11">
        <v>2041</v>
      </c>
      <c r="AC903" s="11">
        <v>2041</v>
      </c>
      <c r="AD903" s="11">
        <v>2041</v>
      </c>
      <c r="AE903" s="11">
        <v>2041</v>
      </c>
      <c r="AF903" s="11">
        <v>0</v>
      </c>
      <c r="AG903" s="19">
        <f>ROUND((Z903*'Data-CostAssumptions'!$G$5)*(1+'Data-CostAssumptions'!$G$3)^(AC903-'Data-CostAssumptions'!$G$4),-3)</f>
        <v>966000</v>
      </c>
      <c r="AH903" s="19">
        <f>ROUND((Z903)*(1+'Data-CostAssumptions'!$G$3)^(AE903-'Data-CostAssumptions'!$G$4),-3)</f>
        <v>4389000</v>
      </c>
    </row>
    <row r="904" spans="1:34" ht="15" customHeight="1" x14ac:dyDescent="0.2">
      <c r="A904" s="51"/>
      <c r="B904" s="51" t="s">
        <v>1213</v>
      </c>
      <c r="C904" s="52">
        <v>1009</v>
      </c>
      <c r="D904" s="52" t="s">
        <v>420</v>
      </c>
      <c r="E904" s="53">
        <v>72</v>
      </c>
      <c r="F904" s="53">
        <v>200</v>
      </c>
      <c r="G904" s="20">
        <v>903</v>
      </c>
      <c r="H904" s="13" t="s">
        <v>2740</v>
      </c>
      <c r="I904" s="13" t="str">
        <f t="shared" si="28"/>
        <v>SR 862/I-595 (West of I-95 to East of I-75)</v>
      </c>
      <c r="J904" s="52" t="s">
        <v>300</v>
      </c>
      <c r="K904" s="52" t="str">
        <f>VLOOKUP(J904,'Data-ProjectTypes'!A$3:B$13,2,FALSE)</f>
        <v>Project</v>
      </c>
      <c r="L904" s="52" t="s">
        <v>317</v>
      </c>
      <c r="M904" s="52" t="s">
        <v>91</v>
      </c>
      <c r="N904" s="52" t="s">
        <v>92</v>
      </c>
      <c r="O904" s="52" t="s">
        <v>270</v>
      </c>
      <c r="P904" s="52" t="s">
        <v>270</v>
      </c>
      <c r="Q904" s="54">
        <v>11.7</v>
      </c>
      <c r="R904" s="55">
        <v>573003403.05900145</v>
      </c>
      <c r="S904" s="52" t="s">
        <v>24</v>
      </c>
      <c r="T904" s="52"/>
      <c r="U904" s="52"/>
      <c r="V904" s="56"/>
      <c r="W904" s="56" t="s">
        <v>581</v>
      </c>
      <c r="X904" s="56"/>
      <c r="Y904" s="57" t="s">
        <v>1216</v>
      </c>
      <c r="Z904" s="18">
        <f>ROUND(R904*'Data-CostAssumptions'!$C$8,-3)</f>
        <v>573003000</v>
      </c>
      <c r="AA904" s="11">
        <f t="shared" si="29"/>
        <v>1</v>
      </c>
      <c r="AB904" s="11">
        <v>2041</v>
      </c>
      <c r="AC904" s="11">
        <v>2041</v>
      </c>
      <c r="AD904" s="11">
        <v>2041</v>
      </c>
      <c r="AE904" s="11">
        <v>2041</v>
      </c>
      <c r="AF904" s="11">
        <v>0</v>
      </c>
      <c r="AG904" s="19">
        <f>ROUND((Z904*'Data-CostAssumptions'!$G$5)*(1+'Data-CostAssumptions'!$G$3)^(AC904-'Data-CostAssumptions'!$G$4),-3)</f>
        <v>323213000</v>
      </c>
      <c r="AH904" s="19">
        <f>ROUND((Z904)*(1+'Data-CostAssumptions'!$G$3)^(AE904-'Data-CostAssumptions'!$G$4),-3)</f>
        <v>1469150000</v>
      </c>
    </row>
    <row r="905" spans="1:34" ht="15" customHeight="1" x14ac:dyDescent="0.2">
      <c r="A905" s="58"/>
      <c r="B905" s="58" t="s">
        <v>1213</v>
      </c>
      <c r="C905" s="59">
        <v>1004</v>
      </c>
      <c r="D905" s="59" t="s">
        <v>420</v>
      </c>
      <c r="E905" s="60">
        <v>64</v>
      </c>
      <c r="F905" s="60">
        <v>200</v>
      </c>
      <c r="G905" s="20">
        <v>904</v>
      </c>
      <c r="H905" s="13" t="s">
        <v>2804</v>
      </c>
      <c r="I905" s="13" t="str">
        <f t="shared" si="28"/>
        <v>SR 9/I-95 Managed Lanes (Palm Beach County Line to I-595)</v>
      </c>
      <c r="J905" s="59" t="s">
        <v>300</v>
      </c>
      <c r="K905" s="59" t="str">
        <f>VLOOKUP(J905,'Data-ProjectTypes'!A$3:B$13,2,FALSE)</f>
        <v>Project</v>
      </c>
      <c r="L905" s="59" t="s">
        <v>313</v>
      </c>
      <c r="M905" s="59" t="s">
        <v>43</v>
      </c>
      <c r="N905" s="59" t="s">
        <v>34</v>
      </c>
      <c r="O905" s="59" t="s">
        <v>270</v>
      </c>
      <c r="P905" s="59" t="s">
        <v>270</v>
      </c>
      <c r="Q905" s="61">
        <v>15</v>
      </c>
      <c r="R905" s="62">
        <v>670000000</v>
      </c>
      <c r="S905" s="59"/>
      <c r="T905" s="59"/>
      <c r="U905" s="59"/>
      <c r="V905" s="63"/>
      <c r="W905" s="63"/>
      <c r="X905" s="64" t="s">
        <v>313</v>
      </c>
      <c r="Y905" s="65" t="s">
        <v>1215</v>
      </c>
      <c r="Z905" s="18">
        <f>ROUND(R905*'Data-CostAssumptions'!$C$8,-3)</f>
        <v>670000000</v>
      </c>
      <c r="AA905" s="11">
        <f t="shared" si="29"/>
        <v>0</v>
      </c>
      <c r="AB905" s="11">
        <v>2041</v>
      </c>
      <c r="AC905" s="11">
        <v>2041</v>
      </c>
      <c r="AD905" s="11">
        <v>2041</v>
      </c>
      <c r="AE905" s="11">
        <v>2041</v>
      </c>
      <c r="AF905" s="11">
        <v>0</v>
      </c>
      <c r="AG905" s="19">
        <f>ROUND((Z905*'Data-CostAssumptions'!$G$5)*(1+'Data-CostAssumptions'!$G$3)^(AC905-'Data-CostAssumptions'!$G$4),-3)</f>
        <v>377926000</v>
      </c>
      <c r="AH905" s="19">
        <f>ROUND((Z905)*(1+'Data-CostAssumptions'!$G$3)^(AE905-'Data-CostAssumptions'!$G$4),-3)</f>
        <v>1717846000</v>
      </c>
    </row>
    <row r="906" spans="1:34" ht="15" customHeight="1" x14ac:dyDescent="0.2">
      <c r="A906" s="11"/>
      <c r="B906" s="11" t="s">
        <v>1213</v>
      </c>
      <c r="C906" s="13">
        <v>1012</v>
      </c>
      <c r="D906" s="13" t="s">
        <v>420</v>
      </c>
      <c r="E906" s="20">
        <v>57</v>
      </c>
      <c r="F906" s="20">
        <v>201</v>
      </c>
      <c r="G906" s="20">
        <v>905</v>
      </c>
      <c r="H906" s="13" t="s">
        <v>2732</v>
      </c>
      <c r="I906" s="13" t="str">
        <f t="shared" si="28"/>
        <v>SR 91/Florida's Turnpike (North of Johnson St to HEFT)</v>
      </c>
      <c r="J906" s="13" t="s">
        <v>300</v>
      </c>
      <c r="K906" s="13" t="str">
        <f>VLOOKUP(J906,'Data-ProjectTypes'!A$3:B$13,2,FALSE)</f>
        <v>Project</v>
      </c>
      <c r="L906" s="21" t="s">
        <v>318</v>
      </c>
      <c r="M906" s="13" t="s">
        <v>2490</v>
      </c>
      <c r="N906" s="13" t="s">
        <v>35</v>
      </c>
      <c r="O906" s="13" t="s">
        <v>270</v>
      </c>
      <c r="P906" s="13" t="s">
        <v>270</v>
      </c>
      <c r="Q906" s="22">
        <v>3.7</v>
      </c>
      <c r="R906" s="23">
        <v>51504969.028323658</v>
      </c>
      <c r="S906" s="21" t="s">
        <v>24</v>
      </c>
      <c r="T906" s="21"/>
      <c r="U906" s="21"/>
      <c r="V906" s="24"/>
      <c r="W906" s="24"/>
      <c r="X906" s="24"/>
      <c r="Y906" s="17" t="s">
        <v>687</v>
      </c>
      <c r="Z906" s="18">
        <f>ROUND(R906*'Data-CostAssumptions'!$C$8,-3)</f>
        <v>51505000</v>
      </c>
      <c r="AA906" s="11">
        <f t="shared" si="29"/>
        <v>0</v>
      </c>
      <c r="AB906" s="11">
        <v>2041</v>
      </c>
      <c r="AC906" s="11">
        <v>2041</v>
      </c>
      <c r="AD906" s="11">
        <v>2041</v>
      </c>
      <c r="AE906" s="11">
        <v>2041</v>
      </c>
      <c r="AF906" s="11">
        <v>0</v>
      </c>
      <c r="AG906" s="19">
        <f>ROUND((Z906*'Data-CostAssumptions'!$G$5)*(1+'Data-CostAssumptions'!$G$3)^(AC906-'Data-CostAssumptions'!$G$4),-3)</f>
        <v>29052000</v>
      </c>
      <c r="AH906" s="19">
        <f>ROUND((Z906)*(1+'Data-CostAssumptions'!$G$3)^(AE906-'Data-CostAssumptions'!$G$4),-3)</f>
        <v>132056000</v>
      </c>
    </row>
    <row r="907" spans="1:34" ht="15" customHeight="1" x14ac:dyDescent="0.2">
      <c r="A907" s="11"/>
      <c r="B907" s="11" t="s">
        <v>1213</v>
      </c>
      <c r="C907" s="13">
        <v>1013</v>
      </c>
      <c r="D907" s="13" t="s">
        <v>420</v>
      </c>
      <c r="E907" s="20">
        <v>61</v>
      </c>
      <c r="F907" s="20">
        <v>201</v>
      </c>
      <c r="G907" s="20">
        <v>906</v>
      </c>
      <c r="H907" s="13" t="s">
        <v>2732</v>
      </c>
      <c r="I907" s="13" t="str">
        <f t="shared" si="28"/>
        <v>SR 91/Florida's Turnpike (@  Hollywood Bl)</v>
      </c>
      <c r="J907" s="13" t="s">
        <v>300</v>
      </c>
      <c r="K907" s="13" t="str">
        <f>VLOOKUP(J907,'Data-ProjectTypes'!A$3:B$13,2,FALSE)</f>
        <v>Project</v>
      </c>
      <c r="L907" s="21" t="s">
        <v>319</v>
      </c>
      <c r="M907" s="13" t="s">
        <v>2835</v>
      </c>
      <c r="N907" s="13" t="s">
        <v>1820</v>
      </c>
      <c r="O907" s="13" t="s">
        <v>270</v>
      </c>
      <c r="P907" s="13" t="s">
        <v>270</v>
      </c>
      <c r="Q907" s="22"/>
      <c r="R907" s="23">
        <v>74009607.344440028</v>
      </c>
      <c r="S907" s="21" t="s">
        <v>24</v>
      </c>
      <c r="T907" s="21"/>
      <c r="U907" s="21"/>
      <c r="V907" s="24"/>
      <c r="W907" s="24"/>
      <c r="X907" s="24"/>
      <c r="Y907" s="17" t="s">
        <v>538</v>
      </c>
      <c r="Z907" s="18">
        <f>ROUND(R907*'Data-CostAssumptions'!$C$8,-3)</f>
        <v>74010000</v>
      </c>
      <c r="AA907" s="11">
        <f t="shared" si="29"/>
        <v>0</v>
      </c>
      <c r="AB907" s="11">
        <v>2041</v>
      </c>
      <c r="AC907" s="11">
        <v>2041</v>
      </c>
      <c r="AD907" s="11">
        <v>2041</v>
      </c>
      <c r="AE907" s="11">
        <v>2041</v>
      </c>
      <c r="AF907" s="11">
        <v>0</v>
      </c>
      <c r="AG907" s="19">
        <f>ROUND((Z907*'Data-CostAssumptions'!$G$5)*(1+'Data-CostAssumptions'!$G$3)^(AC907-'Data-CostAssumptions'!$G$4),-3)</f>
        <v>41747000</v>
      </c>
      <c r="AH907" s="19">
        <f>ROUND((Z907)*(1+'Data-CostAssumptions'!$G$3)^(AE907-'Data-CostAssumptions'!$G$4),-3)</f>
        <v>189758000</v>
      </c>
    </row>
    <row r="908" spans="1:34" ht="15" customHeight="1" x14ac:dyDescent="0.2">
      <c r="A908" s="11"/>
      <c r="B908" s="11" t="s">
        <v>1213</v>
      </c>
      <c r="C908" s="13">
        <v>1015</v>
      </c>
      <c r="D908" s="13" t="s">
        <v>420</v>
      </c>
      <c r="E908" s="20">
        <v>55</v>
      </c>
      <c r="F908" s="20">
        <v>201</v>
      </c>
      <c r="G908" s="20">
        <v>907</v>
      </c>
      <c r="H908" s="13" t="s">
        <v>2732</v>
      </c>
      <c r="I908" s="13" t="str">
        <f t="shared" si="28"/>
        <v>SR 91/Florida's Turnpike (Palm Beach County Line to Griffin Rd)</v>
      </c>
      <c r="J908" s="13" t="s">
        <v>300</v>
      </c>
      <c r="K908" s="13" t="str">
        <f>VLOOKUP(J908,'Data-ProjectTypes'!A$3:B$13,2,FALSE)</f>
        <v>Project</v>
      </c>
      <c r="L908" s="21" t="s">
        <v>320</v>
      </c>
      <c r="M908" s="13" t="s">
        <v>43</v>
      </c>
      <c r="N908" s="13" t="s">
        <v>1750</v>
      </c>
      <c r="O908" s="13" t="s">
        <v>270</v>
      </c>
      <c r="P908" s="13" t="s">
        <v>270</v>
      </c>
      <c r="Q908" s="22">
        <v>18.8</v>
      </c>
      <c r="R908" s="23">
        <v>31453912.921646941</v>
      </c>
      <c r="S908" s="21"/>
      <c r="T908" s="21"/>
      <c r="U908" s="21"/>
      <c r="V908" s="24"/>
      <c r="W908" s="24"/>
      <c r="X908" s="24"/>
      <c r="Y908" s="17"/>
      <c r="Z908" s="18">
        <f>ROUND(R908*'Data-CostAssumptions'!$C$8,-3)</f>
        <v>31454000</v>
      </c>
      <c r="AA908" s="11">
        <f t="shared" si="29"/>
        <v>0</v>
      </c>
      <c r="AB908" s="11">
        <v>2041</v>
      </c>
      <c r="AC908" s="11">
        <v>2041</v>
      </c>
      <c r="AD908" s="11">
        <v>2041</v>
      </c>
      <c r="AE908" s="11">
        <v>2041</v>
      </c>
      <c r="AF908" s="11">
        <v>0</v>
      </c>
      <c r="AG908" s="19">
        <f>ROUND((Z908*'Data-CostAssumptions'!$G$5)*(1+'Data-CostAssumptions'!$G$3)^(AC908-'Data-CostAssumptions'!$G$4),-3)</f>
        <v>17742000</v>
      </c>
      <c r="AH908" s="19">
        <f>ROUND((Z908)*(1+'Data-CostAssumptions'!$G$3)^(AE908-'Data-CostAssumptions'!$G$4),-3)</f>
        <v>80646000</v>
      </c>
    </row>
    <row r="909" spans="1:34" ht="15" customHeight="1" x14ac:dyDescent="0.2">
      <c r="A909" s="11"/>
      <c r="B909" s="11" t="s">
        <v>1213</v>
      </c>
      <c r="C909" s="13">
        <v>1016</v>
      </c>
      <c r="D909" s="13" t="s">
        <v>420</v>
      </c>
      <c r="E909" s="20">
        <v>58</v>
      </c>
      <c r="F909" s="20">
        <v>201</v>
      </c>
      <c r="G909" s="20">
        <v>908</v>
      </c>
      <c r="H909" s="13" t="s">
        <v>2732</v>
      </c>
      <c r="I909" s="13" t="str">
        <f t="shared" si="28"/>
        <v>SR 91/Florida's Turnpike (Griffin Rd to North of Johnson St)</v>
      </c>
      <c r="J909" s="13" t="s">
        <v>300</v>
      </c>
      <c r="K909" s="13" t="str">
        <f>VLOOKUP(J909,'Data-ProjectTypes'!A$3:B$13,2,FALSE)</f>
        <v>Project</v>
      </c>
      <c r="L909" s="21" t="s">
        <v>318</v>
      </c>
      <c r="M909" s="13" t="s">
        <v>1750</v>
      </c>
      <c r="N909" s="13" t="s">
        <v>2490</v>
      </c>
      <c r="O909" s="13" t="s">
        <v>270</v>
      </c>
      <c r="P909" s="13" t="s">
        <v>270</v>
      </c>
      <c r="Q909" s="22">
        <v>3.4</v>
      </c>
      <c r="R909" s="23">
        <v>89730096.8948659</v>
      </c>
      <c r="S909" s="21" t="s">
        <v>24</v>
      </c>
      <c r="T909" s="21"/>
      <c r="U909" s="21"/>
      <c r="V909" s="24"/>
      <c r="W909" s="24"/>
      <c r="X909" s="24"/>
      <c r="Y909" s="17" t="s">
        <v>538</v>
      </c>
      <c r="Z909" s="18">
        <f>ROUND(R909*'Data-CostAssumptions'!$C$8,-3)</f>
        <v>89730000</v>
      </c>
      <c r="AA909" s="11">
        <f t="shared" si="29"/>
        <v>0</v>
      </c>
      <c r="AB909" s="11">
        <v>2041</v>
      </c>
      <c r="AC909" s="11">
        <v>2041</v>
      </c>
      <c r="AD909" s="11">
        <v>2041</v>
      </c>
      <c r="AE909" s="11">
        <v>2041</v>
      </c>
      <c r="AF909" s="11">
        <v>0</v>
      </c>
      <c r="AG909" s="19">
        <f>ROUND((Z909*'Data-CostAssumptions'!$G$5)*(1+'Data-CostAssumptions'!$G$3)^(AC909-'Data-CostAssumptions'!$G$4),-3)</f>
        <v>50614000</v>
      </c>
      <c r="AH909" s="19">
        <f>ROUND((Z909)*(1+'Data-CostAssumptions'!$G$3)^(AE909-'Data-CostAssumptions'!$G$4),-3)</f>
        <v>230063000</v>
      </c>
    </row>
    <row r="910" spans="1:34" ht="15" customHeight="1" x14ac:dyDescent="0.2">
      <c r="A910" s="11"/>
      <c r="B910" s="11" t="s">
        <v>1213</v>
      </c>
      <c r="C910" s="13">
        <v>1017</v>
      </c>
      <c r="D910" s="13" t="s">
        <v>420</v>
      </c>
      <c r="E910" s="20">
        <v>68</v>
      </c>
      <c r="F910" s="20">
        <v>201</v>
      </c>
      <c r="G910" s="20">
        <v>909</v>
      </c>
      <c r="H910" s="13" t="s">
        <v>2732</v>
      </c>
      <c r="I910" s="13" t="str">
        <f t="shared" si="28"/>
        <v>SR 91/Florida's Turnpike (@  Commercial Bl)</v>
      </c>
      <c r="J910" s="13" t="s">
        <v>300</v>
      </c>
      <c r="K910" s="13" t="str">
        <f>VLOOKUP(J910,'Data-ProjectTypes'!A$3:B$13,2,FALSE)</f>
        <v>Project</v>
      </c>
      <c r="L910" s="21" t="s">
        <v>319</v>
      </c>
      <c r="M910" s="13" t="s">
        <v>2835</v>
      </c>
      <c r="N910" s="13" t="s">
        <v>1813</v>
      </c>
      <c r="O910" s="13" t="s">
        <v>270</v>
      </c>
      <c r="P910" s="13" t="s">
        <v>270</v>
      </c>
      <c r="Q910" s="22"/>
      <c r="R910" s="23">
        <v>15000000</v>
      </c>
      <c r="S910" s="21"/>
      <c r="T910" s="21"/>
      <c r="U910" s="21"/>
      <c r="V910" s="24"/>
      <c r="W910" s="24"/>
      <c r="X910" s="24"/>
      <c r="Y910" s="17"/>
      <c r="Z910" s="18">
        <f>ROUND(R910*'Data-CostAssumptions'!$C$8,-3)</f>
        <v>15000000</v>
      </c>
      <c r="AA910" s="11">
        <f t="shared" si="29"/>
        <v>0</v>
      </c>
      <c r="AB910" s="11">
        <v>2041</v>
      </c>
      <c r="AC910" s="11">
        <v>2041</v>
      </c>
      <c r="AD910" s="11">
        <v>2041</v>
      </c>
      <c r="AE910" s="11">
        <v>2041</v>
      </c>
      <c r="AF910" s="11">
        <v>0</v>
      </c>
      <c r="AG910" s="19">
        <f>ROUND((Z910*'Data-CostAssumptions'!$G$5)*(1+'Data-CostAssumptions'!$G$3)^(AC910-'Data-CostAssumptions'!$G$4),-3)</f>
        <v>8461000</v>
      </c>
      <c r="AH910" s="19">
        <f>ROUND((Z910)*(1+'Data-CostAssumptions'!$G$3)^(AE910-'Data-CostAssumptions'!$G$4),-3)</f>
        <v>38459000</v>
      </c>
    </row>
    <row r="911" spans="1:34" ht="15" customHeight="1" x14ac:dyDescent="0.2">
      <c r="A911" s="11"/>
      <c r="B911" s="11" t="s">
        <v>1213</v>
      </c>
      <c r="C911" s="13">
        <v>1018</v>
      </c>
      <c r="D911" s="13" t="s">
        <v>420</v>
      </c>
      <c r="E911" s="20">
        <v>63</v>
      </c>
      <c r="F911" s="20">
        <v>201</v>
      </c>
      <c r="G911" s="20">
        <v>910</v>
      </c>
      <c r="H911" s="13" t="s">
        <v>2732</v>
      </c>
      <c r="I911" s="13" t="str">
        <f t="shared" si="28"/>
        <v>SR 91/Florida's Turnpike (@  Sunrise Bl)</v>
      </c>
      <c r="J911" s="13" t="s">
        <v>300</v>
      </c>
      <c r="K911" s="13" t="str">
        <f>VLOOKUP(J911,'Data-ProjectTypes'!A$3:B$13,2,FALSE)</f>
        <v>Project</v>
      </c>
      <c r="L911" s="21" t="s">
        <v>319</v>
      </c>
      <c r="M911" s="13" t="s">
        <v>2835</v>
      </c>
      <c r="N911" s="13" t="s">
        <v>1830</v>
      </c>
      <c r="O911" s="13" t="s">
        <v>270</v>
      </c>
      <c r="P911" s="13" t="s">
        <v>270</v>
      </c>
      <c r="Q911" s="22"/>
      <c r="R911" s="23">
        <v>8250000</v>
      </c>
      <c r="S911" s="21"/>
      <c r="T911" s="21"/>
      <c r="U911" s="21"/>
      <c r="V911" s="24"/>
      <c r="W911" s="24"/>
      <c r="X911" s="24"/>
      <c r="Y911" s="17"/>
      <c r="Z911" s="18">
        <f>ROUND(R911*'Data-CostAssumptions'!$C$8,-3)</f>
        <v>8250000</v>
      </c>
      <c r="AA911" s="11">
        <f t="shared" si="29"/>
        <v>0</v>
      </c>
      <c r="AB911" s="11">
        <v>2041</v>
      </c>
      <c r="AC911" s="11">
        <v>2041</v>
      </c>
      <c r="AD911" s="11">
        <v>2041</v>
      </c>
      <c r="AE911" s="11">
        <v>2041</v>
      </c>
      <c r="AF911" s="11">
        <v>0</v>
      </c>
      <c r="AG911" s="19">
        <f>ROUND((Z911*'Data-CostAssumptions'!$G$5)*(1+'Data-CostAssumptions'!$G$3)^(AC911-'Data-CostAssumptions'!$G$4),-3)</f>
        <v>4654000</v>
      </c>
      <c r="AH911" s="19">
        <f>ROUND((Z911)*(1+'Data-CostAssumptions'!$G$3)^(AE911-'Data-CostAssumptions'!$G$4),-3)</f>
        <v>21153000</v>
      </c>
    </row>
    <row r="912" spans="1:34" ht="15" customHeight="1" x14ac:dyDescent="0.2">
      <c r="A912" s="11"/>
      <c r="B912" s="11" t="s">
        <v>1213</v>
      </c>
      <c r="C912" s="13">
        <v>1003</v>
      </c>
      <c r="D912" s="13" t="s">
        <v>420</v>
      </c>
      <c r="E912" s="20">
        <v>54</v>
      </c>
      <c r="F912" s="20">
        <v>200</v>
      </c>
      <c r="G912" s="20">
        <v>911</v>
      </c>
      <c r="H912" s="13" t="s">
        <v>2806</v>
      </c>
      <c r="I912" s="13" t="str">
        <f t="shared" si="28"/>
        <v>SR 93/I-75 Express Lanes (I-595 to HEFT)</v>
      </c>
      <c r="J912" s="13" t="s">
        <v>300</v>
      </c>
      <c r="K912" s="13" t="str">
        <f>VLOOKUP(J912,'Data-ProjectTypes'!A$3:B$13,2,FALSE)</f>
        <v>Project</v>
      </c>
      <c r="L912" s="21" t="s">
        <v>312</v>
      </c>
      <c r="M912" s="13" t="s">
        <v>34</v>
      </c>
      <c r="N912" s="13" t="s">
        <v>35</v>
      </c>
      <c r="O912" s="13" t="s">
        <v>270</v>
      </c>
      <c r="P912" s="13" t="s">
        <v>270</v>
      </c>
      <c r="Q912" s="22">
        <v>12.4</v>
      </c>
      <c r="R912" s="23">
        <v>18000000</v>
      </c>
      <c r="S912" s="29" t="s">
        <v>840</v>
      </c>
      <c r="T912" s="21" t="s">
        <v>684</v>
      </c>
      <c r="U912" s="21" t="s">
        <v>684</v>
      </c>
      <c r="V912" s="24"/>
      <c r="W912" s="24"/>
      <c r="X912" s="24"/>
      <c r="Y912" s="17" t="s">
        <v>839</v>
      </c>
      <c r="Z912" s="18">
        <f>ROUND(R912*'Data-CostAssumptions'!$C$8,-3)</f>
        <v>18000000</v>
      </c>
      <c r="AA912" s="11">
        <f t="shared" si="29"/>
        <v>0</v>
      </c>
      <c r="AB912" s="11">
        <v>2041</v>
      </c>
      <c r="AC912" s="11">
        <v>2041</v>
      </c>
      <c r="AD912" s="11">
        <v>2041</v>
      </c>
      <c r="AE912" s="11">
        <v>2041</v>
      </c>
      <c r="AF912" s="11">
        <v>0</v>
      </c>
      <c r="AG912" s="19">
        <f>ROUND((Z912*'Data-CostAssumptions'!$G$5)*(1+'Data-CostAssumptions'!$G$3)^(AC912-'Data-CostAssumptions'!$G$4),-3)</f>
        <v>10153000</v>
      </c>
      <c r="AH912" s="19">
        <f>ROUND((Z912)*(1+'Data-CostAssumptions'!$G$3)^(AE912-'Data-CostAssumptions'!$G$4),-3)</f>
        <v>46151000</v>
      </c>
    </row>
    <row r="913" spans="1:34" ht="15" customHeight="1" x14ac:dyDescent="0.2">
      <c r="A913" s="11"/>
      <c r="B913" s="11" t="s">
        <v>1211</v>
      </c>
      <c r="C913" s="13">
        <v>1029</v>
      </c>
      <c r="D913" s="13" t="s">
        <v>420</v>
      </c>
      <c r="E913" s="20">
        <v>4</v>
      </c>
      <c r="F913" s="20">
        <v>204</v>
      </c>
      <c r="G913" s="20">
        <v>912</v>
      </c>
      <c r="H913" s="13" t="s">
        <v>225</v>
      </c>
      <c r="I913" s="13" t="str">
        <f t="shared" si="28"/>
        <v>Cruise Passenger &amp; Baggage Processing Facility ( to )</v>
      </c>
      <c r="J913" s="13" t="s">
        <v>1200</v>
      </c>
      <c r="K913" s="13" t="str">
        <f>VLOOKUP(J913,'Data-ProjectTypes'!A$3:B$13,2,FALSE)</f>
        <v>Program</v>
      </c>
      <c r="L913" s="21" t="s">
        <v>323</v>
      </c>
      <c r="M913" s="13"/>
      <c r="N913" s="13"/>
      <c r="O913" s="13" t="s">
        <v>270</v>
      </c>
      <c r="P913" s="13" t="s">
        <v>270</v>
      </c>
      <c r="Q913" s="22"/>
      <c r="R913" s="23">
        <v>43547910.825317062</v>
      </c>
      <c r="S913" s="21"/>
      <c r="T913" s="21"/>
      <c r="U913" s="21"/>
      <c r="V913" s="24"/>
      <c r="W913" s="24"/>
      <c r="X913" s="24"/>
      <c r="Y913" s="17"/>
      <c r="Z913" s="18">
        <f>ROUND(R913*'Data-CostAssumptions'!$C$3,-3)</f>
        <v>60270000</v>
      </c>
      <c r="AA913" s="11">
        <f t="shared" si="29"/>
        <v>0</v>
      </c>
      <c r="AB913" s="11">
        <v>2041</v>
      </c>
      <c r="AC913" s="11">
        <v>2041</v>
      </c>
      <c r="AD913" s="11">
        <v>2041</v>
      </c>
      <c r="AE913" s="11">
        <v>2041</v>
      </c>
      <c r="AF913" s="11">
        <v>0</v>
      </c>
      <c r="AG913" s="19">
        <f>ROUND((Z913*'Data-CostAssumptions'!$G$5)*(1+'Data-CostAssumptions'!$G$3)^(AC913-'Data-CostAssumptions'!$G$4),-3)</f>
        <v>33996000</v>
      </c>
      <c r="AH913" s="19">
        <f>ROUND((Z913)*(1+'Data-CostAssumptions'!$G$3)^(AE913-'Data-CostAssumptions'!$G$4),-3)</f>
        <v>154529000</v>
      </c>
    </row>
    <row r="914" spans="1:34" ht="15" customHeight="1" x14ac:dyDescent="0.2">
      <c r="A914" s="66"/>
      <c r="B914" s="66" t="s">
        <v>1211</v>
      </c>
      <c r="C914" s="67">
        <v>1030</v>
      </c>
      <c r="D914" s="67" t="s">
        <v>420</v>
      </c>
      <c r="E914" s="68">
        <v>5</v>
      </c>
      <c r="F914" s="68">
        <v>204</v>
      </c>
      <c r="G914" s="20">
        <v>913</v>
      </c>
      <c r="H914" s="67" t="s">
        <v>224</v>
      </c>
      <c r="I914" s="67" t="str">
        <f t="shared" si="28"/>
        <v>Cruise Terminal 21/22 Expansion ( to )</v>
      </c>
      <c r="J914" s="67" t="s">
        <v>1200</v>
      </c>
      <c r="K914" s="67" t="str">
        <f>VLOOKUP(J914,'Data-ProjectTypes'!A$3:B$13,2,FALSE)</f>
        <v>Program</v>
      </c>
      <c r="L914" s="67" t="s">
        <v>324</v>
      </c>
      <c r="M914" s="67"/>
      <c r="N914" s="67"/>
      <c r="O914" s="67" t="s">
        <v>270</v>
      </c>
      <c r="P914" s="67" t="s">
        <v>270</v>
      </c>
      <c r="Q914" s="69"/>
      <c r="R914" s="70">
        <v>0</v>
      </c>
      <c r="S914" s="21"/>
      <c r="T914" s="21"/>
      <c r="U914" s="21"/>
      <c r="V914" s="24"/>
      <c r="W914" s="24"/>
      <c r="X914" s="24"/>
      <c r="Y914" s="17"/>
      <c r="Z914" s="71">
        <f>ROUND(R914*'Data-CostAssumptions'!$C$3,-3)</f>
        <v>0</v>
      </c>
      <c r="AA914" s="11">
        <f t="shared" si="29"/>
        <v>0</v>
      </c>
      <c r="AB914" s="11">
        <v>2041</v>
      </c>
      <c r="AC914" s="11">
        <v>2041</v>
      </c>
      <c r="AD914" s="11">
        <v>2041</v>
      </c>
      <c r="AE914" s="11">
        <v>2041</v>
      </c>
      <c r="AF914" s="11">
        <v>0</v>
      </c>
      <c r="AG914" s="19">
        <f>ROUND((Z914*'Data-CostAssumptions'!$G$5)*(1+'Data-CostAssumptions'!$G$3)^(AC914-'Data-CostAssumptions'!$G$4),-3)</f>
        <v>0</v>
      </c>
      <c r="AH914" s="19">
        <f>ROUND((Z914)*(1+'Data-CostAssumptions'!$G$3)^(AE914-'Data-CostAssumptions'!$G$4),-3)</f>
        <v>0</v>
      </c>
    </row>
    <row r="915" spans="1:34" ht="15" customHeight="1" x14ac:dyDescent="0.2">
      <c r="A915" s="66"/>
      <c r="B915" s="66" t="s">
        <v>1211</v>
      </c>
      <c r="C915" s="67">
        <v>1031</v>
      </c>
      <c r="D915" s="67" t="s">
        <v>420</v>
      </c>
      <c r="E915" s="68">
        <v>6</v>
      </c>
      <c r="F915" s="68">
        <v>204</v>
      </c>
      <c r="G915" s="20">
        <v>914</v>
      </c>
      <c r="H915" s="67" t="s">
        <v>223</v>
      </c>
      <c r="I915" s="67" t="str">
        <f t="shared" si="28"/>
        <v>Cruise Terminal No. 4 Redevelopment/Expansion ( to )</v>
      </c>
      <c r="J915" s="67" t="s">
        <v>1200</v>
      </c>
      <c r="K915" s="67" t="str">
        <f>VLOOKUP(J915,'Data-ProjectTypes'!A$3:B$13,2,FALSE)</f>
        <v>Program</v>
      </c>
      <c r="L915" s="67" t="s">
        <v>324</v>
      </c>
      <c r="M915" s="67"/>
      <c r="N915" s="67"/>
      <c r="O915" s="67" t="s">
        <v>270</v>
      </c>
      <c r="P915" s="67" t="s">
        <v>270</v>
      </c>
      <c r="Q915" s="69"/>
      <c r="R915" s="70">
        <v>0</v>
      </c>
      <c r="S915" s="21"/>
      <c r="T915" s="21"/>
      <c r="U915" s="21"/>
      <c r="V915" s="24"/>
      <c r="W915" s="24"/>
      <c r="X915" s="24"/>
      <c r="Y915" s="17"/>
      <c r="Z915" s="71">
        <f>ROUND(R915*'Data-CostAssumptions'!$C$3,-3)</f>
        <v>0</v>
      </c>
      <c r="AA915" s="11">
        <f t="shared" si="29"/>
        <v>0</v>
      </c>
      <c r="AB915" s="11">
        <v>2041</v>
      </c>
      <c r="AC915" s="11">
        <v>2041</v>
      </c>
      <c r="AD915" s="11">
        <v>2041</v>
      </c>
      <c r="AE915" s="11">
        <v>2041</v>
      </c>
      <c r="AF915" s="11">
        <v>0</v>
      </c>
      <c r="AG915" s="19">
        <f>ROUND((Z915*'Data-CostAssumptions'!$G$5)*(1+'Data-CostAssumptions'!$G$3)^(AC915-'Data-CostAssumptions'!$G$4),-3)</f>
        <v>0</v>
      </c>
      <c r="AH915" s="19">
        <f>ROUND((Z915)*(1+'Data-CostAssumptions'!$G$3)^(AE915-'Data-CostAssumptions'!$G$4),-3)</f>
        <v>0</v>
      </c>
    </row>
    <row r="916" spans="1:34" ht="15" customHeight="1" x14ac:dyDescent="0.2">
      <c r="A916" s="11"/>
      <c r="B916" s="11" t="s">
        <v>1211</v>
      </c>
      <c r="C916" s="11">
        <v>1032</v>
      </c>
      <c r="D916" s="13" t="s">
        <v>420</v>
      </c>
      <c r="E916" s="14"/>
      <c r="F916" s="14">
        <v>204</v>
      </c>
      <c r="G916" s="20">
        <v>915</v>
      </c>
      <c r="H916" s="13" t="s">
        <v>374</v>
      </c>
      <c r="I916" s="13" t="str">
        <f t="shared" si="28"/>
        <v>Database Integration (Systemwide to Systemwide)</v>
      </c>
      <c r="J916" s="13" t="s">
        <v>1200</v>
      </c>
      <c r="K916" s="13" t="str">
        <f>VLOOKUP(J916,'Data-ProjectTypes'!A$3:B$13,2,FALSE)</f>
        <v>Program</v>
      </c>
      <c r="L916" s="11" t="s">
        <v>394</v>
      </c>
      <c r="M916" s="13" t="s">
        <v>2834</v>
      </c>
      <c r="N916" s="13" t="s">
        <v>2834</v>
      </c>
      <c r="O916" s="11" t="s">
        <v>270</v>
      </c>
      <c r="P916" s="11" t="s">
        <v>270</v>
      </c>
      <c r="Q916" s="15"/>
      <c r="R916" s="16">
        <v>5627544</v>
      </c>
      <c r="S916" s="11"/>
      <c r="T916" s="11"/>
      <c r="U916" s="11"/>
      <c r="V916" s="11"/>
      <c r="W916" s="11"/>
      <c r="X916" s="11"/>
      <c r="Y916" s="17"/>
      <c r="Z916" s="18">
        <f>ROUND(R916*'Data-CostAssumptions'!$C$3,-3)</f>
        <v>7789000</v>
      </c>
      <c r="AA916" s="11">
        <f t="shared" si="29"/>
        <v>0</v>
      </c>
      <c r="AB916" s="11">
        <v>2041</v>
      </c>
      <c r="AC916" s="11">
        <v>2041</v>
      </c>
      <c r="AD916" s="11">
        <v>2041</v>
      </c>
      <c r="AE916" s="11">
        <v>2041</v>
      </c>
      <c r="AF916" s="11">
        <v>0</v>
      </c>
      <c r="AG916" s="19">
        <f>ROUND((Z916*'Data-CostAssumptions'!$G$5)*(1+'Data-CostAssumptions'!$G$3)^(AC916-'Data-CostAssumptions'!$G$4),-3)</f>
        <v>4394000</v>
      </c>
      <c r="AH916" s="19">
        <f>ROUND((Z916)*(1+'Data-CostAssumptions'!$G$3)^(AE916-'Data-CostAssumptions'!$G$4),-3)</f>
        <v>19971000</v>
      </c>
    </row>
    <row r="917" spans="1:34" ht="15" customHeight="1" x14ac:dyDescent="0.2">
      <c r="A917" s="66"/>
      <c r="B917" s="66" t="s">
        <v>1211</v>
      </c>
      <c r="C917" s="67">
        <v>1033</v>
      </c>
      <c r="D917" s="67" t="s">
        <v>420</v>
      </c>
      <c r="E917" s="68">
        <v>8</v>
      </c>
      <c r="F917" s="68">
        <v>204</v>
      </c>
      <c r="G917" s="20">
        <v>916</v>
      </c>
      <c r="H917" s="67" t="s">
        <v>222</v>
      </c>
      <c r="I917" s="67" t="str">
        <f t="shared" si="28"/>
        <v>Delivery appointment system for cruise ships (Systemwide to Systemwide)</v>
      </c>
      <c r="J917" s="67" t="s">
        <v>1200</v>
      </c>
      <c r="K917" s="67" t="str">
        <f>VLOOKUP(J917,'Data-ProjectTypes'!A$3:B$13,2,FALSE)</f>
        <v>Program</v>
      </c>
      <c r="L917" s="67" t="s">
        <v>325</v>
      </c>
      <c r="M917" s="67" t="s">
        <v>2834</v>
      </c>
      <c r="N917" s="67" t="s">
        <v>2834</v>
      </c>
      <c r="O917" s="67" t="s">
        <v>270</v>
      </c>
      <c r="P917" s="67" t="s">
        <v>270</v>
      </c>
      <c r="Q917" s="69"/>
      <c r="R917" s="70">
        <v>0</v>
      </c>
      <c r="S917" s="21"/>
      <c r="T917" s="21"/>
      <c r="U917" s="21"/>
      <c r="V917" s="24"/>
      <c r="W917" s="24"/>
      <c r="X917" s="24"/>
      <c r="Y917" s="17"/>
      <c r="Z917" s="71">
        <f>ROUND(R917*'Data-CostAssumptions'!$C$3,-3)</f>
        <v>0</v>
      </c>
      <c r="AA917" s="11">
        <f t="shared" si="29"/>
        <v>0</v>
      </c>
      <c r="AB917" s="11">
        <v>2041</v>
      </c>
      <c r="AC917" s="11">
        <v>2041</v>
      </c>
      <c r="AD917" s="11">
        <v>2041</v>
      </c>
      <c r="AE917" s="11">
        <v>2041</v>
      </c>
      <c r="AF917" s="11">
        <v>0</v>
      </c>
      <c r="AG917" s="19">
        <f>ROUND((Z917*'Data-CostAssumptions'!$G$5)*(1+'Data-CostAssumptions'!$G$3)^(AC917-'Data-CostAssumptions'!$G$4),-3)</f>
        <v>0</v>
      </c>
      <c r="AH917" s="19">
        <f>ROUND((Z917)*(1+'Data-CostAssumptions'!$G$3)^(AE917-'Data-CostAssumptions'!$G$4),-3)</f>
        <v>0</v>
      </c>
    </row>
    <row r="918" spans="1:34" ht="15" customHeight="1" x14ac:dyDescent="0.2">
      <c r="A918" s="11"/>
      <c r="B918" s="11" t="s">
        <v>1211</v>
      </c>
      <c r="C918" s="11">
        <v>1042</v>
      </c>
      <c r="D918" s="13" t="s">
        <v>420</v>
      </c>
      <c r="E918" s="14"/>
      <c r="F918" s="14">
        <v>205</v>
      </c>
      <c r="G918" s="20">
        <v>917</v>
      </c>
      <c r="H918" s="13" t="s">
        <v>375</v>
      </c>
      <c r="I918" s="13" t="str">
        <f t="shared" si="28"/>
        <v>Inventory Clearance Equipment (FDOT and FTPK accessible to )</v>
      </c>
      <c r="J918" s="13" t="s">
        <v>1200</v>
      </c>
      <c r="K918" s="13" t="str">
        <f>VLOOKUP(J918,'Data-ProjectTypes'!A$3:B$13,2,FALSE)</f>
        <v>Program</v>
      </c>
      <c r="L918" s="11"/>
      <c r="M918" s="11" t="s">
        <v>417</v>
      </c>
      <c r="N918" s="11"/>
      <c r="O918" s="11" t="s">
        <v>270</v>
      </c>
      <c r="P918" s="11" t="s">
        <v>270</v>
      </c>
      <c r="Q918" s="15"/>
      <c r="R918" s="16">
        <v>11255088</v>
      </c>
      <c r="S918" s="11"/>
      <c r="T918" s="11"/>
      <c r="U918" s="11"/>
      <c r="V918" s="11"/>
      <c r="W918" s="11"/>
      <c r="X918" s="11"/>
      <c r="Y918" s="17" t="s">
        <v>2861</v>
      </c>
      <c r="Z918" s="18">
        <f>ROUND(R918*'Data-CostAssumptions'!$C$3,-3)</f>
        <v>15577000</v>
      </c>
      <c r="AA918" s="11">
        <f t="shared" si="29"/>
        <v>0</v>
      </c>
      <c r="AB918" s="11">
        <v>2041</v>
      </c>
      <c r="AC918" s="11">
        <v>2041</v>
      </c>
      <c r="AD918" s="11">
        <v>2041</v>
      </c>
      <c r="AE918" s="11">
        <v>2041</v>
      </c>
      <c r="AF918" s="11">
        <v>0</v>
      </c>
      <c r="AG918" s="19">
        <f>ROUND((Z918*'Data-CostAssumptions'!$G$5)*(1+'Data-CostAssumptions'!$G$3)^(AC918-'Data-CostAssumptions'!$G$4),-3)</f>
        <v>8786000</v>
      </c>
      <c r="AH918" s="19">
        <f>ROUND((Z918)*(1+'Data-CostAssumptions'!$G$3)^(AE918-'Data-CostAssumptions'!$G$4),-3)</f>
        <v>39939000</v>
      </c>
    </row>
    <row r="919" spans="1:34" ht="15" customHeight="1" x14ac:dyDescent="0.2">
      <c r="A919" s="11"/>
      <c r="B919" s="11" t="s">
        <v>1211</v>
      </c>
      <c r="C919" s="11">
        <v>1043</v>
      </c>
      <c r="D919" s="13" t="s">
        <v>420</v>
      </c>
      <c r="E919" s="14"/>
      <c r="F919" s="14">
        <v>205</v>
      </c>
      <c r="G919" s="20">
        <v>918</v>
      </c>
      <c r="H919" s="13" t="s">
        <v>376</v>
      </c>
      <c r="I919" s="13" t="str">
        <f t="shared" si="28"/>
        <v>Long Term Remote Parking Facilities ( to )</v>
      </c>
      <c r="J919" s="13" t="s">
        <v>1200</v>
      </c>
      <c r="K919" s="13" t="str">
        <f>VLOOKUP(J919,'Data-ProjectTypes'!A$3:B$13,2,FALSE)</f>
        <v>Program</v>
      </c>
      <c r="L919" s="11"/>
      <c r="M919" s="11"/>
      <c r="N919" s="11"/>
      <c r="O919" s="11" t="s">
        <v>270</v>
      </c>
      <c r="P919" s="11" t="s">
        <v>270</v>
      </c>
      <c r="Q919" s="15"/>
      <c r="R919" s="16">
        <v>19905342</v>
      </c>
      <c r="S919" s="11"/>
      <c r="T919" s="11"/>
      <c r="U919" s="11"/>
      <c r="V919" s="11"/>
      <c r="W919" s="11"/>
      <c r="X919" s="11"/>
      <c r="Y919" s="17"/>
      <c r="Z919" s="18">
        <f>ROUND(R919*'Data-CostAssumptions'!$C$3,-3)</f>
        <v>27549000</v>
      </c>
      <c r="AA919" s="11">
        <f t="shared" si="29"/>
        <v>0</v>
      </c>
      <c r="AB919" s="11">
        <v>2041</v>
      </c>
      <c r="AC919" s="11">
        <v>2041</v>
      </c>
      <c r="AD919" s="11">
        <v>2041</v>
      </c>
      <c r="AE919" s="11">
        <v>2041</v>
      </c>
      <c r="AF919" s="11">
        <v>0</v>
      </c>
      <c r="AG919" s="19">
        <f>ROUND((Z919*'Data-CostAssumptions'!$G$5)*(1+'Data-CostAssumptions'!$G$3)^(AC919-'Data-CostAssumptions'!$G$4),-3)</f>
        <v>15540000</v>
      </c>
      <c r="AH919" s="19">
        <f>ROUND((Z919)*(1+'Data-CostAssumptions'!$G$3)^(AE919-'Data-CostAssumptions'!$G$4),-3)</f>
        <v>70634000</v>
      </c>
    </row>
    <row r="920" spans="1:34" ht="15" customHeight="1" x14ac:dyDescent="0.2">
      <c r="A920" s="66"/>
      <c r="B920" s="66" t="s">
        <v>1211</v>
      </c>
      <c r="C920" s="67">
        <v>1046</v>
      </c>
      <c r="D920" s="67" t="s">
        <v>420</v>
      </c>
      <c r="E920" s="68">
        <v>22</v>
      </c>
      <c r="F920" s="68">
        <v>205</v>
      </c>
      <c r="G920" s="20">
        <v>919</v>
      </c>
      <c r="H920" s="67" t="s">
        <v>199</v>
      </c>
      <c r="I920" s="67" t="str">
        <f t="shared" si="28"/>
        <v>Midpoint Cruise/Cargo Programming &amp; Plan Development ( to )</v>
      </c>
      <c r="J920" s="67" t="s">
        <v>1200</v>
      </c>
      <c r="K920" s="67" t="str">
        <f>VLOOKUP(J920,'Data-ProjectTypes'!A$3:B$13,2,FALSE)</f>
        <v>Program</v>
      </c>
      <c r="L920" s="67" t="s">
        <v>334</v>
      </c>
      <c r="M920" s="67"/>
      <c r="N920" s="67"/>
      <c r="O920" s="67" t="s">
        <v>270</v>
      </c>
      <c r="P920" s="67" t="s">
        <v>270</v>
      </c>
      <c r="Q920" s="69"/>
      <c r="R920" s="70">
        <v>0</v>
      </c>
      <c r="S920" s="21" t="s">
        <v>350</v>
      </c>
      <c r="T920" s="21"/>
      <c r="U920" s="21"/>
      <c r="V920" s="24"/>
      <c r="W920" s="24" t="s">
        <v>580</v>
      </c>
      <c r="X920" s="24"/>
      <c r="Y920" s="17" t="s">
        <v>3019</v>
      </c>
      <c r="Z920" s="71">
        <f>ROUND(R920*'Data-CostAssumptions'!$C$3,-3)</f>
        <v>0</v>
      </c>
      <c r="AA920" s="11">
        <f t="shared" si="29"/>
        <v>1</v>
      </c>
      <c r="AB920" s="11">
        <v>2041</v>
      </c>
      <c r="AC920" s="11">
        <v>2041</v>
      </c>
      <c r="AD920" s="11">
        <v>2041</v>
      </c>
      <c r="AE920" s="11">
        <v>2041</v>
      </c>
      <c r="AF920" s="11">
        <v>0</v>
      </c>
      <c r="AG920" s="19">
        <f>ROUND((Z920*'Data-CostAssumptions'!$G$5)*(1+'Data-CostAssumptions'!$G$3)^(AC920-'Data-CostAssumptions'!$G$4),-3)</f>
        <v>0</v>
      </c>
      <c r="AH920" s="19">
        <f>ROUND((Z920)*(1+'Data-CostAssumptions'!$G$3)^(AE920-'Data-CostAssumptions'!$G$4),-3)</f>
        <v>0</v>
      </c>
    </row>
    <row r="921" spans="1:34" ht="15" customHeight="1" x14ac:dyDescent="0.2">
      <c r="A921" s="66"/>
      <c r="B921" s="66" t="s">
        <v>1211</v>
      </c>
      <c r="C921" s="67">
        <v>1047</v>
      </c>
      <c r="D921" s="67" t="s">
        <v>420</v>
      </c>
      <c r="E921" s="68">
        <v>23</v>
      </c>
      <c r="F921" s="68">
        <v>205</v>
      </c>
      <c r="G921" s="20">
        <v>920</v>
      </c>
      <c r="H921" s="67" t="s">
        <v>198</v>
      </c>
      <c r="I921" s="67" t="str">
        <f t="shared" si="28"/>
        <v>Midpoint Parking Garage ( to )</v>
      </c>
      <c r="J921" s="67" t="s">
        <v>1200</v>
      </c>
      <c r="K921" s="67" t="str">
        <f>VLOOKUP(J921,'Data-ProjectTypes'!A$3:B$13,2,FALSE)</f>
        <v>Program</v>
      </c>
      <c r="L921" s="67" t="s">
        <v>335</v>
      </c>
      <c r="M921" s="67"/>
      <c r="N921" s="67"/>
      <c r="O921" s="67" t="s">
        <v>270</v>
      </c>
      <c r="P921" s="67" t="s">
        <v>270</v>
      </c>
      <c r="Q921" s="69"/>
      <c r="R921" s="70">
        <v>0</v>
      </c>
      <c r="S921" s="21" t="s">
        <v>350</v>
      </c>
      <c r="T921" s="21"/>
      <c r="U921" s="21"/>
      <c r="V921" s="24"/>
      <c r="W921" s="24" t="s">
        <v>580</v>
      </c>
      <c r="X921" s="24"/>
      <c r="Y921" s="17" t="s">
        <v>3019</v>
      </c>
      <c r="Z921" s="71">
        <f>ROUND(R921*'Data-CostAssumptions'!$C$3,-3)</f>
        <v>0</v>
      </c>
      <c r="AA921" s="11">
        <f t="shared" si="29"/>
        <v>1</v>
      </c>
      <c r="AB921" s="11">
        <v>2041</v>
      </c>
      <c r="AC921" s="11">
        <v>2041</v>
      </c>
      <c r="AD921" s="11">
        <v>2041</v>
      </c>
      <c r="AE921" s="11">
        <v>2041</v>
      </c>
      <c r="AF921" s="11">
        <v>0</v>
      </c>
      <c r="AG921" s="19">
        <f>ROUND((Z921*'Data-CostAssumptions'!$G$5)*(1+'Data-CostAssumptions'!$G$3)^(AC921-'Data-CostAssumptions'!$G$4),-3)</f>
        <v>0</v>
      </c>
      <c r="AH921" s="19">
        <f>ROUND((Z921)*(1+'Data-CostAssumptions'!$G$3)^(AE921-'Data-CostAssumptions'!$G$4),-3)</f>
        <v>0</v>
      </c>
    </row>
    <row r="922" spans="1:34" ht="15" customHeight="1" x14ac:dyDescent="0.2">
      <c r="A922" s="11"/>
      <c r="B922" s="11" t="s">
        <v>1211</v>
      </c>
      <c r="C922" s="13">
        <v>1048</v>
      </c>
      <c r="D922" s="13" t="s">
        <v>420</v>
      </c>
      <c r="E922" s="20">
        <v>24</v>
      </c>
      <c r="F922" s="20">
        <v>206</v>
      </c>
      <c r="G922" s="20">
        <v>921</v>
      </c>
      <c r="H922" s="13" t="s">
        <v>220</v>
      </c>
      <c r="I922" s="13" t="str">
        <f t="shared" si="28"/>
        <v>On-Port circulation improvements ( to )</v>
      </c>
      <c r="J922" s="13" t="s">
        <v>1200</v>
      </c>
      <c r="K922" s="13" t="str">
        <f>VLOOKUP(J922,'Data-ProjectTypes'!A$3:B$13,2,FALSE)</f>
        <v>Program</v>
      </c>
      <c r="L922" s="21" t="s">
        <v>348</v>
      </c>
      <c r="M922" s="13"/>
      <c r="N922" s="13"/>
      <c r="O922" s="13" t="s">
        <v>270</v>
      </c>
      <c r="P922" s="13" t="s">
        <v>270</v>
      </c>
      <c r="Q922" s="22"/>
      <c r="R922" s="23">
        <v>5064790</v>
      </c>
      <c r="S922" s="21"/>
      <c r="T922" s="21"/>
      <c r="U922" s="21"/>
      <c r="V922" s="24"/>
      <c r="W922" s="24"/>
      <c r="X922" s="24"/>
      <c r="Y922" s="17"/>
      <c r="Z922" s="18">
        <f>ROUND(R922*'Data-CostAssumptions'!$C$3,-3)</f>
        <v>7010000</v>
      </c>
      <c r="AA922" s="11">
        <f t="shared" si="29"/>
        <v>0</v>
      </c>
      <c r="AB922" s="11">
        <v>2041</v>
      </c>
      <c r="AC922" s="11">
        <v>2041</v>
      </c>
      <c r="AD922" s="11">
        <v>2041</v>
      </c>
      <c r="AE922" s="11">
        <v>2041</v>
      </c>
      <c r="AF922" s="11">
        <v>0</v>
      </c>
      <c r="AG922" s="19">
        <f>ROUND((Z922*'Data-CostAssumptions'!$G$5)*(1+'Data-CostAssumptions'!$G$3)^(AC922-'Data-CostAssumptions'!$G$4),-3)</f>
        <v>3954000</v>
      </c>
      <c r="AH922" s="19">
        <f>ROUND((Z922)*(1+'Data-CostAssumptions'!$G$3)^(AE922-'Data-CostAssumptions'!$G$4),-3)</f>
        <v>17973000</v>
      </c>
    </row>
    <row r="923" spans="1:34" ht="15" customHeight="1" x14ac:dyDescent="0.2">
      <c r="A923" s="66"/>
      <c r="B923" s="66" t="s">
        <v>1211</v>
      </c>
      <c r="C923" s="67">
        <v>1066</v>
      </c>
      <c r="D923" s="67" t="s">
        <v>420</v>
      </c>
      <c r="E923" s="68">
        <v>44</v>
      </c>
      <c r="F923" s="68">
        <v>207</v>
      </c>
      <c r="G923" s="20">
        <v>922</v>
      </c>
      <c r="H923" s="67" t="s">
        <v>2922</v>
      </c>
      <c r="I923" s="67" t="str">
        <f t="shared" si="28"/>
        <v>PEV ACOE Dredging Project ( to )</v>
      </c>
      <c r="J923" s="67" t="s">
        <v>1200</v>
      </c>
      <c r="K923" s="67" t="str">
        <f>VLOOKUP(J923,'Data-ProjectTypes'!A$3:B$13,2,FALSE)</f>
        <v>Program</v>
      </c>
      <c r="L923" s="67" t="s">
        <v>345</v>
      </c>
      <c r="M923" s="67"/>
      <c r="N923" s="67"/>
      <c r="O923" s="67" t="s">
        <v>270</v>
      </c>
      <c r="P923" s="67" t="s">
        <v>270</v>
      </c>
      <c r="Q923" s="69"/>
      <c r="R923" s="70">
        <v>0</v>
      </c>
      <c r="S923" s="21" t="s">
        <v>24</v>
      </c>
      <c r="T923" s="21"/>
      <c r="U923" s="21"/>
      <c r="V923" s="24"/>
      <c r="W923" s="24" t="s">
        <v>552</v>
      </c>
      <c r="X923" s="24"/>
      <c r="Y923" s="17" t="s">
        <v>538</v>
      </c>
      <c r="Z923" s="71">
        <f>ROUND(R923*'Data-CostAssumptions'!$C$3,-3)</f>
        <v>0</v>
      </c>
      <c r="AA923" s="11">
        <f t="shared" si="29"/>
        <v>1</v>
      </c>
      <c r="AB923" s="11">
        <v>2041</v>
      </c>
      <c r="AC923" s="11">
        <v>2041</v>
      </c>
      <c r="AD923" s="11">
        <v>2041</v>
      </c>
      <c r="AE923" s="11">
        <v>2041</v>
      </c>
      <c r="AF923" s="11">
        <v>0</v>
      </c>
      <c r="AG923" s="19">
        <f>ROUND((Z923*'Data-CostAssumptions'!$G$5)*(1+'Data-CostAssumptions'!$G$3)^(AC923-'Data-CostAssumptions'!$G$4),-3)</f>
        <v>0</v>
      </c>
      <c r="AH923" s="19">
        <f>ROUND((Z923)*(1+'Data-CostAssumptions'!$G$3)^(AE923-'Data-CostAssumptions'!$G$4),-3)</f>
        <v>0</v>
      </c>
    </row>
    <row r="924" spans="1:34" ht="15" customHeight="1" x14ac:dyDescent="0.2">
      <c r="A924" s="11"/>
      <c r="B924" s="11" t="s">
        <v>1211</v>
      </c>
      <c r="C924" s="13">
        <v>1067</v>
      </c>
      <c r="D924" s="13" t="s">
        <v>420</v>
      </c>
      <c r="E924" s="20">
        <v>45</v>
      </c>
      <c r="F924" s="20">
        <v>207</v>
      </c>
      <c r="G924" s="20">
        <v>923</v>
      </c>
      <c r="H924" s="13" t="s">
        <v>192</v>
      </c>
      <c r="I924" s="13" t="str">
        <f t="shared" si="28"/>
        <v>Slip 2 Expansion ( to )</v>
      </c>
      <c r="J924" s="13" t="s">
        <v>1200</v>
      </c>
      <c r="K924" s="13" t="str">
        <f>VLOOKUP(J924,'Data-ProjectTypes'!A$3:B$13,2,FALSE)</f>
        <v>Program</v>
      </c>
      <c r="L924" s="21" t="s">
        <v>346</v>
      </c>
      <c r="M924" s="13"/>
      <c r="N924" s="13"/>
      <c r="O924" s="13" t="s">
        <v>270</v>
      </c>
      <c r="P924" s="13" t="s">
        <v>270</v>
      </c>
      <c r="Q924" s="22"/>
      <c r="R924" s="23">
        <v>1293913</v>
      </c>
      <c r="S924" s="21" t="s">
        <v>24</v>
      </c>
      <c r="T924" s="21"/>
      <c r="U924" s="21"/>
      <c r="V924" s="24"/>
      <c r="W924" s="24" t="s">
        <v>552</v>
      </c>
      <c r="X924" s="24"/>
      <c r="Y924" s="17" t="s">
        <v>538</v>
      </c>
      <c r="Z924" s="18">
        <f>ROUND(R924*'Data-CostAssumptions'!$C$3,-3)</f>
        <v>1791000</v>
      </c>
      <c r="AA924" s="11">
        <f t="shared" si="29"/>
        <v>1</v>
      </c>
      <c r="AB924" s="11">
        <v>2041</v>
      </c>
      <c r="AC924" s="11">
        <v>2041</v>
      </c>
      <c r="AD924" s="11">
        <v>2041</v>
      </c>
      <c r="AE924" s="11">
        <v>2041</v>
      </c>
      <c r="AF924" s="11">
        <v>0</v>
      </c>
      <c r="AG924" s="19">
        <f>ROUND((Z924*'Data-CostAssumptions'!$G$5)*(1+'Data-CostAssumptions'!$G$3)^(AC924-'Data-CostAssumptions'!$G$4),-3)</f>
        <v>1010000</v>
      </c>
      <c r="AH924" s="19">
        <f>ROUND((Z924)*(1+'Data-CostAssumptions'!$G$3)^(AE924-'Data-CostAssumptions'!$G$4),-3)</f>
        <v>4592000</v>
      </c>
    </row>
    <row r="925" spans="1:34" ht="15" customHeight="1" x14ac:dyDescent="0.2">
      <c r="A925" s="66"/>
      <c r="B925" s="66" t="s">
        <v>1211</v>
      </c>
      <c r="C925" s="67">
        <v>1065</v>
      </c>
      <c r="D925" s="67" t="s">
        <v>420</v>
      </c>
      <c r="E925" s="68">
        <v>43</v>
      </c>
      <c r="F925" s="68">
        <v>207</v>
      </c>
      <c r="G925" s="20">
        <v>924</v>
      </c>
      <c r="H925" s="67" t="s">
        <v>194</v>
      </c>
      <c r="I925" s="67" t="str">
        <f t="shared" si="28"/>
        <v>Southport Turning Notch Expansion (Phase I) ( to )</v>
      </c>
      <c r="J925" s="67" t="s">
        <v>1200</v>
      </c>
      <c r="K925" s="67" t="str">
        <f>VLOOKUP(J925,'Data-ProjectTypes'!A$3:B$13,2,FALSE)</f>
        <v>Program</v>
      </c>
      <c r="L925" s="67" t="s">
        <v>344</v>
      </c>
      <c r="M925" s="67"/>
      <c r="N925" s="67"/>
      <c r="O925" s="67" t="s">
        <v>270</v>
      </c>
      <c r="P925" s="67" t="s">
        <v>270</v>
      </c>
      <c r="Q925" s="69"/>
      <c r="R925" s="70">
        <v>0</v>
      </c>
      <c r="S925" s="21" t="s">
        <v>24</v>
      </c>
      <c r="T925" s="21"/>
      <c r="U925" s="21"/>
      <c r="V925" s="24"/>
      <c r="W925" s="24" t="s">
        <v>552</v>
      </c>
      <c r="X925" s="24"/>
      <c r="Y925" s="17" t="s">
        <v>538</v>
      </c>
      <c r="Z925" s="71">
        <f>ROUND(R925*'Data-CostAssumptions'!$C$4,-3)</f>
        <v>0</v>
      </c>
      <c r="AA925" s="11">
        <f t="shared" si="29"/>
        <v>1</v>
      </c>
      <c r="AB925" s="11">
        <v>2041</v>
      </c>
      <c r="AC925" s="11">
        <v>2041</v>
      </c>
      <c r="AD925" s="11">
        <v>2041</v>
      </c>
      <c r="AE925" s="11">
        <v>2041</v>
      </c>
      <c r="AF925" s="11">
        <v>0</v>
      </c>
      <c r="AG925" s="19">
        <f>ROUND((Z925*'Data-CostAssumptions'!$G$5)*(1+'Data-CostAssumptions'!$G$3)^(AC925-'Data-CostAssumptions'!$G$4),-3)</f>
        <v>0</v>
      </c>
      <c r="AH925" s="19">
        <f>ROUND((Z925)*(1+'Data-CostAssumptions'!$G$3)^(AE925-'Data-CostAssumptions'!$G$4),-3)</f>
        <v>0</v>
      </c>
    </row>
    <row r="926" spans="1:34" ht="15" customHeight="1" x14ac:dyDescent="0.2">
      <c r="A926" s="11"/>
      <c r="B926" s="11" t="s">
        <v>1211</v>
      </c>
      <c r="C926" s="11">
        <v>1061</v>
      </c>
      <c r="D926" s="13" t="s">
        <v>420</v>
      </c>
      <c r="E926" s="14"/>
      <c r="F926" s="14">
        <v>207</v>
      </c>
      <c r="G926" s="20">
        <v>925</v>
      </c>
      <c r="H926" s="13" t="s">
        <v>378</v>
      </c>
      <c r="I926" s="13" t="str">
        <f t="shared" si="28"/>
        <v>Terminal 4 Parking Garage ( to )</v>
      </c>
      <c r="J926" s="13" t="s">
        <v>1200</v>
      </c>
      <c r="K926" s="13" t="str">
        <f>VLOOKUP(J926,'Data-ProjectTypes'!A$3:B$13,2,FALSE)</f>
        <v>Program</v>
      </c>
      <c r="L926" s="11" t="s">
        <v>398</v>
      </c>
      <c r="M926" s="11"/>
      <c r="N926" s="11"/>
      <c r="O926" s="11" t="s">
        <v>270</v>
      </c>
      <c r="P926" s="11" t="s">
        <v>270</v>
      </c>
      <c r="Q926" s="15"/>
      <c r="R926" s="16">
        <v>888487</v>
      </c>
      <c r="S926" s="11"/>
      <c r="T926" s="11"/>
      <c r="U926" s="11"/>
      <c r="V926" s="11"/>
      <c r="W926" s="11"/>
      <c r="X926" s="11"/>
      <c r="Y926" s="17"/>
      <c r="Z926" s="18">
        <f>ROUND(R926*'Data-CostAssumptions'!$C$8,-3)</f>
        <v>888000</v>
      </c>
      <c r="AA926" s="11">
        <f t="shared" si="29"/>
        <v>0</v>
      </c>
      <c r="AB926" s="11">
        <v>2041</v>
      </c>
      <c r="AC926" s="11">
        <v>2041</v>
      </c>
      <c r="AD926" s="11">
        <v>2041</v>
      </c>
      <c r="AE926" s="11">
        <v>2041</v>
      </c>
      <c r="AF926" s="11">
        <v>0</v>
      </c>
      <c r="AG926" s="19">
        <f>ROUND((Z926*'Data-CostAssumptions'!$G$5)*(1+'Data-CostAssumptions'!$G$3)^(AC926-'Data-CostAssumptions'!$G$4),-3)</f>
        <v>501000</v>
      </c>
      <c r="AH926" s="19">
        <f>ROUND((Z926)*(1+'Data-CostAssumptions'!$G$3)^(AE926-'Data-CostAssumptions'!$G$4),-3)</f>
        <v>2277000</v>
      </c>
    </row>
    <row r="927" spans="1:34" ht="15" customHeight="1" x14ac:dyDescent="0.2">
      <c r="A927" s="11"/>
      <c r="B927" s="11" t="s">
        <v>1211</v>
      </c>
      <c r="C927" s="11">
        <v>1062</v>
      </c>
      <c r="D927" s="13" t="s">
        <v>420</v>
      </c>
      <c r="E927" s="14"/>
      <c r="F927" s="14">
        <v>207</v>
      </c>
      <c r="G927" s="20">
        <v>926</v>
      </c>
      <c r="H927" s="13" t="s">
        <v>379</v>
      </c>
      <c r="I927" s="13" t="str">
        <f t="shared" si="28"/>
        <v>Terminal 4 Second Loading Bridge ( to )</v>
      </c>
      <c r="J927" s="13" t="s">
        <v>1200</v>
      </c>
      <c r="K927" s="13" t="str">
        <f>VLOOKUP(J927,'Data-ProjectTypes'!A$3:B$13,2,FALSE)</f>
        <v>Program</v>
      </c>
      <c r="L927" s="11" t="s">
        <v>399</v>
      </c>
      <c r="M927" s="11"/>
      <c r="N927" s="11"/>
      <c r="O927" s="11" t="s">
        <v>270</v>
      </c>
      <c r="P927" s="11" t="s">
        <v>270</v>
      </c>
      <c r="Q927" s="15"/>
      <c r="R927" s="16">
        <v>1319634</v>
      </c>
      <c r="S927" s="11"/>
      <c r="T927" s="11"/>
      <c r="U927" s="11"/>
      <c r="V927" s="11"/>
      <c r="W927" s="11"/>
      <c r="X927" s="11"/>
      <c r="Y927" s="17"/>
      <c r="Z927" s="18">
        <f>ROUND(R927*'Data-CostAssumptions'!$C$8,-3)</f>
        <v>1320000</v>
      </c>
      <c r="AA927" s="11">
        <f t="shared" si="29"/>
        <v>0</v>
      </c>
      <c r="AB927" s="11">
        <v>2041</v>
      </c>
      <c r="AC927" s="11">
        <v>2041</v>
      </c>
      <c r="AD927" s="11">
        <v>2041</v>
      </c>
      <c r="AE927" s="11">
        <v>2041</v>
      </c>
      <c r="AF927" s="11">
        <v>0</v>
      </c>
      <c r="AG927" s="19">
        <f>ROUND((Z927*'Data-CostAssumptions'!$G$5)*(1+'Data-CostAssumptions'!$G$3)^(AC927-'Data-CostAssumptions'!$G$4),-3)</f>
        <v>745000</v>
      </c>
      <c r="AH927" s="19">
        <f>ROUND((Z927)*(1+'Data-CostAssumptions'!$G$3)^(AE927-'Data-CostAssumptions'!$G$4),-3)</f>
        <v>3384000</v>
      </c>
    </row>
    <row r="928" spans="1:34" ht="15" customHeight="1" x14ac:dyDescent="0.2">
      <c r="A928" s="11"/>
      <c r="B928" s="11" t="s">
        <v>1211</v>
      </c>
      <c r="C928" s="13">
        <v>997</v>
      </c>
      <c r="D928" s="13" t="s">
        <v>420</v>
      </c>
      <c r="E928" s="20">
        <v>8</v>
      </c>
      <c r="F928" s="20">
        <v>199</v>
      </c>
      <c r="G928" s="20">
        <v>927</v>
      </c>
      <c r="H928" s="13" t="s">
        <v>1840</v>
      </c>
      <c r="I928" s="13" t="str">
        <f t="shared" si="28"/>
        <v>County Line Rd/HEFT Extention (I-95 to Florida's Turnpike)</v>
      </c>
      <c r="J928" s="13" t="s">
        <v>1203</v>
      </c>
      <c r="K928" s="13" t="str">
        <f>VLOOKUP(J928,'Data-ProjectTypes'!A$3:B$13,2,FALSE)</f>
        <v>Program</v>
      </c>
      <c r="L928" s="21" t="s">
        <v>309</v>
      </c>
      <c r="M928" s="13" t="s">
        <v>41</v>
      </c>
      <c r="N928" s="13" t="s">
        <v>42</v>
      </c>
      <c r="O928" s="13" t="s">
        <v>272</v>
      </c>
      <c r="P928" s="13" t="s">
        <v>272</v>
      </c>
      <c r="Q928" s="22">
        <v>3.9</v>
      </c>
      <c r="R928" s="23">
        <v>975000</v>
      </c>
      <c r="S928" s="21" t="s">
        <v>1122</v>
      </c>
      <c r="T928" s="29" t="s">
        <v>1125</v>
      </c>
      <c r="U928" s="21" t="s">
        <v>1128</v>
      </c>
      <c r="V928" s="24"/>
      <c r="W928" s="24" t="s">
        <v>1129</v>
      </c>
      <c r="X928" s="24"/>
      <c r="Y928" s="17" t="s">
        <v>1110</v>
      </c>
      <c r="Z928" s="18">
        <f>ROUND(R928*'Data-CostAssumptions'!$C$3,-3)</f>
        <v>1349000</v>
      </c>
      <c r="AA928" s="11">
        <f t="shared" si="29"/>
        <v>1</v>
      </c>
      <c r="AB928" s="11">
        <v>2041</v>
      </c>
      <c r="AC928" s="11">
        <v>2041</v>
      </c>
      <c r="AD928" s="11">
        <v>2041</v>
      </c>
      <c r="AE928" s="11">
        <v>2041</v>
      </c>
      <c r="AF928" s="11">
        <v>0</v>
      </c>
      <c r="AG928" s="19">
        <f>ROUND((Z928*'Data-CostAssumptions'!$G$5)*(1+'Data-CostAssumptions'!$G$3)^(AC928-'Data-CostAssumptions'!$G$4),-3)</f>
        <v>761000</v>
      </c>
      <c r="AH928" s="19">
        <f>ROUND((Z928)*(1+'Data-CostAssumptions'!$G$3)^(AE928-'Data-CostAssumptions'!$G$4),-3)</f>
        <v>3459000</v>
      </c>
    </row>
    <row r="929" spans="1:34" ht="15" customHeight="1" x14ac:dyDescent="0.2">
      <c r="A929" s="11"/>
      <c r="B929" s="11" t="s">
        <v>1211</v>
      </c>
      <c r="C929" s="13">
        <v>1055</v>
      </c>
      <c r="D929" s="13" t="s">
        <v>420</v>
      </c>
      <c r="E929" s="20">
        <v>33</v>
      </c>
      <c r="F929" s="20">
        <v>206</v>
      </c>
      <c r="G929" s="20">
        <v>928</v>
      </c>
      <c r="H929" s="13" t="s">
        <v>45</v>
      </c>
      <c r="I929" s="13" t="str">
        <f t="shared" si="28"/>
        <v>SR 84 ( to FEC rail crossing)</v>
      </c>
      <c r="J929" s="13" t="s">
        <v>1203</v>
      </c>
      <c r="K929" s="13" t="str">
        <f>VLOOKUP(J929,'Data-ProjectTypes'!A$3:B$13,2,FALSE)</f>
        <v>Program</v>
      </c>
      <c r="L929" s="21" t="s">
        <v>340</v>
      </c>
      <c r="M929" s="13"/>
      <c r="N929" s="13" t="s">
        <v>258</v>
      </c>
      <c r="O929" s="13" t="s">
        <v>270</v>
      </c>
      <c r="P929" s="13" t="s">
        <v>270</v>
      </c>
      <c r="Q929" s="22"/>
      <c r="R929" s="23">
        <v>750000</v>
      </c>
      <c r="S929" s="21"/>
      <c r="T929" s="21"/>
      <c r="U929" s="21"/>
      <c r="V929" s="24"/>
      <c r="W929" s="24"/>
      <c r="X929" s="24"/>
      <c r="Y929" s="17"/>
      <c r="Z929" s="18">
        <f>ROUND(R929*'Data-CostAssumptions'!$C$8,-3)</f>
        <v>750000</v>
      </c>
      <c r="AA929" s="11">
        <f t="shared" si="29"/>
        <v>0</v>
      </c>
      <c r="AB929" s="11">
        <v>2041</v>
      </c>
      <c r="AC929" s="11">
        <v>2041</v>
      </c>
      <c r="AD929" s="11">
        <v>2041</v>
      </c>
      <c r="AE929" s="11">
        <v>2041</v>
      </c>
      <c r="AF929" s="11">
        <v>0</v>
      </c>
      <c r="AG929" s="19">
        <f>ROUND((Z929*'Data-CostAssumptions'!$G$5)*(1+'Data-CostAssumptions'!$G$3)^(AC929-'Data-CostAssumptions'!$G$4),-3)</f>
        <v>423000</v>
      </c>
      <c r="AH929" s="19">
        <f>ROUND((Z929)*(1+'Data-CostAssumptions'!$G$3)^(AE929-'Data-CostAssumptions'!$G$4),-3)</f>
        <v>1923000</v>
      </c>
    </row>
    <row r="930" spans="1:34" ht="15" customHeight="1" x14ac:dyDescent="0.2">
      <c r="A930" s="11"/>
      <c r="B930" s="11" t="s">
        <v>1211</v>
      </c>
      <c r="C930" s="13">
        <v>1058</v>
      </c>
      <c r="D930" s="13" t="s">
        <v>420</v>
      </c>
      <c r="E930" s="20">
        <v>36</v>
      </c>
      <c r="F930" s="20">
        <v>206</v>
      </c>
      <c r="G930" s="20">
        <v>929</v>
      </c>
      <c r="H930" s="13" t="s">
        <v>45</v>
      </c>
      <c r="I930" s="13" t="str">
        <f t="shared" si="28"/>
        <v>SR 84 (@  US 1)</v>
      </c>
      <c r="J930" s="13" t="s">
        <v>1203</v>
      </c>
      <c r="K930" s="13" t="str">
        <f>VLOOKUP(J930,'Data-ProjectTypes'!A$3:B$13,2,FALSE)</f>
        <v>Program</v>
      </c>
      <c r="L930" s="21" t="s">
        <v>342</v>
      </c>
      <c r="M930" s="13" t="s">
        <v>2835</v>
      </c>
      <c r="N930" s="13" t="s">
        <v>98</v>
      </c>
      <c r="O930" s="13" t="s">
        <v>270</v>
      </c>
      <c r="P930" s="13" t="s">
        <v>270</v>
      </c>
      <c r="Q930" s="22"/>
      <c r="R930" s="23">
        <v>125000</v>
      </c>
      <c r="S930" s="21"/>
      <c r="T930" s="21"/>
      <c r="U930" s="21"/>
      <c r="V930" s="24"/>
      <c r="W930" s="24"/>
      <c r="X930" s="24"/>
      <c r="Y930" s="17"/>
      <c r="Z930" s="18">
        <f>ROUND(R930*'Data-CostAssumptions'!$C$8,-3)</f>
        <v>125000</v>
      </c>
      <c r="AA930" s="11">
        <f t="shared" si="29"/>
        <v>0</v>
      </c>
      <c r="AB930" s="11">
        <v>2041</v>
      </c>
      <c r="AC930" s="11">
        <v>2041</v>
      </c>
      <c r="AD930" s="11">
        <v>2041</v>
      </c>
      <c r="AE930" s="11">
        <v>2041</v>
      </c>
      <c r="AF930" s="11">
        <v>0</v>
      </c>
      <c r="AG930" s="19">
        <f>ROUND((Z930*'Data-CostAssumptions'!$G$5)*(1+'Data-CostAssumptions'!$G$3)^(AC930-'Data-CostAssumptions'!$G$4),-3)</f>
        <v>71000</v>
      </c>
      <c r="AH930" s="19">
        <f>ROUND((Z930)*(1+'Data-CostAssumptions'!$G$3)^(AE930-'Data-CostAssumptions'!$G$4),-3)</f>
        <v>320000</v>
      </c>
    </row>
    <row r="931" spans="1:34" ht="15" customHeight="1" x14ac:dyDescent="0.2">
      <c r="A931" s="11"/>
      <c r="B931" s="11" t="s">
        <v>1211</v>
      </c>
      <c r="C931" s="13">
        <v>1064</v>
      </c>
      <c r="D931" s="13" t="s">
        <v>420</v>
      </c>
      <c r="E931" s="20">
        <v>42</v>
      </c>
      <c r="F931" s="20">
        <v>207</v>
      </c>
      <c r="G931" s="20">
        <v>930</v>
      </c>
      <c r="H931" s="13" t="s">
        <v>2733</v>
      </c>
      <c r="I931" s="13" t="str">
        <f t="shared" si="28"/>
        <v>SR25/US 27 Rail Corridor Study (Palm Beach/Broward County Line to Miami-Dade/Broward County Line)</v>
      </c>
      <c r="J931" s="13" t="s">
        <v>1203</v>
      </c>
      <c r="K931" s="13" t="str">
        <f>VLOOKUP(J931,'Data-ProjectTypes'!A$3:B$13,2,FALSE)</f>
        <v>Program</v>
      </c>
      <c r="L931" s="21" t="s">
        <v>343</v>
      </c>
      <c r="M931" s="13" t="s">
        <v>36</v>
      </c>
      <c r="N931" s="13" t="s">
        <v>37</v>
      </c>
      <c r="O931" s="13" t="s">
        <v>270</v>
      </c>
      <c r="P931" s="13" t="s">
        <v>270</v>
      </c>
      <c r="Q931" s="22"/>
      <c r="R931" s="23">
        <v>1000000</v>
      </c>
      <c r="S931" s="29" t="s">
        <v>840</v>
      </c>
      <c r="T931" s="21" t="s">
        <v>25</v>
      </c>
      <c r="U931" s="21" t="s">
        <v>25</v>
      </c>
      <c r="V931" s="24"/>
      <c r="W931" s="24"/>
      <c r="X931" s="28"/>
      <c r="Y931" s="17" t="s">
        <v>839</v>
      </c>
      <c r="Z931" s="18">
        <f>ROUND(R931*'Data-CostAssumptions'!$C$8,-3)</f>
        <v>1000000</v>
      </c>
      <c r="AA931" s="11">
        <f t="shared" si="29"/>
        <v>0</v>
      </c>
      <c r="AB931" s="11">
        <v>2041</v>
      </c>
      <c r="AC931" s="11">
        <v>2041</v>
      </c>
      <c r="AD931" s="11">
        <v>2041</v>
      </c>
      <c r="AE931" s="11">
        <v>2041</v>
      </c>
      <c r="AF931" s="11">
        <v>0</v>
      </c>
      <c r="AG931" s="19">
        <f>ROUND((Z931*'Data-CostAssumptions'!$G$5)*(1+'Data-CostAssumptions'!$G$3)^(AC931-'Data-CostAssumptions'!$G$4),-3)</f>
        <v>564000</v>
      </c>
      <c r="AH931" s="19">
        <f>ROUND((Z931)*(1+'Data-CostAssumptions'!$G$3)^(AE931-'Data-CostAssumptions'!$G$4),-3)</f>
        <v>2564000</v>
      </c>
    </row>
    <row r="932" spans="1:34" ht="15" customHeight="1" x14ac:dyDescent="0.2">
      <c r="A932" s="11"/>
      <c r="B932" s="11" t="s">
        <v>1211</v>
      </c>
      <c r="C932" s="11">
        <v>1019</v>
      </c>
      <c r="D932" s="13" t="s">
        <v>420</v>
      </c>
      <c r="E932" s="14"/>
      <c r="F932" s="14">
        <v>202</v>
      </c>
      <c r="G932" s="20">
        <v>931</v>
      </c>
      <c r="H932" s="13" t="s">
        <v>367</v>
      </c>
      <c r="I932" s="13" t="str">
        <f t="shared" si="28"/>
        <v>ATMS Design Group 2 (Area 2:West Broward to )</v>
      </c>
      <c r="J932" s="11" t="s">
        <v>1204</v>
      </c>
      <c r="K932" s="13" t="str">
        <f>VLOOKUP(J932,'Data-ProjectTypes'!A$3:B$13,2,FALSE)</f>
        <v>Program</v>
      </c>
      <c r="L932" s="11" t="s">
        <v>321</v>
      </c>
      <c r="M932" s="11" t="s">
        <v>412</v>
      </c>
      <c r="N932" s="11"/>
      <c r="O932" s="11" t="s">
        <v>270</v>
      </c>
      <c r="P932" s="11" t="s">
        <v>270</v>
      </c>
      <c r="Q932" s="15"/>
      <c r="R932" s="16">
        <v>21000000</v>
      </c>
      <c r="S932" s="11"/>
      <c r="T932" s="11"/>
      <c r="U932" s="11"/>
      <c r="V932" s="11"/>
      <c r="W932" s="11"/>
      <c r="X932" s="11"/>
      <c r="Y932" s="17"/>
      <c r="Z932" s="18">
        <f>ROUND(R932*'Data-CostAssumptions'!$C$3,-3)</f>
        <v>29064000</v>
      </c>
      <c r="AA932" s="11">
        <f t="shared" si="29"/>
        <v>0</v>
      </c>
      <c r="AB932" s="11">
        <v>2041</v>
      </c>
      <c r="AC932" s="11">
        <v>2041</v>
      </c>
      <c r="AD932" s="11">
        <v>2041</v>
      </c>
      <c r="AE932" s="11">
        <v>2041</v>
      </c>
      <c r="AF932" s="11">
        <v>0</v>
      </c>
      <c r="AG932" s="19">
        <f>ROUND((Z932*'Data-CostAssumptions'!$G$5)*(1+'Data-CostAssumptions'!$G$3)^(AC932-'Data-CostAssumptions'!$G$4),-3)</f>
        <v>16394000</v>
      </c>
      <c r="AH932" s="19">
        <f>ROUND((Z932)*(1+'Data-CostAssumptions'!$G$3)^(AE932-'Data-CostAssumptions'!$G$4),-3)</f>
        <v>74519000</v>
      </c>
    </row>
    <row r="933" spans="1:34" ht="15" customHeight="1" x14ac:dyDescent="0.2">
      <c r="A933" s="11"/>
      <c r="B933" s="11" t="s">
        <v>1211</v>
      </c>
      <c r="C933" s="11">
        <v>1020</v>
      </c>
      <c r="D933" s="13" t="s">
        <v>420</v>
      </c>
      <c r="E933" s="14"/>
      <c r="F933" s="14">
        <v>202</v>
      </c>
      <c r="G933" s="20">
        <v>932</v>
      </c>
      <c r="H933" s="13" t="s">
        <v>368</v>
      </c>
      <c r="I933" s="13" t="str">
        <f t="shared" si="28"/>
        <v>ATMS Design Group 3 (Area 3:Northeast Broward to )</v>
      </c>
      <c r="J933" s="11" t="s">
        <v>1204</v>
      </c>
      <c r="K933" s="13" t="str">
        <f>VLOOKUP(J933,'Data-ProjectTypes'!A$3:B$13,2,FALSE)</f>
        <v>Program</v>
      </c>
      <c r="L933" s="11" t="s">
        <v>321</v>
      </c>
      <c r="M933" s="11" t="s">
        <v>413</v>
      </c>
      <c r="N933" s="11"/>
      <c r="O933" s="11" t="s">
        <v>270</v>
      </c>
      <c r="P933" s="11" t="s">
        <v>270</v>
      </c>
      <c r="Q933" s="15"/>
      <c r="R933" s="16">
        <v>25000000</v>
      </c>
      <c r="S933" s="11"/>
      <c r="T933" s="11"/>
      <c r="U933" s="11"/>
      <c r="V933" s="11"/>
      <c r="W933" s="11"/>
      <c r="X933" s="11"/>
      <c r="Y933" s="17"/>
      <c r="Z933" s="18">
        <f>ROUND(R933*'Data-CostAssumptions'!$C$3,-3)</f>
        <v>34600000</v>
      </c>
      <c r="AA933" s="11">
        <f t="shared" si="29"/>
        <v>0</v>
      </c>
      <c r="AB933" s="11">
        <v>2041</v>
      </c>
      <c r="AC933" s="11">
        <v>2041</v>
      </c>
      <c r="AD933" s="11">
        <v>2041</v>
      </c>
      <c r="AE933" s="11">
        <v>2041</v>
      </c>
      <c r="AF933" s="11">
        <v>0</v>
      </c>
      <c r="AG933" s="19">
        <f>ROUND((Z933*'Data-CostAssumptions'!$G$5)*(1+'Data-CostAssumptions'!$G$3)^(AC933-'Data-CostAssumptions'!$G$4),-3)</f>
        <v>19517000</v>
      </c>
      <c r="AH933" s="19">
        <f>ROUND((Z933)*(1+'Data-CostAssumptions'!$G$3)^(AE933-'Data-CostAssumptions'!$G$4),-3)</f>
        <v>88713000</v>
      </c>
    </row>
    <row r="934" spans="1:34" ht="15" customHeight="1" x14ac:dyDescent="0.2">
      <c r="A934" s="11"/>
      <c r="B934" s="11" t="s">
        <v>1211</v>
      </c>
      <c r="C934" s="11">
        <v>1021</v>
      </c>
      <c r="D934" s="13" t="s">
        <v>420</v>
      </c>
      <c r="E934" s="14"/>
      <c r="F934" s="14">
        <v>202</v>
      </c>
      <c r="G934" s="20">
        <v>933</v>
      </c>
      <c r="H934" s="13" t="s">
        <v>369</v>
      </c>
      <c r="I934" s="13" t="str">
        <f t="shared" si="28"/>
        <v>ATMS Design Group 4 (Area 4:Southeast Broward to )</v>
      </c>
      <c r="J934" s="11" t="s">
        <v>1204</v>
      </c>
      <c r="K934" s="13" t="str">
        <f>VLOOKUP(J934,'Data-ProjectTypes'!A$3:B$13,2,FALSE)</f>
        <v>Program</v>
      </c>
      <c r="L934" s="11" t="s">
        <v>321</v>
      </c>
      <c r="M934" s="11" t="s">
        <v>414</v>
      </c>
      <c r="N934" s="11"/>
      <c r="O934" s="11" t="s">
        <v>270</v>
      </c>
      <c r="P934" s="11" t="s">
        <v>270</v>
      </c>
      <c r="Q934" s="15"/>
      <c r="R934" s="16">
        <v>25000000</v>
      </c>
      <c r="S934" s="11"/>
      <c r="T934" s="11"/>
      <c r="U934" s="11"/>
      <c r="V934" s="11"/>
      <c r="W934" s="11"/>
      <c r="X934" s="11"/>
      <c r="Y934" s="17"/>
      <c r="Z934" s="18">
        <f>ROUND(R934*'Data-CostAssumptions'!$C$3,-3)</f>
        <v>34600000</v>
      </c>
      <c r="AA934" s="11">
        <f t="shared" si="29"/>
        <v>0</v>
      </c>
      <c r="AB934" s="11">
        <v>2041</v>
      </c>
      <c r="AC934" s="11">
        <v>2041</v>
      </c>
      <c r="AD934" s="11">
        <v>2041</v>
      </c>
      <c r="AE934" s="11">
        <v>2041</v>
      </c>
      <c r="AF934" s="11">
        <v>0</v>
      </c>
      <c r="AG934" s="19">
        <f>ROUND((Z934*'Data-CostAssumptions'!$G$5)*(1+'Data-CostAssumptions'!$G$3)^(AC934-'Data-CostAssumptions'!$G$4),-3)</f>
        <v>19517000</v>
      </c>
      <c r="AH934" s="19">
        <f>ROUND((Z934)*(1+'Data-CostAssumptions'!$G$3)^(AE934-'Data-CostAssumptions'!$G$4),-3)</f>
        <v>88713000</v>
      </c>
    </row>
    <row r="935" spans="1:34" ht="15" customHeight="1" x14ac:dyDescent="0.2">
      <c r="A935" s="11"/>
      <c r="B935" s="11" t="s">
        <v>1211</v>
      </c>
      <c r="C935" s="11">
        <v>1022</v>
      </c>
      <c r="D935" s="13" t="s">
        <v>420</v>
      </c>
      <c r="E935" s="14"/>
      <c r="F935" s="14">
        <v>202</v>
      </c>
      <c r="G935" s="20">
        <v>934</v>
      </c>
      <c r="H935" s="13" t="s">
        <v>370</v>
      </c>
      <c r="I935" s="13" t="str">
        <f t="shared" si="28"/>
        <v>ATMS Design Group 5 (Area 5:Northwest Broward to )</v>
      </c>
      <c r="J935" s="11" t="s">
        <v>1204</v>
      </c>
      <c r="K935" s="13" t="str">
        <f>VLOOKUP(J935,'Data-ProjectTypes'!A$3:B$13,2,FALSE)</f>
        <v>Program</v>
      </c>
      <c r="L935" s="11" t="s">
        <v>321</v>
      </c>
      <c r="M935" s="11" t="s">
        <v>415</v>
      </c>
      <c r="N935" s="11"/>
      <c r="O935" s="11" t="s">
        <v>270</v>
      </c>
      <c r="P935" s="11" t="s">
        <v>270</v>
      </c>
      <c r="Q935" s="15"/>
      <c r="R935" s="16">
        <v>25000000</v>
      </c>
      <c r="S935" s="11"/>
      <c r="T935" s="11"/>
      <c r="U935" s="11"/>
      <c r="V935" s="11"/>
      <c r="W935" s="11"/>
      <c r="X935" s="11"/>
      <c r="Y935" s="17"/>
      <c r="Z935" s="18">
        <f>ROUND(R935*'Data-CostAssumptions'!$C$3,-3)</f>
        <v>34600000</v>
      </c>
      <c r="AA935" s="11">
        <f t="shared" si="29"/>
        <v>0</v>
      </c>
      <c r="AB935" s="11">
        <v>2041</v>
      </c>
      <c r="AC935" s="11">
        <v>2041</v>
      </c>
      <c r="AD935" s="11">
        <v>2041</v>
      </c>
      <c r="AE935" s="11">
        <v>2041</v>
      </c>
      <c r="AF935" s="11">
        <v>0</v>
      </c>
      <c r="AG935" s="19">
        <f>ROUND((Z935*'Data-CostAssumptions'!$G$5)*(1+'Data-CostAssumptions'!$G$3)^(AC935-'Data-CostAssumptions'!$G$4),-3)</f>
        <v>19517000</v>
      </c>
      <c r="AH935" s="19">
        <f>ROUND((Z935)*(1+'Data-CostAssumptions'!$G$3)^(AE935-'Data-CostAssumptions'!$G$4),-3)</f>
        <v>88713000</v>
      </c>
    </row>
    <row r="936" spans="1:34" ht="15" customHeight="1" x14ac:dyDescent="0.2">
      <c r="A936" s="11"/>
      <c r="B936" s="11" t="s">
        <v>1211</v>
      </c>
      <c r="C936" s="11">
        <v>1023</v>
      </c>
      <c r="D936" s="13" t="s">
        <v>420</v>
      </c>
      <c r="E936" s="14"/>
      <c r="F936" s="14">
        <v>202</v>
      </c>
      <c r="G936" s="20">
        <v>935</v>
      </c>
      <c r="H936" s="13" t="s">
        <v>371</v>
      </c>
      <c r="I936" s="13" t="str">
        <f t="shared" si="28"/>
        <v>ATMS Design Group 6 (Area 6:Southwest Broward to )</v>
      </c>
      <c r="J936" s="11" t="s">
        <v>1204</v>
      </c>
      <c r="K936" s="13" t="str">
        <f>VLOOKUP(J936,'Data-ProjectTypes'!A$3:B$13,2,FALSE)</f>
        <v>Program</v>
      </c>
      <c r="L936" s="11" t="s">
        <v>321</v>
      </c>
      <c r="M936" s="11" t="s">
        <v>416</v>
      </c>
      <c r="N936" s="11"/>
      <c r="O936" s="11" t="s">
        <v>270</v>
      </c>
      <c r="P936" s="11" t="s">
        <v>270</v>
      </c>
      <c r="Q936" s="15"/>
      <c r="R936" s="16">
        <v>25000000</v>
      </c>
      <c r="S936" s="11"/>
      <c r="T936" s="11"/>
      <c r="U936" s="11"/>
      <c r="V936" s="11"/>
      <c r="W936" s="11"/>
      <c r="X936" s="11"/>
      <c r="Y936" s="17"/>
      <c r="Z936" s="18">
        <f>ROUND(R936*'Data-CostAssumptions'!$C$3,-3)</f>
        <v>34600000</v>
      </c>
      <c r="AA936" s="11">
        <f t="shared" si="29"/>
        <v>0</v>
      </c>
      <c r="AB936" s="11">
        <v>2041</v>
      </c>
      <c r="AC936" s="11">
        <v>2041</v>
      </c>
      <c r="AD936" s="11">
        <v>2041</v>
      </c>
      <c r="AE936" s="11">
        <v>2041</v>
      </c>
      <c r="AF936" s="11">
        <v>0</v>
      </c>
      <c r="AG936" s="19">
        <f>ROUND((Z936*'Data-CostAssumptions'!$G$5)*(1+'Data-CostAssumptions'!$G$3)^(AC936-'Data-CostAssumptions'!$G$4),-3)</f>
        <v>19517000</v>
      </c>
      <c r="AH936" s="19">
        <f>ROUND((Z936)*(1+'Data-CostAssumptions'!$G$3)^(AE936-'Data-CostAssumptions'!$G$4),-3)</f>
        <v>88713000</v>
      </c>
    </row>
    <row r="937" spans="1:34" ht="15" customHeight="1" x14ac:dyDescent="0.2">
      <c r="A937" s="66"/>
      <c r="B937" s="66" t="s">
        <v>1211</v>
      </c>
      <c r="C937" s="67">
        <v>1034</v>
      </c>
      <c r="D937" s="67" t="s">
        <v>420</v>
      </c>
      <c r="E937" s="68">
        <v>9</v>
      </c>
      <c r="F937" s="68">
        <v>204</v>
      </c>
      <c r="G937" s="20">
        <v>936</v>
      </c>
      <c r="H937" s="67" t="s">
        <v>203</v>
      </c>
      <c r="I937" s="67" t="str">
        <f t="shared" si="28"/>
        <v>Directional Dynamic Message Signs (DMS) ( to )</v>
      </c>
      <c r="J937" s="67" t="s">
        <v>1204</v>
      </c>
      <c r="K937" s="67" t="str">
        <f>VLOOKUP(J937,'Data-ProjectTypes'!A$3:B$13,2,FALSE)</f>
        <v>Program</v>
      </c>
      <c r="L937" s="67" t="s">
        <v>348</v>
      </c>
      <c r="M937" s="67"/>
      <c r="N937" s="67"/>
      <c r="O937" s="67" t="s">
        <v>270</v>
      </c>
      <c r="P937" s="67" t="s">
        <v>270</v>
      </c>
      <c r="Q937" s="69"/>
      <c r="R937" s="70">
        <v>0</v>
      </c>
      <c r="S937" s="21" t="s">
        <v>350</v>
      </c>
      <c r="T937" s="21"/>
      <c r="U937" s="21"/>
      <c r="V937" s="24"/>
      <c r="W937" s="24" t="s">
        <v>580</v>
      </c>
      <c r="X937" s="24"/>
      <c r="Y937" s="17" t="s">
        <v>538</v>
      </c>
      <c r="Z937" s="71">
        <f>ROUND(R937*'Data-CostAssumptions'!$C$3,-3)</f>
        <v>0</v>
      </c>
      <c r="AA937" s="11">
        <f t="shared" si="29"/>
        <v>1</v>
      </c>
      <c r="AB937" s="11">
        <v>2041</v>
      </c>
      <c r="AC937" s="11">
        <v>2041</v>
      </c>
      <c r="AD937" s="11">
        <v>2041</v>
      </c>
      <c r="AE937" s="11">
        <v>2041</v>
      </c>
      <c r="AF937" s="11">
        <v>0</v>
      </c>
      <c r="AG937" s="19">
        <f>ROUND((Z937*'Data-CostAssumptions'!$G$5)*(1+'Data-CostAssumptions'!$G$3)^(AC937-'Data-CostAssumptions'!$G$4),-3)</f>
        <v>0</v>
      </c>
      <c r="AH937" s="19">
        <f>ROUND((Z937)*(1+'Data-CostAssumptions'!$G$3)^(AE937-'Data-CostAssumptions'!$G$4),-3)</f>
        <v>0</v>
      </c>
    </row>
    <row r="938" spans="1:34" ht="15" customHeight="1" x14ac:dyDescent="0.2">
      <c r="A938" s="66"/>
      <c r="B938" s="66" t="s">
        <v>1213</v>
      </c>
      <c r="C938" s="67">
        <v>1024</v>
      </c>
      <c r="D938" s="67" t="s">
        <v>420</v>
      </c>
      <c r="E938" s="68" t="s">
        <v>298</v>
      </c>
      <c r="F938" s="68">
        <v>202</v>
      </c>
      <c r="G938" s="20">
        <v>937</v>
      </c>
      <c r="H938" s="67" t="s">
        <v>2732</v>
      </c>
      <c r="I938" s="67" t="str">
        <f t="shared" si="28"/>
        <v>SR 91/Florida's Turnpike (Palm Beach County Line to Griffin Rd)</v>
      </c>
      <c r="J938" s="67" t="s">
        <v>1204</v>
      </c>
      <c r="K938" s="67" t="str">
        <f>VLOOKUP(J938,'Data-ProjectTypes'!A$3:B$13,2,FALSE)</f>
        <v>Program</v>
      </c>
      <c r="L938" s="67" t="s">
        <v>321</v>
      </c>
      <c r="M938" s="67" t="s">
        <v>43</v>
      </c>
      <c r="N938" s="67" t="s">
        <v>1750</v>
      </c>
      <c r="O938" s="67" t="s">
        <v>270</v>
      </c>
      <c r="P938" s="67" t="s">
        <v>270</v>
      </c>
      <c r="Q938" s="69">
        <v>18.8</v>
      </c>
      <c r="R938" s="70">
        <v>0</v>
      </c>
      <c r="S938" s="21" t="s">
        <v>24</v>
      </c>
      <c r="T938" s="21"/>
      <c r="U938" s="21"/>
      <c r="V938" s="24"/>
      <c r="W938" s="24"/>
      <c r="X938" s="24"/>
      <c r="Y938" s="17" t="s">
        <v>469</v>
      </c>
      <c r="Z938" s="71">
        <f>ROUND(R938*'Data-CostAssumptions'!$C$8,-3)</f>
        <v>0</v>
      </c>
      <c r="AA938" s="11">
        <f t="shared" si="29"/>
        <v>0</v>
      </c>
      <c r="AB938" s="11">
        <v>2041</v>
      </c>
      <c r="AC938" s="11">
        <v>2041</v>
      </c>
      <c r="AD938" s="11">
        <v>2041</v>
      </c>
      <c r="AE938" s="11">
        <v>2041</v>
      </c>
      <c r="AF938" s="11">
        <v>0</v>
      </c>
      <c r="AG938" s="19">
        <f>ROUND((Z938*'Data-CostAssumptions'!$G$5)*(1+'Data-CostAssumptions'!$G$3)^(AC938-'Data-CostAssumptions'!$G$4),-3)</f>
        <v>0</v>
      </c>
      <c r="AH938" s="19">
        <f>ROUND((Z938)*(1+'Data-CostAssumptions'!$G$3)^(AE938-'Data-CostAssumptions'!$G$4),-3)</f>
        <v>0</v>
      </c>
    </row>
    <row r="939" spans="1:34" ht="15" customHeight="1" x14ac:dyDescent="0.2">
      <c r="A939" s="11"/>
      <c r="B939" s="11" t="s">
        <v>1211</v>
      </c>
      <c r="C939" s="11">
        <v>1063</v>
      </c>
      <c r="D939" s="13" t="s">
        <v>420</v>
      </c>
      <c r="E939" s="14"/>
      <c r="F939" s="14">
        <v>207</v>
      </c>
      <c r="G939" s="20">
        <v>938</v>
      </c>
      <c r="H939" s="13" t="s">
        <v>380</v>
      </c>
      <c r="I939" s="13" t="str">
        <f t="shared" si="28"/>
        <v>Traveler Information via DMS (At port exit to )</v>
      </c>
      <c r="J939" s="13" t="s">
        <v>1204</v>
      </c>
      <c r="K939" s="13" t="str">
        <f>VLOOKUP(J939,'Data-ProjectTypes'!A$3:B$13,2,FALSE)</f>
        <v>Program</v>
      </c>
      <c r="L939" s="11" t="s">
        <v>400</v>
      </c>
      <c r="M939" s="11" t="s">
        <v>418</v>
      </c>
      <c r="N939" s="11"/>
      <c r="O939" s="11" t="s">
        <v>270</v>
      </c>
      <c r="P939" s="11" t="s">
        <v>270</v>
      </c>
      <c r="Q939" s="15"/>
      <c r="R939" s="16">
        <v>28137720</v>
      </c>
      <c r="S939" s="29"/>
      <c r="T939" s="21"/>
      <c r="U939" s="21"/>
      <c r="V939" s="24"/>
      <c r="W939" s="24"/>
      <c r="X939" s="24"/>
      <c r="Z939" s="18">
        <f>ROUND(R939*'Data-CostAssumptions'!$C$8,-3)</f>
        <v>28138000</v>
      </c>
      <c r="AA939" s="11">
        <f t="shared" si="29"/>
        <v>0</v>
      </c>
      <c r="AB939" s="11">
        <v>2041</v>
      </c>
      <c r="AC939" s="11">
        <v>2041</v>
      </c>
      <c r="AD939" s="11">
        <v>2041</v>
      </c>
      <c r="AE939" s="11">
        <v>2041</v>
      </c>
      <c r="AF939" s="11">
        <v>0</v>
      </c>
      <c r="AG939" s="19">
        <f>ROUND((Z939*'Data-CostAssumptions'!$G$5)*(1+'Data-CostAssumptions'!$G$3)^(AC939-'Data-CostAssumptions'!$G$4),-3)</f>
        <v>15872000</v>
      </c>
      <c r="AH939" s="19">
        <f>ROUND((Z939)*(1+'Data-CostAssumptions'!$G$3)^(AE939-'Data-CostAssumptions'!$G$4),-3)</f>
        <v>72144000</v>
      </c>
    </row>
    <row r="940" spans="1:34" ht="15" customHeight="1" x14ac:dyDescent="0.2">
      <c r="A940" s="11"/>
      <c r="B940" s="11" t="s">
        <v>1211</v>
      </c>
      <c r="C940" s="13">
        <v>10030</v>
      </c>
      <c r="D940" s="13" t="s">
        <v>420</v>
      </c>
      <c r="E940" s="20" t="s">
        <v>298</v>
      </c>
      <c r="F940" s="20">
        <v>141</v>
      </c>
      <c r="G940" s="20">
        <v>939</v>
      </c>
      <c r="H940" s="13" t="s">
        <v>2908</v>
      </c>
      <c r="I940" s="13" t="str">
        <f t="shared" si="28"/>
        <v>Andrews/FEC (@  SE 17th St)</v>
      </c>
      <c r="J940" s="13" t="s">
        <v>347</v>
      </c>
      <c r="K940" s="13" t="str">
        <f>VLOOKUP(J940,'Data-ProjectTypes'!A$3:B$13,2,FALSE)</f>
        <v>Project</v>
      </c>
      <c r="L940" s="21" t="s">
        <v>26</v>
      </c>
      <c r="M940" s="13" t="s">
        <v>2835</v>
      </c>
      <c r="N940" s="13" t="s">
        <v>182</v>
      </c>
      <c r="O940" s="13" t="s">
        <v>365</v>
      </c>
      <c r="P940" s="13" t="s">
        <v>365</v>
      </c>
      <c r="Q940" s="72">
        <v>0</v>
      </c>
      <c r="R940" s="23">
        <v>3056502.3571223663</v>
      </c>
      <c r="S940" s="21"/>
      <c r="T940" s="21"/>
      <c r="U940" s="21"/>
      <c r="V940" s="24"/>
      <c r="W940" s="24"/>
      <c r="X940" s="24"/>
      <c r="Y940" s="17" t="s">
        <v>2906</v>
      </c>
      <c r="Z940" s="18">
        <f>ROUND(R940*'Data-CostAssumptions'!$C$3,-3)</f>
        <v>4230000</v>
      </c>
      <c r="AA940" s="11">
        <f t="shared" si="29"/>
        <v>0</v>
      </c>
      <c r="AB940" s="11">
        <v>2041</v>
      </c>
      <c r="AC940" s="11">
        <v>2041</v>
      </c>
      <c r="AD940" s="11">
        <v>2041</v>
      </c>
      <c r="AE940" s="11">
        <v>2041</v>
      </c>
      <c r="AF940" s="11">
        <v>0</v>
      </c>
      <c r="AG940" s="19">
        <f>ROUND((Z940*'Data-CostAssumptions'!$G$5)*(1+'Data-CostAssumptions'!$G$3)^(AC940-'Data-CostAssumptions'!$G$4),-3)</f>
        <v>2386000</v>
      </c>
      <c r="AH940" s="19">
        <f>ROUND((Z940)*(1+'Data-CostAssumptions'!$G$3)^(AE940-'Data-CostAssumptions'!$G$4),-3)</f>
        <v>10846000</v>
      </c>
    </row>
    <row r="941" spans="1:34" ht="15" customHeight="1" x14ac:dyDescent="0.2">
      <c r="A941" s="11"/>
      <c r="B941" s="11" t="s">
        <v>1213</v>
      </c>
      <c r="C941" s="11">
        <v>10193</v>
      </c>
      <c r="D941" s="13" t="s">
        <v>420</v>
      </c>
      <c r="E941" s="14"/>
      <c r="F941" s="14">
        <v>138</v>
      </c>
      <c r="G941" s="20">
        <v>940</v>
      </c>
      <c r="H941" s="13" t="s">
        <v>387</v>
      </c>
      <c r="I941" s="13" t="str">
        <f t="shared" si="28"/>
        <v>BCT Capital Maintenance Needs ( to )</v>
      </c>
      <c r="J941" s="11" t="s">
        <v>347</v>
      </c>
      <c r="K941" s="13" t="str">
        <f>VLOOKUP(J941,'Data-ProjectTypes'!A$3:B$13,2,FALSE)</f>
        <v>Project</v>
      </c>
      <c r="L941" s="11" t="s">
        <v>407</v>
      </c>
      <c r="M941" s="11"/>
      <c r="N941" s="11"/>
      <c r="O941" s="11" t="s">
        <v>409</v>
      </c>
      <c r="P941" s="11" t="s">
        <v>409</v>
      </c>
      <c r="Q941" s="15"/>
      <c r="R941" s="16">
        <v>3790223</v>
      </c>
      <c r="S941" s="11"/>
      <c r="T941" s="11"/>
      <c r="U941" s="11"/>
      <c r="V941" s="11"/>
      <c r="W941" s="11"/>
      <c r="X941" s="11"/>
      <c r="Y941" s="17" t="s">
        <v>2706</v>
      </c>
      <c r="Z941" s="18">
        <f>ROUND(R941*'Data-CostAssumptions'!$C$3,-3)</f>
        <v>5246000</v>
      </c>
      <c r="AA941" s="11">
        <f t="shared" si="29"/>
        <v>0</v>
      </c>
      <c r="AB941" s="11">
        <v>2041</v>
      </c>
      <c r="AC941" s="11">
        <v>2041</v>
      </c>
      <c r="AD941" s="11">
        <v>2041</v>
      </c>
      <c r="AE941" s="11">
        <v>2041</v>
      </c>
      <c r="AF941" s="11">
        <v>0</v>
      </c>
      <c r="AG941" s="19">
        <f>ROUND((Z941*'Data-CostAssumptions'!$G$5)*(1+'Data-CostAssumptions'!$G$3)^(AC941-'Data-CostAssumptions'!$G$4),-3)</f>
        <v>2959000</v>
      </c>
      <c r="AH941" s="19">
        <f>ROUND((Z941)*(1+'Data-CostAssumptions'!$G$3)^(AE941-'Data-CostAssumptions'!$G$4),-3)</f>
        <v>13450000</v>
      </c>
    </row>
    <row r="942" spans="1:34" ht="15" customHeight="1" x14ac:dyDescent="0.2">
      <c r="A942" s="11"/>
      <c r="B942" s="11" t="s">
        <v>1211</v>
      </c>
      <c r="C942" s="11">
        <v>10194</v>
      </c>
      <c r="D942" s="13" t="s">
        <v>420</v>
      </c>
      <c r="E942" s="14"/>
      <c r="F942" s="14">
        <v>138</v>
      </c>
      <c r="G942" s="20">
        <v>941</v>
      </c>
      <c r="H942" s="13" t="s">
        <v>388</v>
      </c>
      <c r="I942" s="13" t="str">
        <f t="shared" si="28"/>
        <v>Broward County Transit including TDP Improvements and Partial O&amp;M Cost ( to )</v>
      </c>
      <c r="J942" s="11" t="s">
        <v>347</v>
      </c>
      <c r="K942" s="13" t="str">
        <f>VLOOKUP(J942,'Data-ProjectTypes'!A$3:B$13,2,FALSE)</f>
        <v>Project</v>
      </c>
      <c r="L942" s="11"/>
      <c r="M942" s="11"/>
      <c r="N942" s="11"/>
      <c r="O942" s="11" t="s">
        <v>365</v>
      </c>
      <c r="P942" s="11" t="s">
        <v>365</v>
      </c>
      <c r="Q942" s="15"/>
      <c r="R942" s="16">
        <v>1234289600</v>
      </c>
      <c r="S942" s="11"/>
      <c r="T942" s="11"/>
      <c r="U942" s="11"/>
      <c r="V942" s="11"/>
      <c r="W942" s="11"/>
      <c r="X942" s="11"/>
      <c r="Y942" s="17"/>
      <c r="Z942" s="18">
        <f>ROUND(R942*'Data-CostAssumptions'!$C$3,-3)</f>
        <v>1708257000</v>
      </c>
      <c r="AA942" s="11">
        <f t="shared" si="29"/>
        <v>0</v>
      </c>
      <c r="AB942" s="11">
        <v>2041</v>
      </c>
      <c r="AC942" s="11">
        <v>2041</v>
      </c>
      <c r="AD942" s="11">
        <v>2041</v>
      </c>
      <c r="AE942" s="11">
        <v>2041</v>
      </c>
      <c r="AF942" s="11">
        <v>0</v>
      </c>
      <c r="AG942" s="19">
        <f>ROUND((Z942*'Data-CostAssumptions'!$G$5)*(1+'Data-CostAssumptions'!$G$3)^(AC942-'Data-CostAssumptions'!$G$4),-3)</f>
        <v>963574000</v>
      </c>
      <c r="AH942" s="19">
        <f>ROUND((Z942)*(1+'Data-CostAssumptions'!$G$3)^(AE942-'Data-CostAssumptions'!$G$4),-3)</f>
        <v>4379883000</v>
      </c>
    </row>
    <row r="943" spans="1:34" ht="15" customHeight="1" x14ac:dyDescent="0.2">
      <c r="A943" s="11"/>
      <c r="B943" s="11" t="s">
        <v>1211</v>
      </c>
      <c r="C943" s="11">
        <v>10192</v>
      </c>
      <c r="D943" s="13" t="s">
        <v>420</v>
      </c>
      <c r="E943" s="14"/>
      <c r="F943" s="14">
        <v>138</v>
      </c>
      <c r="G943" s="20">
        <v>942</v>
      </c>
      <c r="H943" s="13" t="s">
        <v>386</v>
      </c>
      <c r="I943" s="13" t="str">
        <f t="shared" si="28"/>
        <v>Bus Shelters/Bus Bays/Bus Stop Upgrades ( to Systemwide)</v>
      </c>
      <c r="J943" s="11" t="s">
        <v>347</v>
      </c>
      <c r="K943" s="13" t="str">
        <f>VLOOKUP(J943,'Data-ProjectTypes'!A$3:B$13,2,FALSE)</f>
        <v>Project</v>
      </c>
      <c r="L943" s="11" t="s">
        <v>407</v>
      </c>
      <c r="M943" s="11"/>
      <c r="N943" s="11" t="s">
        <v>2834</v>
      </c>
      <c r="O943" s="11" t="s">
        <v>409</v>
      </c>
      <c r="P943" s="11" t="s">
        <v>409</v>
      </c>
      <c r="Q943" s="15"/>
      <c r="R943" s="16">
        <v>54590000</v>
      </c>
      <c r="S943" s="11"/>
      <c r="T943" s="11"/>
      <c r="U943" s="11"/>
      <c r="V943" s="11"/>
      <c r="W943" s="11"/>
      <c r="X943" s="11"/>
      <c r="Y943" s="17"/>
      <c r="Z943" s="18">
        <f>ROUND(R943*'Data-CostAssumptions'!$C$3,-3)</f>
        <v>75553000</v>
      </c>
      <c r="AA943" s="11">
        <f t="shared" si="29"/>
        <v>0</v>
      </c>
      <c r="AB943" s="11">
        <v>2041</v>
      </c>
      <c r="AC943" s="11">
        <v>2041</v>
      </c>
      <c r="AD943" s="11">
        <v>2041</v>
      </c>
      <c r="AE943" s="11">
        <v>2041</v>
      </c>
      <c r="AF943" s="11">
        <v>0</v>
      </c>
      <c r="AG943" s="19">
        <f>ROUND((Z943*'Data-CostAssumptions'!$G$5)*(1+'Data-CostAssumptions'!$G$3)^(AC943-'Data-CostAssumptions'!$G$4),-3)</f>
        <v>42617000</v>
      </c>
      <c r="AH943" s="19">
        <f>ROUND((Z943)*(1+'Data-CostAssumptions'!$G$3)^(AE943-'Data-CostAssumptions'!$G$4),-3)</f>
        <v>193714000</v>
      </c>
    </row>
    <row r="944" spans="1:34" ht="15" customHeight="1" x14ac:dyDescent="0.2">
      <c r="A944" s="11"/>
      <c r="B944" s="11" t="s">
        <v>1211</v>
      </c>
      <c r="C944" s="13">
        <v>10064</v>
      </c>
      <c r="D944" s="13" t="s">
        <v>420</v>
      </c>
      <c r="E944" s="20" t="s">
        <v>298</v>
      </c>
      <c r="F944" s="20">
        <v>143</v>
      </c>
      <c r="G944" s="20">
        <v>943</v>
      </c>
      <c r="H944" s="13" t="s">
        <v>1836</v>
      </c>
      <c r="I944" s="13" t="str">
        <f t="shared" si="28"/>
        <v>Copans Rd (@  Dixie Hwy)</v>
      </c>
      <c r="J944" s="13" t="s">
        <v>347</v>
      </c>
      <c r="K944" s="13" t="str">
        <f>VLOOKUP(J944,'Data-ProjectTypes'!A$3:B$13,2,FALSE)</f>
        <v>Project</v>
      </c>
      <c r="L944" s="21" t="s">
        <v>77</v>
      </c>
      <c r="M944" s="13" t="s">
        <v>2835</v>
      </c>
      <c r="N944" s="13" t="s">
        <v>728</v>
      </c>
      <c r="O944" s="13" t="s">
        <v>365</v>
      </c>
      <c r="P944" s="13" t="s">
        <v>365</v>
      </c>
      <c r="Q944" s="22"/>
      <c r="R944" s="23">
        <v>718159.31568382459</v>
      </c>
      <c r="S944" s="21"/>
      <c r="T944" s="21"/>
      <c r="U944" s="21"/>
      <c r="V944" s="24"/>
      <c r="W944" s="24"/>
      <c r="X944" s="24"/>
      <c r="Y944" s="17"/>
      <c r="Z944" s="18">
        <f>ROUND(R944*'Data-CostAssumptions'!$C$3,-3)</f>
        <v>994000</v>
      </c>
      <c r="AA944" s="11">
        <f t="shared" si="29"/>
        <v>0</v>
      </c>
      <c r="AB944" s="11">
        <v>2041</v>
      </c>
      <c r="AC944" s="11">
        <v>2041</v>
      </c>
      <c r="AD944" s="11">
        <v>2041</v>
      </c>
      <c r="AE944" s="11">
        <v>2041</v>
      </c>
      <c r="AF944" s="11">
        <v>0</v>
      </c>
      <c r="AG944" s="19">
        <f>ROUND((Z944*'Data-CostAssumptions'!$G$5)*(1+'Data-CostAssumptions'!$G$3)^(AC944-'Data-CostAssumptions'!$G$4),-3)</f>
        <v>561000</v>
      </c>
      <c r="AH944" s="19">
        <f>ROUND((Z944)*(1+'Data-CostAssumptions'!$G$3)^(AE944-'Data-CostAssumptions'!$G$4),-3)</f>
        <v>2549000</v>
      </c>
    </row>
    <row r="945" spans="1:34" ht="15" customHeight="1" x14ac:dyDescent="0.2">
      <c r="A945" s="11"/>
      <c r="B945" s="11" t="s">
        <v>1211</v>
      </c>
      <c r="C945" s="13">
        <v>10097</v>
      </c>
      <c r="D945" s="13" t="s">
        <v>420</v>
      </c>
      <c r="E945" s="20" t="s">
        <v>298</v>
      </c>
      <c r="F945" s="20">
        <v>146</v>
      </c>
      <c r="G945" s="20">
        <v>944</v>
      </c>
      <c r="H945" s="13" t="s">
        <v>1836</v>
      </c>
      <c r="I945" s="13" t="str">
        <f t="shared" si="28"/>
        <v>Copans Rd (@  US 1)</v>
      </c>
      <c r="J945" s="13" t="s">
        <v>347</v>
      </c>
      <c r="K945" s="13" t="str">
        <f>VLOOKUP(J945,'Data-ProjectTypes'!A$3:B$13,2,FALSE)</f>
        <v>Project</v>
      </c>
      <c r="L945" s="21" t="s">
        <v>77</v>
      </c>
      <c r="M945" s="13" t="s">
        <v>2835</v>
      </c>
      <c r="N945" s="13" t="s">
        <v>98</v>
      </c>
      <c r="O945" s="13" t="s">
        <v>365</v>
      </c>
      <c r="P945" s="13" t="s">
        <v>365</v>
      </c>
      <c r="Q945" s="22"/>
      <c r="R945" s="23">
        <v>718159.31568382459</v>
      </c>
      <c r="S945" s="21"/>
      <c r="T945" s="21"/>
      <c r="U945" s="21"/>
      <c r="V945" s="24"/>
      <c r="W945" s="24"/>
      <c r="X945" s="24"/>
      <c r="Y945" s="17"/>
      <c r="Z945" s="18">
        <f>ROUND(R945*'Data-CostAssumptions'!$C$3,-3)</f>
        <v>994000</v>
      </c>
      <c r="AA945" s="11">
        <f t="shared" si="29"/>
        <v>0</v>
      </c>
      <c r="AB945" s="11">
        <v>2041</v>
      </c>
      <c r="AC945" s="11">
        <v>2041</v>
      </c>
      <c r="AD945" s="11">
        <v>2041</v>
      </c>
      <c r="AE945" s="11">
        <v>2041</v>
      </c>
      <c r="AF945" s="11">
        <v>0</v>
      </c>
      <c r="AG945" s="19">
        <f>ROUND((Z945*'Data-CostAssumptions'!$G$5)*(1+'Data-CostAssumptions'!$G$3)^(AC945-'Data-CostAssumptions'!$G$4),-3)</f>
        <v>561000</v>
      </c>
      <c r="AH945" s="19">
        <f>ROUND((Z945)*(1+'Data-CostAssumptions'!$G$3)^(AE945-'Data-CostAssumptions'!$G$4),-3)</f>
        <v>2549000</v>
      </c>
    </row>
    <row r="946" spans="1:34" ht="15" customHeight="1" x14ac:dyDescent="0.2">
      <c r="A946" s="11"/>
      <c r="B946" s="11" t="s">
        <v>1211</v>
      </c>
      <c r="C946" s="13">
        <v>10053</v>
      </c>
      <c r="D946" s="13" t="s">
        <v>420</v>
      </c>
      <c r="E946" s="20" t="s">
        <v>298</v>
      </c>
      <c r="F946" s="20">
        <v>143</v>
      </c>
      <c r="G946" s="20">
        <v>945</v>
      </c>
      <c r="H946" s="13" t="s">
        <v>1842</v>
      </c>
      <c r="I946" s="13" t="str">
        <f t="shared" si="28"/>
        <v>Cypress Creek Rd (@  Dixie Hwy)</v>
      </c>
      <c r="J946" s="13" t="s">
        <v>347</v>
      </c>
      <c r="K946" s="13" t="str">
        <f>VLOOKUP(J946,'Data-ProjectTypes'!A$3:B$13,2,FALSE)</f>
        <v>Project</v>
      </c>
      <c r="L946" s="21" t="s">
        <v>77</v>
      </c>
      <c r="M946" s="13" t="s">
        <v>2835</v>
      </c>
      <c r="N946" s="13" t="s">
        <v>728</v>
      </c>
      <c r="O946" s="13" t="s">
        <v>365</v>
      </c>
      <c r="P946" s="13" t="s">
        <v>365</v>
      </c>
      <c r="Q946" s="22"/>
      <c r="R946" s="23">
        <v>718159.31568382459</v>
      </c>
      <c r="S946" s="21"/>
      <c r="T946" s="21"/>
      <c r="U946" s="21"/>
      <c r="V946" s="24"/>
      <c r="W946" s="24" t="s">
        <v>715</v>
      </c>
      <c r="X946" s="24"/>
      <c r="Y946" s="17" t="s">
        <v>538</v>
      </c>
      <c r="Z946" s="18">
        <f>ROUND(R946*'Data-CostAssumptions'!$C$3,-3)</f>
        <v>994000</v>
      </c>
      <c r="AA946" s="11">
        <f t="shared" si="29"/>
        <v>1</v>
      </c>
      <c r="AB946" s="11">
        <v>2041</v>
      </c>
      <c r="AC946" s="11">
        <v>2041</v>
      </c>
      <c r="AD946" s="11">
        <v>2041</v>
      </c>
      <c r="AE946" s="11">
        <v>2041</v>
      </c>
      <c r="AF946" s="11">
        <v>0</v>
      </c>
      <c r="AG946" s="19">
        <f>ROUND((Z946*'Data-CostAssumptions'!$G$5)*(1+'Data-CostAssumptions'!$G$3)^(AC946-'Data-CostAssumptions'!$G$4),-3)</f>
        <v>561000</v>
      </c>
      <c r="AH946" s="19">
        <f>ROUND((Z946)*(1+'Data-CostAssumptions'!$G$3)^(AE946-'Data-CostAssumptions'!$G$4),-3)</f>
        <v>2549000</v>
      </c>
    </row>
    <row r="947" spans="1:34" ht="15" customHeight="1" x14ac:dyDescent="0.2">
      <c r="A947" s="11"/>
      <c r="B947" s="11" t="s">
        <v>1211</v>
      </c>
      <c r="C947" s="13">
        <v>10037</v>
      </c>
      <c r="D947" s="13" t="s">
        <v>420</v>
      </c>
      <c r="E947" s="20" t="s">
        <v>298</v>
      </c>
      <c r="F947" s="20">
        <v>142</v>
      </c>
      <c r="G947" s="20">
        <v>946</v>
      </c>
      <c r="H947" s="13" t="s">
        <v>728</v>
      </c>
      <c r="I947" s="13" t="str">
        <f t="shared" si="28"/>
        <v>Dixie Hwy (@  MLK Bl/Hammondville Rd)</v>
      </c>
      <c r="J947" s="13" t="s">
        <v>347</v>
      </c>
      <c r="K947" s="13" t="str">
        <f>VLOOKUP(J947,'Data-ProjectTypes'!A$3:B$13,2,FALSE)</f>
        <v>Project</v>
      </c>
      <c r="L947" s="21" t="s">
        <v>26</v>
      </c>
      <c r="M947" s="13" t="s">
        <v>2835</v>
      </c>
      <c r="N947" s="13" t="s">
        <v>2907</v>
      </c>
      <c r="O947" s="13" t="s">
        <v>365</v>
      </c>
      <c r="P947" s="13" t="s">
        <v>365</v>
      </c>
      <c r="Q947" s="72">
        <v>0</v>
      </c>
      <c r="R947" s="23">
        <v>3056502.3571223663</v>
      </c>
      <c r="S947" s="21"/>
      <c r="T947" s="21"/>
      <c r="U947" s="21"/>
      <c r="V947" s="24"/>
      <c r="W947" s="24"/>
      <c r="X947" s="24"/>
      <c r="Y947" s="17"/>
      <c r="Z947" s="18">
        <f>ROUND(R947*'Data-CostAssumptions'!$C$3,-3)</f>
        <v>4230000</v>
      </c>
      <c r="AA947" s="11">
        <f t="shared" si="29"/>
        <v>0</v>
      </c>
      <c r="AB947" s="11">
        <v>2041</v>
      </c>
      <c r="AC947" s="11">
        <v>2041</v>
      </c>
      <c r="AD947" s="11">
        <v>2041</v>
      </c>
      <c r="AE947" s="11">
        <v>2041</v>
      </c>
      <c r="AF947" s="11">
        <v>0</v>
      </c>
      <c r="AG947" s="19">
        <f>ROUND((Z947*'Data-CostAssumptions'!$G$5)*(1+'Data-CostAssumptions'!$G$3)^(AC947-'Data-CostAssumptions'!$G$4),-3)</f>
        <v>2386000</v>
      </c>
      <c r="AH947" s="19">
        <f>ROUND((Z947)*(1+'Data-CostAssumptions'!$G$3)^(AE947-'Data-CostAssumptions'!$G$4),-3)</f>
        <v>10846000</v>
      </c>
    </row>
    <row r="948" spans="1:34" ht="15" customHeight="1" x14ac:dyDescent="0.2">
      <c r="A948" s="11"/>
      <c r="B948" s="11" t="s">
        <v>1213</v>
      </c>
      <c r="C948" s="11">
        <v>10184</v>
      </c>
      <c r="D948" s="13" t="s">
        <v>420</v>
      </c>
      <c r="E948" s="14"/>
      <c r="F948" s="14">
        <v>137</v>
      </c>
      <c r="G948" s="20">
        <v>947</v>
      </c>
      <c r="H948" s="13" t="s">
        <v>728</v>
      </c>
      <c r="I948" s="13" t="str">
        <f t="shared" si="28"/>
        <v>Dixie Hwy ( to )</v>
      </c>
      <c r="J948" s="11" t="s">
        <v>347</v>
      </c>
      <c r="K948" s="13" t="str">
        <f>VLOOKUP(J948,'Data-ProjectTypes'!A$3:B$13,2,FALSE)</f>
        <v>Project</v>
      </c>
      <c r="L948" s="11" t="s">
        <v>404</v>
      </c>
      <c r="M948" s="11"/>
      <c r="N948" s="11"/>
      <c r="O948" s="11" t="s">
        <v>409</v>
      </c>
      <c r="P948" s="11" t="s">
        <v>409</v>
      </c>
      <c r="Q948" s="15"/>
      <c r="R948" s="16">
        <v>30364400</v>
      </c>
      <c r="S948" s="11"/>
      <c r="T948" s="11"/>
      <c r="U948" s="11"/>
      <c r="V948" s="11"/>
      <c r="W948" s="11"/>
      <c r="X948" s="11"/>
      <c r="Y948" s="17" t="s">
        <v>2843</v>
      </c>
      <c r="Z948" s="18">
        <f>ROUND(R948*'Data-CostAssumptions'!$C$3,-3)</f>
        <v>42024000</v>
      </c>
      <c r="AA948" s="11">
        <f t="shared" si="29"/>
        <v>0</v>
      </c>
      <c r="AB948" s="11">
        <v>2041</v>
      </c>
      <c r="AC948" s="11">
        <v>2041</v>
      </c>
      <c r="AD948" s="11">
        <v>2041</v>
      </c>
      <c r="AE948" s="11">
        <v>2041</v>
      </c>
      <c r="AF948" s="11">
        <v>0</v>
      </c>
      <c r="AG948" s="19">
        <f>ROUND((Z948*'Data-CostAssumptions'!$G$5)*(1+'Data-CostAssumptions'!$G$3)^(AC948-'Data-CostAssumptions'!$G$4),-3)</f>
        <v>23704000</v>
      </c>
      <c r="AH948" s="19">
        <f>ROUND((Z948)*(1+'Data-CostAssumptions'!$G$3)^(AE948-'Data-CostAssumptions'!$G$4),-3)</f>
        <v>107747000</v>
      </c>
    </row>
    <row r="949" spans="1:34" ht="15" customHeight="1" x14ac:dyDescent="0.2">
      <c r="A949" s="66"/>
      <c r="B949" s="66" t="s">
        <v>1213</v>
      </c>
      <c r="C949" s="66">
        <v>10190</v>
      </c>
      <c r="D949" s="67" t="s">
        <v>420</v>
      </c>
      <c r="E949" s="73"/>
      <c r="F949" s="73">
        <v>138</v>
      </c>
      <c r="G949" s="20">
        <v>948</v>
      </c>
      <c r="H949" s="67" t="s">
        <v>384</v>
      </c>
      <c r="I949" s="67" t="str">
        <f t="shared" si="28"/>
        <v>Intermodal Centers/Hubs ( to )</v>
      </c>
      <c r="J949" s="66" t="s">
        <v>347</v>
      </c>
      <c r="K949" s="67" t="str">
        <f>VLOOKUP(J949,'Data-ProjectTypes'!A$3:B$13,2,FALSE)</f>
        <v>Project</v>
      </c>
      <c r="L949" s="66" t="s">
        <v>407</v>
      </c>
      <c r="M949" s="66"/>
      <c r="N949" s="66"/>
      <c r="O949" s="66" t="s">
        <v>409</v>
      </c>
      <c r="P949" s="66" t="s">
        <v>409</v>
      </c>
      <c r="Q949" s="74"/>
      <c r="R949" s="70">
        <v>0</v>
      </c>
      <c r="S949" s="11"/>
      <c r="T949" s="11"/>
      <c r="U949" s="11"/>
      <c r="V949" s="11"/>
      <c r="W949" s="11"/>
      <c r="X949" s="11"/>
      <c r="Y949" s="17" t="s">
        <v>2860</v>
      </c>
      <c r="Z949" s="71">
        <f>ROUND(R949*'Data-CostAssumptions'!$C$3,-3)</f>
        <v>0</v>
      </c>
      <c r="AA949" s="11">
        <f t="shared" si="29"/>
        <v>0</v>
      </c>
      <c r="AB949" s="11">
        <v>2041</v>
      </c>
      <c r="AC949" s="11">
        <v>2041</v>
      </c>
      <c r="AD949" s="11">
        <v>2041</v>
      </c>
      <c r="AE949" s="11">
        <v>2041</v>
      </c>
      <c r="AF949" s="11">
        <v>0</v>
      </c>
      <c r="AG949" s="19">
        <f>ROUND((Z949*'Data-CostAssumptions'!$G$5)*(1+'Data-CostAssumptions'!$G$3)^(AC949-'Data-CostAssumptions'!$G$4),-3)</f>
        <v>0</v>
      </c>
      <c r="AH949" s="19">
        <f>ROUND((Z949)*(1+'Data-CostAssumptions'!$G$3)^(AE949-'Data-CostAssumptions'!$G$4),-3)</f>
        <v>0</v>
      </c>
    </row>
    <row r="950" spans="1:34" ht="15" customHeight="1" x14ac:dyDescent="0.2">
      <c r="A950" s="11"/>
      <c r="B950" s="11" t="s">
        <v>1211</v>
      </c>
      <c r="C950" s="13">
        <v>10087</v>
      </c>
      <c r="D950" s="13" t="s">
        <v>420</v>
      </c>
      <c r="E950" s="20" t="s">
        <v>298</v>
      </c>
      <c r="F950" s="20">
        <v>145</v>
      </c>
      <c r="G950" s="20">
        <v>949</v>
      </c>
      <c r="H950" s="13" t="s">
        <v>1854</v>
      </c>
      <c r="I950" s="13" t="str">
        <f t="shared" si="28"/>
        <v>McNab Rd (@  Rock Island Rd)</v>
      </c>
      <c r="J950" s="13" t="s">
        <v>347</v>
      </c>
      <c r="K950" s="13" t="str">
        <f>VLOOKUP(J950,'Data-ProjectTypes'!A$3:B$13,2,FALSE)</f>
        <v>Project</v>
      </c>
      <c r="L950" s="21" t="s">
        <v>77</v>
      </c>
      <c r="M950" s="13" t="s">
        <v>2835</v>
      </c>
      <c r="N950" s="13" t="s">
        <v>1768</v>
      </c>
      <c r="O950" s="13" t="s">
        <v>365</v>
      </c>
      <c r="P950" s="13" t="s">
        <v>365</v>
      </c>
      <c r="Q950" s="22"/>
      <c r="R950" s="23">
        <v>718159.31568382459</v>
      </c>
      <c r="S950" s="21"/>
      <c r="T950" s="21"/>
      <c r="U950" s="21"/>
      <c r="V950" s="24"/>
      <c r="W950" s="24"/>
      <c r="X950" s="24"/>
      <c r="Y950" s="17"/>
      <c r="Z950" s="18">
        <f>ROUND(R950*'Data-CostAssumptions'!$C$3,-3)</f>
        <v>994000</v>
      </c>
      <c r="AA950" s="11">
        <f t="shared" si="29"/>
        <v>0</v>
      </c>
      <c r="AB950" s="11">
        <v>2041</v>
      </c>
      <c r="AC950" s="11">
        <v>2041</v>
      </c>
      <c r="AD950" s="11">
        <v>2041</v>
      </c>
      <c r="AE950" s="11">
        <v>2041</v>
      </c>
      <c r="AF950" s="11">
        <v>0</v>
      </c>
      <c r="AG950" s="19">
        <f>ROUND((Z950*'Data-CostAssumptions'!$G$5)*(1+'Data-CostAssumptions'!$G$3)^(AC950-'Data-CostAssumptions'!$G$4),-3)</f>
        <v>561000</v>
      </c>
      <c r="AH950" s="19">
        <f>ROUND((Z950)*(1+'Data-CostAssumptions'!$G$3)^(AE950-'Data-CostAssumptions'!$G$4),-3)</f>
        <v>2549000</v>
      </c>
    </row>
    <row r="951" spans="1:34" ht="15" customHeight="1" x14ac:dyDescent="0.2">
      <c r="A951" s="11"/>
      <c r="B951" s="11" t="s">
        <v>1211</v>
      </c>
      <c r="C951" s="13">
        <v>10106</v>
      </c>
      <c r="D951" s="13" t="s">
        <v>420</v>
      </c>
      <c r="E951" s="20" t="s">
        <v>298</v>
      </c>
      <c r="F951" s="20">
        <v>146</v>
      </c>
      <c r="G951" s="20">
        <v>950</v>
      </c>
      <c r="H951" s="13" t="s">
        <v>1854</v>
      </c>
      <c r="I951" s="13" t="str">
        <f t="shared" si="28"/>
        <v>McNab Rd (@  Nob Hill Rd)</v>
      </c>
      <c r="J951" s="13" t="s">
        <v>347</v>
      </c>
      <c r="K951" s="13" t="str">
        <f>VLOOKUP(J951,'Data-ProjectTypes'!A$3:B$13,2,FALSE)</f>
        <v>Project</v>
      </c>
      <c r="L951" s="21" t="s">
        <v>77</v>
      </c>
      <c r="M951" s="13" t="s">
        <v>2835</v>
      </c>
      <c r="N951" s="13" t="s">
        <v>1755</v>
      </c>
      <c r="O951" s="13" t="s">
        <v>365</v>
      </c>
      <c r="P951" s="13" t="s">
        <v>365</v>
      </c>
      <c r="Q951" s="22"/>
      <c r="R951" s="23">
        <v>718159.31568382459</v>
      </c>
      <c r="S951" s="21"/>
      <c r="T951" s="21"/>
      <c r="U951" s="21"/>
      <c r="V951" s="24"/>
      <c r="W951" s="24"/>
      <c r="X951" s="24"/>
      <c r="Y951" s="17"/>
      <c r="Z951" s="18">
        <f>ROUND(R951*'Data-CostAssumptions'!$C$3,-3)</f>
        <v>994000</v>
      </c>
      <c r="AA951" s="11">
        <f t="shared" si="29"/>
        <v>0</v>
      </c>
      <c r="AB951" s="11">
        <v>2041</v>
      </c>
      <c r="AC951" s="11">
        <v>2041</v>
      </c>
      <c r="AD951" s="11">
        <v>2041</v>
      </c>
      <c r="AE951" s="11">
        <v>2041</v>
      </c>
      <c r="AF951" s="11">
        <v>0</v>
      </c>
      <c r="AG951" s="19">
        <f>ROUND((Z951*'Data-CostAssumptions'!$G$5)*(1+'Data-CostAssumptions'!$G$3)^(AC951-'Data-CostAssumptions'!$G$4),-3)</f>
        <v>561000</v>
      </c>
      <c r="AH951" s="19">
        <f>ROUND((Z951)*(1+'Data-CostAssumptions'!$G$3)^(AE951-'Data-CostAssumptions'!$G$4),-3)</f>
        <v>2549000</v>
      </c>
    </row>
    <row r="952" spans="1:34" ht="15" customHeight="1" x14ac:dyDescent="0.2">
      <c r="A952" s="11"/>
      <c r="B952" s="11" t="s">
        <v>1211</v>
      </c>
      <c r="C952" s="13">
        <v>10107</v>
      </c>
      <c r="D952" s="13" t="s">
        <v>420</v>
      </c>
      <c r="E952" s="20" t="s">
        <v>298</v>
      </c>
      <c r="F952" s="20">
        <v>146</v>
      </c>
      <c r="G952" s="20">
        <v>951</v>
      </c>
      <c r="H952" s="13" t="s">
        <v>1854</v>
      </c>
      <c r="I952" s="13" t="str">
        <f t="shared" si="28"/>
        <v>McNab Rd (@  Pine Island Rd)</v>
      </c>
      <c r="J952" s="13" t="s">
        <v>347</v>
      </c>
      <c r="K952" s="13" t="str">
        <f>VLOOKUP(J952,'Data-ProjectTypes'!A$3:B$13,2,FALSE)</f>
        <v>Project</v>
      </c>
      <c r="L952" s="21" t="s">
        <v>77</v>
      </c>
      <c r="M952" s="13" t="s">
        <v>2835</v>
      </c>
      <c r="N952" s="13" t="s">
        <v>266</v>
      </c>
      <c r="O952" s="13" t="s">
        <v>365</v>
      </c>
      <c r="P952" s="13" t="s">
        <v>365</v>
      </c>
      <c r="Q952" s="22"/>
      <c r="R952" s="23">
        <v>718159.31568382459</v>
      </c>
      <c r="S952" s="21"/>
      <c r="T952" s="21"/>
      <c r="U952" s="21"/>
      <c r="V952" s="24"/>
      <c r="W952" s="24"/>
      <c r="X952" s="24"/>
      <c r="Y952" s="17"/>
      <c r="Z952" s="18">
        <f>ROUND(R952*'Data-CostAssumptions'!$C$3,-3)</f>
        <v>994000</v>
      </c>
      <c r="AA952" s="11">
        <f t="shared" si="29"/>
        <v>0</v>
      </c>
      <c r="AB952" s="11">
        <v>2041</v>
      </c>
      <c r="AC952" s="11">
        <v>2041</v>
      </c>
      <c r="AD952" s="11">
        <v>2041</v>
      </c>
      <c r="AE952" s="11">
        <v>2041</v>
      </c>
      <c r="AF952" s="11">
        <v>0</v>
      </c>
      <c r="AG952" s="19">
        <f>ROUND((Z952*'Data-CostAssumptions'!$G$5)*(1+'Data-CostAssumptions'!$G$3)^(AC952-'Data-CostAssumptions'!$G$4),-3)</f>
        <v>561000</v>
      </c>
      <c r="AH952" s="19">
        <f>ROUND((Z952)*(1+'Data-CostAssumptions'!$G$3)^(AE952-'Data-CostAssumptions'!$G$4),-3)</f>
        <v>2549000</v>
      </c>
    </row>
    <row r="953" spans="1:34" ht="15" customHeight="1" x14ac:dyDescent="0.2">
      <c r="A953" s="11"/>
      <c r="B953" s="11" t="s">
        <v>1211</v>
      </c>
      <c r="C953" s="13">
        <v>10051</v>
      </c>
      <c r="D953" s="13" t="s">
        <v>420</v>
      </c>
      <c r="E953" s="20" t="s">
        <v>298</v>
      </c>
      <c r="F953" s="20">
        <v>143</v>
      </c>
      <c r="G953" s="20">
        <v>952</v>
      </c>
      <c r="H953" s="13" t="s">
        <v>1977</v>
      </c>
      <c r="I953" s="13" t="str">
        <f t="shared" si="28"/>
        <v>Miramar Pkwy (@  Palm Av)</v>
      </c>
      <c r="J953" s="13" t="s">
        <v>347</v>
      </c>
      <c r="K953" s="13" t="str">
        <f>VLOOKUP(J953,'Data-ProjectTypes'!A$3:B$13,2,FALSE)</f>
        <v>Project</v>
      </c>
      <c r="L953" s="21" t="s">
        <v>77</v>
      </c>
      <c r="M953" s="13" t="s">
        <v>2835</v>
      </c>
      <c r="N953" s="13" t="s">
        <v>2083</v>
      </c>
      <c r="O953" s="13" t="s">
        <v>365</v>
      </c>
      <c r="P953" s="13" t="s">
        <v>365</v>
      </c>
      <c r="Q953" s="22"/>
      <c r="R953" s="23">
        <v>718159.31568382459</v>
      </c>
      <c r="S953" s="21" t="s">
        <v>24</v>
      </c>
      <c r="T953" s="21" t="s">
        <v>684</v>
      </c>
      <c r="U953" s="21" t="s">
        <v>684</v>
      </c>
      <c r="V953" s="24"/>
      <c r="W953" s="24"/>
      <c r="X953" s="24"/>
      <c r="Y953" s="17" t="s">
        <v>685</v>
      </c>
      <c r="Z953" s="18">
        <f>ROUND(R953*'Data-CostAssumptions'!$C$3,-3)</f>
        <v>994000</v>
      </c>
      <c r="AA953" s="11">
        <f t="shared" si="29"/>
        <v>0</v>
      </c>
      <c r="AB953" s="11">
        <v>2041</v>
      </c>
      <c r="AC953" s="11">
        <v>2041</v>
      </c>
      <c r="AD953" s="11">
        <v>2041</v>
      </c>
      <c r="AE953" s="11">
        <v>2041</v>
      </c>
      <c r="AF953" s="11">
        <v>0</v>
      </c>
      <c r="AG953" s="19">
        <f>ROUND((Z953*'Data-CostAssumptions'!$G$5)*(1+'Data-CostAssumptions'!$G$3)^(AC953-'Data-CostAssumptions'!$G$4),-3)</f>
        <v>561000</v>
      </c>
      <c r="AH953" s="19">
        <f>ROUND((Z953)*(1+'Data-CostAssumptions'!$G$3)^(AE953-'Data-CostAssumptions'!$G$4),-3)</f>
        <v>2549000</v>
      </c>
    </row>
    <row r="954" spans="1:34" ht="15" customHeight="1" x14ac:dyDescent="0.2">
      <c r="A954" s="11"/>
      <c r="B954" s="11" t="s">
        <v>1211</v>
      </c>
      <c r="C954" s="13">
        <v>10056</v>
      </c>
      <c r="D954" s="13" t="s">
        <v>420</v>
      </c>
      <c r="E954" s="20" t="s">
        <v>298</v>
      </c>
      <c r="F954" s="20">
        <v>143</v>
      </c>
      <c r="G954" s="20">
        <v>953</v>
      </c>
      <c r="H954" s="13" t="s">
        <v>1977</v>
      </c>
      <c r="I954" s="13" t="str">
        <f t="shared" si="28"/>
        <v>Miramar Pkwy (@  Flamingo Rd)</v>
      </c>
      <c r="J954" s="13" t="s">
        <v>347</v>
      </c>
      <c r="K954" s="13" t="str">
        <f>VLOOKUP(J954,'Data-ProjectTypes'!A$3:B$13,2,FALSE)</f>
        <v>Project</v>
      </c>
      <c r="L954" s="21" t="s">
        <v>77</v>
      </c>
      <c r="M954" s="13" t="s">
        <v>2835</v>
      </c>
      <c r="N954" s="13" t="s">
        <v>159</v>
      </c>
      <c r="O954" s="13" t="s">
        <v>365</v>
      </c>
      <c r="P954" s="13" t="s">
        <v>365</v>
      </c>
      <c r="Q954" s="22"/>
      <c r="R954" s="23">
        <v>718159.31568382459</v>
      </c>
      <c r="S954" s="21" t="s">
        <v>24</v>
      </c>
      <c r="T954" s="21" t="s">
        <v>684</v>
      </c>
      <c r="U954" s="21" t="s">
        <v>684</v>
      </c>
      <c r="V954" s="24"/>
      <c r="W954" s="24"/>
      <c r="X954" s="24"/>
      <c r="Y954" s="17" t="s">
        <v>685</v>
      </c>
      <c r="Z954" s="18">
        <f>ROUND(R954*'Data-CostAssumptions'!$C$3,-3)</f>
        <v>994000</v>
      </c>
      <c r="AA954" s="11">
        <f t="shared" si="29"/>
        <v>0</v>
      </c>
      <c r="AB954" s="11">
        <v>2041</v>
      </c>
      <c r="AC954" s="11">
        <v>2041</v>
      </c>
      <c r="AD954" s="11">
        <v>2041</v>
      </c>
      <c r="AE954" s="11">
        <v>2041</v>
      </c>
      <c r="AF954" s="11">
        <v>0</v>
      </c>
      <c r="AG954" s="19">
        <f>ROUND((Z954*'Data-CostAssumptions'!$G$5)*(1+'Data-CostAssumptions'!$G$3)^(AC954-'Data-CostAssumptions'!$G$4),-3)</f>
        <v>561000</v>
      </c>
      <c r="AH954" s="19">
        <f>ROUND((Z954)*(1+'Data-CostAssumptions'!$G$3)^(AE954-'Data-CostAssumptions'!$G$4),-3)</f>
        <v>2549000</v>
      </c>
    </row>
    <row r="955" spans="1:34" ht="15" customHeight="1" x14ac:dyDescent="0.2">
      <c r="A955" s="11"/>
      <c r="B955" s="11" t="s">
        <v>1211</v>
      </c>
      <c r="C955" s="13">
        <v>10058</v>
      </c>
      <c r="D955" s="13" t="s">
        <v>420</v>
      </c>
      <c r="E955" s="20" t="s">
        <v>298</v>
      </c>
      <c r="F955" s="20">
        <v>143</v>
      </c>
      <c r="G955" s="20">
        <v>954</v>
      </c>
      <c r="H955" s="13" t="s">
        <v>1977</v>
      </c>
      <c r="I955" s="13" t="str">
        <f t="shared" si="28"/>
        <v>Miramar Pkwy (@  I-75)</v>
      </c>
      <c r="J955" s="13" t="s">
        <v>347</v>
      </c>
      <c r="K955" s="13" t="str">
        <f>VLOOKUP(J955,'Data-ProjectTypes'!A$3:B$13,2,FALSE)</f>
        <v>Project</v>
      </c>
      <c r="L955" s="21" t="s">
        <v>26</v>
      </c>
      <c r="M955" s="13" t="s">
        <v>2835</v>
      </c>
      <c r="N955" s="13" t="s">
        <v>31</v>
      </c>
      <c r="O955" s="13" t="s">
        <v>365</v>
      </c>
      <c r="P955" s="13" t="s">
        <v>365</v>
      </c>
      <c r="Q955" s="72">
        <v>0</v>
      </c>
      <c r="R955" s="23">
        <v>3056502.3571223663</v>
      </c>
      <c r="S955" s="21" t="s">
        <v>24</v>
      </c>
      <c r="T955" s="21" t="s">
        <v>684</v>
      </c>
      <c r="U955" s="21" t="s">
        <v>684</v>
      </c>
      <c r="V955" s="24"/>
      <c r="W955" s="24"/>
      <c r="X955" s="24"/>
      <c r="Y955" s="17" t="s">
        <v>685</v>
      </c>
      <c r="Z955" s="18">
        <f>ROUND(R955*'Data-CostAssumptions'!$C$3,-3)</f>
        <v>4230000</v>
      </c>
      <c r="AA955" s="11">
        <f t="shared" si="29"/>
        <v>0</v>
      </c>
      <c r="AB955" s="11">
        <v>2041</v>
      </c>
      <c r="AC955" s="11">
        <v>2041</v>
      </c>
      <c r="AD955" s="11">
        <v>2041</v>
      </c>
      <c r="AE955" s="11">
        <v>2041</v>
      </c>
      <c r="AF955" s="11">
        <v>0</v>
      </c>
      <c r="AG955" s="19">
        <f>ROUND((Z955*'Data-CostAssumptions'!$G$5)*(1+'Data-CostAssumptions'!$G$3)^(AC955-'Data-CostAssumptions'!$G$4),-3)</f>
        <v>2386000</v>
      </c>
      <c r="AH955" s="19">
        <f>ROUND((Z955)*(1+'Data-CostAssumptions'!$G$3)^(AE955-'Data-CostAssumptions'!$G$4),-3)</f>
        <v>10846000</v>
      </c>
    </row>
    <row r="956" spans="1:34" ht="15" customHeight="1" x14ac:dyDescent="0.2">
      <c r="A956" s="11"/>
      <c r="B956" s="11" t="s">
        <v>1211</v>
      </c>
      <c r="C956" s="13">
        <v>10074</v>
      </c>
      <c r="D956" s="13" t="s">
        <v>420</v>
      </c>
      <c r="E956" s="20" t="s">
        <v>298</v>
      </c>
      <c r="F956" s="20">
        <v>144</v>
      </c>
      <c r="G956" s="20">
        <v>955</v>
      </c>
      <c r="H956" s="13" t="s">
        <v>1977</v>
      </c>
      <c r="I956" s="13" t="str">
        <f t="shared" si="28"/>
        <v>Miramar Pkwy (@  Douglas Rd)</v>
      </c>
      <c r="J956" s="13" t="s">
        <v>347</v>
      </c>
      <c r="K956" s="13" t="str">
        <f>VLOOKUP(J956,'Data-ProjectTypes'!A$3:B$13,2,FALSE)</f>
        <v>Project</v>
      </c>
      <c r="L956" s="21" t="s">
        <v>77</v>
      </c>
      <c r="M956" s="13" t="s">
        <v>2835</v>
      </c>
      <c r="N956" s="13" t="s">
        <v>2425</v>
      </c>
      <c r="O956" s="13" t="s">
        <v>365</v>
      </c>
      <c r="P956" s="13" t="s">
        <v>365</v>
      </c>
      <c r="Q956" s="22"/>
      <c r="R956" s="23">
        <v>718159.31568382459</v>
      </c>
      <c r="S956" s="21" t="s">
        <v>24</v>
      </c>
      <c r="T956" s="21" t="s">
        <v>684</v>
      </c>
      <c r="U956" s="21" t="s">
        <v>684</v>
      </c>
      <c r="V956" s="24"/>
      <c r="W956" s="24"/>
      <c r="X956" s="24"/>
      <c r="Y956" s="17" t="s">
        <v>685</v>
      </c>
      <c r="Z956" s="18">
        <f>ROUND(R956*'Data-CostAssumptions'!$C$3,-3)</f>
        <v>994000</v>
      </c>
      <c r="AA956" s="11">
        <f t="shared" si="29"/>
        <v>0</v>
      </c>
      <c r="AB956" s="11">
        <v>2041</v>
      </c>
      <c r="AC956" s="11">
        <v>2041</v>
      </c>
      <c r="AD956" s="11">
        <v>2041</v>
      </c>
      <c r="AE956" s="11">
        <v>2041</v>
      </c>
      <c r="AF956" s="11">
        <v>0</v>
      </c>
      <c r="AG956" s="19">
        <f>ROUND((Z956*'Data-CostAssumptions'!$G$5)*(1+'Data-CostAssumptions'!$G$3)^(AC956-'Data-CostAssumptions'!$G$4),-3)</f>
        <v>561000</v>
      </c>
      <c r="AH956" s="19">
        <f>ROUND((Z956)*(1+'Data-CostAssumptions'!$G$3)^(AE956-'Data-CostAssumptions'!$G$4),-3)</f>
        <v>2549000</v>
      </c>
    </row>
    <row r="957" spans="1:34" ht="15" customHeight="1" x14ac:dyDescent="0.2">
      <c r="A957" s="11"/>
      <c r="B957" s="11" t="s">
        <v>1211</v>
      </c>
      <c r="C957" s="13">
        <v>10099</v>
      </c>
      <c r="D957" s="13" t="s">
        <v>420</v>
      </c>
      <c r="E957" s="20" t="s">
        <v>298</v>
      </c>
      <c r="F957" s="20">
        <v>146</v>
      </c>
      <c r="G957" s="20">
        <v>956</v>
      </c>
      <c r="H957" s="13" t="s">
        <v>1977</v>
      </c>
      <c r="I957" s="13" t="str">
        <f t="shared" si="28"/>
        <v>Miramar Pkwy (@  SW 172nd Av)</v>
      </c>
      <c r="J957" s="13" t="s">
        <v>347</v>
      </c>
      <c r="K957" s="13" t="str">
        <f>VLOOKUP(J957,'Data-ProjectTypes'!A$3:B$13,2,FALSE)</f>
        <v>Project</v>
      </c>
      <c r="L957" s="21" t="s">
        <v>77</v>
      </c>
      <c r="M957" s="13" t="s">
        <v>2835</v>
      </c>
      <c r="N957" s="13" t="s">
        <v>2110</v>
      </c>
      <c r="O957" s="13" t="s">
        <v>365</v>
      </c>
      <c r="P957" s="13" t="s">
        <v>365</v>
      </c>
      <c r="Q957" s="22"/>
      <c r="R957" s="23">
        <v>718159.31568382459</v>
      </c>
      <c r="S957" s="21" t="s">
        <v>24</v>
      </c>
      <c r="T957" s="21" t="s">
        <v>684</v>
      </c>
      <c r="U957" s="21" t="s">
        <v>684</v>
      </c>
      <c r="V957" s="24"/>
      <c r="W957" s="24"/>
      <c r="X957" s="24"/>
      <c r="Y957" s="17" t="s">
        <v>685</v>
      </c>
      <c r="Z957" s="18">
        <f>ROUND(R957*'Data-CostAssumptions'!$C$3,-3)</f>
        <v>994000</v>
      </c>
      <c r="AA957" s="11">
        <f t="shared" si="29"/>
        <v>0</v>
      </c>
      <c r="AB957" s="11">
        <v>2041</v>
      </c>
      <c r="AC957" s="11">
        <v>2041</v>
      </c>
      <c r="AD957" s="11">
        <v>2041</v>
      </c>
      <c r="AE957" s="11">
        <v>2041</v>
      </c>
      <c r="AF957" s="11">
        <v>0</v>
      </c>
      <c r="AG957" s="19">
        <f>ROUND((Z957*'Data-CostAssumptions'!$G$5)*(1+'Data-CostAssumptions'!$G$3)^(AC957-'Data-CostAssumptions'!$G$4),-3)</f>
        <v>561000</v>
      </c>
      <c r="AH957" s="19">
        <f>ROUND((Z957)*(1+'Data-CostAssumptions'!$G$3)^(AE957-'Data-CostAssumptions'!$G$4),-3)</f>
        <v>2549000</v>
      </c>
    </row>
    <row r="958" spans="1:34" ht="15" customHeight="1" x14ac:dyDescent="0.2">
      <c r="A958" s="11"/>
      <c r="B958" s="11" t="s">
        <v>1211</v>
      </c>
      <c r="C958" s="11">
        <v>10007</v>
      </c>
      <c r="D958" s="13" t="s">
        <v>420</v>
      </c>
      <c r="E958" s="14"/>
      <c r="F958" s="14">
        <v>138</v>
      </c>
      <c r="G958" s="20">
        <v>957</v>
      </c>
      <c r="H958" s="13" t="s">
        <v>382</v>
      </c>
      <c r="I958" s="13" t="str">
        <f t="shared" si="28"/>
        <v>New Local Bus Service(8 routes6)/Route Extension/Headway Improvement ( to )</v>
      </c>
      <c r="J958" s="11" t="s">
        <v>347</v>
      </c>
      <c r="K958" s="13" t="str">
        <f>VLOOKUP(J958,'Data-ProjectTypes'!A$3:B$13,2,FALSE)</f>
        <v>Project</v>
      </c>
      <c r="L958" s="11" t="s">
        <v>402</v>
      </c>
      <c r="M958" s="11"/>
      <c r="N958" s="11"/>
      <c r="O958" s="11" t="s">
        <v>409</v>
      </c>
      <c r="P958" s="11" t="s">
        <v>409</v>
      </c>
      <c r="Q958" s="15"/>
      <c r="R958" s="16">
        <v>64815000</v>
      </c>
      <c r="S958" s="11"/>
      <c r="T958" s="11"/>
      <c r="U958" s="11"/>
      <c r="V958" s="11"/>
      <c r="W958" s="11"/>
      <c r="X958" s="11"/>
      <c r="Y958" s="17"/>
      <c r="Z958" s="18">
        <f>ROUND(R958*'Data-CostAssumptions'!$C$3,-3)</f>
        <v>89704000</v>
      </c>
      <c r="AA958" s="11">
        <f t="shared" si="29"/>
        <v>0</v>
      </c>
      <c r="AB958" s="11">
        <v>2041</v>
      </c>
      <c r="AC958" s="11">
        <v>2041</v>
      </c>
      <c r="AD958" s="11">
        <v>2041</v>
      </c>
      <c r="AE958" s="11">
        <v>2041</v>
      </c>
      <c r="AF958" s="11">
        <v>0</v>
      </c>
      <c r="AG958" s="19">
        <f>ROUND((Z958*'Data-CostAssumptions'!$G$5)*(1+'Data-CostAssumptions'!$G$3)^(AC958-'Data-CostAssumptions'!$G$4),-3)</f>
        <v>50599000</v>
      </c>
      <c r="AH958" s="19">
        <f>ROUND((Z958)*(1+'Data-CostAssumptions'!$G$3)^(AE958-'Data-CostAssumptions'!$G$4),-3)</f>
        <v>229996000</v>
      </c>
    </row>
    <row r="959" spans="1:34" ht="15" customHeight="1" x14ac:dyDescent="0.2">
      <c r="A959" s="11"/>
      <c r="B959" s="11" t="s">
        <v>1211</v>
      </c>
      <c r="C959" s="13">
        <v>10021</v>
      </c>
      <c r="D959" s="13" t="s">
        <v>420</v>
      </c>
      <c r="E959" s="20" t="s">
        <v>298</v>
      </c>
      <c r="F959" s="20">
        <v>140</v>
      </c>
      <c r="G959" s="20">
        <v>958</v>
      </c>
      <c r="H959" s="13" t="s">
        <v>2052</v>
      </c>
      <c r="I959" s="13" t="str">
        <f t="shared" si="28"/>
        <v>NW 136th Av (@  Sunrise Bl)</v>
      </c>
      <c r="J959" s="13" t="s">
        <v>347</v>
      </c>
      <c r="K959" s="13" t="str">
        <f>VLOOKUP(J959,'Data-ProjectTypes'!A$3:B$13,2,FALSE)</f>
        <v>Project</v>
      </c>
      <c r="L959" s="21" t="s">
        <v>85</v>
      </c>
      <c r="M959" s="13" t="s">
        <v>2835</v>
      </c>
      <c r="N959" s="13" t="s">
        <v>1830</v>
      </c>
      <c r="O959" s="13" t="s">
        <v>365</v>
      </c>
      <c r="P959" s="13" t="s">
        <v>365</v>
      </c>
      <c r="Q959" s="22"/>
      <c r="R959" s="23">
        <v>9426949.8170891684</v>
      </c>
      <c r="S959" s="21"/>
      <c r="T959" s="21"/>
      <c r="U959" s="21"/>
      <c r="V959" s="24"/>
      <c r="W959" s="24"/>
      <c r="X959" s="24"/>
      <c r="Y959" s="17"/>
      <c r="Z959" s="18">
        <f>ROUND(R959*'Data-CostAssumptions'!$C$3,-3)</f>
        <v>13047000</v>
      </c>
      <c r="AA959" s="11">
        <f t="shared" si="29"/>
        <v>0</v>
      </c>
      <c r="AB959" s="11">
        <v>2041</v>
      </c>
      <c r="AC959" s="11">
        <v>2041</v>
      </c>
      <c r="AD959" s="11">
        <v>2041</v>
      </c>
      <c r="AE959" s="11">
        <v>2041</v>
      </c>
      <c r="AF959" s="11">
        <v>0</v>
      </c>
      <c r="AG959" s="19">
        <f>ROUND((Z959*'Data-CostAssumptions'!$G$5)*(1+'Data-CostAssumptions'!$G$3)^(AC959-'Data-CostAssumptions'!$G$4),-3)</f>
        <v>7359000</v>
      </c>
      <c r="AH959" s="19">
        <f>ROUND((Z959)*(1+'Data-CostAssumptions'!$G$3)^(AE959-'Data-CostAssumptions'!$G$4),-3)</f>
        <v>33452000</v>
      </c>
    </row>
    <row r="960" spans="1:34" ht="15" customHeight="1" x14ac:dyDescent="0.2">
      <c r="A960" s="11"/>
      <c r="B960" s="11" t="s">
        <v>1211</v>
      </c>
      <c r="C960" s="11">
        <v>10191</v>
      </c>
      <c r="D960" s="13" t="s">
        <v>420</v>
      </c>
      <c r="E960" s="14"/>
      <c r="F960" s="14">
        <v>138</v>
      </c>
      <c r="G960" s="20">
        <v>959</v>
      </c>
      <c r="H960" s="13" t="s">
        <v>385</v>
      </c>
      <c r="I960" s="13" t="str">
        <f t="shared" si="28"/>
        <v>Park-n-Ride Facilities ( to )</v>
      </c>
      <c r="J960" s="11" t="s">
        <v>347</v>
      </c>
      <c r="K960" s="13" t="str">
        <f>VLOOKUP(J960,'Data-ProjectTypes'!A$3:B$13,2,FALSE)</f>
        <v>Project</v>
      </c>
      <c r="L960" s="11" t="s">
        <v>407</v>
      </c>
      <c r="M960" s="11"/>
      <c r="N960" s="11"/>
      <c r="O960" s="11" t="s">
        <v>409</v>
      </c>
      <c r="P960" s="11" t="s">
        <v>409</v>
      </c>
      <c r="Q960" s="15"/>
      <c r="R960" s="16">
        <v>29870000</v>
      </c>
      <c r="S960" s="11"/>
      <c r="T960" s="11"/>
      <c r="U960" s="11"/>
      <c r="V960" s="11"/>
      <c r="W960" s="11"/>
      <c r="X960" s="11"/>
      <c r="Y960" s="17"/>
      <c r="Z960" s="18">
        <f>ROUND(R960*'Data-CostAssumptions'!$C$3,-3)</f>
        <v>41340000</v>
      </c>
      <c r="AA960" s="11">
        <f t="shared" si="29"/>
        <v>0</v>
      </c>
      <c r="AB960" s="11">
        <v>2041</v>
      </c>
      <c r="AC960" s="11">
        <v>2041</v>
      </c>
      <c r="AD960" s="11">
        <v>2041</v>
      </c>
      <c r="AE960" s="11">
        <v>2041</v>
      </c>
      <c r="AF960" s="11">
        <v>0</v>
      </c>
      <c r="AG960" s="19">
        <f>ROUND((Z960*'Data-CostAssumptions'!$G$5)*(1+'Data-CostAssumptions'!$G$3)^(AC960-'Data-CostAssumptions'!$G$4),-3)</f>
        <v>23319000</v>
      </c>
      <c r="AH960" s="19">
        <f>ROUND((Z960)*(1+'Data-CostAssumptions'!$G$3)^(AE960-'Data-CostAssumptions'!$G$4),-3)</f>
        <v>105994000</v>
      </c>
    </row>
    <row r="961" spans="1:34" ht="15" customHeight="1" x14ac:dyDescent="0.2">
      <c r="A961" s="11"/>
      <c r="B961" s="11" t="s">
        <v>1211</v>
      </c>
      <c r="C961" s="13">
        <v>10075</v>
      </c>
      <c r="D961" s="13" t="s">
        <v>420</v>
      </c>
      <c r="E961" s="20" t="s">
        <v>298</v>
      </c>
      <c r="F961" s="20">
        <v>144</v>
      </c>
      <c r="G961" s="20">
        <v>960</v>
      </c>
      <c r="H961" s="13" t="s">
        <v>1763</v>
      </c>
      <c r="I961" s="13" t="str">
        <f t="shared" si="28"/>
        <v>Peters Rd (@  SR 7/US 441)</v>
      </c>
      <c r="J961" s="13" t="s">
        <v>347</v>
      </c>
      <c r="K961" s="13" t="str">
        <f>VLOOKUP(J961,'Data-ProjectTypes'!A$3:B$13,2,FALSE)</f>
        <v>Project</v>
      </c>
      <c r="L961" s="21" t="s">
        <v>77</v>
      </c>
      <c r="M961" s="13" t="s">
        <v>2835</v>
      </c>
      <c r="N961" s="13" t="s">
        <v>57</v>
      </c>
      <c r="O961" s="13" t="s">
        <v>365</v>
      </c>
      <c r="P961" s="13" t="s">
        <v>365</v>
      </c>
      <c r="Q961" s="22"/>
      <c r="R961" s="23">
        <v>718159.31568382459</v>
      </c>
      <c r="S961" s="21"/>
      <c r="T961" s="21"/>
      <c r="U961" s="21"/>
      <c r="V961" s="24"/>
      <c r="W961" s="24"/>
      <c r="X961" s="24"/>
      <c r="Y961" s="17"/>
      <c r="Z961" s="18">
        <f>ROUND(R961*'Data-CostAssumptions'!$C$3,-3)</f>
        <v>994000</v>
      </c>
      <c r="AA961" s="11">
        <f t="shared" si="29"/>
        <v>0</v>
      </c>
      <c r="AB961" s="11">
        <v>2041</v>
      </c>
      <c r="AC961" s="11">
        <v>2041</v>
      </c>
      <c r="AD961" s="11">
        <v>2041</v>
      </c>
      <c r="AE961" s="11">
        <v>2041</v>
      </c>
      <c r="AF961" s="11">
        <v>0</v>
      </c>
      <c r="AG961" s="19">
        <f>ROUND((Z961*'Data-CostAssumptions'!$G$5)*(1+'Data-CostAssumptions'!$G$3)^(AC961-'Data-CostAssumptions'!$G$4),-3)</f>
        <v>561000</v>
      </c>
      <c r="AH961" s="19">
        <f>ROUND((Z961)*(1+'Data-CostAssumptions'!$G$3)^(AE961-'Data-CostAssumptions'!$G$4),-3)</f>
        <v>2549000</v>
      </c>
    </row>
    <row r="962" spans="1:34" ht="15" customHeight="1" x14ac:dyDescent="0.2">
      <c r="A962" s="11"/>
      <c r="B962" s="11" t="s">
        <v>1211</v>
      </c>
      <c r="C962" s="13">
        <v>10100</v>
      </c>
      <c r="D962" s="13" t="s">
        <v>420</v>
      </c>
      <c r="E962" s="20" t="s">
        <v>298</v>
      </c>
      <c r="F962" s="20">
        <v>146</v>
      </c>
      <c r="G962" s="20">
        <v>961</v>
      </c>
      <c r="H962" s="13" t="s">
        <v>266</v>
      </c>
      <c r="I962" s="13" t="str">
        <f t="shared" ref="I962:I1025" si="30">IF(M962="@",H962&amp;" ("&amp;M962&amp;"  "&amp;N962&amp;")",H962&amp;" ("&amp;M962&amp;" to "&amp;N962&amp;")")</f>
        <v>Pine Island Rd (@  NW 57th St)</v>
      </c>
      <c r="J962" s="13" t="s">
        <v>347</v>
      </c>
      <c r="K962" s="13" t="str">
        <f>VLOOKUP(J962,'Data-ProjectTypes'!A$3:B$13,2,FALSE)</f>
        <v>Project</v>
      </c>
      <c r="L962" s="21" t="s">
        <v>77</v>
      </c>
      <c r="M962" s="13" t="s">
        <v>2835</v>
      </c>
      <c r="N962" s="13" t="s">
        <v>1925</v>
      </c>
      <c r="O962" s="13" t="s">
        <v>365</v>
      </c>
      <c r="P962" s="13" t="s">
        <v>365</v>
      </c>
      <c r="Q962" s="22"/>
      <c r="R962" s="23">
        <v>718159.31568382459</v>
      </c>
      <c r="S962" s="21"/>
      <c r="T962" s="21"/>
      <c r="U962" s="21"/>
      <c r="V962" s="24"/>
      <c r="W962" s="24"/>
      <c r="X962" s="24"/>
      <c r="Y962" s="17"/>
      <c r="Z962" s="18">
        <f>ROUND(R962*'Data-CostAssumptions'!$C$3,-3)</f>
        <v>994000</v>
      </c>
      <c r="AA962" s="11">
        <f t="shared" si="29"/>
        <v>0</v>
      </c>
      <c r="AB962" s="11">
        <v>2041</v>
      </c>
      <c r="AC962" s="11">
        <v>2041</v>
      </c>
      <c r="AD962" s="11">
        <v>2041</v>
      </c>
      <c r="AE962" s="11">
        <v>2041</v>
      </c>
      <c r="AF962" s="11">
        <v>0</v>
      </c>
      <c r="AG962" s="19">
        <f>ROUND((Z962*'Data-CostAssumptions'!$G$5)*(1+'Data-CostAssumptions'!$G$3)^(AC962-'Data-CostAssumptions'!$G$4),-3)</f>
        <v>561000</v>
      </c>
      <c r="AH962" s="19">
        <f>ROUND((Z962)*(1+'Data-CostAssumptions'!$G$3)^(AE962-'Data-CostAssumptions'!$G$4),-3)</f>
        <v>2549000</v>
      </c>
    </row>
    <row r="963" spans="1:34" ht="15" customHeight="1" x14ac:dyDescent="0.2">
      <c r="A963" s="11"/>
      <c r="B963" s="11" t="s">
        <v>1211</v>
      </c>
      <c r="C963" s="13">
        <v>10022</v>
      </c>
      <c r="D963" s="13" t="s">
        <v>420</v>
      </c>
      <c r="E963" s="20" t="s">
        <v>298</v>
      </c>
      <c r="F963" s="20">
        <v>140</v>
      </c>
      <c r="G963" s="20">
        <v>962</v>
      </c>
      <c r="H963" s="13" t="s">
        <v>156</v>
      </c>
      <c r="I963" s="13" t="str">
        <f t="shared" si="30"/>
        <v>Red Rd (@  Miramar Bl)</v>
      </c>
      <c r="J963" s="13" t="s">
        <v>347</v>
      </c>
      <c r="K963" s="13" t="str">
        <f>VLOOKUP(J963,'Data-ProjectTypes'!A$3:B$13,2,FALSE)</f>
        <v>Project</v>
      </c>
      <c r="L963" s="21" t="s">
        <v>85</v>
      </c>
      <c r="M963" s="13" t="s">
        <v>2835</v>
      </c>
      <c r="N963" s="13" t="s">
        <v>2918</v>
      </c>
      <c r="O963" s="13" t="s">
        <v>365</v>
      </c>
      <c r="P963" s="13" t="s">
        <v>365</v>
      </c>
      <c r="Q963" s="22"/>
      <c r="R963" s="23">
        <v>9426949.8170891684</v>
      </c>
      <c r="S963" s="21" t="s">
        <v>24</v>
      </c>
      <c r="T963" s="21" t="s">
        <v>684</v>
      </c>
      <c r="U963" s="21" t="s">
        <v>684</v>
      </c>
      <c r="V963" s="24"/>
      <c r="W963" s="24"/>
      <c r="X963" s="24"/>
      <c r="Y963" s="17" t="s">
        <v>685</v>
      </c>
      <c r="Z963" s="18">
        <f>ROUND(R963*'Data-CostAssumptions'!$C$3,-3)</f>
        <v>13047000</v>
      </c>
      <c r="AA963" s="11">
        <f t="shared" ref="AA963:AA1026" si="31">IF(V963="",IF(W963="",0,1),1)</f>
        <v>0</v>
      </c>
      <c r="AB963" s="11">
        <v>2041</v>
      </c>
      <c r="AC963" s="11">
        <v>2041</v>
      </c>
      <c r="AD963" s="11">
        <v>2041</v>
      </c>
      <c r="AE963" s="11">
        <v>2041</v>
      </c>
      <c r="AF963" s="11">
        <v>0</v>
      </c>
      <c r="AG963" s="19">
        <f>ROUND((Z963*'Data-CostAssumptions'!$G$5)*(1+'Data-CostAssumptions'!$G$3)^(AC963-'Data-CostAssumptions'!$G$4),-3)</f>
        <v>7359000</v>
      </c>
      <c r="AH963" s="19">
        <f>ROUND((Z963)*(1+'Data-CostAssumptions'!$G$3)^(AE963-'Data-CostAssumptions'!$G$4),-3)</f>
        <v>33452000</v>
      </c>
    </row>
    <row r="964" spans="1:34" ht="15" customHeight="1" x14ac:dyDescent="0.2">
      <c r="A964" s="11"/>
      <c r="B964" s="11" t="s">
        <v>1211</v>
      </c>
      <c r="C964" s="13">
        <v>10066</v>
      </c>
      <c r="D964" s="13" t="s">
        <v>420</v>
      </c>
      <c r="E964" s="20" t="s">
        <v>298</v>
      </c>
      <c r="F964" s="20">
        <v>144</v>
      </c>
      <c r="G964" s="20">
        <v>963</v>
      </c>
      <c r="H964" s="13" t="s">
        <v>1827</v>
      </c>
      <c r="I964" s="13" t="str">
        <f t="shared" si="30"/>
        <v>Royal Palm Bl (@  University Dr)</v>
      </c>
      <c r="J964" s="13" t="s">
        <v>347</v>
      </c>
      <c r="K964" s="13" t="str">
        <f>VLOOKUP(J964,'Data-ProjectTypes'!A$3:B$13,2,FALSE)</f>
        <v>Project</v>
      </c>
      <c r="L964" s="21" t="s">
        <v>77</v>
      </c>
      <c r="M964" s="13" t="s">
        <v>2835</v>
      </c>
      <c r="N964" s="13" t="s">
        <v>1804</v>
      </c>
      <c r="O964" s="13" t="s">
        <v>365</v>
      </c>
      <c r="P964" s="13" t="s">
        <v>365</v>
      </c>
      <c r="Q964" s="22"/>
      <c r="R964" s="23">
        <v>718159.31568382459</v>
      </c>
      <c r="S964" s="21" t="s">
        <v>24</v>
      </c>
      <c r="T964" s="21"/>
      <c r="U964" s="21"/>
      <c r="V964" s="24"/>
      <c r="W964" s="24"/>
      <c r="X964" s="24"/>
      <c r="Y964" s="17" t="s">
        <v>460</v>
      </c>
      <c r="Z964" s="18">
        <f>ROUND(R964*'Data-CostAssumptions'!$C$3,-3)</f>
        <v>994000</v>
      </c>
      <c r="AA964" s="11">
        <f t="shared" si="31"/>
        <v>0</v>
      </c>
      <c r="AB964" s="11">
        <v>2041</v>
      </c>
      <c r="AC964" s="11">
        <v>2041</v>
      </c>
      <c r="AD964" s="11">
        <v>2041</v>
      </c>
      <c r="AE964" s="11">
        <v>2041</v>
      </c>
      <c r="AF964" s="11">
        <v>0</v>
      </c>
      <c r="AG964" s="19">
        <f>ROUND((Z964*'Data-CostAssumptions'!$G$5)*(1+'Data-CostAssumptions'!$G$3)^(AC964-'Data-CostAssumptions'!$G$4),-3)</f>
        <v>561000</v>
      </c>
      <c r="AH964" s="19">
        <f>ROUND((Z964)*(1+'Data-CostAssumptions'!$G$3)^(AE964-'Data-CostAssumptions'!$G$4),-3)</f>
        <v>2549000</v>
      </c>
    </row>
    <row r="965" spans="1:34" ht="15" customHeight="1" x14ac:dyDescent="0.2">
      <c r="A965" s="11"/>
      <c r="B965" s="11" t="s">
        <v>1211</v>
      </c>
      <c r="C965" s="13">
        <v>10048</v>
      </c>
      <c r="D965" s="13" t="s">
        <v>420</v>
      </c>
      <c r="E965" s="20" t="s">
        <v>298</v>
      </c>
      <c r="F965" s="20">
        <v>142</v>
      </c>
      <c r="G965" s="20">
        <v>964</v>
      </c>
      <c r="H965" s="13" t="s">
        <v>84</v>
      </c>
      <c r="I965" s="13" t="str">
        <f t="shared" si="30"/>
        <v>Sawgrass International Corp. Park (@  corp. park)</v>
      </c>
      <c r="J965" s="13" t="s">
        <v>347</v>
      </c>
      <c r="K965" s="13" t="str">
        <f>VLOOKUP(J965,'Data-ProjectTypes'!A$3:B$13,2,FALSE)</f>
        <v>Project</v>
      </c>
      <c r="L965" s="21" t="s">
        <v>26</v>
      </c>
      <c r="M965" s="13" t="s">
        <v>2835</v>
      </c>
      <c r="N965" s="13" t="s">
        <v>2909</v>
      </c>
      <c r="O965" s="13" t="s">
        <v>365</v>
      </c>
      <c r="P965" s="13" t="s">
        <v>365</v>
      </c>
      <c r="Q965" s="72">
        <v>0</v>
      </c>
      <c r="R965" s="23">
        <v>3056502.3571223663</v>
      </c>
      <c r="S965" s="21"/>
      <c r="T965" s="21"/>
      <c r="U965" s="21"/>
      <c r="V965" s="24"/>
      <c r="W965" s="24"/>
      <c r="X965" s="24"/>
      <c r="Y965" s="17"/>
      <c r="Z965" s="18">
        <f>ROUND(R965*'Data-CostAssumptions'!$C$3,-3)</f>
        <v>4230000</v>
      </c>
      <c r="AA965" s="11">
        <f t="shared" si="31"/>
        <v>0</v>
      </c>
      <c r="AB965" s="11">
        <v>2041</v>
      </c>
      <c r="AC965" s="11">
        <v>2041</v>
      </c>
      <c r="AD965" s="11">
        <v>2041</v>
      </c>
      <c r="AE965" s="11">
        <v>2041</v>
      </c>
      <c r="AF965" s="11">
        <v>0</v>
      </c>
      <c r="AG965" s="19">
        <f>ROUND((Z965*'Data-CostAssumptions'!$G$5)*(1+'Data-CostAssumptions'!$G$3)^(AC965-'Data-CostAssumptions'!$G$4),-3)</f>
        <v>2386000</v>
      </c>
      <c r="AH965" s="19">
        <f>ROUND((Z965)*(1+'Data-CostAssumptions'!$G$3)^(AE965-'Data-CostAssumptions'!$G$4),-3)</f>
        <v>10846000</v>
      </c>
    </row>
    <row r="966" spans="1:34" ht="15" customHeight="1" x14ac:dyDescent="0.2">
      <c r="A966" s="11"/>
      <c r="B966" s="11" t="s">
        <v>1211</v>
      </c>
      <c r="C966" s="13">
        <v>10071</v>
      </c>
      <c r="D966" s="13" t="s">
        <v>420</v>
      </c>
      <c r="E966" s="20" t="s">
        <v>298</v>
      </c>
      <c r="F966" s="20">
        <v>144</v>
      </c>
      <c r="G966" s="20">
        <v>965</v>
      </c>
      <c r="H966" s="13" t="s">
        <v>1951</v>
      </c>
      <c r="I966" s="13" t="str">
        <f t="shared" si="30"/>
        <v>Sheridan St (@  I-75)</v>
      </c>
      <c r="J966" s="13" t="s">
        <v>347</v>
      </c>
      <c r="K966" s="13" t="str">
        <f>VLOOKUP(J966,'Data-ProjectTypes'!A$3:B$13,2,FALSE)</f>
        <v>Project</v>
      </c>
      <c r="L966" s="21" t="s">
        <v>26</v>
      </c>
      <c r="M966" s="13" t="s">
        <v>2835</v>
      </c>
      <c r="N966" s="13" t="s">
        <v>31</v>
      </c>
      <c r="O966" s="13" t="s">
        <v>365</v>
      </c>
      <c r="P966" s="13" t="s">
        <v>365</v>
      </c>
      <c r="Q966" s="72">
        <v>0</v>
      </c>
      <c r="R966" s="23">
        <v>3056502.3571223663</v>
      </c>
      <c r="S966" s="21"/>
      <c r="T966" s="21"/>
      <c r="U966" s="21"/>
      <c r="V966" s="24"/>
      <c r="W966" s="24"/>
      <c r="X966" s="24"/>
      <c r="Y966" s="17"/>
      <c r="Z966" s="18">
        <f>ROUND(R966*'Data-CostAssumptions'!$C$3,-3)</f>
        <v>4230000</v>
      </c>
      <c r="AA966" s="11">
        <f t="shared" si="31"/>
        <v>0</v>
      </c>
      <c r="AB966" s="11">
        <v>2041</v>
      </c>
      <c r="AC966" s="11">
        <v>2041</v>
      </c>
      <c r="AD966" s="11">
        <v>2041</v>
      </c>
      <c r="AE966" s="11">
        <v>2041</v>
      </c>
      <c r="AF966" s="11">
        <v>0</v>
      </c>
      <c r="AG966" s="19">
        <f>ROUND((Z966*'Data-CostAssumptions'!$G$5)*(1+'Data-CostAssumptions'!$G$3)^(AC966-'Data-CostAssumptions'!$G$4),-3)</f>
        <v>2386000</v>
      </c>
      <c r="AH966" s="19">
        <f>ROUND((Z966)*(1+'Data-CostAssumptions'!$G$3)^(AE966-'Data-CostAssumptions'!$G$4),-3)</f>
        <v>10846000</v>
      </c>
    </row>
    <row r="967" spans="1:34" ht="15" customHeight="1" x14ac:dyDescent="0.2">
      <c r="A967" s="11"/>
      <c r="B967" s="11" t="s">
        <v>1211</v>
      </c>
      <c r="C967" s="11">
        <v>1052</v>
      </c>
      <c r="D967" s="13" t="s">
        <v>420</v>
      </c>
      <c r="E967" s="14"/>
      <c r="F967" s="14">
        <v>206</v>
      </c>
      <c r="G967" s="20">
        <v>966</v>
      </c>
      <c r="H967" s="13" t="s">
        <v>377</v>
      </c>
      <c r="I967" s="13" t="str">
        <f t="shared" si="30"/>
        <v>Shuttle Bus Maintenance/Operations Facility ( to )</v>
      </c>
      <c r="J967" s="13" t="s">
        <v>347</v>
      </c>
      <c r="K967" s="13" t="str">
        <f>VLOOKUP(J967,'Data-ProjectTypes'!A$3:B$13,2,FALSE)</f>
        <v>Project</v>
      </c>
      <c r="L967" s="11" t="s">
        <v>397</v>
      </c>
      <c r="M967" s="11"/>
      <c r="N967" s="11"/>
      <c r="O967" s="11" t="s">
        <v>270</v>
      </c>
      <c r="P967" s="11" t="s">
        <v>270</v>
      </c>
      <c r="Q967" s="15"/>
      <c r="R967" s="16">
        <v>5572604</v>
      </c>
      <c r="S967" s="11"/>
      <c r="T967" s="11"/>
      <c r="U967" s="11"/>
      <c r="V967" s="11"/>
      <c r="W967" s="11"/>
      <c r="X967" s="11"/>
      <c r="Y967" s="17"/>
      <c r="Z967" s="18">
        <f>ROUND(R967*'Data-CostAssumptions'!$C$3,-3)</f>
        <v>7712000</v>
      </c>
      <c r="AA967" s="11">
        <f t="shared" si="31"/>
        <v>0</v>
      </c>
      <c r="AB967" s="11">
        <v>2041</v>
      </c>
      <c r="AC967" s="11">
        <v>2041</v>
      </c>
      <c r="AD967" s="11">
        <v>2041</v>
      </c>
      <c r="AE967" s="11">
        <v>2041</v>
      </c>
      <c r="AF967" s="11">
        <v>0</v>
      </c>
      <c r="AG967" s="19">
        <f>ROUND((Z967*'Data-CostAssumptions'!$G$5)*(1+'Data-CostAssumptions'!$G$3)^(AC967-'Data-CostAssumptions'!$G$4),-3)</f>
        <v>4350000</v>
      </c>
      <c r="AH967" s="19">
        <f>ROUND((Z967)*(1+'Data-CostAssumptions'!$G$3)^(AE967-'Data-CostAssumptions'!$G$4),-3)</f>
        <v>19773000</v>
      </c>
    </row>
    <row r="968" spans="1:34" ht="15" customHeight="1" x14ac:dyDescent="0.2">
      <c r="A968" s="11"/>
      <c r="B968" s="11" t="s">
        <v>1211</v>
      </c>
      <c r="C968" s="13">
        <v>10076</v>
      </c>
      <c r="D968" s="13" t="s">
        <v>420</v>
      </c>
      <c r="E968" s="20" t="s">
        <v>298</v>
      </c>
      <c r="F968" s="20">
        <v>144</v>
      </c>
      <c r="G968" s="20">
        <v>967</v>
      </c>
      <c r="H968" s="13" t="s">
        <v>2912</v>
      </c>
      <c r="I968" s="13" t="str">
        <f t="shared" si="30"/>
        <v>SR  820/Pines Bl (@  Flamingo Rd)</v>
      </c>
      <c r="J968" s="13" t="s">
        <v>347</v>
      </c>
      <c r="K968" s="13" t="str">
        <f>VLOOKUP(J968,'Data-ProjectTypes'!A$3:B$13,2,FALSE)</f>
        <v>Project</v>
      </c>
      <c r="L968" s="21" t="s">
        <v>77</v>
      </c>
      <c r="M968" s="13" t="s">
        <v>2835</v>
      </c>
      <c r="N968" s="13" t="s">
        <v>159</v>
      </c>
      <c r="O968" s="13" t="s">
        <v>365</v>
      </c>
      <c r="P968" s="13" t="s">
        <v>365</v>
      </c>
      <c r="Q968" s="22"/>
      <c r="R968" s="23">
        <v>718159.31568382459</v>
      </c>
      <c r="S968" s="21"/>
      <c r="T968" s="21"/>
      <c r="U968" s="21"/>
      <c r="V968" s="24"/>
      <c r="W968" s="24"/>
      <c r="X968" s="24"/>
      <c r="Y968" s="17"/>
      <c r="Z968" s="18">
        <f>ROUND(R968*'Data-CostAssumptions'!$C$8,-3)</f>
        <v>718000</v>
      </c>
      <c r="AA968" s="11">
        <f t="shared" si="31"/>
        <v>0</v>
      </c>
      <c r="AB968" s="11">
        <v>2041</v>
      </c>
      <c r="AC968" s="11">
        <v>2041</v>
      </c>
      <c r="AD968" s="11">
        <v>2041</v>
      </c>
      <c r="AE968" s="11">
        <v>2041</v>
      </c>
      <c r="AF968" s="11">
        <v>0</v>
      </c>
      <c r="AG968" s="19">
        <f>ROUND((Z968*'Data-CostAssumptions'!$G$5)*(1+'Data-CostAssumptions'!$G$3)^(AC968-'Data-CostAssumptions'!$G$4),-3)</f>
        <v>405000</v>
      </c>
      <c r="AH968" s="19">
        <f>ROUND((Z968)*(1+'Data-CostAssumptions'!$G$3)^(AE968-'Data-CostAssumptions'!$G$4),-3)</f>
        <v>1841000</v>
      </c>
    </row>
    <row r="969" spans="1:34" ht="15" customHeight="1" x14ac:dyDescent="0.2">
      <c r="A969" s="11"/>
      <c r="B969" s="11" t="s">
        <v>1211</v>
      </c>
      <c r="C969" s="11">
        <v>10180</v>
      </c>
      <c r="D969" s="13" t="s">
        <v>420</v>
      </c>
      <c r="E969" s="14"/>
      <c r="F969" s="14">
        <v>137</v>
      </c>
      <c r="G969" s="20">
        <v>968</v>
      </c>
      <c r="H969" s="13" t="s">
        <v>2209</v>
      </c>
      <c r="I969" s="13" t="str">
        <f t="shared" si="30"/>
        <v>SR 5/ US 1 ( to )</v>
      </c>
      <c r="J969" s="11" t="s">
        <v>347</v>
      </c>
      <c r="K969" s="13" t="str">
        <f>VLOOKUP(J969,'Data-ProjectTypes'!A$3:B$13,2,FALSE)</f>
        <v>Project</v>
      </c>
      <c r="L969" s="11" t="s">
        <v>404</v>
      </c>
      <c r="M969" s="11"/>
      <c r="N969" s="11"/>
      <c r="O969" s="11" t="s">
        <v>409</v>
      </c>
      <c r="P969" s="11" t="s">
        <v>409</v>
      </c>
      <c r="Q969" s="15"/>
      <c r="R969" s="23">
        <v>71960000</v>
      </c>
      <c r="S969" s="11"/>
      <c r="T969" s="11"/>
      <c r="U969" s="11"/>
      <c r="V969" s="11"/>
      <c r="W969" s="11"/>
      <c r="X969" s="11"/>
      <c r="Y969" s="17"/>
      <c r="Z969" s="18">
        <f>ROUND(R969*'Data-CostAssumptions'!$C$8,-3)</f>
        <v>71960000</v>
      </c>
      <c r="AA969" s="11">
        <f t="shared" si="31"/>
        <v>0</v>
      </c>
      <c r="AB969" s="11">
        <v>2041</v>
      </c>
      <c r="AC969" s="11">
        <v>2041</v>
      </c>
      <c r="AD969" s="11">
        <v>2041</v>
      </c>
      <c r="AE969" s="11">
        <v>2041</v>
      </c>
      <c r="AF969" s="11">
        <v>0</v>
      </c>
      <c r="AG969" s="19">
        <f>ROUND((Z969*'Data-CostAssumptions'!$G$5)*(1+'Data-CostAssumptions'!$G$3)^(AC969-'Data-CostAssumptions'!$G$4),-3)</f>
        <v>40590000</v>
      </c>
      <c r="AH969" s="19">
        <f>ROUND((Z969)*(1+'Data-CostAssumptions'!$G$3)^(AE969-'Data-CostAssumptions'!$G$4),-3)</f>
        <v>184502000</v>
      </c>
    </row>
    <row r="970" spans="1:34" ht="15" customHeight="1" x14ac:dyDescent="0.2">
      <c r="A970" s="11"/>
      <c r="B970" s="11" t="s">
        <v>1211</v>
      </c>
      <c r="C970" s="13">
        <v>10046</v>
      </c>
      <c r="D970" s="13" t="s">
        <v>420</v>
      </c>
      <c r="E970" s="20" t="s">
        <v>298</v>
      </c>
      <c r="F970" s="20">
        <v>142</v>
      </c>
      <c r="G970" s="20">
        <v>969</v>
      </c>
      <c r="H970" s="13" t="s">
        <v>1424</v>
      </c>
      <c r="I970" s="13" t="str">
        <f t="shared" si="30"/>
        <v>SR 5/US 1 (@  FLL Airport)</v>
      </c>
      <c r="J970" s="13" t="s">
        <v>347</v>
      </c>
      <c r="K970" s="13" t="str">
        <f>VLOOKUP(J970,'Data-ProjectTypes'!A$3:B$13,2,FALSE)</f>
        <v>Project</v>
      </c>
      <c r="L970" s="21" t="s">
        <v>85</v>
      </c>
      <c r="M970" s="13" t="s">
        <v>2835</v>
      </c>
      <c r="N970" s="13" t="s">
        <v>2851</v>
      </c>
      <c r="O970" s="13" t="s">
        <v>365</v>
      </c>
      <c r="P970" s="13" t="s">
        <v>365</v>
      </c>
      <c r="Q970" s="22"/>
      <c r="R970" s="23">
        <v>9426949.8170891684</v>
      </c>
      <c r="S970" s="21"/>
      <c r="T970" s="21"/>
      <c r="U970" s="21"/>
      <c r="V970" s="24"/>
      <c r="W970" s="24"/>
      <c r="X970" s="24"/>
      <c r="Y970" s="17"/>
      <c r="Z970" s="18">
        <f>ROUND(R970*'Data-CostAssumptions'!$C$8,-3)</f>
        <v>9427000</v>
      </c>
      <c r="AA970" s="11">
        <f t="shared" si="31"/>
        <v>0</v>
      </c>
      <c r="AB970" s="11">
        <v>2041</v>
      </c>
      <c r="AC970" s="11">
        <v>2041</v>
      </c>
      <c r="AD970" s="11">
        <v>2041</v>
      </c>
      <c r="AE970" s="11">
        <v>2041</v>
      </c>
      <c r="AF970" s="11">
        <v>0</v>
      </c>
      <c r="AG970" s="19">
        <f>ROUND((Z970*'Data-CostAssumptions'!$G$5)*(1+'Data-CostAssumptions'!$G$3)^(AC970-'Data-CostAssumptions'!$G$4),-3)</f>
        <v>5317000</v>
      </c>
      <c r="AH970" s="19">
        <f>ROUND((Z970)*(1+'Data-CostAssumptions'!$G$3)^(AE970-'Data-CostAssumptions'!$G$4),-3)</f>
        <v>24170000</v>
      </c>
    </row>
    <row r="971" spans="1:34" ht="15" customHeight="1" x14ac:dyDescent="0.2">
      <c r="A971" s="11"/>
      <c r="B971" s="11" t="s">
        <v>1211</v>
      </c>
      <c r="C971" s="13">
        <v>10005</v>
      </c>
      <c r="D971" s="13" t="s">
        <v>420</v>
      </c>
      <c r="E971" s="20" t="s">
        <v>298</v>
      </c>
      <c r="F971" s="20">
        <v>137</v>
      </c>
      <c r="G971" s="20">
        <v>970</v>
      </c>
      <c r="H971" s="13" t="s">
        <v>57</v>
      </c>
      <c r="I971" s="13" t="str">
        <f t="shared" si="30"/>
        <v>SR 7/US 441 ( to )</v>
      </c>
      <c r="J971" s="13" t="s">
        <v>347</v>
      </c>
      <c r="K971" s="13" t="str">
        <f>VLOOKUP(J971,'Data-ProjectTypes'!A$3:B$13,2,FALSE)</f>
        <v>Project</v>
      </c>
      <c r="L971" s="21" t="s">
        <v>405</v>
      </c>
      <c r="M971" s="13"/>
      <c r="N971" s="13"/>
      <c r="O971" s="13" t="s">
        <v>365</v>
      </c>
      <c r="P971" s="13" t="s">
        <v>365</v>
      </c>
      <c r="Q971" s="22">
        <v>24.9</v>
      </c>
      <c r="R971" s="23">
        <v>446553299.08849704</v>
      </c>
      <c r="S971" s="21" t="s">
        <v>24</v>
      </c>
      <c r="T971" s="21"/>
      <c r="U971" s="21"/>
      <c r="V971" s="24"/>
      <c r="W971" s="24"/>
      <c r="X971" s="24" t="s">
        <v>475</v>
      </c>
      <c r="Y971" s="17" t="s">
        <v>693</v>
      </c>
      <c r="Z971" s="18">
        <f>ROUND(R971*'Data-CostAssumptions'!$C$8,-3)</f>
        <v>446553000</v>
      </c>
      <c r="AA971" s="11">
        <f t="shared" si="31"/>
        <v>0</v>
      </c>
      <c r="AB971" s="11">
        <v>2041</v>
      </c>
      <c r="AC971" s="11">
        <v>2041</v>
      </c>
      <c r="AD971" s="11">
        <v>2041</v>
      </c>
      <c r="AE971" s="11">
        <v>2041</v>
      </c>
      <c r="AF971" s="11">
        <v>0</v>
      </c>
      <c r="AG971" s="19">
        <f>ROUND((Z971*'Data-CostAssumptions'!$G$5)*(1+'Data-CostAssumptions'!$G$3)^(AC971-'Data-CostAssumptions'!$G$4),-3)</f>
        <v>251887000</v>
      </c>
      <c r="AH971" s="19">
        <f>ROUND((Z971)*(1+'Data-CostAssumptions'!$G$3)^(AE971-'Data-CostAssumptions'!$G$4),-3)</f>
        <v>1144939000</v>
      </c>
    </row>
    <row r="972" spans="1:34" ht="15" customHeight="1" x14ac:dyDescent="0.2">
      <c r="A972" s="11"/>
      <c r="B972" s="11" t="s">
        <v>1211</v>
      </c>
      <c r="C972" s="13">
        <v>10029</v>
      </c>
      <c r="D972" s="13" t="s">
        <v>420</v>
      </c>
      <c r="E972" s="20" t="s">
        <v>298</v>
      </c>
      <c r="F972" s="20">
        <v>141</v>
      </c>
      <c r="G972" s="20">
        <v>971</v>
      </c>
      <c r="H972" s="13" t="s">
        <v>57</v>
      </c>
      <c r="I972" s="13" t="str">
        <f t="shared" si="30"/>
        <v>SR 7/US 441 (@  I-595)</v>
      </c>
      <c r="J972" s="13" t="s">
        <v>347</v>
      </c>
      <c r="K972" s="13" t="str">
        <f>VLOOKUP(J972,'Data-ProjectTypes'!A$3:B$13,2,FALSE)</f>
        <v>Project</v>
      </c>
      <c r="L972" s="21" t="s">
        <v>85</v>
      </c>
      <c r="M972" s="13" t="s">
        <v>2835</v>
      </c>
      <c r="N972" s="13" t="s">
        <v>34</v>
      </c>
      <c r="O972" s="13" t="s">
        <v>365</v>
      </c>
      <c r="P972" s="13" t="s">
        <v>365</v>
      </c>
      <c r="Q972" s="22"/>
      <c r="R972" s="23">
        <v>9426949.8170891684</v>
      </c>
      <c r="S972" s="21" t="s">
        <v>350</v>
      </c>
      <c r="T972" s="21"/>
      <c r="U972" s="21"/>
      <c r="V972" s="24"/>
      <c r="W972" s="24"/>
      <c r="X972" s="24" t="s">
        <v>477</v>
      </c>
      <c r="Y972" s="17" t="s">
        <v>469</v>
      </c>
      <c r="Z972" s="18">
        <f>ROUND(R972*'Data-CostAssumptions'!$C$8,-3)</f>
        <v>9427000</v>
      </c>
      <c r="AA972" s="11">
        <f t="shared" si="31"/>
        <v>0</v>
      </c>
      <c r="AB972" s="11">
        <v>2041</v>
      </c>
      <c r="AC972" s="11">
        <v>2041</v>
      </c>
      <c r="AD972" s="11">
        <v>2041</v>
      </c>
      <c r="AE972" s="11">
        <v>2041</v>
      </c>
      <c r="AF972" s="11">
        <v>0</v>
      </c>
      <c r="AG972" s="19">
        <f>ROUND((Z972*'Data-CostAssumptions'!$G$5)*(1+'Data-CostAssumptions'!$G$3)^(AC972-'Data-CostAssumptions'!$G$4),-3)</f>
        <v>5317000</v>
      </c>
      <c r="AH972" s="19">
        <f>ROUND((Z972)*(1+'Data-CostAssumptions'!$G$3)^(AE972-'Data-CostAssumptions'!$G$4),-3)</f>
        <v>24170000</v>
      </c>
    </row>
    <row r="973" spans="1:34" ht="15" customHeight="1" x14ac:dyDescent="0.2">
      <c r="A973" s="11"/>
      <c r="B973" s="11" t="s">
        <v>1211</v>
      </c>
      <c r="C973" s="13">
        <v>10091</v>
      </c>
      <c r="D973" s="13" t="s">
        <v>420</v>
      </c>
      <c r="E973" s="20" t="s">
        <v>298</v>
      </c>
      <c r="F973" s="20">
        <v>145</v>
      </c>
      <c r="G973" s="20">
        <v>972</v>
      </c>
      <c r="H973" s="13" t="s">
        <v>2725</v>
      </c>
      <c r="I973" s="13" t="str">
        <f t="shared" si="30"/>
        <v>SR 7/US 441 &amp; Hillsboro Bl (@  Hillsboro Bl)</v>
      </c>
      <c r="J973" s="13" t="s">
        <v>347</v>
      </c>
      <c r="K973" s="13" t="str">
        <f>VLOOKUP(J973,'Data-ProjectTypes'!A$3:B$13,2,FALSE)</f>
        <v>Project</v>
      </c>
      <c r="L973" s="21" t="s">
        <v>77</v>
      </c>
      <c r="M973" s="13" t="s">
        <v>2835</v>
      </c>
      <c r="N973" s="13" t="s">
        <v>1819</v>
      </c>
      <c r="O973" s="13" t="s">
        <v>365</v>
      </c>
      <c r="P973" s="13" t="s">
        <v>365</v>
      </c>
      <c r="Q973" s="22"/>
      <c r="R973" s="23">
        <v>718159.31568382459</v>
      </c>
      <c r="S973" s="21"/>
      <c r="T973" s="21"/>
      <c r="U973" s="21"/>
      <c r="V973" s="24"/>
      <c r="W973" s="24"/>
      <c r="X973" s="24"/>
      <c r="Y973" s="17"/>
      <c r="Z973" s="18">
        <f>ROUND(R973*'Data-CostAssumptions'!$C$8,-3)</f>
        <v>718000</v>
      </c>
      <c r="AA973" s="11">
        <f t="shared" si="31"/>
        <v>0</v>
      </c>
      <c r="AB973" s="11">
        <v>2041</v>
      </c>
      <c r="AC973" s="11">
        <v>2041</v>
      </c>
      <c r="AD973" s="11">
        <v>2041</v>
      </c>
      <c r="AE973" s="11">
        <v>2041</v>
      </c>
      <c r="AF973" s="11">
        <v>0</v>
      </c>
      <c r="AG973" s="19">
        <f>ROUND((Z973*'Data-CostAssumptions'!$G$5)*(1+'Data-CostAssumptions'!$G$3)^(AC973-'Data-CostAssumptions'!$G$4),-3)</f>
        <v>405000</v>
      </c>
      <c r="AH973" s="19">
        <f>ROUND((Z973)*(1+'Data-CostAssumptions'!$G$3)^(AE973-'Data-CostAssumptions'!$G$4),-3)</f>
        <v>1841000</v>
      </c>
    </row>
    <row r="974" spans="1:34" ht="15" customHeight="1" x14ac:dyDescent="0.2">
      <c r="A974" s="11"/>
      <c r="B974" s="11" t="s">
        <v>1211</v>
      </c>
      <c r="C974" s="13">
        <v>10085</v>
      </c>
      <c r="D974" s="13" t="s">
        <v>420</v>
      </c>
      <c r="E974" s="20" t="s">
        <v>298</v>
      </c>
      <c r="F974" s="20">
        <v>145</v>
      </c>
      <c r="G974" s="20">
        <v>973</v>
      </c>
      <c r="H974" s="13" t="s">
        <v>2913</v>
      </c>
      <c r="I974" s="13" t="str">
        <f t="shared" si="30"/>
        <v>SR 810/Hillsboro Bl (@  SR 845/Powerline Rd)</v>
      </c>
      <c r="J974" s="13" t="s">
        <v>347</v>
      </c>
      <c r="K974" s="13" t="str">
        <f>VLOOKUP(J974,'Data-ProjectTypes'!A$3:B$13,2,FALSE)</f>
        <v>Project</v>
      </c>
      <c r="L974" s="21" t="s">
        <v>77</v>
      </c>
      <c r="M974" s="13" t="s">
        <v>2835</v>
      </c>
      <c r="N974" s="13" t="s">
        <v>2799</v>
      </c>
      <c r="O974" s="13" t="s">
        <v>365</v>
      </c>
      <c r="P974" s="13" t="s">
        <v>365</v>
      </c>
      <c r="Q974" s="22"/>
      <c r="R974" s="23">
        <v>718159.31568382459</v>
      </c>
      <c r="S974" s="21"/>
      <c r="T974" s="21"/>
      <c r="U974" s="21"/>
      <c r="V974" s="24"/>
      <c r="W974" s="24" t="s">
        <v>491</v>
      </c>
      <c r="X974" s="24"/>
      <c r="Y974" s="17" t="s">
        <v>492</v>
      </c>
      <c r="Z974" s="18">
        <f>ROUND(R974*'Data-CostAssumptions'!$C$8,-3)</f>
        <v>718000</v>
      </c>
      <c r="AA974" s="11">
        <f t="shared" si="31"/>
        <v>1</v>
      </c>
      <c r="AB974" s="11">
        <v>2041</v>
      </c>
      <c r="AC974" s="11">
        <v>2041</v>
      </c>
      <c r="AD974" s="11">
        <v>2041</v>
      </c>
      <c r="AE974" s="11">
        <v>2041</v>
      </c>
      <c r="AF974" s="11">
        <v>0</v>
      </c>
      <c r="AG974" s="19">
        <f>ROUND((Z974*'Data-CostAssumptions'!$G$5)*(1+'Data-CostAssumptions'!$G$3)^(AC974-'Data-CostAssumptions'!$G$4),-3)</f>
        <v>405000</v>
      </c>
      <c r="AH974" s="19">
        <f>ROUND((Z974)*(1+'Data-CostAssumptions'!$G$3)^(AE974-'Data-CostAssumptions'!$G$4),-3)</f>
        <v>1841000</v>
      </c>
    </row>
    <row r="975" spans="1:34" ht="15" customHeight="1" x14ac:dyDescent="0.2">
      <c r="A975" s="11"/>
      <c r="B975" s="11" t="s">
        <v>1211</v>
      </c>
      <c r="C975" s="13">
        <v>10073</v>
      </c>
      <c r="D975" s="13" t="s">
        <v>420</v>
      </c>
      <c r="E975" s="20" t="s">
        <v>298</v>
      </c>
      <c r="F975" s="20">
        <v>144</v>
      </c>
      <c r="G975" s="20">
        <v>974</v>
      </c>
      <c r="H975" s="13" t="s">
        <v>2816</v>
      </c>
      <c r="I975" s="13" t="str">
        <f t="shared" si="30"/>
        <v>SR 810/Hillsboro Bl &amp; SR A1A (@  SR A1A)</v>
      </c>
      <c r="J975" s="13" t="s">
        <v>347</v>
      </c>
      <c r="K975" s="13" t="str">
        <f>VLOOKUP(J975,'Data-ProjectTypes'!A$3:B$13,2,FALSE)</f>
        <v>Project</v>
      </c>
      <c r="L975" s="21" t="s">
        <v>77</v>
      </c>
      <c r="M975" s="13" t="s">
        <v>2835</v>
      </c>
      <c r="N975" s="13" t="s">
        <v>110</v>
      </c>
      <c r="O975" s="13" t="s">
        <v>365</v>
      </c>
      <c r="P975" s="13" t="s">
        <v>365</v>
      </c>
      <c r="Q975" s="22"/>
      <c r="R975" s="23">
        <v>718159.31568382459</v>
      </c>
      <c r="S975" s="21"/>
      <c r="T975" s="21"/>
      <c r="U975" s="21"/>
      <c r="V975" s="24"/>
      <c r="W975" s="24" t="s">
        <v>491</v>
      </c>
      <c r="X975" s="24"/>
      <c r="Y975" s="17" t="s">
        <v>492</v>
      </c>
      <c r="Z975" s="18">
        <f>ROUND(R975*'Data-CostAssumptions'!$C$8,-3)</f>
        <v>718000</v>
      </c>
      <c r="AA975" s="11">
        <f t="shared" si="31"/>
        <v>1</v>
      </c>
      <c r="AB975" s="11">
        <v>2041</v>
      </c>
      <c r="AC975" s="11">
        <v>2041</v>
      </c>
      <c r="AD975" s="11">
        <v>2041</v>
      </c>
      <c r="AE975" s="11">
        <v>2041</v>
      </c>
      <c r="AF975" s="11">
        <v>0</v>
      </c>
      <c r="AG975" s="19">
        <f>ROUND((Z975*'Data-CostAssumptions'!$G$5)*(1+'Data-CostAssumptions'!$G$3)^(AC975-'Data-CostAssumptions'!$G$4),-3)</f>
        <v>405000</v>
      </c>
      <c r="AH975" s="19">
        <f>ROUND((Z975)*(1+'Data-CostAssumptions'!$G$3)^(AE975-'Data-CostAssumptions'!$G$4),-3)</f>
        <v>1841000</v>
      </c>
    </row>
    <row r="976" spans="1:34" ht="15" customHeight="1" x14ac:dyDescent="0.2">
      <c r="A976" s="11"/>
      <c r="B976" s="11" t="s">
        <v>1211</v>
      </c>
      <c r="C976" s="13">
        <v>10024</v>
      </c>
      <c r="D976" s="13" t="s">
        <v>420</v>
      </c>
      <c r="E976" s="20" t="s">
        <v>298</v>
      </c>
      <c r="F976" s="20">
        <v>141</v>
      </c>
      <c r="G976" s="20">
        <v>975</v>
      </c>
      <c r="H976" s="13" t="s">
        <v>2779</v>
      </c>
      <c r="I976" s="13" t="str">
        <f t="shared" si="30"/>
        <v>SR 814/Atlantic Bl &amp; Dixie Hwy (@  Dixie Hwy)</v>
      </c>
      <c r="J976" s="13" t="s">
        <v>347</v>
      </c>
      <c r="K976" s="13" t="str">
        <f>VLOOKUP(J976,'Data-ProjectTypes'!A$3:B$13,2,FALSE)</f>
        <v>Project</v>
      </c>
      <c r="L976" s="21" t="s">
        <v>77</v>
      </c>
      <c r="M976" s="13" t="s">
        <v>2835</v>
      </c>
      <c r="N976" s="13" t="s">
        <v>728</v>
      </c>
      <c r="O976" s="13" t="s">
        <v>365</v>
      </c>
      <c r="P976" s="13" t="s">
        <v>365</v>
      </c>
      <c r="Q976" s="22"/>
      <c r="R976" s="23">
        <v>718159.31568382459</v>
      </c>
      <c r="S976" s="21"/>
      <c r="T976" s="21"/>
      <c r="U976" s="21"/>
      <c r="V976" s="24"/>
      <c r="W976" s="24"/>
      <c r="X976" s="24"/>
      <c r="Y976" s="17"/>
      <c r="Z976" s="18">
        <f>ROUND(R976*'Data-CostAssumptions'!$C$8,-3)</f>
        <v>718000</v>
      </c>
      <c r="AA976" s="11">
        <f t="shared" si="31"/>
        <v>0</v>
      </c>
      <c r="AB976" s="11">
        <v>2041</v>
      </c>
      <c r="AC976" s="11">
        <v>2041</v>
      </c>
      <c r="AD976" s="11">
        <v>2041</v>
      </c>
      <c r="AE976" s="11">
        <v>2041</v>
      </c>
      <c r="AF976" s="11">
        <v>0</v>
      </c>
      <c r="AG976" s="19">
        <f>ROUND((Z976*'Data-CostAssumptions'!$G$5)*(1+'Data-CostAssumptions'!$G$3)^(AC976-'Data-CostAssumptions'!$G$4),-3)</f>
        <v>405000</v>
      </c>
      <c r="AH976" s="19">
        <f>ROUND((Z976)*(1+'Data-CostAssumptions'!$G$3)^(AE976-'Data-CostAssumptions'!$G$4),-3)</f>
        <v>1841000</v>
      </c>
    </row>
    <row r="977" spans="1:34" ht="15" customHeight="1" x14ac:dyDescent="0.2">
      <c r="A977" s="11"/>
      <c r="B977" s="11" t="s">
        <v>1211</v>
      </c>
      <c r="C977" s="13">
        <v>10040</v>
      </c>
      <c r="D977" s="13" t="s">
        <v>420</v>
      </c>
      <c r="E977" s="20" t="s">
        <v>298</v>
      </c>
      <c r="F977" s="20">
        <v>142</v>
      </c>
      <c r="G977" s="20">
        <v>976</v>
      </c>
      <c r="H977" s="13" t="s">
        <v>2780</v>
      </c>
      <c r="I977" s="13" t="str">
        <f t="shared" si="30"/>
        <v>SR 814/Atlantic Bl &amp; SR 7/US 441 (@  SR 7/US 441)</v>
      </c>
      <c r="J977" s="13" t="s">
        <v>347</v>
      </c>
      <c r="K977" s="13" t="str">
        <f>VLOOKUP(J977,'Data-ProjectTypes'!A$3:B$13,2,FALSE)</f>
        <v>Project</v>
      </c>
      <c r="L977" s="21" t="s">
        <v>77</v>
      </c>
      <c r="M977" s="13" t="s">
        <v>2835</v>
      </c>
      <c r="N977" s="13" t="s">
        <v>57</v>
      </c>
      <c r="O977" s="13" t="s">
        <v>365</v>
      </c>
      <c r="P977" s="13" t="s">
        <v>365</v>
      </c>
      <c r="Q977" s="22"/>
      <c r="R977" s="23">
        <v>718159.31568382459</v>
      </c>
      <c r="S977" s="21" t="s">
        <v>350</v>
      </c>
      <c r="T977" s="21"/>
      <c r="U977" s="21"/>
      <c r="V977" s="24"/>
      <c r="W977" s="24"/>
      <c r="X977" s="31" t="s">
        <v>754</v>
      </c>
      <c r="Y977" s="17" t="s">
        <v>735</v>
      </c>
      <c r="Z977" s="18">
        <f>ROUND(R977*'Data-CostAssumptions'!$C$8,-3)</f>
        <v>718000</v>
      </c>
      <c r="AA977" s="11">
        <f t="shared" si="31"/>
        <v>0</v>
      </c>
      <c r="AB977" s="11">
        <v>2041</v>
      </c>
      <c r="AC977" s="11">
        <v>2041</v>
      </c>
      <c r="AD977" s="11">
        <v>2041</v>
      </c>
      <c r="AE977" s="11">
        <v>2041</v>
      </c>
      <c r="AF977" s="11">
        <v>0</v>
      </c>
      <c r="AG977" s="19">
        <f>ROUND((Z977*'Data-CostAssumptions'!$G$5)*(1+'Data-CostAssumptions'!$G$3)^(AC977-'Data-CostAssumptions'!$G$4),-3)</f>
        <v>405000</v>
      </c>
      <c r="AH977" s="19">
        <f>ROUND((Z977)*(1+'Data-CostAssumptions'!$G$3)^(AE977-'Data-CostAssumptions'!$G$4),-3)</f>
        <v>1841000</v>
      </c>
    </row>
    <row r="978" spans="1:34" ht="15" customHeight="1" x14ac:dyDescent="0.2">
      <c r="A978" s="11"/>
      <c r="B978" s="11" t="s">
        <v>1211</v>
      </c>
      <c r="C978" s="13">
        <v>10083</v>
      </c>
      <c r="D978" s="13" t="s">
        <v>420</v>
      </c>
      <c r="E978" s="20" t="s">
        <v>298</v>
      </c>
      <c r="F978" s="20">
        <v>145</v>
      </c>
      <c r="G978" s="20">
        <v>977</v>
      </c>
      <c r="H978" s="13" t="s">
        <v>2781</v>
      </c>
      <c r="I978" s="13" t="str">
        <f t="shared" si="30"/>
        <v>SR 814/Atlantic Bl &amp; SR 817 /University Dr (@  SR 817/University Dr)</v>
      </c>
      <c r="J978" s="13" t="s">
        <v>347</v>
      </c>
      <c r="K978" s="13" t="str">
        <f>VLOOKUP(J978,'Data-ProjectTypes'!A$3:B$13,2,FALSE)</f>
        <v>Project</v>
      </c>
      <c r="L978" s="21" t="s">
        <v>77</v>
      </c>
      <c r="M978" s="13" t="s">
        <v>2835</v>
      </c>
      <c r="N978" s="13" t="s">
        <v>2709</v>
      </c>
      <c r="O978" s="13" t="s">
        <v>365</v>
      </c>
      <c r="P978" s="13" t="s">
        <v>365</v>
      </c>
      <c r="Q978" s="22"/>
      <c r="R978" s="23">
        <v>718159.31568382459</v>
      </c>
      <c r="S978" s="21" t="s">
        <v>24</v>
      </c>
      <c r="T978" s="21"/>
      <c r="U978" s="21"/>
      <c r="V978" s="24"/>
      <c r="W978" s="24"/>
      <c r="X978" s="24"/>
      <c r="Y978" s="17" t="s">
        <v>460</v>
      </c>
      <c r="Z978" s="18">
        <f>ROUND(R978*'Data-CostAssumptions'!$C$8,-3)</f>
        <v>718000</v>
      </c>
      <c r="AA978" s="11">
        <f t="shared" si="31"/>
        <v>0</v>
      </c>
      <c r="AB978" s="11">
        <v>2041</v>
      </c>
      <c r="AC978" s="11">
        <v>2041</v>
      </c>
      <c r="AD978" s="11">
        <v>2041</v>
      </c>
      <c r="AE978" s="11">
        <v>2041</v>
      </c>
      <c r="AF978" s="11">
        <v>0</v>
      </c>
      <c r="AG978" s="19">
        <f>ROUND((Z978*'Data-CostAssumptions'!$G$5)*(1+'Data-CostAssumptions'!$G$3)^(AC978-'Data-CostAssumptions'!$G$4),-3)</f>
        <v>405000</v>
      </c>
      <c r="AH978" s="19">
        <f>ROUND((Z978)*(1+'Data-CostAssumptions'!$G$3)^(AE978-'Data-CostAssumptions'!$G$4),-3)</f>
        <v>1841000</v>
      </c>
    </row>
    <row r="979" spans="1:34" ht="15" customHeight="1" x14ac:dyDescent="0.2">
      <c r="A979" s="11"/>
      <c r="B979" s="11" t="s">
        <v>1211</v>
      </c>
      <c r="C979" s="13">
        <v>10039</v>
      </c>
      <c r="D979" s="13" t="s">
        <v>420</v>
      </c>
      <c r="E979" s="20" t="s">
        <v>298</v>
      </c>
      <c r="F979" s="20">
        <v>142</v>
      </c>
      <c r="G979" s="20">
        <v>978</v>
      </c>
      <c r="H979" s="13" t="s">
        <v>2782</v>
      </c>
      <c r="I979" s="13" t="str">
        <f t="shared" si="30"/>
        <v>SR 814/Atlantic Bl &amp; SR 845/Powerline Rd (@  SR 845/Powerline Rd)</v>
      </c>
      <c r="J979" s="13" t="s">
        <v>347</v>
      </c>
      <c r="K979" s="13" t="str">
        <f>VLOOKUP(J979,'Data-ProjectTypes'!A$3:B$13,2,FALSE)</f>
        <v>Project</v>
      </c>
      <c r="L979" s="21" t="s">
        <v>77</v>
      </c>
      <c r="M979" s="13" t="s">
        <v>2835</v>
      </c>
      <c r="N979" s="13" t="s">
        <v>2799</v>
      </c>
      <c r="O979" s="13" t="s">
        <v>365</v>
      </c>
      <c r="P979" s="13" t="s">
        <v>365</v>
      </c>
      <c r="Q979" s="22"/>
      <c r="R979" s="23">
        <v>718159.31568382459</v>
      </c>
      <c r="S979" s="21"/>
      <c r="T979" s="21"/>
      <c r="U979" s="21"/>
      <c r="V979" s="24"/>
      <c r="W979" s="24"/>
      <c r="X979" s="24"/>
      <c r="Y979" s="17"/>
      <c r="Z979" s="18">
        <f>ROUND(R979*'Data-CostAssumptions'!$C$8,-3)</f>
        <v>718000</v>
      </c>
      <c r="AA979" s="11">
        <f t="shared" si="31"/>
        <v>0</v>
      </c>
      <c r="AB979" s="11">
        <v>2041</v>
      </c>
      <c r="AC979" s="11">
        <v>2041</v>
      </c>
      <c r="AD979" s="11">
        <v>2041</v>
      </c>
      <c r="AE979" s="11">
        <v>2041</v>
      </c>
      <c r="AF979" s="11">
        <v>0</v>
      </c>
      <c r="AG979" s="19">
        <f>ROUND((Z979*'Data-CostAssumptions'!$G$5)*(1+'Data-CostAssumptions'!$G$3)^(AC979-'Data-CostAssumptions'!$G$4),-3)</f>
        <v>405000</v>
      </c>
      <c r="AH979" s="19">
        <f>ROUND((Z979)*(1+'Data-CostAssumptions'!$G$3)^(AE979-'Data-CostAssumptions'!$G$4),-3)</f>
        <v>1841000</v>
      </c>
    </row>
    <row r="980" spans="1:34" ht="15" customHeight="1" x14ac:dyDescent="0.2">
      <c r="A980" s="11"/>
      <c r="B980" s="11" t="s">
        <v>1211</v>
      </c>
      <c r="C980" s="13">
        <v>10004</v>
      </c>
      <c r="D980" s="13" t="s">
        <v>420</v>
      </c>
      <c r="E980" s="20" t="s">
        <v>298</v>
      </c>
      <c r="F980" s="20">
        <v>141</v>
      </c>
      <c r="G980" s="20">
        <v>979</v>
      </c>
      <c r="H980" s="13" t="s">
        <v>2910</v>
      </c>
      <c r="I980" s="13" t="str">
        <f t="shared" si="30"/>
        <v>SR 816/Oakland Park (@  Dixie Hwy)</v>
      </c>
      <c r="J980" s="13" t="s">
        <v>347</v>
      </c>
      <c r="K980" s="13" t="str">
        <f>VLOOKUP(J980,'Data-ProjectTypes'!A$3:B$13,2,FALSE)</f>
        <v>Project</v>
      </c>
      <c r="L980" s="21" t="s">
        <v>26</v>
      </c>
      <c r="M980" s="13" t="s">
        <v>2835</v>
      </c>
      <c r="N980" s="13" t="s">
        <v>728</v>
      </c>
      <c r="O980" s="13" t="s">
        <v>365</v>
      </c>
      <c r="P980" s="13" t="s">
        <v>365</v>
      </c>
      <c r="Q980" s="72">
        <v>0</v>
      </c>
      <c r="R980" s="23">
        <v>3056502.3571223663</v>
      </c>
      <c r="S980" s="21"/>
      <c r="T980" s="21"/>
      <c r="U980" s="21"/>
      <c r="V980" s="24"/>
      <c r="W980" s="24" t="s">
        <v>715</v>
      </c>
      <c r="X980" s="24"/>
      <c r="Y980" s="17" t="s">
        <v>538</v>
      </c>
      <c r="Z980" s="18">
        <f>ROUND(R980*'Data-CostAssumptions'!$C$8,-3)</f>
        <v>3057000</v>
      </c>
      <c r="AA980" s="11">
        <f t="shared" si="31"/>
        <v>1</v>
      </c>
      <c r="AB980" s="11">
        <v>2041</v>
      </c>
      <c r="AC980" s="11">
        <v>2041</v>
      </c>
      <c r="AD980" s="11">
        <v>2041</v>
      </c>
      <c r="AE980" s="11">
        <v>2041</v>
      </c>
      <c r="AF980" s="11">
        <v>0</v>
      </c>
      <c r="AG980" s="19">
        <f>ROUND((Z980*'Data-CostAssumptions'!$G$5)*(1+'Data-CostAssumptions'!$G$3)^(AC980-'Data-CostAssumptions'!$G$4),-3)</f>
        <v>1724000</v>
      </c>
      <c r="AH980" s="19">
        <f>ROUND((Z980)*(1+'Data-CostAssumptions'!$G$3)^(AE980-'Data-CostAssumptions'!$G$4),-3)</f>
        <v>7838000</v>
      </c>
    </row>
    <row r="981" spans="1:34" ht="15" customHeight="1" x14ac:dyDescent="0.2">
      <c r="A981" s="11"/>
      <c r="B981" s="11" t="s">
        <v>1211</v>
      </c>
      <c r="C981" s="13">
        <v>10038</v>
      </c>
      <c r="D981" s="13" t="s">
        <v>420</v>
      </c>
      <c r="E981" s="20" t="s">
        <v>298</v>
      </c>
      <c r="F981" s="20">
        <v>142</v>
      </c>
      <c r="G981" s="20">
        <v>980</v>
      </c>
      <c r="H981" s="13" t="s">
        <v>2910</v>
      </c>
      <c r="I981" s="13" t="str">
        <f t="shared" si="30"/>
        <v>SR 816/Oakland Park (@  Andrews Av)</v>
      </c>
      <c r="J981" s="13" t="s">
        <v>347</v>
      </c>
      <c r="K981" s="13" t="str">
        <f>VLOOKUP(J981,'Data-ProjectTypes'!A$3:B$13,2,FALSE)</f>
        <v>Project</v>
      </c>
      <c r="L981" s="21" t="s">
        <v>26</v>
      </c>
      <c r="M981" s="13" t="s">
        <v>2835</v>
      </c>
      <c r="N981" s="13" t="s">
        <v>2014</v>
      </c>
      <c r="O981" s="13" t="s">
        <v>365</v>
      </c>
      <c r="P981" s="13" t="s">
        <v>365</v>
      </c>
      <c r="Q981" s="72">
        <v>0</v>
      </c>
      <c r="R981" s="23">
        <v>3056502.3571223663</v>
      </c>
      <c r="S981" s="21"/>
      <c r="T981" s="21"/>
      <c r="U981" s="21"/>
      <c r="V981" s="24"/>
      <c r="W981" s="24"/>
      <c r="X981" s="24"/>
      <c r="Y981" s="17" t="s">
        <v>846</v>
      </c>
      <c r="Z981" s="18">
        <f>ROUND(R981*'Data-CostAssumptions'!$C$8,-3)</f>
        <v>3057000</v>
      </c>
      <c r="AA981" s="11">
        <f t="shared" si="31"/>
        <v>0</v>
      </c>
      <c r="AB981" s="11">
        <v>2041</v>
      </c>
      <c r="AC981" s="11">
        <v>2041</v>
      </c>
      <c r="AD981" s="11">
        <v>2041</v>
      </c>
      <c r="AE981" s="11">
        <v>2041</v>
      </c>
      <c r="AF981" s="11">
        <v>0</v>
      </c>
      <c r="AG981" s="19">
        <f>ROUND((Z981*'Data-CostAssumptions'!$G$5)*(1+'Data-CostAssumptions'!$G$3)^(AC981-'Data-CostAssumptions'!$G$4),-3)</f>
        <v>1724000</v>
      </c>
      <c r="AH981" s="19">
        <f>ROUND((Z981)*(1+'Data-CostAssumptions'!$G$3)^(AE981-'Data-CostAssumptions'!$G$4),-3)</f>
        <v>7838000</v>
      </c>
    </row>
    <row r="982" spans="1:34" ht="15" customHeight="1" x14ac:dyDescent="0.2">
      <c r="A982" s="11"/>
      <c r="B982" s="11" t="s">
        <v>1211</v>
      </c>
      <c r="C982" s="13">
        <v>10059</v>
      </c>
      <c r="D982" s="13" t="s">
        <v>420</v>
      </c>
      <c r="E982" s="20" t="s">
        <v>298</v>
      </c>
      <c r="F982" s="20">
        <v>143</v>
      </c>
      <c r="G982" s="20">
        <v>981</v>
      </c>
      <c r="H982" s="13" t="s">
        <v>2910</v>
      </c>
      <c r="I982" s="13" t="str">
        <f t="shared" si="30"/>
        <v>SR 816/Oakland Park (@  SR 5/US 1)</v>
      </c>
      <c r="J982" s="13" t="s">
        <v>347</v>
      </c>
      <c r="K982" s="13" t="str">
        <f>VLOOKUP(J982,'Data-ProjectTypes'!A$3:B$13,2,FALSE)</f>
        <v>Project</v>
      </c>
      <c r="L982" s="21" t="s">
        <v>26</v>
      </c>
      <c r="M982" s="13" t="s">
        <v>2835</v>
      </c>
      <c r="N982" s="13" t="s">
        <v>1424</v>
      </c>
      <c r="O982" s="13" t="s">
        <v>365</v>
      </c>
      <c r="P982" s="13" t="s">
        <v>365</v>
      </c>
      <c r="Q982" s="72">
        <v>0</v>
      </c>
      <c r="R982" s="23">
        <v>3056502.3571223663</v>
      </c>
      <c r="S982" s="21"/>
      <c r="T982" s="21"/>
      <c r="U982" s="21"/>
      <c r="V982" s="24"/>
      <c r="W982" s="24"/>
      <c r="X982" s="24"/>
      <c r="Y982" s="17"/>
      <c r="Z982" s="18">
        <f>ROUND(R982*'Data-CostAssumptions'!$C$8,-3)</f>
        <v>3057000</v>
      </c>
      <c r="AA982" s="11">
        <f t="shared" si="31"/>
        <v>0</v>
      </c>
      <c r="AB982" s="11">
        <v>2041</v>
      </c>
      <c r="AC982" s="11">
        <v>2041</v>
      </c>
      <c r="AD982" s="11">
        <v>2041</v>
      </c>
      <c r="AE982" s="11">
        <v>2041</v>
      </c>
      <c r="AF982" s="11">
        <v>0</v>
      </c>
      <c r="AG982" s="19">
        <f>ROUND((Z982*'Data-CostAssumptions'!$G$5)*(1+'Data-CostAssumptions'!$G$3)^(AC982-'Data-CostAssumptions'!$G$4),-3)</f>
        <v>1724000</v>
      </c>
      <c r="AH982" s="19">
        <f>ROUND((Z982)*(1+'Data-CostAssumptions'!$G$3)^(AE982-'Data-CostAssumptions'!$G$4),-3)</f>
        <v>7838000</v>
      </c>
    </row>
    <row r="983" spans="1:34" ht="15" customHeight="1" x14ac:dyDescent="0.2">
      <c r="A983" s="11"/>
      <c r="B983" s="11" t="s">
        <v>1211</v>
      </c>
      <c r="C983" s="13">
        <v>10013</v>
      </c>
      <c r="D983" s="13" t="s">
        <v>420</v>
      </c>
      <c r="E983" s="20" t="s">
        <v>298</v>
      </c>
      <c r="F983" s="20">
        <v>140</v>
      </c>
      <c r="G983" s="20">
        <v>982</v>
      </c>
      <c r="H983" s="13" t="s">
        <v>2710</v>
      </c>
      <c r="I983" s="13" t="str">
        <f t="shared" si="30"/>
        <v>SR 816/Oakland Park Bl (@  SR 7/US 441)</v>
      </c>
      <c r="J983" s="13" t="s">
        <v>347</v>
      </c>
      <c r="K983" s="13" t="str">
        <f>VLOOKUP(J983,'Data-ProjectTypes'!A$3:B$13,2,FALSE)</f>
        <v>Project</v>
      </c>
      <c r="L983" s="21" t="s">
        <v>85</v>
      </c>
      <c r="M983" s="13" t="s">
        <v>2835</v>
      </c>
      <c r="N983" s="13" t="s">
        <v>57</v>
      </c>
      <c r="O983" s="13" t="s">
        <v>365</v>
      </c>
      <c r="P983" s="13" t="s">
        <v>365</v>
      </c>
      <c r="Q983" s="22"/>
      <c r="R983" s="23">
        <v>10325069.532431994</v>
      </c>
      <c r="S983" s="21"/>
      <c r="T983" s="21"/>
      <c r="U983" s="21"/>
      <c r="V983" s="24"/>
      <c r="W983" s="24"/>
      <c r="X983" s="24"/>
      <c r="Y983" s="17"/>
      <c r="Z983" s="18">
        <f>ROUND(R983*'Data-CostAssumptions'!$C$8,-3)</f>
        <v>10325000</v>
      </c>
      <c r="AA983" s="11">
        <f t="shared" si="31"/>
        <v>0</v>
      </c>
      <c r="AB983" s="11">
        <v>2041</v>
      </c>
      <c r="AC983" s="11">
        <v>2041</v>
      </c>
      <c r="AD983" s="11">
        <v>2041</v>
      </c>
      <c r="AE983" s="11">
        <v>2041</v>
      </c>
      <c r="AF983" s="11">
        <v>0</v>
      </c>
      <c r="AG983" s="19">
        <f>ROUND((Z983*'Data-CostAssumptions'!$G$5)*(1+'Data-CostAssumptions'!$G$3)^(AC983-'Data-CostAssumptions'!$G$4),-3)</f>
        <v>5824000</v>
      </c>
      <c r="AH983" s="19">
        <f>ROUND((Z983)*(1+'Data-CostAssumptions'!$G$3)^(AE983-'Data-CostAssumptions'!$G$4),-3)</f>
        <v>26473000</v>
      </c>
    </row>
    <row r="984" spans="1:34" ht="15" customHeight="1" x14ac:dyDescent="0.2">
      <c r="A984" s="11"/>
      <c r="B984" s="11" t="s">
        <v>1211</v>
      </c>
      <c r="C984" s="11">
        <v>10181</v>
      </c>
      <c r="D984" s="13" t="s">
        <v>420</v>
      </c>
      <c r="E984" s="14"/>
      <c r="F984" s="14">
        <v>137</v>
      </c>
      <c r="G984" s="20">
        <v>983</v>
      </c>
      <c r="H984" s="13" t="s">
        <v>2710</v>
      </c>
      <c r="I984" s="13" t="str">
        <f t="shared" si="30"/>
        <v>SR 816/Oakland Park Bl ( to )</v>
      </c>
      <c r="J984" s="11" t="s">
        <v>347</v>
      </c>
      <c r="K984" s="13" t="str">
        <f>VLOOKUP(J984,'Data-ProjectTypes'!A$3:B$13,2,FALSE)</f>
        <v>Project</v>
      </c>
      <c r="L984" s="11" t="s">
        <v>405</v>
      </c>
      <c r="M984" s="11"/>
      <c r="N984" s="11"/>
      <c r="O984" s="13" t="s">
        <v>365</v>
      </c>
      <c r="P984" s="13" t="s">
        <v>365</v>
      </c>
      <c r="Q984" s="15"/>
      <c r="R984" s="16">
        <v>332640000</v>
      </c>
      <c r="S984" s="11"/>
      <c r="T984" s="11"/>
      <c r="U984" s="11"/>
      <c r="V984" s="11"/>
      <c r="W984" s="11"/>
      <c r="X984" s="11"/>
      <c r="Y984" s="17"/>
      <c r="Z984" s="18">
        <f>ROUND(R984*'Data-CostAssumptions'!$C$8,-3)</f>
        <v>332640000</v>
      </c>
      <c r="AA984" s="11">
        <f t="shared" si="31"/>
        <v>0</v>
      </c>
      <c r="AB984" s="11">
        <v>2041</v>
      </c>
      <c r="AC984" s="11">
        <v>2041</v>
      </c>
      <c r="AD984" s="11">
        <v>2041</v>
      </c>
      <c r="AE984" s="11">
        <v>2041</v>
      </c>
      <c r="AF984" s="11">
        <v>0</v>
      </c>
      <c r="AG984" s="19">
        <f>ROUND((Z984*'Data-CostAssumptions'!$G$5)*(1+'Data-CostAssumptions'!$G$3)^(AC984-'Data-CostAssumptions'!$G$4),-3)</f>
        <v>187632000</v>
      </c>
      <c r="AH984" s="19">
        <f>ROUND((Z984)*(1+'Data-CostAssumptions'!$G$3)^(AE984-'Data-CostAssumptions'!$G$4),-3)</f>
        <v>852872000</v>
      </c>
    </row>
    <row r="985" spans="1:34" ht="15" customHeight="1" x14ac:dyDescent="0.2">
      <c r="A985" s="11"/>
      <c r="B985" s="11" t="s">
        <v>1211</v>
      </c>
      <c r="C985" s="11">
        <v>10188</v>
      </c>
      <c r="D985" s="13" t="s">
        <v>420</v>
      </c>
      <c r="E985" s="14"/>
      <c r="F985" s="14">
        <v>137</v>
      </c>
      <c r="G985" s="20">
        <v>984</v>
      </c>
      <c r="H985" s="13" t="s">
        <v>2710</v>
      </c>
      <c r="I985" s="13" t="str">
        <f t="shared" si="30"/>
        <v>SR 816/Oakland Park Bl (University Dr to Sawgrass Mills)</v>
      </c>
      <c r="J985" s="11" t="s">
        <v>347</v>
      </c>
      <c r="K985" s="13" t="str">
        <f>VLOOKUP(J985,'Data-ProjectTypes'!A$3:B$13,2,FALSE)</f>
        <v>Project</v>
      </c>
      <c r="L985" s="11" t="s">
        <v>404</v>
      </c>
      <c r="M985" s="11" t="s">
        <v>1804</v>
      </c>
      <c r="N985" s="11" t="s">
        <v>411</v>
      </c>
      <c r="O985" s="11" t="s">
        <v>409</v>
      </c>
      <c r="P985" s="11" t="s">
        <v>409</v>
      </c>
      <c r="Q985" s="15"/>
      <c r="R985" s="16">
        <v>14715000</v>
      </c>
      <c r="S985" s="11"/>
      <c r="T985" s="11"/>
      <c r="U985" s="11"/>
      <c r="V985" s="11"/>
      <c r="W985" s="11"/>
      <c r="X985" s="11"/>
      <c r="Y985" s="17"/>
      <c r="Z985" s="18">
        <f>ROUND(R985*'Data-CostAssumptions'!$C$8,-3)</f>
        <v>14715000</v>
      </c>
      <c r="AA985" s="11">
        <f t="shared" si="31"/>
        <v>0</v>
      </c>
      <c r="AB985" s="11">
        <v>2041</v>
      </c>
      <c r="AC985" s="11">
        <v>2041</v>
      </c>
      <c r="AD985" s="11">
        <v>2041</v>
      </c>
      <c r="AE985" s="11">
        <v>2041</v>
      </c>
      <c r="AF985" s="11">
        <v>0</v>
      </c>
      <c r="AG985" s="19">
        <f>ROUND((Z985*'Data-CostAssumptions'!$G$5)*(1+'Data-CostAssumptions'!$G$3)^(AC985-'Data-CostAssumptions'!$G$4),-3)</f>
        <v>8300000</v>
      </c>
      <c r="AH985" s="19">
        <f>ROUND((Z985)*(1+'Data-CostAssumptions'!$G$3)^(AE985-'Data-CostAssumptions'!$G$4),-3)</f>
        <v>37729000</v>
      </c>
    </row>
    <row r="986" spans="1:34" ht="15" customHeight="1" x14ac:dyDescent="0.2">
      <c r="A986" s="11"/>
      <c r="B986" s="11" t="s">
        <v>1211</v>
      </c>
      <c r="C986" s="13">
        <v>10088</v>
      </c>
      <c r="D986" s="13" t="s">
        <v>420</v>
      </c>
      <c r="E986" s="20" t="s">
        <v>298</v>
      </c>
      <c r="F986" s="20">
        <v>145</v>
      </c>
      <c r="G986" s="20">
        <v>985</v>
      </c>
      <c r="H986" s="13" t="s">
        <v>2711</v>
      </c>
      <c r="I986" s="13" t="str">
        <f t="shared" si="30"/>
        <v>SR 816/Oakland Park Bl &amp; Hiatus Rd (@  Hiatus Rd)</v>
      </c>
      <c r="J986" s="13" t="s">
        <v>347</v>
      </c>
      <c r="K986" s="13" t="str">
        <f>VLOOKUP(J986,'Data-ProjectTypes'!A$3:B$13,2,FALSE)</f>
        <v>Project</v>
      </c>
      <c r="L986" s="21" t="s">
        <v>77</v>
      </c>
      <c r="M986" s="13" t="s">
        <v>2835</v>
      </c>
      <c r="N986" s="13" t="s">
        <v>1752</v>
      </c>
      <c r="O986" s="13" t="s">
        <v>365</v>
      </c>
      <c r="P986" s="13" t="s">
        <v>365</v>
      </c>
      <c r="Q986" s="22"/>
      <c r="R986" s="23">
        <v>718159.31568382459</v>
      </c>
      <c r="S986" s="21"/>
      <c r="T986" s="21"/>
      <c r="U986" s="21"/>
      <c r="V986" s="24"/>
      <c r="W986" s="24"/>
      <c r="X986" s="24"/>
      <c r="Y986" s="17"/>
      <c r="Z986" s="18">
        <f>ROUND(R986*'Data-CostAssumptions'!$C$8,-3)</f>
        <v>718000</v>
      </c>
      <c r="AA986" s="11">
        <f t="shared" si="31"/>
        <v>0</v>
      </c>
      <c r="AB986" s="11">
        <v>2041</v>
      </c>
      <c r="AC986" s="11">
        <v>2041</v>
      </c>
      <c r="AD986" s="11">
        <v>2041</v>
      </c>
      <c r="AE986" s="11">
        <v>2041</v>
      </c>
      <c r="AF986" s="11">
        <v>0</v>
      </c>
      <c r="AG986" s="19">
        <f>ROUND((Z986*'Data-CostAssumptions'!$G$5)*(1+'Data-CostAssumptions'!$G$3)^(AC986-'Data-CostAssumptions'!$G$4),-3)</f>
        <v>405000</v>
      </c>
      <c r="AH986" s="19">
        <f>ROUND((Z986)*(1+'Data-CostAssumptions'!$G$3)^(AE986-'Data-CostAssumptions'!$G$4),-3)</f>
        <v>1841000</v>
      </c>
    </row>
    <row r="987" spans="1:34" ht="15" customHeight="1" x14ac:dyDescent="0.2">
      <c r="A987" s="11"/>
      <c r="B987" s="11" t="s">
        <v>1211</v>
      </c>
      <c r="C987" s="13">
        <v>10032</v>
      </c>
      <c r="D987" s="13" t="s">
        <v>420</v>
      </c>
      <c r="E987" s="20" t="s">
        <v>298</v>
      </c>
      <c r="F987" s="20">
        <v>141</v>
      </c>
      <c r="G987" s="20">
        <v>986</v>
      </c>
      <c r="H987" s="13" t="s">
        <v>2712</v>
      </c>
      <c r="I987" s="13" t="str">
        <f t="shared" si="30"/>
        <v>SR 816/Oakland Park Bl &amp; NW 31st Av (@  NW 31st Av)</v>
      </c>
      <c r="J987" s="13" t="s">
        <v>347</v>
      </c>
      <c r="K987" s="13" t="str">
        <f>VLOOKUP(J987,'Data-ProjectTypes'!A$3:B$13,2,FALSE)</f>
        <v>Project</v>
      </c>
      <c r="L987" s="21" t="s">
        <v>77</v>
      </c>
      <c r="M987" s="13" t="s">
        <v>2835</v>
      </c>
      <c r="N987" s="13" t="s">
        <v>2062</v>
      </c>
      <c r="O987" s="13" t="s">
        <v>365</v>
      </c>
      <c r="P987" s="13" t="s">
        <v>365</v>
      </c>
      <c r="Q987" s="22"/>
      <c r="R987" s="23">
        <v>718159.31568382459</v>
      </c>
      <c r="S987" s="21" t="s">
        <v>350</v>
      </c>
      <c r="T987" s="21"/>
      <c r="U987" s="21"/>
      <c r="V987" s="24"/>
      <c r="W987" s="31" t="s">
        <v>756</v>
      </c>
      <c r="X987" s="31" t="s">
        <v>754</v>
      </c>
      <c r="Y987" s="17" t="s">
        <v>735</v>
      </c>
      <c r="Z987" s="18">
        <f>ROUND(R987*'Data-CostAssumptions'!$C$8,-3)</f>
        <v>718000</v>
      </c>
      <c r="AA987" s="11">
        <f t="shared" si="31"/>
        <v>1</v>
      </c>
      <c r="AB987" s="11">
        <v>2041</v>
      </c>
      <c r="AC987" s="11">
        <v>2041</v>
      </c>
      <c r="AD987" s="11">
        <v>2041</v>
      </c>
      <c r="AE987" s="11">
        <v>2041</v>
      </c>
      <c r="AF987" s="11">
        <v>0</v>
      </c>
      <c r="AG987" s="19">
        <f>ROUND((Z987*'Data-CostAssumptions'!$G$5)*(1+'Data-CostAssumptions'!$G$3)^(AC987-'Data-CostAssumptions'!$G$4),-3)</f>
        <v>405000</v>
      </c>
      <c r="AH987" s="19">
        <f>ROUND((Z987)*(1+'Data-CostAssumptions'!$G$3)^(AE987-'Data-CostAssumptions'!$G$4),-3)</f>
        <v>1841000</v>
      </c>
    </row>
    <row r="988" spans="1:34" ht="15" customHeight="1" x14ac:dyDescent="0.2">
      <c r="A988" s="11"/>
      <c r="B988" s="11" t="s">
        <v>1211</v>
      </c>
      <c r="C988" s="13">
        <v>10089</v>
      </c>
      <c r="D988" s="13" t="s">
        <v>420</v>
      </c>
      <c r="E988" s="20" t="s">
        <v>298</v>
      </c>
      <c r="F988" s="20">
        <v>145</v>
      </c>
      <c r="G988" s="20">
        <v>987</v>
      </c>
      <c r="H988" s="13" t="s">
        <v>2713</v>
      </c>
      <c r="I988" s="13" t="str">
        <f t="shared" si="30"/>
        <v>SR 816/Oakland Park Bl &amp; SR A1A (@  SR A1A)</v>
      </c>
      <c r="J988" s="13" t="s">
        <v>347</v>
      </c>
      <c r="K988" s="13" t="str">
        <f>VLOOKUP(J988,'Data-ProjectTypes'!A$3:B$13,2,FALSE)</f>
        <v>Project</v>
      </c>
      <c r="L988" s="21" t="s">
        <v>77</v>
      </c>
      <c r="M988" s="13" t="s">
        <v>2835</v>
      </c>
      <c r="N988" s="13" t="s">
        <v>110</v>
      </c>
      <c r="O988" s="13" t="s">
        <v>365</v>
      </c>
      <c r="P988" s="13" t="s">
        <v>365</v>
      </c>
      <c r="Q988" s="22"/>
      <c r="R988" s="23">
        <v>718159.31568382459</v>
      </c>
      <c r="S988" s="21"/>
      <c r="T988" s="21"/>
      <c r="U988" s="21"/>
      <c r="V988" s="24"/>
      <c r="W988" s="24"/>
      <c r="X988" s="24"/>
      <c r="Y988" s="17"/>
      <c r="Z988" s="18">
        <f>ROUND(R988*'Data-CostAssumptions'!$C$8,-3)</f>
        <v>718000</v>
      </c>
      <c r="AA988" s="11">
        <f t="shared" si="31"/>
        <v>0</v>
      </c>
      <c r="AB988" s="11">
        <v>2041</v>
      </c>
      <c r="AC988" s="11">
        <v>2041</v>
      </c>
      <c r="AD988" s="11">
        <v>2041</v>
      </c>
      <c r="AE988" s="11">
        <v>2041</v>
      </c>
      <c r="AF988" s="11">
        <v>0</v>
      </c>
      <c r="AG988" s="19">
        <f>ROUND((Z988*'Data-CostAssumptions'!$G$5)*(1+'Data-CostAssumptions'!$G$3)^(AC988-'Data-CostAssumptions'!$G$4),-3)</f>
        <v>405000</v>
      </c>
      <c r="AH988" s="19">
        <f>ROUND((Z988)*(1+'Data-CostAssumptions'!$G$3)^(AE988-'Data-CostAssumptions'!$G$4),-3)</f>
        <v>1841000</v>
      </c>
    </row>
    <row r="989" spans="1:34" ht="15" customHeight="1" x14ac:dyDescent="0.2">
      <c r="A989" s="11"/>
      <c r="B989" s="11" t="s">
        <v>1211</v>
      </c>
      <c r="C989" s="13">
        <v>10063</v>
      </c>
      <c r="D989" s="13" t="s">
        <v>420</v>
      </c>
      <c r="E989" s="20" t="s">
        <v>298</v>
      </c>
      <c r="F989" s="20">
        <v>143</v>
      </c>
      <c r="G989" s="20">
        <v>988</v>
      </c>
      <c r="H989" s="13" t="s">
        <v>2709</v>
      </c>
      <c r="I989" s="13" t="str">
        <f t="shared" si="30"/>
        <v>SR 817/University Dr (@  Sunrise Bl)</v>
      </c>
      <c r="J989" s="13" t="s">
        <v>347</v>
      </c>
      <c r="K989" s="13" t="str">
        <f>VLOOKUP(J989,'Data-ProjectTypes'!A$3:B$13,2,FALSE)</f>
        <v>Project</v>
      </c>
      <c r="L989" s="21" t="s">
        <v>26</v>
      </c>
      <c r="M989" s="13" t="s">
        <v>2835</v>
      </c>
      <c r="N989" s="13" t="s">
        <v>1830</v>
      </c>
      <c r="O989" s="13" t="s">
        <v>365</v>
      </c>
      <c r="P989" s="13" t="s">
        <v>365</v>
      </c>
      <c r="Q989" s="72">
        <v>0</v>
      </c>
      <c r="R989" s="23">
        <v>3056502.3571223663</v>
      </c>
      <c r="S989" s="21"/>
      <c r="T989" s="21"/>
      <c r="U989" s="21"/>
      <c r="V989" s="24"/>
      <c r="W989" s="24"/>
      <c r="X989" s="24"/>
      <c r="Y989" s="17"/>
      <c r="Z989" s="18">
        <f>ROUND(R989*'Data-CostAssumptions'!$C$8,-3)</f>
        <v>3057000</v>
      </c>
      <c r="AA989" s="11">
        <f t="shared" si="31"/>
        <v>0</v>
      </c>
      <c r="AB989" s="11">
        <v>2041</v>
      </c>
      <c r="AC989" s="11">
        <v>2041</v>
      </c>
      <c r="AD989" s="11">
        <v>2041</v>
      </c>
      <c r="AE989" s="11">
        <v>2041</v>
      </c>
      <c r="AF989" s="11">
        <v>0</v>
      </c>
      <c r="AG989" s="19">
        <f>ROUND((Z989*'Data-CostAssumptions'!$G$5)*(1+'Data-CostAssumptions'!$G$3)^(AC989-'Data-CostAssumptions'!$G$4),-3)</f>
        <v>1724000</v>
      </c>
      <c r="AH989" s="19">
        <f>ROUND((Z989)*(1+'Data-CostAssumptions'!$G$3)^(AE989-'Data-CostAssumptions'!$G$4),-3)</f>
        <v>7838000</v>
      </c>
    </row>
    <row r="990" spans="1:34" ht="15" customHeight="1" x14ac:dyDescent="0.2">
      <c r="A990" s="11"/>
      <c r="B990" s="11" t="s">
        <v>1211</v>
      </c>
      <c r="C990" s="13">
        <v>10067</v>
      </c>
      <c r="D990" s="13" t="s">
        <v>420</v>
      </c>
      <c r="E990" s="20" t="s">
        <v>298</v>
      </c>
      <c r="F990" s="20">
        <v>144</v>
      </c>
      <c r="G990" s="20">
        <v>989</v>
      </c>
      <c r="H990" s="13" t="s">
        <v>2709</v>
      </c>
      <c r="I990" s="13" t="str">
        <f t="shared" si="30"/>
        <v>SR 817/University Dr (@  Miramar Parkway)</v>
      </c>
      <c r="J990" s="13" t="s">
        <v>347</v>
      </c>
      <c r="K990" s="13" t="str">
        <f>VLOOKUP(J990,'Data-ProjectTypes'!A$3:B$13,2,FALSE)</f>
        <v>Project</v>
      </c>
      <c r="L990" s="21" t="s">
        <v>85</v>
      </c>
      <c r="M990" s="13" t="s">
        <v>2835</v>
      </c>
      <c r="N990" s="13" t="s">
        <v>39</v>
      </c>
      <c r="O990" s="13" t="s">
        <v>365</v>
      </c>
      <c r="P990" s="13" t="s">
        <v>365</v>
      </c>
      <c r="Q990" s="22"/>
      <c r="R990" s="23">
        <v>9426949.8170891684</v>
      </c>
      <c r="S990" s="21" t="s">
        <v>24</v>
      </c>
      <c r="T990" s="21" t="s">
        <v>684</v>
      </c>
      <c r="U990" s="21" t="s">
        <v>684</v>
      </c>
      <c r="V990" s="24"/>
      <c r="W990" s="24"/>
      <c r="X990" s="24"/>
      <c r="Y990" s="17" t="s">
        <v>685</v>
      </c>
      <c r="Z990" s="18">
        <f>ROUND(R990*'Data-CostAssumptions'!$C$8,-3)</f>
        <v>9427000</v>
      </c>
      <c r="AA990" s="11">
        <f t="shared" si="31"/>
        <v>0</v>
      </c>
      <c r="AB990" s="11">
        <v>2041</v>
      </c>
      <c r="AC990" s="11">
        <v>2041</v>
      </c>
      <c r="AD990" s="11">
        <v>2041</v>
      </c>
      <c r="AE990" s="11">
        <v>2041</v>
      </c>
      <c r="AF990" s="11">
        <v>0</v>
      </c>
      <c r="AG990" s="19">
        <f>ROUND((Z990*'Data-CostAssumptions'!$G$5)*(1+'Data-CostAssumptions'!$G$3)^(AC990-'Data-CostAssumptions'!$G$4),-3)</f>
        <v>5317000</v>
      </c>
      <c r="AH990" s="19">
        <f>ROUND((Z990)*(1+'Data-CostAssumptions'!$G$3)^(AE990-'Data-CostAssumptions'!$G$4),-3)</f>
        <v>24170000</v>
      </c>
    </row>
    <row r="991" spans="1:34" ht="15" customHeight="1" x14ac:dyDescent="0.2">
      <c r="A991" s="11"/>
      <c r="B991" s="11" t="s">
        <v>1211</v>
      </c>
      <c r="C991" s="13">
        <v>10072</v>
      </c>
      <c r="D991" s="13" t="s">
        <v>420</v>
      </c>
      <c r="E991" s="20" t="s">
        <v>298</v>
      </c>
      <c r="F991" s="20">
        <v>144</v>
      </c>
      <c r="G991" s="20">
        <v>990</v>
      </c>
      <c r="H991" s="13" t="s">
        <v>2709</v>
      </c>
      <c r="I991" s="13" t="str">
        <f t="shared" si="30"/>
        <v>SR 817/University Dr (@  Oakland Park Bl)</v>
      </c>
      <c r="J991" s="13" t="s">
        <v>347</v>
      </c>
      <c r="K991" s="13" t="str">
        <f>VLOOKUP(J991,'Data-ProjectTypes'!A$3:B$13,2,FALSE)</f>
        <v>Project</v>
      </c>
      <c r="L991" s="21" t="s">
        <v>26</v>
      </c>
      <c r="M991" s="13" t="s">
        <v>2835</v>
      </c>
      <c r="N991" s="13" t="s">
        <v>1825</v>
      </c>
      <c r="O991" s="13" t="s">
        <v>365</v>
      </c>
      <c r="P991" s="13" t="s">
        <v>365</v>
      </c>
      <c r="Q991" s="72">
        <v>0</v>
      </c>
      <c r="R991" s="23">
        <v>3056502.3571223663</v>
      </c>
      <c r="S991" s="21"/>
      <c r="T991" s="21"/>
      <c r="U991" s="21"/>
      <c r="V991" s="24"/>
      <c r="W991" s="24"/>
      <c r="X991" s="24"/>
      <c r="Y991" s="17"/>
      <c r="Z991" s="18">
        <f>ROUND(R991*'Data-CostAssumptions'!$C$8,-3)</f>
        <v>3057000</v>
      </c>
      <c r="AA991" s="11">
        <f t="shared" si="31"/>
        <v>0</v>
      </c>
      <c r="AB991" s="11">
        <v>2041</v>
      </c>
      <c r="AC991" s="11">
        <v>2041</v>
      </c>
      <c r="AD991" s="11">
        <v>2041</v>
      </c>
      <c r="AE991" s="11">
        <v>2041</v>
      </c>
      <c r="AF991" s="11">
        <v>0</v>
      </c>
      <c r="AG991" s="19">
        <f>ROUND((Z991*'Data-CostAssumptions'!$G$5)*(1+'Data-CostAssumptions'!$G$3)^(AC991-'Data-CostAssumptions'!$G$4),-3)</f>
        <v>1724000</v>
      </c>
      <c r="AH991" s="19">
        <f>ROUND((Z991)*(1+'Data-CostAssumptions'!$G$3)^(AE991-'Data-CostAssumptions'!$G$4),-3)</f>
        <v>7838000</v>
      </c>
    </row>
    <row r="992" spans="1:34" ht="15" customHeight="1" x14ac:dyDescent="0.2">
      <c r="A992" s="11"/>
      <c r="B992" s="11" t="s">
        <v>1211</v>
      </c>
      <c r="C992" s="11">
        <v>10179</v>
      </c>
      <c r="D992" s="13" t="s">
        <v>420</v>
      </c>
      <c r="E992" s="14"/>
      <c r="F992" s="14">
        <v>137</v>
      </c>
      <c r="G992" s="20">
        <v>991</v>
      </c>
      <c r="H992" s="13" t="s">
        <v>2709</v>
      </c>
      <c r="I992" s="13" t="str">
        <f t="shared" si="30"/>
        <v>SR 817/University Dr ( to )</v>
      </c>
      <c r="J992" s="11" t="s">
        <v>347</v>
      </c>
      <c r="K992" s="13" t="str">
        <f>VLOOKUP(J992,'Data-ProjectTypes'!A$3:B$13,2,FALSE)</f>
        <v>Project</v>
      </c>
      <c r="L992" s="11" t="s">
        <v>404</v>
      </c>
      <c r="M992" s="11"/>
      <c r="N992" s="11"/>
      <c r="O992" s="11" t="s">
        <v>409</v>
      </c>
      <c r="P992" s="11" t="s">
        <v>409</v>
      </c>
      <c r="Q992" s="15"/>
      <c r="R992" s="23">
        <v>59180000</v>
      </c>
      <c r="S992" s="11"/>
      <c r="T992" s="11"/>
      <c r="U992" s="11"/>
      <c r="V992" s="11"/>
      <c r="W992" s="11"/>
      <c r="X992" s="11"/>
      <c r="Y992" s="17"/>
      <c r="Z992" s="18">
        <f>ROUND(R992*'Data-CostAssumptions'!$C$8,-3)</f>
        <v>59180000</v>
      </c>
      <c r="AA992" s="11">
        <f t="shared" si="31"/>
        <v>0</v>
      </c>
      <c r="AB992" s="11">
        <v>2041</v>
      </c>
      <c r="AC992" s="11">
        <v>2041</v>
      </c>
      <c r="AD992" s="11">
        <v>2041</v>
      </c>
      <c r="AE992" s="11">
        <v>2041</v>
      </c>
      <c r="AF992" s="11">
        <v>0</v>
      </c>
      <c r="AG992" s="19">
        <f>ROUND((Z992*'Data-CostAssumptions'!$G$5)*(1+'Data-CostAssumptions'!$G$3)^(AC992-'Data-CostAssumptions'!$G$4),-3)</f>
        <v>33382000</v>
      </c>
      <c r="AH992" s="19">
        <f>ROUND((Z992)*(1+'Data-CostAssumptions'!$G$3)^(AE992-'Data-CostAssumptions'!$G$4),-3)</f>
        <v>151734000</v>
      </c>
    </row>
    <row r="993" spans="1:39" ht="15" customHeight="1" x14ac:dyDescent="0.2">
      <c r="A993" s="11"/>
      <c r="B993" s="11" t="s">
        <v>1211</v>
      </c>
      <c r="C993" s="13">
        <v>10027</v>
      </c>
      <c r="D993" s="13" t="s">
        <v>420</v>
      </c>
      <c r="E993" s="20" t="s">
        <v>298</v>
      </c>
      <c r="F993" s="20">
        <v>141</v>
      </c>
      <c r="G993" s="20">
        <v>992</v>
      </c>
      <c r="H993" s="13" t="s">
        <v>2784</v>
      </c>
      <c r="I993" s="13" t="str">
        <f t="shared" si="30"/>
        <v>SR 818/Griffin Rd (@  CSX/Tri-Rail)</v>
      </c>
      <c r="J993" s="13" t="s">
        <v>347</v>
      </c>
      <c r="K993" s="13" t="str">
        <f>VLOOKUP(J993,'Data-ProjectTypes'!A$3:B$13,2,FALSE)</f>
        <v>Project</v>
      </c>
      <c r="L993" s="21" t="s">
        <v>85</v>
      </c>
      <c r="M993" s="13" t="s">
        <v>2835</v>
      </c>
      <c r="N993" s="13" t="s">
        <v>2904</v>
      </c>
      <c r="O993" s="13" t="s">
        <v>365</v>
      </c>
      <c r="P993" s="13" t="s">
        <v>365</v>
      </c>
      <c r="Q993" s="22"/>
      <c r="R993" s="23">
        <v>9426949.8170891684</v>
      </c>
      <c r="S993" s="21" t="s">
        <v>24</v>
      </c>
      <c r="T993" s="21"/>
      <c r="U993" s="21"/>
      <c r="V993" s="24"/>
      <c r="W993" s="24"/>
      <c r="X993" s="31" t="s">
        <v>737</v>
      </c>
      <c r="Y993" s="17" t="s">
        <v>735</v>
      </c>
      <c r="Z993" s="18">
        <f>ROUND(R993*'Data-CostAssumptions'!$C$8,-3)</f>
        <v>9427000</v>
      </c>
      <c r="AA993" s="11">
        <f t="shared" si="31"/>
        <v>0</v>
      </c>
      <c r="AB993" s="11">
        <v>2041</v>
      </c>
      <c r="AC993" s="11">
        <v>2041</v>
      </c>
      <c r="AD993" s="11">
        <v>2041</v>
      </c>
      <c r="AE993" s="11">
        <v>2041</v>
      </c>
      <c r="AF993" s="11">
        <v>0</v>
      </c>
      <c r="AG993" s="19">
        <f>ROUND((Z993*'Data-CostAssumptions'!$G$5)*(1+'Data-CostAssumptions'!$G$3)^(AC993-'Data-CostAssumptions'!$G$4),-3)</f>
        <v>5317000</v>
      </c>
      <c r="AH993" s="19">
        <f>ROUND((Z993)*(1+'Data-CostAssumptions'!$G$3)^(AE993-'Data-CostAssumptions'!$G$4),-3)</f>
        <v>24170000</v>
      </c>
    </row>
    <row r="994" spans="1:39" ht="15" customHeight="1" x14ac:dyDescent="0.2">
      <c r="A994" s="11"/>
      <c r="B994" s="11" t="s">
        <v>1211</v>
      </c>
      <c r="C994" s="13">
        <v>10041</v>
      </c>
      <c r="D994" s="13" t="s">
        <v>420</v>
      </c>
      <c r="E994" s="20" t="s">
        <v>298</v>
      </c>
      <c r="F994" s="20">
        <v>142</v>
      </c>
      <c r="G994" s="20">
        <v>993</v>
      </c>
      <c r="H994" s="13" t="s">
        <v>2784</v>
      </c>
      <c r="I994" s="13" t="str">
        <f t="shared" si="30"/>
        <v>SR 818/Griffin Rd (@  SR 7/US 441)</v>
      </c>
      <c r="J994" s="13" t="s">
        <v>347</v>
      </c>
      <c r="K994" s="13" t="str">
        <f>VLOOKUP(J994,'Data-ProjectTypes'!A$3:B$13,2,FALSE)</f>
        <v>Project</v>
      </c>
      <c r="L994" s="21" t="s">
        <v>77</v>
      </c>
      <c r="M994" s="75" t="s">
        <v>2835</v>
      </c>
      <c r="N994" s="13" t="s">
        <v>57</v>
      </c>
      <c r="O994" s="13" t="s">
        <v>365</v>
      </c>
      <c r="P994" s="13" t="s">
        <v>365</v>
      </c>
      <c r="Q994" s="22"/>
      <c r="R994" s="23">
        <v>718159.31568382459</v>
      </c>
      <c r="S994" s="21" t="s">
        <v>24</v>
      </c>
      <c r="T994" s="21"/>
      <c r="U994" s="21"/>
      <c r="V994" s="24"/>
      <c r="W994" s="24"/>
      <c r="X994" s="24" t="s">
        <v>479</v>
      </c>
      <c r="Y994" s="17" t="s">
        <v>469</v>
      </c>
      <c r="Z994" s="18">
        <f>ROUND(R994*'Data-CostAssumptions'!$C$8,-3)</f>
        <v>718000</v>
      </c>
      <c r="AA994" s="11">
        <f t="shared" si="31"/>
        <v>0</v>
      </c>
      <c r="AB994" s="11">
        <v>2041</v>
      </c>
      <c r="AC994" s="11">
        <v>2041</v>
      </c>
      <c r="AD994" s="11">
        <v>2041</v>
      </c>
      <c r="AE994" s="11">
        <v>2041</v>
      </c>
      <c r="AF994" s="11">
        <v>0</v>
      </c>
      <c r="AG994" s="19">
        <f>ROUND((Z994*'Data-CostAssumptions'!$G$5)*(1+'Data-CostAssumptions'!$G$3)^(AC994-'Data-CostAssumptions'!$G$4),-3)</f>
        <v>405000</v>
      </c>
      <c r="AH994" s="19">
        <f>ROUND((Z994)*(1+'Data-CostAssumptions'!$G$3)^(AE994-'Data-CostAssumptions'!$G$4),-3)</f>
        <v>1841000</v>
      </c>
    </row>
    <row r="995" spans="1:39" ht="15" customHeight="1" x14ac:dyDescent="0.2">
      <c r="A995" s="11"/>
      <c r="B995" s="11" t="s">
        <v>1211</v>
      </c>
      <c r="C995" s="13">
        <v>10054</v>
      </c>
      <c r="D995" s="13" t="s">
        <v>420</v>
      </c>
      <c r="E995" s="20" t="s">
        <v>298</v>
      </c>
      <c r="F995" s="20">
        <v>143</v>
      </c>
      <c r="G995" s="20">
        <v>994</v>
      </c>
      <c r="H995" s="13" t="s">
        <v>2784</v>
      </c>
      <c r="I995" s="13" t="str">
        <f t="shared" si="30"/>
        <v>SR 818/Griffin Rd (@  University Dr)</v>
      </c>
      <c r="J995" s="13" t="s">
        <v>347</v>
      </c>
      <c r="K995" s="13" t="str">
        <f>VLOOKUP(J995,'Data-ProjectTypes'!A$3:B$13,2,FALSE)</f>
        <v>Project</v>
      </c>
      <c r="L995" s="21" t="s">
        <v>77</v>
      </c>
      <c r="M995" s="75" t="s">
        <v>2835</v>
      </c>
      <c r="N995" s="13" t="s">
        <v>1804</v>
      </c>
      <c r="O995" s="13" t="s">
        <v>365</v>
      </c>
      <c r="P995" s="13" t="s">
        <v>365</v>
      </c>
      <c r="Q995" s="22"/>
      <c r="R995" s="23">
        <v>718159.31568382459</v>
      </c>
      <c r="S995" s="21" t="s">
        <v>24</v>
      </c>
      <c r="T995" s="21"/>
      <c r="U995" s="21"/>
      <c r="V995" s="24"/>
      <c r="W995" s="24"/>
      <c r="X995" s="24"/>
      <c r="Y995" s="17" t="s">
        <v>469</v>
      </c>
      <c r="Z995" s="18">
        <f>ROUND(R995*'Data-CostAssumptions'!$C$8,-3)</f>
        <v>718000</v>
      </c>
      <c r="AA995" s="11">
        <f t="shared" si="31"/>
        <v>0</v>
      </c>
      <c r="AB995" s="11">
        <v>2041</v>
      </c>
      <c r="AC995" s="11">
        <v>2041</v>
      </c>
      <c r="AD995" s="11">
        <v>2041</v>
      </c>
      <c r="AE995" s="11">
        <v>2041</v>
      </c>
      <c r="AF995" s="11">
        <v>0</v>
      </c>
      <c r="AG995" s="19">
        <f>ROUND((Z995*'Data-CostAssumptions'!$G$5)*(1+'Data-CostAssumptions'!$G$3)^(AC995-'Data-CostAssumptions'!$G$4),-3)</f>
        <v>405000</v>
      </c>
      <c r="AH995" s="19">
        <f>ROUND((Z995)*(1+'Data-CostAssumptions'!$G$3)^(AE995-'Data-CostAssumptions'!$G$4),-3)</f>
        <v>1841000</v>
      </c>
    </row>
    <row r="996" spans="1:39" ht="15" customHeight="1" x14ac:dyDescent="0.2">
      <c r="A996" s="11"/>
      <c r="B996" s="11" t="s">
        <v>1211</v>
      </c>
      <c r="C996" s="13">
        <v>10081</v>
      </c>
      <c r="D996" s="13" t="s">
        <v>420</v>
      </c>
      <c r="E996" s="20" t="s">
        <v>298</v>
      </c>
      <c r="F996" s="20">
        <v>145</v>
      </c>
      <c r="G996" s="20">
        <v>995</v>
      </c>
      <c r="H996" s="13" t="s">
        <v>2784</v>
      </c>
      <c r="I996" s="13" t="str">
        <f t="shared" si="30"/>
        <v>SR 818/Griffin Rd (@  I-75)</v>
      </c>
      <c r="J996" s="13" t="s">
        <v>347</v>
      </c>
      <c r="K996" s="13" t="str">
        <f>VLOOKUP(J996,'Data-ProjectTypes'!A$3:B$13,2,FALSE)</f>
        <v>Project</v>
      </c>
      <c r="L996" s="21" t="s">
        <v>77</v>
      </c>
      <c r="M996" s="75" t="s">
        <v>2835</v>
      </c>
      <c r="N996" s="13" t="s">
        <v>31</v>
      </c>
      <c r="O996" s="13" t="s">
        <v>365</v>
      </c>
      <c r="P996" s="13" t="s">
        <v>365</v>
      </c>
      <c r="Q996" s="22"/>
      <c r="R996" s="23">
        <v>718159.31568382459</v>
      </c>
      <c r="S996" s="21" t="s">
        <v>24</v>
      </c>
      <c r="T996" s="21"/>
      <c r="U996" s="21"/>
      <c r="V996" s="24"/>
      <c r="W996" s="24"/>
      <c r="X996" s="24"/>
      <c r="Y996" s="17" t="s">
        <v>469</v>
      </c>
      <c r="Z996" s="18">
        <f>ROUND(R996*'Data-CostAssumptions'!$C$8,-3)</f>
        <v>718000</v>
      </c>
      <c r="AA996" s="11">
        <f t="shared" si="31"/>
        <v>0</v>
      </c>
      <c r="AB996" s="11">
        <v>2041</v>
      </c>
      <c r="AC996" s="11">
        <v>2041</v>
      </c>
      <c r="AD996" s="11">
        <v>2041</v>
      </c>
      <c r="AE996" s="11">
        <v>2041</v>
      </c>
      <c r="AF996" s="11">
        <v>0</v>
      </c>
      <c r="AG996" s="19">
        <f>ROUND((Z996*'Data-CostAssumptions'!$G$5)*(1+'Data-CostAssumptions'!$G$3)^(AC996-'Data-CostAssumptions'!$G$4),-3)</f>
        <v>405000</v>
      </c>
      <c r="AH996" s="19">
        <f>ROUND((Z996)*(1+'Data-CostAssumptions'!$G$3)^(AE996-'Data-CostAssumptions'!$G$4),-3)</f>
        <v>1841000</v>
      </c>
    </row>
    <row r="997" spans="1:39" ht="15" customHeight="1" x14ac:dyDescent="0.2">
      <c r="A997" s="11"/>
      <c r="B997" s="11" t="s">
        <v>1213</v>
      </c>
      <c r="C997" s="13">
        <v>10098</v>
      </c>
      <c r="D997" s="13" t="s">
        <v>420</v>
      </c>
      <c r="E997" s="20" t="s">
        <v>298</v>
      </c>
      <c r="F997" s="20">
        <v>146</v>
      </c>
      <c r="G997" s="20">
        <v>996</v>
      </c>
      <c r="H997" s="13" t="s">
        <v>2784</v>
      </c>
      <c r="I997" s="13" t="str">
        <f t="shared" si="30"/>
        <v>SR 818/Griffin Rd (@  SW 160th Av)</v>
      </c>
      <c r="J997" s="13" t="s">
        <v>347</v>
      </c>
      <c r="K997" s="13" t="str">
        <f>VLOOKUP(J997,'Data-ProjectTypes'!A$3:B$13,2,FALSE)</f>
        <v>Project</v>
      </c>
      <c r="L997" s="21" t="s">
        <v>77</v>
      </c>
      <c r="M997" s="75" t="s">
        <v>2835</v>
      </c>
      <c r="N997" s="13" t="s">
        <v>2107</v>
      </c>
      <c r="O997" s="13" t="s">
        <v>365</v>
      </c>
      <c r="P997" s="13" t="s">
        <v>365</v>
      </c>
      <c r="Q997" s="22"/>
      <c r="R997" s="23">
        <v>718159.31568382459</v>
      </c>
      <c r="S997" s="21" t="s">
        <v>25</v>
      </c>
      <c r="T997" s="21" t="s">
        <v>684</v>
      </c>
      <c r="U997" s="21" t="s">
        <v>684</v>
      </c>
      <c r="V997" s="24"/>
      <c r="W997" s="24" t="s">
        <v>795</v>
      </c>
      <c r="X997" s="24"/>
      <c r="Y997" s="17" t="s">
        <v>2962</v>
      </c>
      <c r="Z997" s="18">
        <f>ROUND(R997*'Data-CostAssumptions'!$C$8,-3)</f>
        <v>718000</v>
      </c>
      <c r="AA997" s="11">
        <f t="shared" si="31"/>
        <v>1</v>
      </c>
      <c r="AB997" s="11">
        <v>2041</v>
      </c>
      <c r="AC997" s="11">
        <v>2041</v>
      </c>
      <c r="AD997" s="11">
        <v>2041</v>
      </c>
      <c r="AE997" s="11">
        <v>2041</v>
      </c>
      <c r="AF997" s="11">
        <v>0</v>
      </c>
      <c r="AG997" s="19">
        <f>ROUND((Z997*'Data-CostAssumptions'!$G$5)*(1+'Data-CostAssumptions'!$G$3)^(AC997-'Data-CostAssumptions'!$G$4),-3)</f>
        <v>405000</v>
      </c>
      <c r="AH997" s="19">
        <f>ROUND((Z997)*(1+'Data-CostAssumptions'!$G$3)^(AE997-'Data-CostAssumptions'!$G$4),-3)</f>
        <v>1841000</v>
      </c>
    </row>
    <row r="998" spans="1:39" ht="15" customHeight="1" x14ac:dyDescent="0.2">
      <c r="A998" s="11"/>
      <c r="B998" s="11" t="s">
        <v>1211</v>
      </c>
      <c r="C998" s="13">
        <v>10109</v>
      </c>
      <c r="D998" s="13" t="s">
        <v>420</v>
      </c>
      <c r="E998" s="20" t="s">
        <v>298</v>
      </c>
      <c r="F998" s="20">
        <v>146</v>
      </c>
      <c r="G998" s="20">
        <v>997</v>
      </c>
      <c r="H998" s="13" t="s">
        <v>2784</v>
      </c>
      <c r="I998" s="13" t="str">
        <f t="shared" si="30"/>
        <v>SR 818/Griffin Rd (@  Flamingo Rd)</v>
      </c>
      <c r="J998" s="13" t="s">
        <v>347</v>
      </c>
      <c r="K998" s="13" t="str">
        <f>VLOOKUP(J998,'Data-ProjectTypes'!A$3:B$13,2,FALSE)</f>
        <v>Project</v>
      </c>
      <c r="L998" s="21" t="s">
        <v>77</v>
      </c>
      <c r="M998" s="75" t="s">
        <v>2835</v>
      </c>
      <c r="N998" s="13" t="s">
        <v>159</v>
      </c>
      <c r="O998" s="13" t="s">
        <v>365</v>
      </c>
      <c r="P998" s="13" t="s">
        <v>365</v>
      </c>
      <c r="Q998" s="22"/>
      <c r="R998" s="23">
        <v>718159.31568382459</v>
      </c>
      <c r="S998" s="21"/>
      <c r="T998" s="21"/>
      <c r="U998" s="21"/>
      <c r="V998" s="24"/>
      <c r="W998" s="24"/>
      <c r="X998" s="24"/>
      <c r="Y998" s="17"/>
      <c r="Z998" s="18">
        <f>ROUND(R998*'Data-CostAssumptions'!$C$8,-3)</f>
        <v>718000</v>
      </c>
      <c r="AA998" s="11">
        <f t="shared" si="31"/>
        <v>0</v>
      </c>
      <c r="AB998" s="11">
        <v>2041</v>
      </c>
      <c r="AC998" s="11">
        <v>2041</v>
      </c>
      <c r="AD998" s="11">
        <v>2041</v>
      </c>
      <c r="AE998" s="11">
        <v>2041</v>
      </c>
      <c r="AF998" s="11">
        <v>0</v>
      </c>
      <c r="AG998" s="19">
        <f>ROUND((Z998*'Data-CostAssumptions'!$G$5)*(1+'Data-CostAssumptions'!$G$3)^(AC998-'Data-CostAssumptions'!$G$4),-3)</f>
        <v>405000</v>
      </c>
      <c r="AH998" s="19">
        <f>ROUND((Z998)*(1+'Data-CostAssumptions'!$G$3)^(AE998-'Data-CostAssumptions'!$G$4),-3)</f>
        <v>1841000</v>
      </c>
    </row>
    <row r="999" spans="1:39" ht="15" customHeight="1" x14ac:dyDescent="0.2">
      <c r="A999" s="11"/>
      <c r="B999" s="11" t="s">
        <v>1211</v>
      </c>
      <c r="C999" s="13">
        <v>10012</v>
      </c>
      <c r="D999" s="13" t="s">
        <v>420</v>
      </c>
      <c r="E999" s="20" t="s">
        <v>298</v>
      </c>
      <c r="F999" s="20">
        <v>140</v>
      </c>
      <c r="G999" s="20">
        <v>998</v>
      </c>
      <c r="H999" s="13" t="s">
        <v>2920</v>
      </c>
      <c r="I999" s="13" t="str">
        <f t="shared" si="30"/>
        <v>SR 820/Hollywood (@  Hollywood Bl/Dixie)</v>
      </c>
      <c r="J999" s="13" t="s">
        <v>347</v>
      </c>
      <c r="K999" s="13" t="str">
        <f>VLOOKUP(J999,'Data-ProjectTypes'!A$3:B$13,2,FALSE)</f>
        <v>Project</v>
      </c>
      <c r="L999" s="21" t="s">
        <v>85</v>
      </c>
      <c r="M999" s="13" t="s">
        <v>2835</v>
      </c>
      <c r="N999" s="13" t="s">
        <v>2905</v>
      </c>
      <c r="O999" s="13" t="s">
        <v>365</v>
      </c>
      <c r="P999" s="13" t="s">
        <v>365</v>
      </c>
      <c r="Q999" s="22"/>
      <c r="R999" s="23">
        <v>10179003.401645176</v>
      </c>
      <c r="S999" s="21" t="s">
        <v>350</v>
      </c>
      <c r="T999" s="21"/>
      <c r="U999" s="21"/>
      <c r="V999" s="24"/>
      <c r="W999" s="24" t="s">
        <v>580</v>
      </c>
      <c r="X999" s="24"/>
      <c r="Y999" s="17" t="s">
        <v>538</v>
      </c>
      <c r="Z999" s="18">
        <f>ROUND(R999*'Data-CostAssumptions'!$C$8,-3)</f>
        <v>10179000</v>
      </c>
      <c r="AA999" s="11">
        <f t="shared" si="31"/>
        <v>1</v>
      </c>
      <c r="AB999" s="11">
        <v>2041</v>
      </c>
      <c r="AC999" s="11">
        <v>2041</v>
      </c>
      <c r="AD999" s="11">
        <v>2041</v>
      </c>
      <c r="AE999" s="11">
        <v>2041</v>
      </c>
      <c r="AF999" s="11">
        <v>0</v>
      </c>
      <c r="AG999" s="19">
        <f>ROUND((Z999*'Data-CostAssumptions'!$G$5)*(1+'Data-CostAssumptions'!$G$3)^(AC999-'Data-CostAssumptions'!$G$4),-3)</f>
        <v>5742000</v>
      </c>
      <c r="AH999" s="19">
        <f>ROUND((Z999)*(1+'Data-CostAssumptions'!$G$3)^(AE999-'Data-CostAssumptions'!$G$4),-3)</f>
        <v>26098000</v>
      </c>
    </row>
    <row r="1000" spans="1:39" ht="15" customHeight="1" x14ac:dyDescent="0.2">
      <c r="A1000" s="11"/>
      <c r="B1000" s="11" t="s">
        <v>1211</v>
      </c>
      <c r="C1000" s="13">
        <v>10020</v>
      </c>
      <c r="D1000" s="13" t="s">
        <v>420</v>
      </c>
      <c r="E1000" s="20" t="s">
        <v>298</v>
      </c>
      <c r="F1000" s="20">
        <v>140</v>
      </c>
      <c r="G1000" s="20">
        <v>999</v>
      </c>
      <c r="H1000" s="13" t="s">
        <v>2813</v>
      </c>
      <c r="I1000" s="13" t="str">
        <f t="shared" si="30"/>
        <v>SR 820/Hollywood Bl (@  Tri-Rail Station)</v>
      </c>
      <c r="J1000" s="13" t="s">
        <v>347</v>
      </c>
      <c r="K1000" s="13" t="str">
        <f>VLOOKUP(J1000,'Data-ProjectTypes'!A$3:B$13,2,FALSE)</f>
        <v>Project</v>
      </c>
      <c r="L1000" s="21" t="s">
        <v>85</v>
      </c>
      <c r="M1000" s="13" t="s">
        <v>2835</v>
      </c>
      <c r="N1000" s="13" t="s">
        <v>933</v>
      </c>
      <c r="O1000" s="13" t="s">
        <v>365</v>
      </c>
      <c r="P1000" s="13" t="s">
        <v>365</v>
      </c>
      <c r="Q1000" s="22"/>
      <c r="R1000" s="23">
        <v>9426949.8170891684</v>
      </c>
      <c r="S1000" s="21" t="s">
        <v>350</v>
      </c>
      <c r="T1000" s="21"/>
      <c r="U1000" s="21"/>
      <c r="V1000" s="24"/>
      <c r="W1000" s="24" t="s">
        <v>580</v>
      </c>
      <c r="X1000" s="24"/>
      <c r="Y1000" s="17" t="s">
        <v>538</v>
      </c>
      <c r="Z1000" s="18">
        <f>ROUND(R1000*'Data-CostAssumptions'!$C$8,-3)</f>
        <v>9427000</v>
      </c>
      <c r="AA1000" s="11">
        <f t="shared" si="31"/>
        <v>1</v>
      </c>
      <c r="AB1000" s="11">
        <v>2041</v>
      </c>
      <c r="AC1000" s="11">
        <v>2041</v>
      </c>
      <c r="AD1000" s="11">
        <v>2041</v>
      </c>
      <c r="AE1000" s="11">
        <v>2041</v>
      </c>
      <c r="AF1000" s="11">
        <v>0</v>
      </c>
      <c r="AG1000" s="19">
        <f>ROUND((Z1000*'Data-CostAssumptions'!$G$5)*(1+'Data-CostAssumptions'!$G$3)^(AC1000-'Data-CostAssumptions'!$G$4),-3)</f>
        <v>5317000</v>
      </c>
      <c r="AH1000" s="19">
        <f>ROUND((Z1000)*(1+'Data-CostAssumptions'!$G$3)^(AE1000-'Data-CostAssumptions'!$G$4),-3)</f>
        <v>24170000</v>
      </c>
    </row>
    <row r="1001" spans="1:39" ht="15" customHeight="1" x14ac:dyDescent="0.2">
      <c r="A1001" s="11"/>
      <c r="B1001" s="11" t="s">
        <v>1211</v>
      </c>
      <c r="C1001" s="13">
        <v>10028</v>
      </c>
      <c r="D1001" s="13" t="s">
        <v>420</v>
      </c>
      <c r="E1001" s="20" t="s">
        <v>298</v>
      </c>
      <c r="F1001" s="20">
        <v>141</v>
      </c>
      <c r="G1001" s="20">
        <v>1000</v>
      </c>
      <c r="H1001" s="13" t="s">
        <v>2813</v>
      </c>
      <c r="I1001" s="13" t="str">
        <f t="shared" si="30"/>
        <v>SR 820/Hollywood Bl (@  SR 7/US 441)</v>
      </c>
      <c r="J1001" s="13" t="s">
        <v>347</v>
      </c>
      <c r="K1001" s="13" t="str">
        <f>VLOOKUP(J1001,'Data-ProjectTypes'!A$3:B$13,2,FALSE)</f>
        <v>Project</v>
      </c>
      <c r="L1001" s="21" t="s">
        <v>85</v>
      </c>
      <c r="M1001" s="13" t="s">
        <v>2835</v>
      </c>
      <c r="N1001" s="13" t="s">
        <v>57</v>
      </c>
      <c r="O1001" s="13" t="s">
        <v>365</v>
      </c>
      <c r="P1001" s="13" t="s">
        <v>365</v>
      </c>
      <c r="Q1001" s="22"/>
      <c r="R1001" s="23">
        <v>9426949.8170891684</v>
      </c>
      <c r="S1001" s="21" t="s">
        <v>350</v>
      </c>
      <c r="T1001" s="21"/>
      <c r="U1001" s="21"/>
      <c r="V1001" s="24"/>
      <c r="W1001" s="24" t="s">
        <v>580</v>
      </c>
      <c r="X1001" s="24"/>
      <c r="Y1001" s="17" t="s">
        <v>538</v>
      </c>
      <c r="Z1001" s="18">
        <f>ROUND(R1001*'Data-CostAssumptions'!$C$8,-3)</f>
        <v>9427000</v>
      </c>
      <c r="AA1001" s="11">
        <f t="shared" si="31"/>
        <v>1</v>
      </c>
      <c r="AB1001" s="11">
        <v>2041</v>
      </c>
      <c r="AC1001" s="11">
        <v>2041</v>
      </c>
      <c r="AD1001" s="11">
        <v>2041</v>
      </c>
      <c r="AE1001" s="11">
        <v>2041</v>
      </c>
      <c r="AF1001" s="11">
        <v>0</v>
      </c>
      <c r="AG1001" s="19">
        <f>ROUND((Z1001*'Data-CostAssumptions'!$G$5)*(1+'Data-CostAssumptions'!$G$3)^(AC1001-'Data-CostAssumptions'!$G$4),-3)</f>
        <v>5317000</v>
      </c>
      <c r="AH1001" s="19">
        <f>ROUND((Z1001)*(1+'Data-CostAssumptions'!$G$3)^(AE1001-'Data-CostAssumptions'!$G$4),-3)</f>
        <v>24170000</v>
      </c>
    </row>
    <row r="1002" spans="1:39" ht="15" customHeight="1" x14ac:dyDescent="0.2">
      <c r="A1002" s="11"/>
      <c r="B1002" s="11" t="s">
        <v>1211</v>
      </c>
      <c r="C1002" s="13">
        <v>10069</v>
      </c>
      <c r="D1002" s="13" t="s">
        <v>420</v>
      </c>
      <c r="E1002" s="20" t="s">
        <v>298</v>
      </c>
      <c r="F1002" s="20">
        <v>144</v>
      </c>
      <c r="G1002" s="20">
        <v>1001</v>
      </c>
      <c r="H1002" s="13" t="s">
        <v>2813</v>
      </c>
      <c r="I1002" s="13" t="str">
        <f t="shared" si="30"/>
        <v>SR 820/Hollywood Bl (@  SR A1A)</v>
      </c>
      <c r="J1002" s="13" t="s">
        <v>347</v>
      </c>
      <c r="K1002" s="13" t="str">
        <f>VLOOKUP(J1002,'Data-ProjectTypes'!A$3:B$13,2,FALSE)</f>
        <v>Project</v>
      </c>
      <c r="L1002" s="21" t="s">
        <v>26</v>
      </c>
      <c r="M1002" s="13" t="s">
        <v>2835</v>
      </c>
      <c r="N1002" s="13" t="s">
        <v>110</v>
      </c>
      <c r="O1002" s="13" t="s">
        <v>365</v>
      </c>
      <c r="P1002" s="13" t="s">
        <v>365</v>
      </c>
      <c r="Q1002" s="72">
        <v>0</v>
      </c>
      <c r="R1002" s="23">
        <v>3056502.3571223663</v>
      </c>
      <c r="S1002" s="21" t="s">
        <v>350</v>
      </c>
      <c r="T1002" s="21"/>
      <c r="U1002" s="21"/>
      <c r="V1002" s="24"/>
      <c r="W1002" s="24" t="s">
        <v>580</v>
      </c>
      <c r="X1002" s="24"/>
      <c r="Y1002" s="17" t="s">
        <v>538</v>
      </c>
      <c r="Z1002" s="18">
        <f>ROUND(R1002*'Data-CostAssumptions'!$C$8,-3)</f>
        <v>3057000</v>
      </c>
      <c r="AA1002" s="11">
        <f t="shared" si="31"/>
        <v>1</v>
      </c>
      <c r="AB1002" s="11">
        <v>2041</v>
      </c>
      <c r="AC1002" s="11">
        <v>2041</v>
      </c>
      <c r="AD1002" s="11">
        <v>2041</v>
      </c>
      <c r="AE1002" s="11">
        <v>2041</v>
      </c>
      <c r="AF1002" s="11">
        <v>0</v>
      </c>
      <c r="AG1002" s="19">
        <f>ROUND((Z1002*'Data-CostAssumptions'!$G$5)*(1+'Data-CostAssumptions'!$G$3)^(AC1002-'Data-CostAssumptions'!$G$4),-3)</f>
        <v>1724000</v>
      </c>
      <c r="AH1002" s="19">
        <f>ROUND((Z1002)*(1+'Data-CostAssumptions'!$G$3)^(AE1002-'Data-CostAssumptions'!$G$4),-3)</f>
        <v>7838000</v>
      </c>
    </row>
    <row r="1003" spans="1:39" ht="15" customHeight="1" x14ac:dyDescent="0.2">
      <c r="A1003" s="11"/>
      <c r="B1003" s="11" t="s">
        <v>1211</v>
      </c>
      <c r="C1003" s="13">
        <v>10060</v>
      </c>
      <c r="D1003" s="13" t="s">
        <v>420</v>
      </c>
      <c r="E1003" s="20" t="s">
        <v>298</v>
      </c>
      <c r="F1003" s="20">
        <v>143</v>
      </c>
      <c r="G1003" s="20">
        <v>1002</v>
      </c>
      <c r="H1003" s="13" t="s">
        <v>2717</v>
      </c>
      <c r="I1003" s="13" t="str">
        <f t="shared" si="30"/>
        <v>SR 820/Pines Bl (@  I-75)</v>
      </c>
      <c r="J1003" s="13" t="s">
        <v>347</v>
      </c>
      <c r="K1003" s="13" t="str">
        <f>VLOOKUP(J1003,'Data-ProjectTypes'!A$3:B$13,2,FALSE)</f>
        <v>Project</v>
      </c>
      <c r="L1003" s="21" t="s">
        <v>26</v>
      </c>
      <c r="M1003" s="13" t="s">
        <v>2835</v>
      </c>
      <c r="N1003" s="13" t="s">
        <v>31</v>
      </c>
      <c r="O1003" s="13" t="s">
        <v>365</v>
      </c>
      <c r="P1003" s="13" t="s">
        <v>365</v>
      </c>
      <c r="Q1003" s="72">
        <v>0</v>
      </c>
      <c r="R1003" s="23">
        <v>3056502.3571223663</v>
      </c>
      <c r="S1003" s="21"/>
      <c r="T1003" s="21"/>
      <c r="U1003" s="21"/>
      <c r="V1003" s="24"/>
      <c r="W1003" s="24"/>
      <c r="X1003" s="24"/>
      <c r="Y1003" s="17"/>
      <c r="Z1003" s="18">
        <f>ROUND(R1003*'Data-CostAssumptions'!$C$8,-3)</f>
        <v>3057000</v>
      </c>
      <c r="AA1003" s="11">
        <f t="shared" si="31"/>
        <v>0</v>
      </c>
      <c r="AB1003" s="11">
        <v>2041</v>
      </c>
      <c r="AC1003" s="11">
        <v>2041</v>
      </c>
      <c r="AD1003" s="11">
        <v>2041</v>
      </c>
      <c r="AE1003" s="11">
        <v>2041</v>
      </c>
      <c r="AF1003" s="11">
        <v>0</v>
      </c>
      <c r="AG1003" s="19">
        <f>ROUND((Z1003*'Data-CostAssumptions'!$G$5)*(1+'Data-CostAssumptions'!$G$3)^(AC1003-'Data-CostAssumptions'!$G$4),-3)</f>
        <v>1724000</v>
      </c>
      <c r="AH1003" s="19">
        <f>ROUND((Z1003)*(1+'Data-CostAssumptions'!$G$3)^(AE1003-'Data-CostAssumptions'!$G$4),-3)</f>
        <v>7838000</v>
      </c>
    </row>
    <row r="1004" spans="1:39" ht="15" customHeight="1" x14ac:dyDescent="0.2">
      <c r="A1004" s="11"/>
      <c r="B1004" s="11" t="s">
        <v>1211</v>
      </c>
      <c r="C1004" s="13">
        <v>10090</v>
      </c>
      <c r="D1004" s="13" t="s">
        <v>420</v>
      </c>
      <c r="E1004" s="20" t="s">
        <v>298</v>
      </c>
      <c r="F1004" s="20">
        <v>145</v>
      </c>
      <c r="G1004" s="20">
        <v>1003</v>
      </c>
      <c r="H1004" s="13" t="s">
        <v>2718</v>
      </c>
      <c r="I1004" s="13" t="str">
        <f t="shared" si="30"/>
        <v>SR 820/Pines Bl &amp; Douglas Rd (@  Douglas Rd)</v>
      </c>
      <c r="J1004" s="13" t="s">
        <v>347</v>
      </c>
      <c r="K1004" s="13" t="str">
        <f>VLOOKUP(J1004,'Data-ProjectTypes'!A$3:B$13,2,FALSE)</f>
        <v>Project</v>
      </c>
      <c r="L1004" s="21" t="s">
        <v>77</v>
      </c>
      <c r="M1004" s="13" t="s">
        <v>2835</v>
      </c>
      <c r="N1004" s="13" t="s">
        <v>2425</v>
      </c>
      <c r="O1004" s="13" t="s">
        <v>365</v>
      </c>
      <c r="P1004" s="13" t="s">
        <v>365</v>
      </c>
      <c r="Q1004" s="22"/>
      <c r="R1004" s="23">
        <v>718159.31568382459</v>
      </c>
      <c r="S1004" s="21"/>
      <c r="T1004" s="21"/>
      <c r="U1004" s="21"/>
      <c r="V1004" s="24"/>
      <c r="W1004" s="24"/>
      <c r="X1004" s="24"/>
      <c r="Y1004" s="17"/>
      <c r="Z1004" s="18">
        <f>ROUND(R1004*'Data-CostAssumptions'!$C$8,-3)</f>
        <v>718000</v>
      </c>
      <c r="AA1004" s="11">
        <f t="shared" si="31"/>
        <v>0</v>
      </c>
      <c r="AB1004" s="11">
        <v>2041</v>
      </c>
      <c r="AC1004" s="11">
        <v>2041</v>
      </c>
      <c r="AD1004" s="11">
        <v>2041</v>
      </c>
      <c r="AE1004" s="11">
        <v>2041</v>
      </c>
      <c r="AF1004" s="11">
        <v>0</v>
      </c>
      <c r="AG1004" s="19">
        <f>ROUND((Z1004*'Data-CostAssumptions'!$G$5)*(1+'Data-CostAssumptions'!$G$3)^(AC1004-'Data-CostAssumptions'!$G$4),-3)</f>
        <v>405000</v>
      </c>
      <c r="AH1004" s="19">
        <f>ROUND((Z1004)*(1+'Data-CostAssumptions'!$G$3)^(AE1004-'Data-CostAssumptions'!$G$4),-3)</f>
        <v>1841000</v>
      </c>
    </row>
    <row r="1005" spans="1:39" ht="15" customHeight="1" x14ac:dyDescent="0.2">
      <c r="A1005" s="11"/>
      <c r="B1005" s="11" t="s">
        <v>1211</v>
      </c>
      <c r="C1005" s="13">
        <v>10101</v>
      </c>
      <c r="D1005" s="13" t="s">
        <v>420</v>
      </c>
      <c r="E1005" s="20" t="s">
        <v>298</v>
      </c>
      <c r="F1005" s="20">
        <v>146</v>
      </c>
      <c r="G1005" s="20">
        <v>1004</v>
      </c>
      <c r="H1005" s="13" t="s">
        <v>2719</v>
      </c>
      <c r="I1005" s="13" t="str">
        <f t="shared" si="30"/>
        <v>SR 820/Pines Bl &amp; Dykes Rd (@  Dykes Rd)</v>
      </c>
      <c r="J1005" s="13" t="s">
        <v>347</v>
      </c>
      <c r="K1005" s="13" t="str">
        <f>VLOOKUP(J1005,'Data-ProjectTypes'!A$3:B$13,2,FALSE)</f>
        <v>Project</v>
      </c>
      <c r="L1005" s="21" t="s">
        <v>77</v>
      </c>
      <c r="M1005" s="13" t="s">
        <v>2835</v>
      </c>
      <c r="N1005" s="13" t="s">
        <v>1846</v>
      </c>
      <c r="O1005" s="13" t="s">
        <v>365</v>
      </c>
      <c r="P1005" s="13" t="s">
        <v>365</v>
      </c>
      <c r="Q1005" s="22"/>
      <c r="R1005" s="23">
        <v>718159.31568382459</v>
      </c>
      <c r="S1005" s="21"/>
      <c r="T1005" s="21"/>
      <c r="U1005" s="21"/>
      <c r="V1005" s="24"/>
      <c r="W1005" s="24"/>
      <c r="X1005" s="24"/>
      <c r="Y1005" s="17"/>
      <c r="Z1005" s="18">
        <f>ROUND(R1005*'Data-CostAssumptions'!$C$8,-3)</f>
        <v>718000</v>
      </c>
      <c r="AA1005" s="11">
        <f t="shared" si="31"/>
        <v>0</v>
      </c>
      <c r="AB1005" s="11">
        <v>2041</v>
      </c>
      <c r="AC1005" s="11">
        <v>2041</v>
      </c>
      <c r="AD1005" s="11">
        <v>2041</v>
      </c>
      <c r="AE1005" s="11">
        <v>2041</v>
      </c>
      <c r="AF1005" s="11">
        <v>0</v>
      </c>
      <c r="AG1005" s="19">
        <f>ROUND((Z1005*'Data-CostAssumptions'!$G$5)*(1+'Data-CostAssumptions'!$G$3)^(AC1005-'Data-CostAssumptions'!$G$4),-3)</f>
        <v>405000</v>
      </c>
      <c r="AH1005" s="19">
        <f>ROUND((Z1005)*(1+'Data-CostAssumptions'!$G$3)^(AE1005-'Data-CostAssumptions'!$G$4),-3)</f>
        <v>1841000</v>
      </c>
    </row>
    <row r="1006" spans="1:39" ht="15" customHeight="1" x14ac:dyDescent="0.2">
      <c r="A1006" s="11"/>
      <c r="B1006" s="11" t="s">
        <v>1211</v>
      </c>
      <c r="C1006" s="13">
        <v>10077</v>
      </c>
      <c r="D1006" s="13" t="s">
        <v>420</v>
      </c>
      <c r="E1006" s="20" t="s">
        <v>298</v>
      </c>
      <c r="F1006" s="20">
        <v>144</v>
      </c>
      <c r="G1006" s="20">
        <v>1005</v>
      </c>
      <c r="H1006" s="13" t="s">
        <v>2720</v>
      </c>
      <c r="I1006" s="13" t="str">
        <f t="shared" si="30"/>
        <v>SR 820/Pines Bl &amp; Palm Av (@  Palm Av)</v>
      </c>
      <c r="J1006" s="13" t="s">
        <v>347</v>
      </c>
      <c r="K1006" s="13" t="str">
        <f>VLOOKUP(J1006,'Data-ProjectTypes'!A$3:B$13,2,FALSE)</f>
        <v>Project</v>
      </c>
      <c r="L1006" s="21" t="s">
        <v>77</v>
      </c>
      <c r="M1006" s="13" t="s">
        <v>2835</v>
      </c>
      <c r="N1006" s="13" t="s">
        <v>2083</v>
      </c>
      <c r="O1006" s="13" t="s">
        <v>365</v>
      </c>
      <c r="P1006" s="13" t="s">
        <v>365</v>
      </c>
      <c r="Q1006" s="22"/>
      <c r="R1006" s="23">
        <v>718159.31568382459</v>
      </c>
      <c r="S1006" s="21"/>
      <c r="T1006" s="21"/>
      <c r="U1006" s="21"/>
      <c r="V1006" s="24"/>
      <c r="W1006" s="24"/>
      <c r="X1006" s="24"/>
      <c r="Y1006" s="17"/>
      <c r="Z1006" s="18">
        <f>ROUND(R1006*'Data-CostAssumptions'!$C$8,-3)</f>
        <v>718000</v>
      </c>
      <c r="AA1006" s="11">
        <f t="shared" si="31"/>
        <v>0</v>
      </c>
      <c r="AB1006" s="11">
        <v>2041</v>
      </c>
      <c r="AC1006" s="11">
        <v>2041</v>
      </c>
      <c r="AD1006" s="11">
        <v>2041</v>
      </c>
      <c r="AE1006" s="11">
        <v>2041</v>
      </c>
      <c r="AF1006" s="11">
        <v>0</v>
      </c>
      <c r="AG1006" s="19">
        <f>ROUND((Z1006*'Data-CostAssumptions'!$G$5)*(1+'Data-CostAssumptions'!$G$3)^(AC1006-'Data-CostAssumptions'!$G$4),-3)</f>
        <v>405000</v>
      </c>
      <c r="AH1006" s="19">
        <f>ROUND((Z1006)*(1+'Data-CostAssumptions'!$G$3)^(AE1006-'Data-CostAssumptions'!$G$4),-3)</f>
        <v>1841000</v>
      </c>
    </row>
    <row r="1007" spans="1:39" ht="15" customHeight="1" x14ac:dyDescent="0.2">
      <c r="A1007" s="11"/>
      <c r="B1007" s="11" t="s">
        <v>1211</v>
      </c>
      <c r="C1007" s="13">
        <v>10082</v>
      </c>
      <c r="D1007" s="13" t="s">
        <v>420</v>
      </c>
      <c r="E1007" s="20" t="s">
        <v>298</v>
      </c>
      <c r="F1007" s="20">
        <v>145</v>
      </c>
      <c r="G1007" s="20">
        <v>1006</v>
      </c>
      <c r="H1007" s="13" t="s">
        <v>2721</v>
      </c>
      <c r="I1007" s="13" t="str">
        <f t="shared" si="30"/>
        <v>SR 820/Pines Bl &amp; University Dr (@  University Dr)</v>
      </c>
      <c r="J1007" s="13" t="s">
        <v>347</v>
      </c>
      <c r="K1007" s="13" t="str">
        <f>VLOOKUP(J1007,'Data-ProjectTypes'!A$3:B$13,2,FALSE)</f>
        <v>Project</v>
      </c>
      <c r="L1007" s="21" t="s">
        <v>77</v>
      </c>
      <c r="M1007" s="13" t="s">
        <v>2835</v>
      </c>
      <c r="N1007" s="13" t="s">
        <v>1804</v>
      </c>
      <c r="O1007" s="13" t="s">
        <v>365</v>
      </c>
      <c r="P1007" s="13" t="s">
        <v>365</v>
      </c>
      <c r="Q1007" s="22"/>
      <c r="R1007" s="23">
        <v>718159.31568382459</v>
      </c>
      <c r="S1007" s="21"/>
      <c r="T1007" s="21"/>
      <c r="U1007" s="21"/>
      <c r="V1007" s="24"/>
      <c r="W1007" s="24"/>
      <c r="X1007" s="24"/>
      <c r="Y1007" s="17"/>
      <c r="Z1007" s="18">
        <f>ROUND(R1007*'Data-CostAssumptions'!$C$8,-3)</f>
        <v>718000</v>
      </c>
      <c r="AA1007" s="11">
        <f t="shared" si="31"/>
        <v>0</v>
      </c>
      <c r="AB1007" s="11">
        <v>2041</v>
      </c>
      <c r="AC1007" s="11">
        <v>2041</v>
      </c>
      <c r="AD1007" s="11">
        <v>2041</v>
      </c>
      <c r="AE1007" s="11">
        <v>2041</v>
      </c>
      <c r="AF1007" s="11">
        <v>0</v>
      </c>
      <c r="AG1007" s="19">
        <f>ROUND((Z1007*'Data-CostAssumptions'!$G$5)*(1+'Data-CostAssumptions'!$G$3)^(AC1007-'Data-CostAssumptions'!$G$4),-3)</f>
        <v>405000</v>
      </c>
      <c r="AH1007" s="19">
        <f>ROUND((Z1007)*(1+'Data-CostAssumptions'!$G$3)^(AE1007-'Data-CostAssumptions'!$G$4),-3)</f>
        <v>1841000</v>
      </c>
    </row>
    <row r="1008" spans="1:39" ht="15" customHeight="1" x14ac:dyDescent="0.2">
      <c r="A1008" s="76"/>
      <c r="B1008" s="76" t="s">
        <v>1211</v>
      </c>
      <c r="C1008" s="76">
        <v>10183</v>
      </c>
      <c r="D1008" s="47" t="s">
        <v>420</v>
      </c>
      <c r="E1008" s="77"/>
      <c r="F1008" s="77">
        <v>137</v>
      </c>
      <c r="G1008" s="20">
        <v>1007</v>
      </c>
      <c r="H1008" s="47" t="s">
        <v>2724</v>
      </c>
      <c r="I1008" s="47" t="str">
        <f t="shared" si="30"/>
        <v>SR 820/Pines/Hollywood Bl ( to )</v>
      </c>
      <c r="J1008" s="76" t="s">
        <v>347</v>
      </c>
      <c r="K1008" s="47" t="str">
        <f>VLOOKUP(J1008,'Data-ProjectTypes'!A$3:B$13,2,FALSE)</f>
        <v>Project</v>
      </c>
      <c r="L1008" s="76" t="s">
        <v>405</v>
      </c>
      <c r="M1008" s="76"/>
      <c r="N1008" s="76"/>
      <c r="O1008" s="78" t="s">
        <v>365</v>
      </c>
      <c r="P1008" s="78" t="s">
        <v>365</v>
      </c>
      <c r="Q1008" s="79"/>
      <c r="R1008" s="80">
        <v>274396800</v>
      </c>
      <c r="S1008" s="76"/>
      <c r="T1008" s="81"/>
      <c r="U1008" s="81"/>
      <c r="V1008" s="81"/>
      <c r="W1008" s="81"/>
      <c r="X1008" s="81"/>
      <c r="Y1008" s="82"/>
      <c r="Z1008" s="18">
        <f>ROUND(R1008*'Data-CostAssumptions'!$C$8,-3)</f>
        <v>274397000</v>
      </c>
      <c r="AA1008" s="11">
        <f t="shared" si="31"/>
        <v>0</v>
      </c>
      <c r="AB1008" s="11">
        <v>2041</v>
      </c>
      <c r="AC1008" s="11">
        <v>2041</v>
      </c>
      <c r="AD1008" s="11">
        <v>2041</v>
      </c>
      <c r="AE1008" s="11">
        <v>2041</v>
      </c>
      <c r="AF1008" s="11">
        <v>0</v>
      </c>
      <c r="AG1008" s="19">
        <f>ROUND((Z1008*'Data-CostAssumptions'!$G$5)*(1+'Data-CostAssumptions'!$G$3)^(AC1008-'Data-CostAssumptions'!$G$4),-3)</f>
        <v>154779000</v>
      </c>
      <c r="AH1008" s="19">
        <f>ROUND((Z1008)*(1+'Data-CostAssumptions'!$G$3)^(AE1008-'Data-CostAssumptions'!$G$4),-3)</f>
        <v>703540000</v>
      </c>
      <c r="AI1008" s="83"/>
      <c r="AJ1008" s="83"/>
      <c r="AK1008" s="83"/>
      <c r="AL1008" s="83"/>
      <c r="AM1008" s="83"/>
    </row>
    <row r="1009" spans="1:34" ht="15" customHeight="1" x14ac:dyDescent="0.2">
      <c r="A1009" s="11"/>
      <c r="B1009" s="11" t="s">
        <v>1211</v>
      </c>
      <c r="C1009" s="13">
        <v>10023</v>
      </c>
      <c r="D1009" s="13" t="s">
        <v>420</v>
      </c>
      <c r="E1009" s="20" t="s">
        <v>298</v>
      </c>
      <c r="F1009" s="20">
        <v>141</v>
      </c>
      <c r="G1009" s="20">
        <v>1008</v>
      </c>
      <c r="H1009" s="13" t="s">
        <v>2787</v>
      </c>
      <c r="I1009" s="13" t="str">
        <f t="shared" si="30"/>
        <v>SR 822/Sheridan St (@  SR 5/US 1)</v>
      </c>
      <c r="J1009" s="13" t="s">
        <v>347</v>
      </c>
      <c r="K1009" s="13" t="str">
        <f>VLOOKUP(J1009,'Data-ProjectTypes'!A$3:B$13,2,FALSE)</f>
        <v>Project</v>
      </c>
      <c r="L1009" s="21" t="s">
        <v>26</v>
      </c>
      <c r="M1009" s="13" t="s">
        <v>2835</v>
      </c>
      <c r="N1009" s="13" t="s">
        <v>1424</v>
      </c>
      <c r="O1009" s="13" t="s">
        <v>365</v>
      </c>
      <c r="P1009" s="13" t="s">
        <v>365</v>
      </c>
      <c r="Q1009" s="72">
        <v>0</v>
      </c>
      <c r="R1009" s="23">
        <v>3056502.3571223663</v>
      </c>
      <c r="S1009" s="21" t="s">
        <v>350</v>
      </c>
      <c r="T1009" s="21"/>
      <c r="U1009" s="21"/>
      <c r="V1009" s="24"/>
      <c r="W1009" s="24" t="s">
        <v>580</v>
      </c>
      <c r="X1009" s="24"/>
      <c r="Y1009" s="17" t="s">
        <v>538</v>
      </c>
      <c r="Z1009" s="18">
        <f>ROUND(R1009*'Data-CostAssumptions'!$C$8,-3)</f>
        <v>3057000</v>
      </c>
      <c r="AA1009" s="11">
        <f t="shared" si="31"/>
        <v>1</v>
      </c>
      <c r="AB1009" s="11">
        <v>2041</v>
      </c>
      <c r="AC1009" s="11">
        <v>2041</v>
      </c>
      <c r="AD1009" s="11">
        <v>2041</v>
      </c>
      <c r="AE1009" s="11">
        <v>2041</v>
      </c>
      <c r="AF1009" s="11">
        <v>0</v>
      </c>
      <c r="AG1009" s="19">
        <f>ROUND((Z1009*'Data-CostAssumptions'!$G$5)*(1+'Data-CostAssumptions'!$G$3)^(AC1009-'Data-CostAssumptions'!$G$4),-3)</f>
        <v>1724000</v>
      </c>
      <c r="AH1009" s="19">
        <f>ROUND((Z1009)*(1+'Data-CostAssumptions'!$G$3)^(AE1009-'Data-CostAssumptions'!$G$4),-3)</f>
        <v>7838000</v>
      </c>
    </row>
    <row r="1010" spans="1:34" ht="15" customHeight="1" x14ac:dyDescent="0.2">
      <c r="A1010" s="11"/>
      <c r="B1010" s="11" t="s">
        <v>1211</v>
      </c>
      <c r="C1010" s="13">
        <v>10061</v>
      </c>
      <c r="D1010" s="13" t="s">
        <v>420</v>
      </c>
      <c r="E1010" s="20" t="s">
        <v>298</v>
      </c>
      <c r="F1010" s="20">
        <v>143</v>
      </c>
      <c r="G1010" s="20">
        <v>1009</v>
      </c>
      <c r="H1010" s="13" t="s">
        <v>2787</v>
      </c>
      <c r="I1010" s="13" t="str">
        <f t="shared" si="30"/>
        <v>SR 822/Sheridan St (@  CSX/Tri-Rail)</v>
      </c>
      <c r="J1010" s="13" t="s">
        <v>347</v>
      </c>
      <c r="K1010" s="13" t="str">
        <f>VLOOKUP(J1010,'Data-ProjectTypes'!A$3:B$13,2,FALSE)</f>
        <v>Project</v>
      </c>
      <c r="L1010" s="21" t="s">
        <v>26</v>
      </c>
      <c r="M1010" s="13" t="s">
        <v>2835</v>
      </c>
      <c r="N1010" s="13" t="s">
        <v>2904</v>
      </c>
      <c r="O1010" s="13" t="s">
        <v>365</v>
      </c>
      <c r="P1010" s="13" t="s">
        <v>365</v>
      </c>
      <c r="Q1010" s="72">
        <v>0</v>
      </c>
      <c r="R1010" s="23">
        <v>3056502.3571223663</v>
      </c>
      <c r="S1010" s="21" t="s">
        <v>350</v>
      </c>
      <c r="T1010" s="21"/>
      <c r="U1010" s="21"/>
      <c r="V1010" s="24"/>
      <c r="W1010" s="24" t="s">
        <v>580</v>
      </c>
      <c r="X1010" s="24"/>
      <c r="Y1010" s="17" t="s">
        <v>538</v>
      </c>
      <c r="Z1010" s="18">
        <f>ROUND(R1010*'Data-CostAssumptions'!$C$8,-3)</f>
        <v>3057000</v>
      </c>
      <c r="AA1010" s="11">
        <f t="shared" si="31"/>
        <v>1</v>
      </c>
      <c r="AB1010" s="11">
        <v>2041</v>
      </c>
      <c r="AC1010" s="11">
        <v>2041</v>
      </c>
      <c r="AD1010" s="11">
        <v>2041</v>
      </c>
      <c r="AE1010" s="11">
        <v>2041</v>
      </c>
      <c r="AF1010" s="11">
        <v>0</v>
      </c>
      <c r="AG1010" s="19">
        <f>ROUND((Z1010*'Data-CostAssumptions'!$G$5)*(1+'Data-CostAssumptions'!$G$3)^(AC1010-'Data-CostAssumptions'!$G$4),-3)</f>
        <v>1724000</v>
      </c>
      <c r="AH1010" s="19">
        <f>ROUND((Z1010)*(1+'Data-CostAssumptions'!$G$3)^(AE1010-'Data-CostAssumptions'!$G$4),-3)</f>
        <v>7838000</v>
      </c>
    </row>
    <row r="1011" spans="1:34" ht="15" customHeight="1" x14ac:dyDescent="0.2">
      <c r="A1011" s="11"/>
      <c r="B1011" s="11" t="s">
        <v>1211</v>
      </c>
      <c r="C1011" s="13">
        <v>10102</v>
      </c>
      <c r="D1011" s="13" t="s">
        <v>420</v>
      </c>
      <c r="E1011" s="20" t="s">
        <v>298</v>
      </c>
      <c r="F1011" s="20">
        <v>146</v>
      </c>
      <c r="G1011" s="20">
        <v>1010</v>
      </c>
      <c r="H1011" s="13" t="s">
        <v>2788</v>
      </c>
      <c r="I1011" s="13" t="str">
        <f t="shared" si="30"/>
        <v>SR 822/Sheridan St &amp; SR 7 (@  SR 7/US 441)</v>
      </c>
      <c r="J1011" s="13" t="s">
        <v>347</v>
      </c>
      <c r="K1011" s="13" t="str">
        <f>VLOOKUP(J1011,'Data-ProjectTypes'!A$3:B$13,2,FALSE)</f>
        <v>Project</v>
      </c>
      <c r="L1011" s="21" t="s">
        <v>77</v>
      </c>
      <c r="M1011" s="13" t="s">
        <v>2835</v>
      </c>
      <c r="N1011" s="13" t="s">
        <v>57</v>
      </c>
      <c r="O1011" s="13" t="s">
        <v>365</v>
      </c>
      <c r="P1011" s="13" t="s">
        <v>365</v>
      </c>
      <c r="Q1011" s="22"/>
      <c r="R1011" s="23">
        <v>718159.31568382459</v>
      </c>
      <c r="S1011" s="21" t="s">
        <v>350</v>
      </c>
      <c r="T1011" s="21"/>
      <c r="U1011" s="21"/>
      <c r="V1011" s="24"/>
      <c r="W1011" s="24" t="s">
        <v>580</v>
      </c>
      <c r="X1011" s="24"/>
      <c r="Y1011" s="17" t="s">
        <v>538</v>
      </c>
      <c r="Z1011" s="18">
        <f>ROUND(R1011*'Data-CostAssumptions'!$C$8,-3)</f>
        <v>718000</v>
      </c>
      <c r="AA1011" s="11">
        <f t="shared" si="31"/>
        <v>1</v>
      </c>
      <c r="AB1011" s="11">
        <v>2041</v>
      </c>
      <c r="AC1011" s="11">
        <v>2041</v>
      </c>
      <c r="AD1011" s="11">
        <v>2041</v>
      </c>
      <c r="AE1011" s="11">
        <v>2041</v>
      </c>
      <c r="AF1011" s="11">
        <v>0</v>
      </c>
      <c r="AG1011" s="19">
        <f>ROUND((Z1011*'Data-CostAssumptions'!$G$5)*(1+'Data-CostAssumptions'!$G$3)^(AC1011-'Data-CostAssumptions'!$G$4),-3)</f>
        <v>405000</v>
      </c>
      <c r="AH1011" s="19">
        <f>ROUND((Z1011)*(1+'Data-CostAssumptions'!$G$3)^(AE1011-'Data-CostAssumptions'!$G$4),-3)</f>
        <v>1841000</v>
      </c>
    </row>
    <row r="1012" spans="1:34" ht="15" customHeight="1" x14ac:dyDescent="0.2">
      <c r="A1012" s="11"/>
      <c r="B1012" s="11" t="s">
        <v>1211</v>
      </c>
      <c r="C1012" s="13">
        <v>10103</v>
      </c>
      <c r="D1012" s="13" t="s">
        <v>420</v>
      </c>
      <c r="E1012" s="20" t="s">
        <v>298</v>
      </c>
      <c r="F1012" s="20">
        <v>146</v>
      </c>
      <c r="G1012" s="20">
        <v>1011</v>
      </c>
      <c r="H1012" s="13" t="s">
        <v>2789</v>
      </c>
      <c r="I1012" s="13" t="str">
        <f t="shared" si="30"/>
        <v>SR 822/Sheridan St &amp; University Dr (@  University Dr)</v>
      </c>
      <c r="J1012" s="13" t="s">
        <v>347</v>
      </c>
      <c r="K1012" s="13" t="str">
        <f>VLOOKUP(J1012,'Data-ProjectTypes'!A$3:B$13,2,FALSE)</f>
        <v>Project</v>
      </c>
      <c r="L1012" s="21" t="s">
        <v>77</v>
      </c>
      <c r="M1012" s="13" t="s">
        <v>2835</v>
      </c>
      <c r="N1012" s="13" t="s">
        <v>1804</v>
      </c>
      <c r="O1012" s="13" t="s">
        <v>365</v>
      </c>
      <c r="P1012" s="13" t="s">
        <v>365</v>
      </c>
      <c r="Q1012" s="22"/>
      <c r="R1012" s="23">
        <v>718159.31568382459</v>
      </c>
      <c r="S1012" s="21" t="s">
        <v>350</v>
      </c>
      <c r="T1012" s="21"/>
      <c r="U1012" s="21"/>
      <c r="V1012" s="24"/>
      <c r="W1012" s="24" t="s">
        <v>580</v>
      </c>
      <c r="X1012" s="24"/>
      <c r="Y1012" s="17" t="s">
        <v>538</v>
      </c>
      <c r="Z1012" s="18">
        <f>ROUND(R1012*'Data-CostAssumptions'!$C$8,-3)</f>
        <v>718000</v>
      </c>
      <c r="AA1012" s="11">
        <f t="shared" si="31"/>
        <v>1</v>
      </c>
      <c r="AB1012" s="11">
        <v>2041</v>
      </c>
      <c r="AC1012" s="11">
        <v>2041</v>
      </c>
      <c r="AD1012" s="11">
        <v>2041</v>
      </c>
      <c r="AE1012" s="11">
        <v>2041</v>
      </c>
      <c r="AF1012" s="11">
        <v>0</v>
      </c>
      <c r="AG1012" s="19">
        <f>ROUND((Z1012*'Data-CostAssumptions'!$G$5)*(1+'Data-CostAssumptions'!$G$3)^(AC1012-'Data-CostAssumptions'!$G$4),-3)</f>
        <v>405000</v>
      </c>
      <c r="AH1012" s="19">
        <f>ROUND((Z1012)*(1+'Data-CostAssumptions'!$G$3)^(AE1012-'Data-CostAssumptions'!$G$4),-3)</f>
        <v>1841000</v>
      </c>
    </row>
    <row r="1013" spans="1:34" ht="15" customHeight="1" x14ac:dyDescent="0.2">
      <c r="A1013" s="11"/>
      <c r="B1013" s="11" t="s">
        <v>1211</v>
      </c>
      <c r="C1013" s="13">
        <v>10043</v>
      </c>
      <c r="D1013" s="13" t="s">
        <v>420</v>
      </c>
      <c r="E1013" s="20" t="s">
        <v>298</v>
      </c>
      <c r="F1013" s="20">
        <v>142</v>
      </c>
      <c r="G1013" s="20">
        <v>1012</v>
      </c>
      <c r="H1013" s="13" t="s">
        <v>2715</v>
      </c>
      <c r="I1013" s="13" t="str">
        <f t="shared" si="30"/>
        <v>SR 824/Pembroke Rd &amp; SR 7/US 441 (@  SR 7/US 441)</v>
      </c>
      <c r="J1013" s="13" t="s">
        <v>347</v>
      </c>
      <c r="K1013" s="13" t="str">
        <f>VLOOKUP(J1013,'Data-ProjectTypes'!A$3:B$13,2,FALSE)</f>
        <v>Project</v>
      </c>
      <c r="L1013" s="21" t="s">
        <v>77</v>
      </c>
      <c r="M1013" s="13" t="s">
        <v>2835</v>
      </c>
      <c r="N1013" s="13" t="s">
        <v>57</v>
      </c>
      <c r="O1013" s="13" t="s">
        <v>365</v>
      </c>
      <c r="P1013" s="13" t="s">
        <v>365</v>
      </c>
      <c r="Q1013" s="22"/>
      <c r="R1013" s="23">
        <v>718159.31568382459</v>
      </c>
      <c r="S1013" s="21" t="s">
        <v>24</v>
      </c>
      <c r="T1013" s="21" t="s">
        <v>684</v>
      </c>
      <c r="U1013" s="21" t="s">
        <v>684</v>
      </c>
      <c r="V1013" s="24"/>
      <c r="W1013" s="24"/>
      <c r="X1013" s="24"/>
      <c r="Y1013" s="17" t="s">
        <v>685</v>
      </c>
      <c r="Z1013" s="18">
        <f>ROUND(R1013*'Data-CostAssumptions'!$C$8,-3)</f>
        <v>718000</v>
      </c>
      <c r="AA1013" s="11">
        <f t="shared" si="31"/>
        <v>0</v>
      </c>
      <c r="AB1013" s="11">
        <v>2041</v>
      </c>
      <c r="AC1013" s="11">
        <v>2041</v>
      </c>
      <c r="AD1013" s="11">
        <v>2041</v>
      </c>
      <c r="AE1013" s="11">
        <v>2041</v>
      </c>
      <c r="AF1013" s="11">
        <v>0</v>
      </c>
      <c r="AG1013" s="19">
        <f>ROUND((Z1013*'Data-CostAssumptions'!$G$5)*(1+'Data-CostAssumptions'!$G$3)^(AC1013-'Data-CostAssumptions'!$G$4),-3)</f>
        <v>405000</v>
      </c>
      <c r="AH1013" s="19">
        <f>ROUND((Z1013)*(1+'Data-CostAssumptions'!$G$3)^(AE1013-'Data-CostAssumptions'!$G$4),-3)</f>
        <v>1841000</v>
      </c>
    </row>
    <row r="1014" spans="1:34" ht="15" customHeight="1" x14ac:dyDescent="0.2">
      <c r="A1014" s="11"/>
      <c r="B1014" s="11" t="s">
        <v>1211</v>
      </c>
      <c r="C1014" s="13">
        <v>10080</v>
      </c>
      <c r="D1014" s="13" t="s">
        <v>420</v>
      </c>
      <c r="E1014" s="20" t="s">
        <v>298</v>
      </c>
      <c r="F1014" s="20">
        <v>145</v>
      </c>
      <c r="G1014" s="20">
        <v>1013</v>
      </c>
      <c r="H1014" s="13" t="s">
        <v>2716</v>
      </c>
      <c r="I1014" s="13" t="str">
        <f t="shared" si="30"/>
        <v>SR 824/Pembroke Rd &amp; University Dr (@  University Dr)</v>
      </c>
      <c r="J1014" s="13" t="s">
        <v>347</v>
      </c>
      <c r="K1014" s="13" t="str">
        <f>VLOOKUP(J1014,'Data-ProjectTypes'!A$3:B$13,2,FALSE)</f>
        <v>Project</v>
      </c>
      <c r="L1014" s="21" t="s">
        <v>77</v>
      </c>
      <c r="M1014" s="13" t="s">
        <v>2835</v>
      </c>
      <c r="N1014" s="13" t="s">
        <v>1804</v>
      </c>
      <c r="O1014" s="13" t="s">
        <v>365</v>
      </c>
      <c r="P1014" s="13" t="s">
        <v>365</v>
      </c>
      <c r="Q1014" s="22"/>
      <c r="R1014" s="23">
        <v>718159.31568382459</v>
      </c>
      <c r="S1014" s="21" t="s">
        <v>24</v>
      </c>
      <c r="T1014" s="21" t="s">
        <v>684</v>
      </c>
      <c r="U1014" s="21" t="s">
        <v>684</v>
      </c>
      <c r="V1014" s="24"/>
      <c r="W1014" s="24"/>
      <c r="X1014" s="24"/>
      <c r="Y1014" s="17" t="s">
        <v>685</v>
      </c>
      <c r="Z1014" s="18">
        <f>ROUND(R1014*'Data-CostAssumptions'!$C$8,-3)</f>
        <v>718000</v>
      </c>
      <c r="AA1014" s="11">
        <f t="shared" si="31"/>
        <v>0</v>
      </c>
      <c r="AB1014" s="11">
        <v>2041</v>
      </c>
      <c r="AC1014" s="11">
        <v>2041</v>
      </c>
      <c r="AD1014" s="11">
        <v>2041</v>
      </c>
      <c r="AE1014" s="11">
        <v>2041</v>
      </c>
      <c r="AF1014" s="11">
        <v>0</v>
      </c>
      <c r="AG1014" s="19">
        <f>ROUND((Z1014*'Data-CostAssumptions'!$G$5)*(1+'Data-CostAssumptions'!$G$3)^(AC1014-'Data-CostAssumptions'!$G$4),-3)</f>
        <v>405000</v>
      </c>
      <c r="AH1014" s="19">
        <f>ROUND((Z1014)*(1+'Data-CostAssumptions'!$G$3)^(AE1014-'Data-CostAssumptions'!$G$4),-3)</f>
        <v>1841000</v>
      </c>
    </row>
    <row r="1015" spans="1:34" ht="15" customHeight="1" x14ac:dyDescent="0.2">
      <c r="A1015" s="11"/>
      <c r="B1015" s="11" t="s">
        <v>1211</v>
      </c>
      <c r="C1015" s="13">
        <v>10033</v>
      </c>
      <c r="D1015" s="13" t="s">
        <v>420</v>
      </c>
      <c r="E1015" s="20" t="s">
        <v>298</v>
      </c>
      <c r="F1015" s="20">
        <v>141</v>
      </c>
      <c r="G1015" s="20">
        <v>1014</v>
      </c>
      <c r="H1015" s="13" t="s">
        <v>2791</v>
      </c>
      <c r="I1015" s="13" t="str">
        <f t="shared" si="30"/>
        <v>SR 824/Pembroke Rd &amp; US 1 (@  SR 5/US 1)</v>
      </c>
      <c r="J1015" s="13" t="s">
        <v>347</v>
      </c>
      <c r="K1015" s="13" t="str">
        <f>VLOOKUP(J1015,'Data-ProjectTypes'!A$3:B$13,2,FALSE)</f>
        <v>Project</v>
      </c>
      <c r="L1015" s="21" t="s">
        <v>77</v>
      </c>
      <c r="M1015" s="13" t="s">
        <v>2835</v>
      </c>
      <c r="N1015" s="13" t="s">
        <v>1424</v>
      </c>
      <c r="O1015" s="13" t="s">
        <v>365</v>
      </c>
      <c r="P1015" s="13" t="s">
        <v>365</v>
      </c>
      <c r="Q1015" s="22"/>
      <c r="R1015" s="23">
        <v>718159.31568382459</v>
      </c>
      <c r="S1015" s="21" t="s">
        <v>24</v>
      </c>
      <c r="T1015" s="21" t="s">
        <v>25</v>
      </c>
      <c r="U1015" s="21"/>
      <c r="V1015" s="24"/>
      <c r="W1015" s="24" t="s">
        <v>518</v>
      </c>
      <c r="X1015" s="24"/>
      <c r="Y1015" s="17" t="s">
        <v>297</v>
      </c>
      <c r="Z1015" s="18">
        <f>ROUND(R1015*'Data-CostAssumptions'!$C$8,-3)</f>
        <v>718000</v>
      </c>
      <c r="AA1015" s="11">
        <f t="shared" si="31"/>
        <v>1</v>
      </c>
      <c r="AB1015" s="11">
        <v>2041</v>
      </c>
      <c r="AC1015" s="11">
        <v>2041</v>
      </c>
      <c r="AD1015" s="11">
        <v>2041</v>
      </c>
      <c r="AE1015" s="11">
        <v>2041</v>
      </c>
      <c r="AF1015" s="11">
        <v>0</v>
      </c>
      <c r="AG1015" s="19">
        <f>ROUND((Z1015*'Data-CostAssumptions'!$G$5)*(1+'Data-CostAssumptions'!$G$3)^(AC1015-'Data-CostAssumptions'!$G$4),-3)</f>
        <v>405000</v>
      </c>
      <c r="AH1015" s="19">
        <f>ROUND((Z1015)*(1+'Data-CostAssumptions'!$G$3)^(AE1015-'Data-CostAssumptions'!$G$4),-3)</f>
        <v>1841000</v>
      </c>
    </row>
    <row r="1016" spans="1:34" ht="15" customHeight="1" x14ac:dyDescent="0.2">
      <c r="A1016" s="11"/>
      <c r="B1016" s="11" t="s">
        <v>1211</v>
      </c>
      <c r="C1016" s="13">
        <v>10014</v>
      </c>
      <c r="D1016" s="13" t="s">
        <v>420</v>
      </c>
      <c r="E1016" s="20" t="s">
        <v>298</v>
      </c>
      <c r="F1016" s="20">
        <v>140</v>
      </c>
      <c r="G1016" s="20">
        <v>1015</v>
      </c>
      <c r="H1016" s="13" t="s">
        <v>2793</v>
      </c>
      <c r="I1016" s="13" t="str">
        <f t="shared" si="30"/>
        <v>SR 834/Sample Rd (@  SR 7/US 441)</v>
      </c>
      <c r="J1016" s="13" t="s">
        <v>347</v>
      </c>
      <c r="K1016" s="13" t="str">
        <f>VLOOKUP(J1016,'Data-ProjectTypes'!A$3:B$13,2,FALSE)</f>
        <v>Project</v>
      </c>
      <c r="L1016" s="21" t="s">
        <v>85</v>
      </c>
      <c r="M1016" s="13" t="s">
        <v>2835</v>
      </c>
      <c r="N1016" s="13" t="s">
        <v>57</v>
      </c>
      <c r="O1016" s="13" t="s">
        <v>365</v>
      </c>
      <c r="P1016" s="13" t="s">
        <v>365</v>
      </c>
      <c r="Q1016" s="22"/>
      <c r="R1016" s="23">
        <v>10325069.532431994</v>
      </c>
      <c r="S1016" s="21"/>
      <c r="T1016" s="21"/>
      <c r="U1016" s="21"/>
      <c r="V1016" s="24"/>
      <c r="W1016" s="24"/>
      <c r="X1016" s="24"/>
      <c r="Y1016" s="17"/>
      <c r="Z1016" s="18">
        <f>ROUND(R1016*'Data-CostAssumptions'!$C$8,-3)</f>
        <v>10325000</v>
      </c>
      <c r="AA1016" s="11">
        <f t="shared" si="31"/>
        <v>0</v>
      </c>
      <c r="AB1016" s="11">
        <v>2041</v>
      </c>
      <c r="AC1016" s="11">
        <v>2041</v>
      </c>
      <c r="AD1016" s="11">
        <v>2041</v>
      </c>
      <c r="AE1016" s="11">
        <v>2041</v>
      </c>
      <c r="AF1016" s="11">
        <v>0</v>
      </c>
      <c r="AG1016" s="19">
        <f>ROUND((Z1016*'Data-CostAssumptions'!$G$5)*(1+'Data-CostAssumptions'!$G$3)^(AC1016-'Data-CostAssumptions'!$G$4),-3)</f>
        <v>5824000</v>
      </c>
      <c r="AH1016" s="19">
        <f>ROUND((Z1016)*(1+'Data-CostAssumptions'!$G$3)^(AE1016-'Data-CostAssumptions'!$G$4),-3)</f>
        <v>26473000</v>
      </c>
    </row>
    <row r="1017" spans="1:34" ht="15" customHeight="1" x14ac:dyDescent="0.2">
      <c r="A1017" s="11"/>
      <c r="B1017" s="11" t="s">
        <v>1211</v>
      </c>
      <c r="C1017" s="13">
        <v>10015</v>
      </c>
      <c r="D1017" s="13" t="s">
        <v>420</v>
      </c>
      <c r="E1017" s="20" t="s">
        <v>298</v>
      </c>
      <c r="F1017" s="20">
        <v>140</v>
      </c>
      <c r="G1017" s="20">
        <v>1016</v>
      </c>
      <c r="H1017" s="13" t="s">
        <v>2793</v>
      </c>
      <c r="I1017" s="13" t="str">
        <f t="shared" si="30"/>
        <v>SR 834/Sample Rd (@  University Dr)</v>
      </c>
      <c r="J1017" s="13" t="s">
        <v>347</v>
      </c>
      <c r="K1017" s="13" t="str">
        <f>VLOOKUP(J1017,'Data-ProjectTypes'!A$3:B$13,2,FALSE)</f>
        <v>Project</v>
      </c>
      <c r="L1017" s="21" t="s">
        <v>85</v>
      </c>
      <c r="M1017" s="13" t="s">
        <v>2835</v>
      </c>
      <c r="N1017" s="13" t="s">
        <v>1804</v>
      </c>
      <c r="O1017" s="13" t="s">
        <v>365</v>
      </c>
      <c r="P1017" s="13" t="s">
        <v>365</v>
      </c>
      <c r="Q1017" s="22"/>
      <c r="R1017" s="23">
        <v>10325069.532431994</v>
      </c>
      <c r="S1017" s="21" t="s">
        <v>24</v>
      </c>
      <c r="T1017" s="21"/>
      <c r="U1017" s="21"/>
      <c r="V1017" s="24"/>
      <c r="W1017" s="24"/>
      <c r="X1017" s="24"/>
      <c r="Y1017" s="17" t="s">
        <v>460</v>
      </c>
      <c r="Z1017" s="18">
        <f>ROUND(R1017*'Data-CostAssumptions'!$C$8,-3)</f>
        <v>10325000</v>
      </c>
      <c r="AA1017" s="11">
        <f t="shared" si="31"/>
        <v>0</v>
      </c>
      <c r="AB1017" s="11">
        <v>2041</v>
      </c>
      <c r="AC1017" s="11">
        <v>2041</v>
      </c>
      <c r="AD1017" s="11">
        <v>2041</v>
      </c>
      <c r="AE1017" s="11">
        <v>2041</v>
      </c>
      <c r="AF1017" s="11">
        <v>0</v>
      </c>
      <c r="AG1017" s="19">
        <f>ROUND((Z1017*'Data-CostAssumptions'!$G$5)*(1+'Data-CostAssumptions'!$G$3)^(AC1017-'Data-CostAssumptions'!$G$4),-3)</f>
        <v>5824000</v>
      </c>
      <c r="AH1017" s="19">
        <f>ROUND((Z1017)*(1+'Data-CostAssumptions'!$G$3)^(AE1017-'Data-CostAssumptions'!$G$4),-3)</f>
        <v>26473000</v>
      </c>
    </row>
    <row r="1018" spans="1:34" ht="15" customHeight="1" x14ac:dyDescent="0.2">
      <c r="A1018" s="11"/>
      <c r="B1018" s="11" t="s">
        <v>1211</v>
      </c>
      <c r="C1018" s="13">
        <v>10070</v>
      </c>
      <c r="D1018" s="13" t="s">
        <v>420</v>
      </c>
      <c r="E1018" s="20" t="s">
        <v>298</v>
      </c>
      <c r="F1018" s="20">
        <v>144</v>
      </c>
      <c r="G1018" s="20">
        <v>1017</v>
      </c>
      <c r="H1018" s="13" t="s">
        <v>2793</v>
      </c>
      <c r="I1018" s="13" t="str">
        <f t="shared" si="30"/>
        <v>SR 834/Sample Rd (@  CSX/Tri-Rail)</v>
      </c>
      <c r="J1018" s="13" t="s">
        <v>347</v>
      </c>
      <c r="K1018" s="13" t="str">
        <f>VLOOKUP(J1018,'Data-ProjectTypes'!A$3:B$13,2,FALSE)</f>
        <v>Project</v>
      </c>
      <c r="L1018" s="21" t="s">
        <v>26</v>
      </c>
      <c r="M1018" s="13" t="s">
        <v>2835</v>
      </c>
      <c r="N1018" s="13" t="s">
        <v>2904</v>
      </c>
      <c r="O1018" s="13" t="s">
        <v>365</v>
      </c>
      <c r="P1018" s="13" t="s">
        <v>365</v>
      </c>
      <c r="Q1018" s="72">
        <v>0</v>
      </c>
      <c r="R1018" s="23">
        <v>3056502.3571223663</v>
      </c>
      <c r="S1018" s="21"/>
      <c r="T1018" s="21"/>
      <c r="U1018" s="21"/>
      <c r="V1018" s="24"/>
      <c r="W1018" s="24"/>
      <c r="X1018" s="24"/>
      <c r="Y1018" s="17"/>
      <c r="Z1018" s="18">
        <f>ROUND(R1018*'Data-CostAssumptions'!$C$8,-3)</f>
        <v>3057000</v>
      </c>
      <c r="AA1018" s="11">
        <f t="shared" si="31"/>
        <v>0</v>
      </c>
      <c r="AB1018" s="11">
        <v>2041</v>
      </c>
      <c r="AC1018" s="11">
        <v>2041</v>
      </c>
      <c r="AD1018" s="11">
        <v>2041</v>
      </c>
      <c r="AE1018" s="11">
        <v>2041</v>
      </c>
      <c r="AF1018" s="11">
        <v>0</v>
      </c>
      <c r="AG1018" s="19">
        <f>ROUND((Z1018*'Data-CostAssumptions'!$G$5)*(1+'Data-CostAssumptions'!$G$3)^(AC1018-'Data-CostAssumptions'!$G$4),-3)</f>
        <v>1724000</v>
      </c>
      <c r="AH1018" s="19">
        <f>ROUND((Z1018)*(1+'Data-CostAssumptions'!$G$3)^(AE1018-'Data-CostAssumptions'!$G$4),-3)</f>
        <v>7838000</v>
      </c>
    </row>
    <row r="1019" spans="1:34" ht="15" customHeight="1" x14ac:dyDescent="0.2">
      <c r="A1019" s="11"/>
      <c r="B1019" s="11" t="s">
        <v>1211</v>
      </c>
      <c r="C1019" s="11">
        <v>10186</v>
      </c>
      <c r="D1019" s="13" t="s">
        <v>420</v>
      </c>
      <c r="E1019" s="14"/>
      <c r="F1019" s="14">
        <v>137</v>
      </c>
      <c r="G1019" s="20">
        <v>1018</v>
      </c>
      <c r="H1019" s="13" t="s">
        <v>2793</v>
      </c>
      <c r="I1019" s="13" t="str">
        <f t="shared" si="30"/>
        <v>SR 834/Sample Rd ( to )</v>
      </c>
      <c r="J1019" s="11" t="s">
        <v>347</v>
      </c>
      <c r="K1019" s="13" t="str">
        <f>VLOOKUP(J1019,'Data-ProjectTypes'!A$3:B$13,2,FALSE)</f>
        <v>Project</v>
      </c>
      <c r="L1019" s="11" t="s">
        <v>405</v>
      </c>
      <c r="M1019" s="11"/>
      <c r="N1019" s="11"/>
      <c r="O1019" s="13" t="s">
        <v>365</v>
      </c>
      <c r="P1019" s="13" t="s">
        <v>365</v>
      </c>
      <c r="Q1019" s="15"/>
      <c r="R1019" s="16">
        <v>211153600</v>
      </c>
      <c r="S1019" s="11"/>
      <c r="T1019" s="11"/>
      <c r="U1019" s="11"/>
      <c r="V1019" s="11"/>
      <c r="W1019" s="11"/>
      <c r="X1019" s="11"/>
      <c r="Y1019" s="17"/>
      <c r="Z1019" s="18">
        <f>ROUND(R1019*'Data-CostAssumptions'!$C$8,-3)</f>
        <v>211154000</v>
      </c>
      <c r="AA1019" s="11">
        <f t="shared" si="31"/>
        <v>0</v>
      </c>
      <c r="AB1019" s="11">
        <v>2041</v>
      </c>
      <c r="AC1019" s="11">
        <v>2041</v>
      </c>
      <c r="AD1019" s="11">
        <v>2041</v>
      </c>
      <c r="AE1019" s="11">
        <v>2041</v>
      </c>
      <c r="AF1019" s="11">
        <v>0</v>
      </c>
      <c r="AG1019" s="19">
        <f>ROUND((Z1019*'Data-CostAssumptions'!$G$5)*(1+'Data-CostAssumptions'!$G$3)^(AC1019-'Data-CostAssumptions'!$G$4),-3)</f>
        <v>119105000</v>
      </c>
      <c r="AH1019" s="19">
        <f>ROUND((Z1019)*(1+'Data-CostAssumptions'!$G$3)^(AE1019-'Data-CostAssumptions'!$G$4),-3)</f>
        <v>541388000</v>
      </c>
    </row>
    <row r="1020" spans="1:34" ht="15" customHeight="1" x14ac:dyDescent="0.2">
      <c r="A1020" s="11"/>
      <c r="B1020" s="11" t="s">
        <v>1211</v>
      </c>
      <c r="C1020" s="13">
        <v>10095</v>
      </c>
      <c r="D1020" s="13" t="s">
        <v>420</v>
      </c>
      <c r="E1020" s="20" t="s">
        <v>298</v>
      </c>
      <c r="F1020" s="20">
        <v>146</v>
      </c>
      <c r="G1020" s="20">
        <v>1019</v>
      </c>
      <c r="H1020" s="13" t="s">
        <v>2794</v>
      </c>
      <c r="I1020" s="13" t="str">
        <f t="shared" si="30"/>
        <v>SR 834/Sample Rd &amp; Coral Ridge Dr (@  Coral Ridge Dr)</v>
      </c>
      <c r="J1020" s="13" t="s">
        <v>347</v>
      </c>
      <c r="K1020" s="13" t="str">
        <f>VLOOKUP(J1020,'Data-ProjectTypes'!A$3:B$13,2,FALSE)</f>
        <v>Project</v>
      </c>
      <c r="L1020" s="21" t="s">
        <v>77</v>
      </c>
      <c r="M1020" s="13" t="s">
        <v>2835</v>
      </c>
      <c r="N1020" s="13" t="s">
        <v>1786</v>
      </c>
      <c r="O1020" s="13" t="s">
        <v>365</v>
      </c>
      <c r="P1020" s="13" t="s">
        <v>365</v>
      </c>
      <c r="Q1020" s="22"/>
      <c r="R1020" s="23">
        <v>718159.31568382459</v>
      </c>
      <c r="S1020" s="21" t="s">
        <v>24</v>
      </c>
      <c r="T1020" s="21"/>
      <c r="U1020" s="21"/>
      <c r="V1020" s="24"/>
      <c r="W1020" s="24"/>
      <c r="X1020" s="24"/>
      <c r="Y1020" s="17" t="s">
        <v>460</v>
      </c>
      <c r="Z1020" s="18">
        <f>ROUND(R1020*'Data-CostAssumptions'!$C$8,-3)</f>
        <v>718000</v>
      </c>
      <c r="AA1020" s="11">
        <f t="shared" si="31"/>
        <v>0</v>
      </c>
      <c r="AB1020" s="11">
        <v>2041</v>
      </c>
      <c r="AC1020" s="11">
        <v>2041</v>
      </c>
      <c r="AD1020" s="11">
        <v>2041</v>
      </c>
      <c r="AE1020" s="11">
        <v>2041</v>
      </c>
      <c r="AF1020" s="11">
        <v>0</v>
      </c>
      <c r="AG1020" s="19">
        <f>ROUND((Z1020*'Data-CostAssumptions'!$G$5)*(1+'Data-CostAssumptions'!$G$3)^(AC1020-'Data-CostAssumptions'!$G$4),-3)</f>
        <v>405000</v>
      </c>
      <c r="AH1020" s="19">
        <f>ROUND((Z1020)*(1+'Data-CostAssumptions'!$G$3)^(AE1020-'Data-CostAssumptions'!$G$4),-3)</f>
        <v>1841000</v>
      </c>
    </row>
    <row r="1021" spans="1:34" ht="15" customHeight="1" x14ac:dyDescent="0.2">
      <c r="A1021" s="11"/>
      <c r="B1021" s="11" t="s">
        <v>1211</v>
      </c>
      <c r="C1021" s="13">
        <v>10044</v>
      </c>
      <c r="D1021" s="13" t="s">
        <v>420</v>
      </c>
      <c r="E1021" s="20" t="s">
        <v>298</v>
      </c>
      <c r="F1021" s="20">
        <v>142</v>
      </c>
      <c r="G1021" s="20">
        <v>1020</v>
      </c>
      <c r="H1021" s="13" t="s">
        <v>2795</v>
      </c>
      <c r="I1021" s="13" t="str">
        <f t="shared" si="30"/>
        <v>SR 834/Sample Rd &amp; Lyons Rd (@  Lyons Rd)</v>
      </c>
      <c r="J1021" s="13" t="s">
        <v>347</v>
      </c>
      <c r="K1021" s="13" t="str">
        <f>VLOOKUP(J1021,'Data-ProjectTypes'!A$3:B$13,2,FALSE)</f>
        <v>Project</v>
      </c>
      <c r="L1021" s="21" t="s">
        <v>77</v>
      </c>
      <c r="M1021" s="13" t="s">
        <v>2835</v>
      </c>
      <c r="N1021" s="13" t="s">
        <v>1754</v>
      </c>
      <c r="O1021" s="13" t="s">
        <v>365</v>
      </c>
      <c r="P1021" s="13" t="s">
        <v>365</v>
      </c>
      <c r="Q1021" s="22"/>
      <c r="R1021" s="23">
        <v>718159.31568382459</v>
      </c>
      <c r="S1021" s="21"/>
      <c r="T1021" s="21"/>
      <c r="U1021" s="21"/>
      <c r="V1021" s="24"/>
      <c r="W1021" s="24"/>
      <c r="X1021" s="24"/>
      <c r="Y1021" s="17"/>
      <c r="Z1021" s="18">
        <f>ROUND(R1021*'Data-CostAssumptions'!$C$8,-3)</f>
        <v>718000</v>
      </c>
      <c r="AA1021" s="11">
        <f t="shared" si="31"/>
        <v>0</v>
      </c>
      <c r="AB1021" s="11">
        <v>2041</v>
      </c>
      <c r="AC1021" s="11">
        <v>2041</v>
      </c>
      <c r="AD1021" s="11">
        <v>2041</v>
      </c>
      <c r="AE1021" s="11">
        <v>2041</v>
      </c>
      <c r="AF1021" s="11">
        <v>0</v>
      </c>
      <c r="AG1021" s="19">
        <f>ROUND((Z1021*'Data-CostAssumptions'!$G$5)*(1+'Data-CostAssumptions'!$G$3)^(AC1021-'Data-CostAssumptions'!$G$4),-3)</f>
        <v>405000</v>
      </c>
      <c r="AH1021" s="19">
        <f>ROUND((Z1021)*(1+'Data-CostAssumptions'!$G$3)^(AE1021-'Data-CostAssumptions'!$G$4),-3)</f>
        <v>1841000</v>
      </c>
    </row>
    <row r="1022" spans="1:34" ht="15" customHeight="1" x14ac:dyDescent="0.2">
      <c r="A1022" s="11"/>
      <c r="B1022" s="11" t="s">
        <v>1211</v>
      </c>
      <c r="C1022" s="13">
        <v>10108</v>
      </c>
      <c r="D1022" s="13" t="s">
        <v>420</v>
      </c>
      <c r="E1022" s="20" t="s">
        <v>298</v>
      </c>
      <c r="F1022" s="20">
        <v>146</v>
      </c>
      <c r="G1022" s="20">
        <v>1021</v>
      </c>
      <c r="H1022" s="13" t="s">
        <v>2796</v>
      </c>
      <c r="I1022" s="13" t="str">
        <f t="shared" si="30"/>
        <v>SR 834/Sample Rd &amp; Sportsplex Dr (@  Sportsplex Dr)</v>
      </c>
      <c r="J1022" s="13" t="s">
        <v>347</v>
      </c>
      <c r="K1022" s="13" t="str">
        <f>VLOOKUP(J1022,'Data-ProjectTypes'!A$3:B$13,2,FALSE)</f>
        <v>Project</v>
      </c>
      <c r="L1022" s="21" t="s">
        <v>77</v>
      </c>
      <c r="M1022" s="13" t="s">
        <v>2835</v>
      </c>
      <c r="N1022" s="13" t="s">
        <v>1802</v>
      </c>
      <c r="O1022" s="13" t="s">
        <v>365</v>
      </c>
      <c r="P1022" s="13" t="s">
        <v>365</v>
      </c>
      <c r="Q1022" s="22"/>
      <c r="R1022" s="23">
        <v>718159.31568382459</v>
      </c>
      <c r="S1022" s="21" t="s">
        <v>24</v>
      </c>
      <c r="T1022" s="21"/>
      <c r="U1022" s="21"/>
      <c r="V1022" s="24"/>
      <c r="W1022" s="24"/>
      <c r="X1022" s="24"/>
      <c r="Y1022" s="17" t="s">
        <v>460</v>
      </c>
      <c r="Z1022" s="18">
        <f>ROUND(R1022*'Data-CostAssumptions'!$C$8,-3)</f>
        <v>718000</v>
      </c>
      <c r="AA1022" s="11">
        <f t="shared" si="31"/>
        <v>0</v>
      </c>
      <c r="AB1022" s="11">
        <v>2041</v>
      </c>
      <c r="AC1022" s="11">
        <v>2041</v>
      </c>
      <c r="AD1022" s="11">
        <v>2041</v>
      </c>
      <c r="AE1022" s="11">
        <v>2041</v>
      </c>
      <c r="AF1022" s="11">
        <v>0</v>
      </c>
      <c r="AG1022" s="19">
        <f>ROUND((Z1022*'Data-CostAssumptions'!$G$5)*(1+'Data-CostAssumptions'!$G$3)^(AC1022-'Data-CostAssumptions'!$G$4),-3)</f>
        <v>405000</v>
      </c>
      <c r="AH1022" s="19">
        <f>ROUND((Z1022)*(1+'Data-CostAssumptions'!$G$3)^(AE1022-'Data-CostAssumptions'!$G$4),-3)</f>
        <v>1841000</v>
      </c>
    </row>
    <row r="1023" spans="1:34" ht="15" customHeight="1" x14ac:dyDescent="0.2">
      <c r="A1023" s="11"/>
      <c r="B1023" s="11" t="s">
        <v>1211</v>
      </c>
      <c r="C1023" s="13">
        <v>10079</v>
      </c>
      <c r="D1023" s="13" t="s">
        <v>420</v>
      </c>
      <c r="E1023" s="20" t="s">
        <v>298</v>
      </c>
      <c r="F1023" s="20">
        <v>144</v>
      </c>
      <c r="G1023" s="20">
        <v>1022</v>
      </c>
      <c r="H1023" s="13" t="s">
        <v>2797</v>
      </c>
      <c r="I1023" s="13" t="str">
        <f t="shared" si="30"/>
        <v>SR 834/Sample Rd &amp; US 1 (@  SR 5/US 1)</v>
      </c>
      <c r="J1023" s="13" t="s">
        <v>347</v>
      </c>
      <c r="K1023" s="13" t="str">
        <f>VLOOKUP(J1023,'Data-ProjectTypes'!A$3:B$13,2,FALSE)</f>
        <v>Project</v>
      </c>
      <c r="L1023" s="21" t="s">
        <v>77</v>
      </c>
      <c r="M1023" s="13" t="s">
        <v>2835</v>
      </c>
      <c r="N1023" s="13" t="s">
        <v>1424</v>
      </c>
      <c r="O1023" s="13" t="s">
        <v>365</v>
      </c>
      <c r="P1023" s="13" t="s">
        <v>365</v>
      </c>
      <c r="Q1023" s="22"/>
      <c r="R1023" s="23">
        <v>718159.31568382459</v>
      </c>
      <c r="S1023" s="21"/>
      <c r="T1023" s="21"/>
      <c r="U1023" s="21"/>
      <c r="V1023" s="24"/>
      <c r="W1023" s="24" t="s">
        <v>678</v>
      </c>
      <c r="X1023" s="24"/>
      <c r="Y1023" s="17" t="s">
        <v>670</v>
      </c>
      <c r="Z1023" s="18">
        <f>ROUND(R1023*'Data-CostAssumptions'!$C$8,-3)</f>
        <v>718000</v>
      </c>
      <c r="AA1023" s="11">
        <f t="shared" si="31"/>
        <v>1</v>
      </c>
      <c r="AB1023" s="11">
        <v>2041</v>
      </c>
      <c r="AC1023" s="11">
        <v>2041</v>
      </c>
      <c r="AD1023" s="11">
        <v>2041</v>
      </c>
      <c r="AE1023" s="11">
        <v>2041</v>
      </c>
      <c r="AF1023" s="11">
        <v>0</v>
      </c>
      <c r="AG1023" s="19">
        <f>ROUND((Z1023*'Data-CostAssumptions'!$G$5)*(1+'Data-CostAssumptions'!$G$3)^(AC1023-'Data-CostAssumptions'!$G$4),-3)</f>
        <v>405000</v>
      </c>
      <c r="AH1023" s="19">
        <f>ROUND((Z1023)*(1+'Data-CostAssumptions'!$G$3)^(AE1023-'Data-CostAssumptions'!$G$4),-3)</f>
        <v>1841000</v>
      </c>
    </row>
    <row r="1024" spans="1:34" ht="15" customHeight="1" x14ac:dyDescent="0.2">
      <c r="A1024" s="11"/>
      <c r="B1024" s="11" t="s">
        <v>1211</v>
      </c>
      <c r="C1024" s="13">
        <v>10016</v>
      </c>
      <c r="D1024" s="13" t="s">
        <v>420</v>
      </c>
      <c r="E1024" s="20" t="s">
        <v>298</v>
      </c>
      <c r="F1024" s="20">
        <v>140</v>
      </c>
      <c r="G1024" s="20">
        <v>1023</v>
      </c>
      <c r="H1024" s="13" t="s">
        <v>2728</v>
      </c>
      <c r="I1024" s="13" t="str">
        <f t="shared" si="30"/>
        <v>SR 838/Sunrise Bl (@  SR 7/US 441)</v>
      </c>
      <c r="J1024" s="13" t="s">
        <v>347</v>
      </c>
      <c r="K1024" s="13" t="str">
        <f>VLOOKUP(J1024,'Data-ProjectTypes'!A$3:B$13,2,FALSE)</f>
        <v>Project</v>
      </c>
      <c r="L1024" s="21" t="s">
        <v>85</v>
      </c>
      <c r="M1024" s="13" t="s">
        <v>2835</v>
      </c>
      <c r="N1024" s="13" t="s">
        <v>57</v>
      </c>
      <c r="O1024" s="13" t="s">
        <v>365</v>
      </c>
      <c r="P1024" s="13" t="s">
        <v>365</v>
      </c>
      <c r="Q1024" s="22"/>
      <c r="R1024" s="23">
        <v>9426949.8170891684</v>
      </c>
      <c r="S1024" s="21"/>
      <c r="T1024" s="21"/>
      <c r="U1024" s="21"/>
      <c r="V1024" s="24"/>
      <c r="W1024" s="24"/>
      <c r="X1024" s="24"/>
      <c r="Y1024" s="17"/>
      <c r="Z1024" s="18">
        <f>ROUND(R1024*'Data-CostAssumptions'!$C$8,-3)</f>
        <v>9427000</v>
      </c>
      <c r="AA1024" s="11">
        <f t="shared" si="31"/>
        <v>0</v>
      </c>
      <c r="AB1024" s="11">
        <v>2041</v>
      </c>
      <c r="AC1024" s="11">
        <v>2041</v>
      </c>
      <c r="AD1024" s="11">
        <v>2041</v>
      </c>
      <c r="AE1024" s="11">
        <v>2041</v>
      </c>
      <c r="AF1024" s="11">
        <v>0</v>
      </c>
      <c r="AG1024" s="19">
        <f>ROUND((Z1024*'Data-CostAssumptions'!$G$5)*(1+'Data-CostAssumptions'!$G$3)^(AC1024-'Data-CostAssumptions'!$G$4),-3)</f>
        <v>5317000</v>
      </c>
      <c r="AH1024" s="19">
        <f>ROUND((Z1024)*(1+'Data-CostAssumptions'!$G$3)^(AE1024-'Data-CostAssumptions'!$G$4),-3)</f>
        <v>24170000</v>
      </c>
    </row>
    <row r="1025" spans="1:34" ht="15" customHeight="1" x14ac:dyDescent="0.2">
      <c r="A1025" s="11"/>
      <c r="B1025" s="11" t="s">
        <v>1211</v>
      </c>
      <c r="C1025" s="13">
        <v>10031</v>
      </c>
      <c r="D1025" s="13" t="s">
        <v>420</v>
      </c>
      <c r="E1025" s="20" t="s">
        <v>298</v>
      </c>
      <c r="F1025" s="20">
        <v>141</v>
      </c>
      <c r="G1025" s="20">
        <v>1024</v>
      </c>
      <c r="H1025" s="13" t="s">
        <v>2728</v>
      </c>
      <c r="I1025" s="13" t="str">
        <f t="shared" si="30"/>
        <v>SR 838/Sunrise Bl (@  Andrews Av)</v>
      </c>
      <c r="J1025" s="13" t="s">
        <v>347</v>
      </c>
      <c r="K1025" s="13" t="str">
        <f>VLOOKUP(J1025,'Data-ProjectTypes'!A$3:B$13,2,FALSE)</f>
        <v>Project</v>
      </c>
      <c r="L1025" s="21" t="s">
        <v>26</v>
      </c>
      <c r="M1025" s="13" t="s">
        <v>2835</v>
      </c>
      <c r="N1025" s="11" t="s">
        <v>2014</v>
      </c>
      <c r="O1025" s="13" t="s">
        <v>365</v>
      </c>
      <c r="P1025" s="13" t="s">
        <v>365</v>
      </c>
      <c r="Q1025" s="72">
        <v>0</v>
      </c>
      <c r="R1025" s="23">
        <v>3056502.3571223663</v>
      </c>
      <c r="S1025" s="21"/>
      <c r="T1025" s="21"/>
      <c r="U1025" s="21"/>
      <c r="V1025" s="24"/>
      <c r="W1025" s="24"/>
      <c r="X1025" s="24"/>
      <c r="Y1025" s="17"/>
      <c r="Z1025" s="18">
        <f>ROUND(R1025*'Data-CostAssumptions'!$C$8,-3)</f>
        <v>3057000</v>
      </c>
      <c r="AA1025" s="11">
        <f t="shared" si="31"/>
        <v>0</v>
      </c>
      <c r="AB1025" s="11">
        <v>2041</v>
      </c>
      <c r="AC1025" s="11">
        <v>2041</v>
      </c>
      <c r="AD1025" s="11">
        <v>2041</v>
      </c>
      <c r="AE1025" s="11">
        <v>2041</v>
      </c>
      <c r="AF1025" s="11">
        <v>0</v>
      </c>
      <c r="AG1025" s="19">
        <f>ROUND((Z1025*'Data-CostAssumptions'!$G$5)*(1+'Data-CostAssumptions'!$G$3)^(AC1025-'Data-CostAssumptions'!$G$4),-3)</f>
        <v>1724000</v>
      </c>
      <c r="AH1025" s="19">
        <f>ROUND((Z1025)*(1+'Data-CostAssumptions'!$G$3)^(AE1025-'Data-CostAssumptions'!$G$4),-3)</f>
        <v>7838000</v>
      </c>
    </row>
    <row r="1026" spans="1:34" ht="15" customHeight="1" x14ac:dyDescent="0.2">
      <c r="A1026" s="11"/>
      <c r="B1026" s="11" t="s">
        <v>1211</v>
      </c>
      <c r="C1026" s="11">
        <v>10182</v>
      </c>
      <c r="D1026" s="13" t="s">
        <v>420</v>
      </c>
      <c r="E1026" s="14"/>
      <c r="F1026" s="14">
        <v>137</v>
      </c>
      <c r="G1026" s="20">
        <v>1025</v>
      </c>
      <c r="H1026" s="13" t="s">
        <v>2728</v>
      </c>
      <c r="I1026" s="13" t="str">
        <f t="shared" ref="I1026:I1089" si="32">IF(M1026="@",H1026&amp;" ("&amp;M1026&amp;"  "&amp;N1026&amp;")",H1026&amp;" ("&amp;M1026&amp;" to "&amp;N1026&amp;")")</f>
        <v>SR 838/Sunrise Bl ( to )</v>
      </c>
      <c r="J1026" s="11" t="s">
        <v>347</v>
      </c>
      <c r="K1026" s="13" t="str">
        <f>VLOOKUP(J1026,'Data-ProjectTypes'!A$3:B$13,2,FALSE)</f>
        <v>Project</v>
      </c>
      <c r="L1026" s="11" t="s">
        <v>405</v>
      </c>
      <c r="M1026" s="11"/>
      <c r="N1026" s="11"/>
      <c r="O1026" s="13" t="s">
        <v>365</v>
      </c>
      <c r="P1026" s="13" t="s">
        <v>365</v>
      </c>
      <c r="Q1026" s="15"/>
      <c r="R1026" s="16">
        <v>259210000</v>
      </c>
      <c r="S1026" s="11"/>
      <c r="T1026" s="11"/>
      <c r="U1026" s="11"/>
      <c r="V1026" s="11"/>
      <c r="W1026" s="11"/>
      <c r="X1026" s="11"/>
      <c r="Y1026" s="17"/>
      <c r="Z1026" s="18">
        <f>ROUND(R1026*'Data-CostAssumptions'!$C$8,-3)</f>
        <v>259210000</v>
      </c>
      <c r="AA1026" s="11">
        <f t="shared" si="31"/>
        <v>0</v>
      </c>
      <c r="AB1026" s="11">
        <v>2041</v>
      </c>
      <c r="AC1026" s="11">
        <v>2041</v>
      </c>
      <c r="AD1026" s="11">
        <v>2041</v>
      </c>
      <c r="AE1026" s="11">
        <v>2041</v>
      </c>
      <c r="AF1026" s="11">
        <v>0</v>
      </c>
      <c r="AG1026" s="19">
        <f>ROUND((Z1026*'Data-CostAssumptions'!$G$5)*(1+'Data-CostAssumptions'!$G$3)^(AC1026-'Data-CostAssumptions'!$G$4),-3)</f>
        <v>146212000</v>
      </c>
      <c r="AH1026" s="19">
        <f>ROUND((Z1026)*(1+'Data-CostAssumptions'!$G$3)^(AE1026-'Data-CostAssumptions'!$G$4),-3)</f>
        <v>664601000</v>
      </c>
    </row>
    <row r="1027" spans="1:34" ht="15" customHeight="1" x14ac:dyDescent="0.2">
      <c r="A1027" s="11"/>
      <c r="B1027" s="11" t="s">
        <v>1211</v>
      </c>
      <c r="C1027" s="13">
        <v>10105</v>
      </c>
      <c r="D1027" s="13" t="s">
        <v>420</v>
      </c>
      <c r="E1027" s="20" t="s">
        <v>298</v>
      </c>
      <c r="F1027" s="20">
        <v>146</v>
      </c>
      <c r="G1027" s="20">
        <v>1026</v>
      </c>
      <c r="H1027" s="13" t="s">
        <v>2728</v>
      </c>
      <c r="I1027" s="13" t="str">
        <f t="shared" si="32"/>
        <v>SR 838/Sunrise Bl (@  Nob Hill Rd)</v>
      </c>
      <c r="J1027" s="13" t="s">
        <v>347</v>
      </c>
      <c r="K1027" s="13" t="str">
        <f>VLOOKUP(J1027,'Data-ProjectTypes'!A$3:B$13,2,FALSE)</f>
        <v>Project</v>
      </c>
      <c r="L1027" s="21" t="s">
        <v>77</v>
      </c>
      <c r="M1027" s="13" t="s">
        <v>2835</v>
      </c>
      <c r="N1027" s="13" t="s">
        <v>1755</v>
      </c>
      <c r="O1027" s="13" t="s">
        <v>365</v>
      </c>
      <c r="P1027" s="13" t="s">
        <v>365</v>
      </c>
      <c r="Q1027" s="22"/>
      <c r="R1027" s="23">
        <v>718159.31568382459</v>
      </c>
      <c r="S1027" s="21"/>
      <c r="T1027" s="21"/>
      <c r="U1027" s="21"/>
      <c r="V1027" s="24"/>
      <c r="W1027" s="24"/>
      <c r="X1027" s="24"/>
      <c r="Y1027" s="17"/>
      <c r="Z1027" s="18">
        <f>ROUND(R1027*'Data-CostAssumptions'!$C$8,-3)</f>
        <v>718000</v>
      </c>
      <c r="AA1027" s="11">
        <f t="shared" ref="AA1027:AA1090" si="33">IF(V1027="",IF(W1027="",0,1),1)</f>
        <v>0</v>
      </c>
      <c r="AB1027" s="11">
        <v>2041</v>
      </c>
      <c r="AC1027" s="11">
        <v>2041</v>
      </c>
      <c r="AD1027" s="11">
        <v>2041</v>
      </c>
      <c r="AE1027" s="11">
        <v>2041</v>
      </c>
      <c r="AF1027" s="11">
        <v>0</v>
      </c>
      <c r="AG1027" s="19">
        <f>ROUND((Z1027*'Data-CostAssumptions'!$G$5)*(1+'Data-CostAssumptions'!$G$3)^(AC1027-'Data-CostAssumptions'!$G$4),-3)</f>
        <v>405000</v>
      </c>
      <c r="AH1027" s="19">
        <f>ROUND((Z1027)*(1+'Data-CostAssumptions'!$G$3)^(AE1027-'Data-CostAssumptions'!$G$4),-3)</f>
        <v>1841000</v>
      </c>
    </row>
    <row r="1028" spans="1:34" ht="15" customHeight="1" x14ac:dyDescent="0.2">
      <c r="A1028" s="11"/>
      <c r="B1028" s="11" t="s">
        <v>1211</v>
      </c>
      <c r="C1028" s="13">
        <v>10045</v>
      </c>
      <c r="D1028" s="13" t="s">
        <v>420</v>
      </c>
      <c r="E1028" s="20" t="s">
        <v>298</v>
      </c>
      <c r="F1028" s="20">
        <v>142</v>
      </c>
      <c r="G1028" s="20">
        <v>1027</v>
      </c>
      <c r="H1028" s="13" t="s">
        <v>2728</v>
      </c>
      <c r="I1028" s="13" t="str">
        <f t="shared" si="32"/>
        <v>SR 838/Sunrise Bl (@  NW 31st Av)</v>
      </c>
      <c r="J1028" s="13" t="s">
        <v>347</v>
      </c>
      <c r="K1028" s="13" t="str">
        <f>VLOOKUP(J1028,'Data-ProjectTypes'!A$3:B$13,2,FALSE)</f>
        <v>Project</v>
      </c>
      <c r="L1028" s="21" t="s">
        <v>77</v>
      </c>
      <c r="M1028" s="13" t="s">
        <v>2835</v>
      </c>
      <c r="N1028" s="13" t="s">
        <v>2062</v>
      </c>
      <c r="O1028" s="13" t="s">
        <v>365</v>
      </c>
      <c r="P1028" s="13" t="s">
        <v>365</v>
      </c>
      <c r="Q1028" s="22"/>
      <c r="R1028" s="23">
        <v>718159.31568382459</v>
      </c>
      <c r="S1028" s="21"/>
      <c r="T1028" s="21"/>
      <c r="U1028" s="21"/>
      <c r="V1028" s="24"/>
      <c r="W1028" s="24"/>
      <c r="X1028" s="24"/>
      <c r="Y1028" s="17"/>
      <c r="Z1028" s="18">
        <f>ROUND(R1028*'Data-CostAssumptions'!$C$8,-3)</f>
        <v>718000</v>
      </c>
      <c r="AA1028" s="11">
        <f t="shared" si="33"/>
        <v>0</v>
      </c>
      <c r="AB1028" s="11">
        <v>2041</v>
      </c>
      <c r="AC1028" s="11">
        <v>2041</v>
      </c>
      <c r="AD1028" s="11">
        <v>2041</v>
      </c>
      <c r="AE1028" s="11">
        <v>2041</v>
      </c>
      <c r="AF1028" s="11">
        <v>0</v>
      </c>
      <c r="AG1028" s="19">
        <f>ROUND((Z1028*'Data-CostAssumptions'!$G$5)*(1+'Data-CostAssumptions'!$G$3)^(AC1028-'Data-CostAssumptions'!$G$4),-3)</f>
        <v>405000</v>
      </c>
      <c r="AH1028" s="19">
        <f>ROUND((Z1028)*(1+'Data-CostAssumptions'!$G$3)^(AE1028-'Data-CostAssumptions'!$G$4),-3)</f>
        <v>1841000</v>
      </c>
    </row>
    <row r="1029" spans="1:34" ht="15" customHeight="1" x14ac:dyDescent="0.2">
      <c r="A1029" s="11"/>
      <c r="B1029" s="11" t="s">
        <v>1211</v>
      </c>
      <c r="C1029" s="13">
        <v>10092</v>
      </c>
      <c r="D1029" s="13" t="s">
        <v>420</v>
      </c>
      <c r="E1029" s="20" t="s">
        <v>298</v>
      </c>
      <c r="F1029" s="20">
        <v>145</v>
      </c>
      <c r="G1029" s="20">
        <v>1028</v>
      </c>
      <c r="H1029" s="13" t="s">
        <v>2728</v>
      </c>
      <c r="I1029" s="13" t="str">
        <f t="shared" si="32"/>
        <v>SR 838/Sunrise Bl (@  SR A1A)</v>
      </c>
      <c r="J1029" s="13" t="s">
        <v>347</v>
      </c>
      <c r="K1029" s="13" t="str">
        <f>VLOOKUP(J1029,'Data-ProjectTypes'!A$3:B$13,2,FALSE)</f>
        <v>Project</v>
      </c>
      <c r="L1029" s="21" t="s">
        <v>77</v>
      </c>
      <c r="M1029" s="13" t="s">
        <v>2835</v>
      </c>
      <c r="N1029" s="13" t="s">
        <v>110</v>
      </c>
      <c r="O1029" s="13" t="s">
        <v>365</v>
      </c>
      <c r="P1029" s="13" t="s">
        <v>365</v>
      </c>
      <c r="Q1029" s="22"/>
      <c r="R1029" s="23">
        <v>718159.31568382459</v>
      </c>
      <c r="S1029" s="21"/>
      <c r="T1029" s="21"/>
      <c r="U1029" s="21"/>
      <c r="V1029" s="24"/>
      <c r="W1029" s="24"/>
      <c r="X1029" s="24"/>
      <c r="Y1029" s="17"/>
      <c r="Z1029" s="18">
        <f>ROUND(R1029*'Data-CostAssumptions'!$C$8,-3)</f>
        <v>718000</v>
      </c>
      <c r="AA1029" s="11">
        <f t="shared" si="33"/>
        <v>0</v>
      </c>
      <c r="AB1029" s="11">
        <v>2041</v>
      </c>
      <c r="AC1029" s="11">
        <v>2041</v>
      </c>
      <c r="AD1029" s="11">
        <v>2041</v>
      </c>
      <c r="AE1029" s="11">
        <v>2041</v>
      </c>
      <c r="AF1029" s="11">
        <v>0</v>
      </c>
      <c r="AG1029" s="19">
        <f>ROUND((Z1029*'Data-CostAssumptions'!$G$5)*(1+'Data-CostAssumptions'!$G$3)^(AC1029-'Data-CostAssumptions'!$G$4),-3)</f>
        <v>405000</v>
      </c>
      <c r="AH1029" s="19">
        <f>ROUND((Z1029)*(1+'Data-CostAssumptions'!$G$3)^(AE1029-'Data-CostAssumptions'!$G$4),-3)</f>
        <v>1841000</v>
      </c>
    </row>
    <row r="1030" spans="1:34" ht="15" customHeight="1" x14ac:dyDescent="0.2">
      <c r="A1030" s="11"/>
      <c r="B1030" s="11" t="s">
        <v>1211</v>
      </c>
      <c r="C1030" s="13">
        <v>10062</v>
      </c>
      <c r="D1030" s="13" t="s">
        <v>420</v>
      </c>
      <c r="E1030" s="20" t="s">
        <v>298</v>
      </c>
      <c r="F1030" s="20">
        <v>143</v>
      </c>
      <c r="G1030" s="20">
        <v>1029</v>
      </c>
      <c r="H1030" s="13" t="s">
        <v>45</v>
      </c>
      <c r="I1030" s="13" t="str">
        <f t="shared" si="32"/>
        <v>SR 84 (@  Andrews Av)</v>
      </c>
      <c r="J1030" s="13" t="s">
        <v>347</v>
      </c>
      <c r="K1030" s="13" t="str">
        <f>VLOOKUP(J1030,'Data-ProjectTypes'!A$3:B$13,2,FALSE)</f>
        <v>Project</v>
      </c>
      <c r="L1030" s="21" t="s">
        <v>26</v>
      </c>
      <c r="M1030" s="13" t="s">
        <v>2835</v>
      </c>
      <c r="N1030" s="11" t="s">
        <v>2014</v>
      </c>
      <c r="O1030" s="13" t="s">
        <v>365</v>
      </c>
      <c r="P1030" s="13" t="s">
        <v>365</v>
      </c>
      <c r="Q1030" s="72">
        <v>0</v>
      </c>
      <c r="R1030" s="23">
        <v>3056502.3571223663</v>
      </c>
      <c r="S1030" s="21"/>
      <c r="T1030" s="21"/>
      <c r="U1030" s="21"/>
      <c r="V1030" s="24"/>
      <c r="W1030" s="24"/>
      <c r="X1030" s="24"/>
      <c r="Y1030" s="17"/>
      <c r="Z1030" s="18">
        <f>ROUND(R1030*'Data-CostAssumptions'!$C$8,-3)</f>
        <v>3057000</v>
      </c>
      <c r="AA1030" s="11">
        <f t="shared" si="33"/>
        <v>0</v>
      </c>
      <c r="AB1030" s="11">
        <v>2041</v>
      </c>
      <c r="AC1030" s="11">
        <v>2041</v>
      </c>
      <c r="AD1030" s="11">
        <v>2041</v>
      </c>
      <c r="AE1030" s="11">
        <v>2041</v>
      </c>
      <c r="AF1030" s="11">
        <v>0</v>
      </c>
      <c r="AG1030" s="19">
        <f>ROUND((Z1030*'Data-CostAssumptions'!$G$5)*(1+'Data-CostAssumptions'!$G$3)^(AC1030-'Data-CostAssumptions'!$G$4),-3)</f>
        <v>1724000</v>
      </c>
      <c r="AH1030" s="19">
        <f>ROUND((Z1030)*(1+'Data-CostAssumptions'!$G$3)^(AE1030-'Data-CostAssumptions'!$G$4),-3)</f>
        <v>7838000</v>
      </c>
    </row>
    <row r="1031" spans="1:34" ht="15" customHeight="1" x14ac:dyDescent="0.2">
      <c r="A1031" s="11"/>
      <c r="B1031" s="11" t="s">
        <v>1211</v>
      </c>
      <c r="C1031" s="13">
        <v>10002</v>
      </c>
      <c r="D1031" s="13" t="s">
        <v>420</v>
      </c>
      <c r="E1031" s="20" t="s">
        <v>298</v>
      </c>
      <c r="F1031" s="20">
        <v>140</v>
      </c>
      <c r="G1031" s="20">
        <v>1030</v>
      </c>
      <c r="H1031" s="13" t="s">
        <v>2798</v>
      </c>
      <c r="I1031" s="13" t="str">
        <f t="shared" si="32"/>
        <v>SR 842/Broward Bl (@  NW/SW 1st Av)</v>
      </c>
      <c r="J1031" s="13" t="s">
        <v>347</v>
      </c>
      <c r="K1031" s="13" t="str">
        <f>VLOOKUP(J1031,'Data-ProjectTypes'!A$3:B$13,2,FALSE)</f>
        <v>Project</v>
      </c>
      <c r="L1031" s="21" t="s">
        <v>85</v>
      </c>
      <c r="M1031" s="13" t="s">
        <v>2835</v>
      </c>
      <c r="N1031" s="13" t="s">
        <v>2919</v>
      </c>
      <c r="O1031" s="13" t="s">
        <v>365</v>
      </c>
      <c r="P1031" s="13" t="s">
        <v>365</v>
      </c>
      <c r="Q1031" s="22"/>
      <c r="R1031" s="23">
        <v>1197806.2482169243</v>
      </c>
      <c r="S1031" s="21"/>
      <c r="T1031" s="21"/>
      <c r="U1031" s="21"/>
      <c r="V1031" s="24"/>
      <c r="W1031" s="24"/>
      <c r="X1031" s="24"/>
      <c r="Y1031" s="17"/>
      <c r="Z1031" s="18">
        <f>ROUND(R1031*'Data-CostAssumptions'!$C$8,-3)</f>
        <v>1198000</v>
      </c>
      <c r="AA1031" s="11">
        <f t="shared" si="33"/>
        <v>0</v>
      </c>
      <c r="AB1031" s="11">
        <v>2041</v>
      </c>
      <c r="AC1031" s="11">
        <v>2041</v>
      </c>
      <c r="AD1031" s="11">
        <v>2041</v>
      </c>
      <c r="AE1031" s="11">
        <v>2041</v>
      </c>
      <c r="AF1031" s="11">
        <v>0</v>
      </c>
      <c r="AG1031" s="19">
        <f>ROUND((Z1031*'Data-CostAssumptions'!$G$5)*(1+'Data-CostAssumptions'!$G$3)^(AC1031-'Data-CostAssumptions'!$G$4),-3)</f>
        <v>676000</v>
      </c>
      <c r="AH1031" s="19">
        <f>ROUND((Z1031)*(1+'Data-CostAssumptions'!$G$3)^(AE1031-'Data-CostAssumptions'!$G$4),-3)</f>
        <v>3072000</v>
      </c>
    </row>
    <row r="1032" spans="1:34" ht="15" customHeight="1" x14ac:dyDescent="0.2">
      <c r="A1032" s="11"/>
      <c r="B1032" s="11" t="s">
        <v>1211</v>
      </c>
      <c r="C1032" s="13">
        <v>10010</v>
      </c>
      <c r="D1032" s="13" t="s">
        <v>420</v>
      </c>
      <c r="E1032" s="20" t="s">
        <v>298</v>
      </c>
      <c r="F1032" s="20">
        <v>140</v>
      </c>
      <c r="G1032" s="20">
        <v>1031</v>
      </c>
      <c r="H1032" s="13" t="s">
        <v>2798</v>
      </c>
      <c r="I1032" s="13" t="str">
        <f t="shared" si="32"/>
        <v>SR 842/Broward Bl (@  SR 9/I-95)</v>
      </c>
      <c r="J1032" s="13" t="s">
        <v>347</v>
      </c>
      <c r="K1032" s="13" t="str">
        <f>VLOOKUP(J1032,'Data-ProjectTypes'!A$3:B$13,2,FALSE)</f>
        <v>Project</v>
      </c>
      <c r="L1032" s="21" t="s">
        <v>85</v>
      </c>
      <c r="M1032" s="13" t="s">
        <v>2835</v>
      </c>
      <c r="N1032" s="13" t="s">
        <v>1445</v>
      </c>
      <c r="O1032" s="13" t="s">
        <v>365</v>
      </c>
      <c r="P1032" s="13" t="s">
        <v>365</v>
      </c>
      <c r="Q1032" s="22"/>
      <c r="R1032" s="23">
        <v>10179003.401645176</v>
      </c>
      <c r="S1032" s="21"/>
      <c r="T1032" s="21"/>
      <c r="U1032" s="21"/>
      <c r="V1032" s="24"/>
      <c r="W1032" s="24"/>
      <c r="X1032" s="24"/>
      <c r="Y1032" s="17"/>
      <c r="Z1032" s="18">
        <f>ROUND(R1032*'Data-CostAssumptions'!$C$8,-3)</f>
        <v>10179000</v>
      </c>
      <c r="AA1032" s="11">
        <f t="shared" si="33"/>
        <v>0</v>
      </c>
      <c r="AB1032" s="11">
        <v>2041</v>
      </c>
      <c r="AC1032" s="11">
        <v>2041</v>
      </c>
      <c r="AD1032" s="11">
        <v>2041</v>
      </c>
      <c r="AE1032" s="11">
        <v>2041</v>
      </c>
      <c r="AF1032" s="11">
        <v>0</v>
      </c>
      <c r="AG1032" s="19">
        <f>ROUND((Z1032*'Data-CostAssumptions'!$G$5)*(1+'Data-CostAssumptions'!$G$3)^(AC1032-'Data-CostAssumptions'!$G$4),-3)</f>
        <v>5742000</v>
      </c>
      <c r="AH1032" s="19">
        <f>ROUND((Z1032)*(1+'Data-CostAssumptions'!$G$3)^(AE1032-'Data-CostAssumptions'!$G$4),-3)</f>
        <v>26098000</v>
      </c>
    </row>
    <row r="1033" spans="1:34" ht="15" customHeight="1" x14ac:dyDescent="0.2">
      <c r="A1033" s="11"/>
      <c r="B1033" s="11" t="s">
        <v>1211</v>
      </c>
      <c r="C1033" s="13">
        <v>10018</v>
      </c>
      <c r="D1033" s="13" t="s">
        <v>420</v>
      </c>
      <c r="E1033" s="20" t="s">
        <v>298</v>
      </c>
      <c r="F1033" s="20">
        <v>140</v>
      </c>
      <c r="G1033" s="20">
        <v>1032</v>
      </c>
      <c r="H1033" s="13" t="s">
        <v>2798</v>
      </c>
      <c r="I1033" s="13" t="str">
        <f t="shared" si="32"/>
        <v>SR 842/Broward Bl (@  University Dr)</v>
      </c>
      <c r="J1033" s="13" t="s">
        <v>347</v>
      </c>
      <c r="K1033" s="13" t="str">
        <f>VLOOKUP(J1033,'Data-ProjectTypes'!A$3:B$13,2,FALSE)</f>
        <v>Project</v>
      </c>
      <c r="L1033" s="21" t="s">
        <v>85</v>
      </c>
      <c r="M1033" s="13" t="s">
        <v>2835</v>
      </c>
      <c r="N1033" s="13" t="s">
        <v>1804</v>
      </c>
      <c r="O1033" s="13" t="s">
        <v>365</v>
      </c>
      <c r="P1033" s="13" t="s">
        <v>365</v>
      </c>
      <c r="Q1033" s="22"/>
      <c r="R1033" s="23">
        <v>9426949.8170891684</v>
      </c>
      <c r="S1033" s="21"/>
      <c r="T1033" s="21"/>
      <c r="U1033" s="21"/>
      <c r="V1033" s="24"/>
      <c r="W1033" s="24"/>
      <c r="X1033" s="24"/>
      <c r="Y1033" s="17"/>
      <c r="Z1033" s="18">
        <f>ROUND(R1033*'Data-CostAssumptions'!$C$8,-3)</f>
        <v>9427000</v>
      </c>
      <c r="AA1033" s="11">
        <f t="shared" si="33"/>
        <v>0</v>
      </c>
      <c r="AB1033" s="11">
        <v>2041</v>
      </c>
      <c r="AC1033" s="11">
        <v>2041</v>
      </c>
      <c r="AD1033" s="11">
        <v>2041</v>
      </c>
      <c r="AE1033" s="11">
        <v>2041</v>
      </c>
      <c r="AF1033" s="11">
        <v>0</v>
      </c>
      <c r="AG1033" s="19">
        <f>ROUND((Z1033*'Data-CostAssumptions'!$G$5)*(1+'Data-CostAssumptions'!$G$3)^(AC1033-'Data-CostAssumptions'!$G$4),-3)</f>
        <v>5317000</v>
      </c>
      <c r="AH1033" s="19">
        <f>ROUND((Z1033)*(1+'Data-CostAssumptions'!$G$3)^(AE1033-'Data-CostAssumptions'!$G$4),-3)</f>
        <v>24170000</v>
      </c>
    </row>
    <row r="1034" spans="1:34" ht="15" customHeight="1" x14ac:dyDescent="0.2">
      <c r="A1034" s="11"/>
      <c r="B1034" s="11" t="s">
        <v>1211</v>
      </c>
      <c r="C1034" s="13">
        <v>10036</v>
      </c>
      <c r="D1034" s="13" t="s">
        <v>420</v>
      </c>
      <c r="E1034" s="20" t="s">
        <v>298</v>
      </c>
      <c r="F1034" s="20">
        <v>142</v>
      </c>
      <c r="G1034" s="20">
        <v>1033</v>
      </c>
      <c r="H1034" s="13" t="s">
        <v>2798</v>
      </c>
      <c r="I1034" s="13" t="str">
        <f t="shared" si="32"/>
        <v>SR 842/Broward Bl (@  Pine Island Rd)</v>
      </c>
      <c r="J1034" s="13" t="s">
        <v>347</v>
      </c>
      <c r="K1034" s="13" t="str">
        <f>VLOOKUP(J1034,'Data-ProjectTypes'!A$3:B$13,2,FALSE)</f>
        <v>Project</v>
      </c>
      <c r="L1034" s="21" t="s">
        <v>26</v>
      </c>
      <c r="M1034" s="13" t="s">
        <v>2835</v>
      </c>
      <c r="N1034" s="13" t="s">
        <v>266</v>
      </c>
      <c r="O1034" s="13" t="s">
        <v>365</v>
      </c>
      <c r="P1034" s="13" t="s">
        <v>365</v>
      </c>
      <c r="Q1034" s="72">
        <v>0</v>
      </c>
      <c r="R1034" s="23">
        <v>3056502.3571223663</v>
      </c>
      <c r="S1034" s="21"/>
      <c r="T1034" s="21"/>
      <c r="U1034" s="21"/>
      <c r="V1034" s="24"/>
      <c r="W1034" s="24"/>
      <c r="X1034" s="24"/>
      <c r="Y1034" s="17"/>
      <c r="Z1034" s="18">
        <f>ROUND(R1034*'Data-CostAssumptions'!$C$8,-3)</f>
        <v>3057000</v>
      </c>
      <c r="AA1034" s="11">
        <f t="shared" si="33"/>
        <v>0</v>
      </c>
      <c r="AB1034" s="11">
        <v>2041</v>
      </c>
      <c r="AC1034" s="11">
        <v>2041</v>
      </c>
      <c r="AD1034" s="11">
        <v>2041</v>
      </c>
      <c r="AE1034" s="11">
        <v>2041</v>
      </c>
      <c r="AF1034" s="11">
        <v>0</v>
      </c>
      <c r="AG1034" s="19">
        <f>ROUND((Z1034*'Data-CostAssumptions'!$G$5)*(1+'Data-CostAssumptions'!$G$3)^(AC1034-'Data-CostAssumptions'!$G$4),-3)</f>
        <v>1724000</v>
      </c>
      <c r="AH1034" s="19">
        <f>ROUND((Z1034)*(1+'Data-CostAssumptions'!$G$3)^(AE1034-'Data-CostAssumptions'!$G$4),-3)</f>
        <v>7838000</v>
      </c>
    </row>
    <row r="1035" spans="1:34" ht="15" customHeight="1" x14ac:dyDescent="0.2">
      <c r="A1035" s="11"/>
      <c r="B1035" s="11" t="s">
        <v>1211</v>
      </c>
      <c r="C1035" s="11">
        <v>10187</v>
      </c>
      <c r="D1035" s="13" t="s">
        <v>420</v>
      </c>
      <c r="E1035" s="14"/>
      <c r="F1035" s="14">
        <v>137</v>
      </c>
      <c r="G1035" s="20">
        <v>1034</v>
      </c>
      <c r="H1035" s="13" t="s">
        <v>2798</v>
      </c>
      <c r="I1035" s="13" t="str">
        <f t="shared" si="32"/>
        <v>SR 842/Broward Bl (State Rd 7 to downtown Fort Lauderdale)</v>
      </c>
      <c r="J1035" s="11" t="s">
        <v>347</v>
      </c>
      <c r="K1035" s="13" t="str">
        <f>VLOOKUP(J1035,'Data-ProjectTypes'!A$3:B$13,2,FALSE)</f>
        <v>Project</v>
      </c>
      <c r="L1035" s="11" t="s">
        <v>405</v>
      </c>
      <c r="M1035" s="11" t="s">
        <v>1772</v>
      </c>
      <c r="N1035" s="11" t="s">
        <v>410</v>
      </c>
      <c r="O1035" s="13" t="s">
        <v>365</v>
      </c>
      <c r="P1035" s="13" t="s">
        <v>365</v>
      </c>
      <c r="Q1035" s="15"/>
      <c r="R1035" s="16">
        <v>97375900</v>
      </c>
      <c r="S1035" s="11"/>
      <c r="T1035" s="11"/>
      <c r="U1035" s="11"/>
      <c r="V1035" s="11"/>
      <c r="W1035" s="11"/>
      <c r="X1035" s="11"/>
      <c r="Y1035" s="17"/>
      <c r="Z1035" s="18">
        <f>ROUND(R1035*'Data-CostAssumptions'!$C$8,-3)</f>
        <v>97376000</v>
      </c>
      <c r="AA1035" s="11">
        <f t="shared" si="33"/>
        <v>0</v>
      </c>
      <c r="AB1035" s="11">
        <v>2041</v>
      </c>
      <c r="AC1035" s="11">
        <v>2041</v>
      </c>
      <c r="AD1035" s="11">
        <v>2041</v>
      </c>
      <c r="AE1035" s="11">
        <v>2041</v>
      </c>
      <c r="AF1035" s="11">
        <v>0</v>
      </c>
      <c r="AG1035" s="19">
        <f>ROUND((Z1035*'Data-CostAssumptions'!$G$5)*(1+'Data-CostAssumptions'!$G$3)^(AC1035-'Data-CostAssumptions'!$G$4),-3)</f>
        <v>54927000</v>
      </c>
      <c r="AH1035" s="19">
        <f>ROUND((Z1035)*(1+'Data-CostAssumptions'!$G$3)^(AE1035-'Data-CostAssumptions'!$G$4),-3)</f>
        <v>249667000</v>
      </c>
    </row>
    <row r="1036" spans="1:34" ht="15" customHeight="1" x14ac:dyDescent="0.2">
      <c r="A1036" s="11"/>
      <c r="B1036" s="11" t="s">
        <v>1211</v>
      </c>
      <c r="C1036" s="13">
        <v>10003</v>
      </c>
      <c r="D1036" s="13" t="s">
        <v>420</v>
      </c>
      <c r="E1036" s="20" t="s">
        <v>298</v>
      </c>
      <c r="F1036" s="20">
        <v>140</v>
      </c>
      <c r="G1036" s="20">
        <v>1035</v>
      </c>
      <c r="H1036" s="13" t="s">
        <v>2798</v>
      </c>
      <c r="I1036" s="13" t="str">
        <f t="shared" si="32"/>
        <v>SR 842/Broward Bl (@  SR 7/US 441)</v>
      </c>
      <c r="J1036" s="13" t="s">
        <v>347</v>
      </c>
      <c r="K1036" s="13" t="str">
        <f>VLOOKUP(J1036,'Data-ProjectTypes'!A$3:B$13,2,FALSE)</f>
        <v>Project</v>
      </c>
      <c r="L1036" s="21" t="s">
        <v>77</v>
      </c>
      <c r="M1036" s="13" t="s">
        <v>2835</v>
      </c>
      <c r="N1036" s="13" t="s">
        <v>57</v>
      </c>
      <c r="O1036" s="13" t="s">
        <v>365</v>
      </c>
      <c r="P1036" s="13" t="s">
        <v>365</v>
      </c>
      <c r="Q1036" s="22"/>
      <c r="R1036" s="23">
        <v>628347.34414954216</v>
      </c>
      <c r="S1036" s="21"/>
      <c r="T1036" s="21"/>
      <c r="U1036" s="21"/>
      <c r="V1036" s="24"/>
      <c r="W1036" s="24"/>
      <c r="X1036" s="24"/>
      <c r="Y1036" s="17"/>
      <c r="Z1036" s="18">
        <f>ROUND(R1036*'Data-CostAssumptions'!$C$8,-3)</f>
        <v>628000</v>
      </c>
      <c r="AA1036" s="11">
        <f t="shared" si="33"/>
        <v>0</v>
      </c>
      <c r="AB1036" s="11">
        <v>2041</v>
      </c>
      <c r="AC1036" s="11">
        <v>2041</v>
      </c>
      <c r="AD1036" s="11">
        <v>2041</v>
      </c>
      <c r="AE1036" s="11">
        <v>2041</v>
      </c>
      <c r="AF1036" s="11">
        <v>0</v>
      </c>
      <c r="AG1036" s="19">
        <f>ROUND((Z1036*'Data-CostAssumptions'!$G$5)*(1+'Data-CostAssumptions'!$G$3)^(AC1036-'Data-CostAssumptions'!$G$4),-3)</f>
        <v>354000</v>
      </c>
      <c r="AH1036" s="19">
        <f>ROUND((Z1036)*(1+'Data-CostAssumptions'!$G$3)^(AE1036-'Data-CostAssumptions'!$G$4),-3)</f>
        <v>1610000</v>
      </c>
    </row>
    <row r="1037" spans="1:34" ht="15" customHeight="1" x14ac:dyDescent="0.2">
      <c r="A1037" s="11"/>
      <c r="B1037" s="11" t="s">
        <v>1211</v>
      </c>
      <c r="C1037" s="13">
        <v>10104</v>
      </c>
      <c r="D1037" s="13" t="s">
        <v>420</v>
      </c>
      <c r="E1037" s="20" t="s">
        <v>298</v>
      </c>
      <c r="F1037" s="20">
        <v>146</v>
      </c>
      <c r="G1037" s="20">
        <v>1036</v>
      </c>
      <c r="H1037" s="13" t="s">
        <v>2727</v>
      </c>
      <c r="I1037" s="13" t="str">
        <f t="shared" si="32"/>
        <v>SR 848/Stirling Rd (@  SR 817/University Dr)</v>
      </c>
      <c r="J1037" s="13" t="s">
        <v>347</v>
      </c>
      <c r="K1037" s="13" t="str">
        <f>VLOOKUP(J1037,'Data-ProjectTypes'!A$3:B$13,2,FALSE)</f>
        <v>Project</v>
      </c>
      <c r="L1037" s="21" t="s">
        <v>77</v>
      </c>
      <c r="M1037" s="13" t="s">
        <v>2835</v>
      </c>
      <c r="N1037" s="13" t="s">
        <v>2709</v>
      </c>
      <c r="O1037" s="13" t="s">
        <v>365</v>
      </c>
      <c r="P1037" s="13" t="s">
        <v>365</v>
      </c>
      <c r="Q1037" s="22"/>
      <c r="R1037" s="23">
        <v>718159.31568382459</v>
      </c>
      <c r="S1037" s="21" t="s">
        <v>24</v>
      </c>
      <c r="T1037" s="21"/>
      <c r="U1037" s="21"/>
      <c r="V1037" s="24"/>
      <c r="W1037" s="24"/>
      <c r="X1037" s="24"/>
      <c r="Y1037" s="17" t="s">
        <v>469</v>
      </c>
      <c r="Z1037" s="18">
        <f>ROUND(R1037*'Data-CostAssumptions'!$C$8,-3)</f>
        <v>718000</v>
      </c>
      <c r="AA1037" s="11">
        <f t="shared" si="33"/>
        <v>0</v>
      </c>
      <c r="AB1037" s="11">
        <v>2041</v>
      </c>
      <c r="AC1037" s="11">
        <v>2041</v>
      </c>
      <c r="AD1037" s="11">
        <v>2041</v>
      </c>
      <c r="AE1037" s="11">
        <v>2041</v>
      </c>
      <c r="AF1037" s="11">
        <v>0</v>
      </c>
      <c r="AG1037" s="19">
        <f>ROUND((Z1037*'Data-CostAssumptions'!$G$5)*(1+'Data-CostAssumptions'!$G$3)^(AC1037-'Data-CostAssumptions'!$G$4),-3)</f>
        <v>405000</v>
      </c>
      <c r="AH1037" s="19">
        <f>ROUND((Z1037)*(1+'Data-CostAssumptions'!$G$3)^(AE1037-'Data-CostAssumptions'!$G$4),-3)</f>
        <v>1841000</v>
      </c>
    </row>
    <row r="1038" spans="1:34" ht="15" customHeight="1" x14ac:dyDescent="0.2">
      <c r="A1038" s="11"/>
      <c r="B1038" s="11" t="s">
        <v>1211</v>
      </c>
      <c r="C1038" s="13">
        <v>10011</v>
      </c>
      <c r="D1038" s="13" t="s">
        <v>420</v>
      </c>
      <c r="E1038" s="20" t="s">
        <v>298</v>
      </c>
      <c r="F1038" s="20">
        <v>140</v>
      </c>
      <c r="G1038" s="20">
        <v>1037</v>
      </c>
      <c r="H1038" s="13" t="s">
        <v>2800</v>
      </c>
      <c r="I1038" s="13" t="str">
        <f t="shared" si="32"/>
        <v>SR 858/Hallandale Beach Bl (@  SR 5/US 1)</v>
      </c>
      <c r="J1038" s="13" t="s">
        <v>347</v>
      </c>
      <c r="K1038" s="13" t="str">
        <f>VLOOKUP(J1038,'Data-ProjectTypes'!A$3:B$13,2,FALSE)</f>
        <v>Project</v>
      </c>
      <c r="L1038" s="21" t="s">
        <v>85</v>
      </c>
      <c r="M1038" s="13" t="s">
        <v>2835</v>
      </c>
      <c r="N1038" s="13" t="s">
        <v>1424</v>
      </c>
      <c r="O1038" s="13" t="s">
        <v>365</v>
      </c>
      <c r="P1038" s="13" t="s">
        <v>365</v>
      </c>
      <c r="Q1038" s="22"/>
      <c r="R1038" s="23">
        <v>10179003.401645176</v>
      </c>
      <c r="S1038" s="21" t="s">
        <v>24</v>
      </c>
      <c r="T1038" s="21" t="s">
        <v>25</v>
      </c>
      <c r="U1038" s="21"/>
      <c r="V1038" s="24"/>
      <c r="W1038" s="24" t="s">
        <v>518</v>
      </c>
      <c r="X1038" s="24"/>
      <c r="Y1038" s="17" t="s">
        <v>297</v>
      </c>
      <c r="Z1038" s="18">
        <f>ROUND(R1038*'Data-CostAssumptions'!$C$8,-3)</f>
        <v>10179000</v>
      </c>
      <c r="AA1038" s="11">
        <f t="shared" si="33"/>
        <v>1</v>
      </c>
      <c r="AB1038" s="11">
        <v>2041</v>
      </c>
      <c r="AC1038" s="11">
        <v>2041</v>
      </c>
      <c r="AD1038" s="11">
        <v>2041</v>
      </c>
      <c r="AE1038" s="11">
        <v>2041</v>
      </c>
      <c r="AF1038" s="11">
        <v>0</v>
      </c>
      <c r="AG1038" s="19">
        <f>ROUND((Z1038*'Data-CostAssumptions'!$G$5)*(1+'Data-CostAssumptions'!$G$3)^(AC1038-'Data-CostAssumptions'!$G$4),-3)</f>
        <v>5742000</v>
      </c>
      <c r="AH1038" s="19">
        <f>ROUND((Z1038)*(1+'Data-CostAssumptions'!$G$3)^(AE1038-'Data-CostAssumptions'!$G$4),-3)</f>
        <v>26098000</v>
      </c>
    </row>
    <row r="1039" spans="1:34" ht="15" customHeight="1" x14ac:dyDescent="0.2">
      <c r="A1039" s="11"/>
      <c r="B1039" s="11" t="s">
        <v>1211</v>
      </c>
      <c r="C1039" s="13">
        <v>10025</v>
      </c>
      <c r="D1039" s="13" t="s">
        <v>420</v>
      </c>
      <c r="E1039" s="20" t="s">
        <v>298</v>
      </c>
      <c r="F1039" s="20">
        <v>141</v>
      </c>
      <c r="G1039" s="20">
        <v>1038</v>
      </c>
      <c r="H1039" s="13" t="s">
        <v>2800</v>
      </c>
      <c r="I1039" s="13" t="str">
        <f t="shared" si="32"/>
        <v>SR 858/Hallandale Beach Bl (@  SR A1A)</v>
      </c>
      <c r="J1039" s="13" t="s">
        <v>347</v>
      </c>
      <c r="K1039" s="13" t="str">
        <f>VLOOKUP(J1039,'Data-ProjectTypes'!A$3:B$13,2,FALSE)</f>
        <v>Project</v>
      </c>
      <c r="L1039" s="21" t="s">
        <v>77</v>
      </c>
      <c r="M1039" s="13" t="s">
        <v>2835</v>
      </c>
      <c r="N1039" s="13" t="s">
        <v>110</v>
      </c>
      <c r="O1039" s="13" t="s">
        <v>365</v>
      </c>
      <c r="P1039" s="13" t="s">
        <v>365</v>
      </c>
      <c r="Q1039" s="22"/>
      <c r="R1039" s="23">
        <v>718159.31568382459</v>
      </c>
      <c r="S1039" s="21" t="s">
        <v>24</v>
      </c>
      <c r="T1039" s="21" t="s">
        <v>25</v>
      </c>
      <c r="U1039" s="21"/>
      <c r="V1039" s="24"/>
      <c r="W1039" s="24" t="s">
        <v>518</v>
      </c>
      <c r="X1039" s="24"/>
      <c r="Y1039" s="17" t="s">
        <v>297</v>
      </c>
      <c r="Z1039" s="18">
        <f>ROUND(R1039*'Data-CostAssumptions'!$C$8,-3)</f>
        <v>718000</v>
      </c>
      <c r="AA1039" s="11">
        <f t="shared" si="33"/>
        <v>1</v>
      </c>
      <c r="AB1039" s="11">
        <v>2041</v>
      </c>
      <c r="AC1039" s="11">
        <v>2041</v>
      </c>
      <c r="AD1039" s="11">
        <v>2041</v>
      </c>
      <c r="AE1039" s="11">
        <v>2041</v>
      </c>
      <c r="AF1039" s="11">
        <v>0</v>
      </c>
      <c r="AG1039" s="19">
        <f>ROUND((Z1039*'Data-CostAssumptions'!$G$5)*(1+'Data-CostAssumptions'!$G$3)^(AC1039-'Data-CostAssumptions'!$G$4),-3)</f>
        <v>405000</v>
      </c>
      <c r="AH1039" s="19">
        <f>ROUND((Z1039)*(1+'Data-CostAssumptions'!$G$3)^(AE1039-'Data-CostAssumptions'!$G$4),-3)</f>
        <v>1841000</v>
      </c>
    </row>
    <row r="1040" spans="1:34" ht="15" customHeight="1" x14ac:dyDescent="0.2">
      <c r="A1040" s="11"/>
      <c r="B1040" s="11" t="s">
        <v>1211</v>
      </c>
      <c r="C1040" s="13">
        <v>10042</v>
      </c>
      <c r="D1040" s="13" t="s">
        <v>420</v>
      </c>
      <c r="E1040" s="20" t="s">
        <v>298</v>
      </c>
      <c r="F1040" s="20">
        <v>142</v>
      </c>
      <c r="G1040" s="20">
        <v>1039</v>
      </c>
      <c r="H1040" s="13" t="s">
        <v>2800</v>
      </c>
      <c r="I1040" s="13" t="str">
        <f t="shared" si="32"/>
        <v>SR 858/Hallandale Beach Bl (@  NE 14th Av)</v>
      </c>
      <c r="J1040" s="13" t="s">
        <v>347</v>
      </c>
      <c r="K1040" s="13" t="str">
        <f>VLOOKUP(J1040,'Data-ProjectTypes'!A$3:B$13,2,FALSE)</f>
        <v>Project</v>
      </c>
      <c r="L1040" s="21" t="s">
        <v>77</v>
      </c>
      <c r="M1040" s="13" t="s">
        <v>2835</v>
      </c>
      <c r="N1040" s="13" t="s">
        <v>2235</v>
      </c>
      <c r="O1040" s="13" t="s">
        <v>365</v>
      </c>
      <c r="P1040" s="13" t="s">
        <v>365</v>
      </c>
      <c r="Q1040" s="22"/>
      <c r="R1040" s="23">
        <v>718159.31568382459</v>
      </c>
      <c r="S1040" s="21" t="s">
        <v>24</v>
      </c>
      <c r="T1040" s="21" t="s">
        <v>25</v>
      </c>
      <c r="U1040" s="21"/>
      <c r="V1040" s="24"/>
      <c r="W1040" s="24" t="s">
        <v>518</v>
      </c>
      <c r="X1040" s="24"/>
      <c r="Y1040" s="17" t="s">
        <v>297</v>
      </c>
      <c r="Z1040" s="18">
        <f>ROUND(R1040*'Data-CostAssumptions'!$C$8,-3)</f>
        <v>718000</v>
      </c>
      <c r="AA1040" s="11">
        <f t="shared" si="33"/>
        <v>1</v>
      </c>
      <c r="AB1040" s="11">
        <v>2041</v>
      </c>
      <c r="AC1040" s="11">
        <v>2041</v>
      </c>
      <c r="AD1040" s="11">
        <v>2041</v>
      </c>
      <c r="AE1040" s="11">
        <v>2041</v>
      </c>
      <c r="AF1040" s="11">
        <v>0</v>
      </c>
      <c r="AG1040" s="19">
        <f>ROUND((Z1040*'Data-CostAssumptions'!$G$5)*(1+'Data-CostAssumptions'!$G$3)^(AC1040-'Data-CostAssumptions'!$G$4),-3)</f>
        <v>405000</v>
      </c>
      <c r="AH1040" s="19">
        <f>ROUND((Z1040)*(1+'Data-CostAssumptions'!$G$3)^(AE1040-'Data-CostAssumptions'!$G$4),-3)</f>
        <v>1841000</v>
      </c>
    </row>
    <row r="1041" spans="1:34" ht="15" customHeight="1" x14ac:dyDescent="0.2">
      <c r="A1041" s="11"/>
      <c r="B1041" s="11" t="s">
        <v>1211</v>
      </c>
      <c r="C1041" s="13">
        <v>10057</v>
      </c>
      <c r="D1041" s="13" t="s">
        <v>420</v>
      </c>
      <c r="E1041" s="20" t="s">
        <v>298</v>
      </c>
      <c r="F1041" s="20">
        <v>143</v>
      </c>
      <c r="G1041" s="20">
        <v>1040</v>
      </c>
      <c r="H1041" s="13" t="s">
        <v>2963</v>
      </c>
      <c r="I1041" s="13" t="str">
        <f t="shared" si="32"/>
        <v>SR 858/Miramar Pkwy (@  SR 7/US 441)</v>
      </c>
      <c r="J1041" s="13" t="s">
        <v>347</v>
      </c>
      <c r="K1041" s="13" t="str">
        <f>VLOOKUP(J1041,'Data-ProjectTypes'!A$3:B$13,2,FALSE)</f>
        <v>Project</v>
      </c>
      <c r="L1041" s="21" t="s">
        <v>77</v>
      </c>
      <c r="M1041" s="13" t="s">
        <v>2835</v>
      </c>
      <c r="N1041" s="13" t="s">
        <v>57</v>
      </c>
      <c r="O1041" s="13" t="s">
        <v>365</v>
      </c>
      <c r="P1041" s="13" t="s">
        <v>365</v>
      </c>
      <c r="Q1041" s="22"/>
      <c r="R1041" s="23">
        <v>718159.31568382459</v>
      </c>
      <c r="S1041" s="21" t="s">
        <v>24</v>
      </c>
      <c r="T1041" s="21" t="s">
        <v>684</v>
      </c>
      <c r="U1041" s="21" t="s">
        <v>684</v>
      </c>
      <c r="V1041" s="24"/>
      <c r="W1041" s="24"/>
      <c r="X1041" s="24"/>
      <c r="Y1041" s="17" t="s">
        <v>685</v>
      </c>
      <c r="Z1041" s="18">
        <f>ROUND(R1041*'Data-CostAssumptions'!$C$8,-3)</f>
        <v>718000</v>
      </c>
      <c r="AA1041" s="11">
        <f t="shared" si="33"/>
        <v>0</v>
      </c>
      <c r="AB1041" s="11">
        <v>2041</v>
      </c>
      <c r="AC1041" s="11">
        <v>2041</v>
      </c>
      <c r="AD1041" s="11">
        <v>2041</v>
      </c>
      <c r="AE1041" s="11">
        <v>2041</v>
      </c>
      <c r="AF1041" s="11">
        <v>0</v>
      </c>
      <c r="AG1041" s="19">
        <f>ROUND((Z1041*'Data-CostAssumptions'!$G$5)*(1+'Data-CostAssumptions'!$G$3)^(AC1041-'Data-CostAssumptions'!$G$4),-3)</f>
        <v>405000</v>
      </c>
      <c r="AH1041" s="19">
        <f>ROUND((Z1041)*(1+'Data-CostAssumptions'!$G$3)^(AE1041-'Data-CostAssumptions'!$G$4),-3)</f>
        <v>1841000</v>
      </c>
    </row>
    <row r="1042" spans="1:34" ht="15" customHeight="1" x14ac:dyDescent="0.2">
      <c r="A1042" s="11"/>
      <c r="B1042" s="11" t="s">
        <v>1211</v>
      </c>
      <c r="C1042" s="11">
        <v>10185</v>
      </c>
      <c r="D1042" s="13" t="s">
        <v>420</v>
      </c>
      <c r="E1042" s="14"/>
      <c r="F1042" s="14">
        <v>137</v>
      </c>
      <c r="G1042" s="20">
        <v>1041</v>
      </c>
      <c r="H1042" s="13" t="s">
        <v>2801</v>
      </c>
      <c r="I1042" s="13" t="str">
        <f t="shared" si="32"/>
        <v>SR 858/Miramar Pkwy/Hallandale Beach Bl ( to )</v>
      </c>
      <c r="J1042" s="11" t="s">
        <v>347</v>
      </c>
      <c r="K1042" s="13" t="str">
        <f>VLOOKUP(J1042,'Data-ProjectTypes'!A$3:B$13,2,FALSE)</f>
        <v>Project</v>
      </c>
      <c r="L1042" s="11" t="s">
        <v>404</v>
      </c>
      <c r="M1042" s="11"/>
      <c r="N1042" s="11"/>
      <c r="O1042" s="11" t="s">
        <v>409</v>
      </c>
      <c r="P1042" s="11" t="s">
        <v>409</v>
      </c>
      <c r="Q1042" s="15"/>
      <c r="R1042" s="16">
        <v>34904800</v>
      </c>
      <c r="S1042" s="11"/>
      <c r="T1042" s="11"/>
      <c r="U1042" s="11"/>
      <c r="V1042" s="11"/>
      <c r="W1042" s="11"/>
      <c r="X1042" s="11"/>
      <c r="Y1042" s="17"/>
      <c r="Z1042" s="18">
        <f>ROUND(R1042*'Data-CostAssumptions'!$C$8,-3)</f>
        <v>34905000</v>
      </c>
      <c r="AA1042" s="11">
        <f t="shared" si="33"/>
        <v>0</v>
      </c>
      <c r="AB1042" s="11">
        <v>2041</v>
      </c>
      <c r="AC1042" s="11">
        <v>2041</v>
      </c>
      <c r="AD1042" s="11">
        <v>2041</v>
      </c>
      <c r="AE1042" s="11">
        <v>2041</v>
      </c>
      <c r="AF1042" s="11">
        <v>0</v>
      </c>
      <c r="AG1042" s="19">
        <f>ROUND((Z1042*'Data-CostAssumptions'!$G$5)*(1+'Data-CostAssumptions'!$G$3)^(AC1042-'Data-CostAssumptions'!$G$4),-3)</f>
        <v>19689000</v>
      </c>
      <c r="AH1042" s="19">
        <f>ROUND((Z1042)*(1+'Data-CostAssumptions'!$G$3)^(AE1042-'Data-CostAssumptions'!$G$4),-3)</f>
        <v>89495000</v>
      </c>
    </row>
    <row r="1043" spans="1:34" ht="15" customHeight="1" x14ac:dyDescent="0.2">
      <c r="A1043" s="11"/>
      <c r="B1043" s="11" t="s">
        <v>1211</v>
      </c>
      <c r="C1043" s="13">
        <v>10047</v>
      </c>
      <c r="D1043" s="13" t="s">
        <v>420</v>
      </c>
      <c r="E1043" s="20" t="s">
        <v>298</v>
      </c>
      <c r="F1043" s="20">
        <v>142</v>
      </c>
      <c r="G1043" s="20">
        <v>1042</v>
      </c>
      <c r="H1043" s="13" t="s">
        <v>2740</v>
      </c>
      <c r="I1043" s="13" t="str">
        <f t="shared" si="32"/>
        <v>SR 862/I-595 (@  Pine Island Rd)</v>
      </c>
      <c r="J1043" s="13" t="s">
        <v>347</v>
      </c>
      <c r="K1043" s="13" t="str">
        <f>VLOOKUP(J1043,'Data-ProjectTypes'!A$3:B$13,2,FALSE)</f>
        <v>Project</v>
      </c>
      <c r="L1043" s="21" t="s">
        <v>26</v>
      </c>
      <c r="M1043" s="13" t="s">
        <v>2835</v>
      </c>
      <c r="N1043" s="13" t="s">
        <v>266</v>
      </c>
      <c r="O1043" s="13" t="s">
        <v>365</v>
      </c>
      <c r="P1043" s="13" t="s">
        <v>365</v>
      </c>
      <c r="Q1043" s="72">
        <v>0</v>
      </c>
      <c r="R1043" s="23">
        <v>3056502.3571223663</v>
      </c>
      <c r="S1043" s="21" t="s">
        <v>24</v>
      </c>
      <c r="T1043" s="21"/>
      <c r="U1043" s="21"/>
      <c r="V1043" s="24"/>
      <c r="W1043" s="24"/>
      <c r="X1043" s="24"/>
      <c r="Y1043" s="17" t="s">
        <v>469</v>
      </c>
      <c r="Z1043" s="18">
        <f>ROUND(R1043*'Data-CostAssumptions'!$C$8,-3)</f>
        <v>3057000</v>
      </c>
      <c r="AA1043" s="11">
        <f t="shared" si="33"/>
        <v>0</v>
      </c>
      <c r="AB1043" s="11">
        <v>2041</v>
      </c>
      <c r="AC1043" s="11">
        <v>2041</v>
      </c>
      <c r="AD1043" s="11">
        <v>2041</v>
      </c>
      <c r="AE1043" s="11">
        <v>2041</v>
      </c>
      <c r="AF1043" s="11">
        <v>0</v>
      </c>
      <c r="AG1043" s="19">
        <f>ROUND((Z1043*'Data-CostAssumptions'!$G$5)*(1+'Data-CostAssumptions'!$G$3)^(AC1043-'Data-CostAssumptions'!$G$4),-3)</f>
        <v>1724000</v>
      </c>
      <c r="AH1043" s="19">
        <f>ROUND((Z1043)*(1+'Data-CostAssumptions'!$G$3)^(AE1043-'Data-CostAssumptions'!$G$4),-3)</f>
        <v>7838000</v>
      </c>
    </row>
    <row r="1044" spans="1:34" ht="15" customHeight="1" x14ac:dyDescent="0.2">
      <c r="A1044" s="11"/>
      <c r="B1044" s="11" t="s">
        <v>1211</v>
      </c>
      <c r="C1044" s="13">
        <v>10055</v>
      </c>
      <c r="D1044" s="13" t="s">
        <v>420</v>
      </c>
      <c r="E1044" s="20" t="s">
        <v>298</v>
      </c>
      <c r="F1044" s="20">
        <v>143</v>
      </c>
      <c r="G1044" s="20">
        <v>1043</v>
      </c>
      <c r="H1044" s="13" t="s">
        <v>2740</v>
      </c>
      <c r="I1044" s="13" t="str">
        <f t="shared" si="32"/>
        <v>SR 862/I-595 (@  136th Av)</v>
      </c>
      <c r="J1044" s="13" t="s">
        <v>347</v>
      </c>
      <c r="K1044" s="13" t="str">
        <f>VLOOKUP(J1044,'Data-ProjectTypes'!A$3:B$13,2,FALSE)</f>
        <v>Project</v>
      </c>
      <c r="L1044" s="21" t="s">
        <v>77</v>
      </c>
      <c r="M1044" s="13" t="s">
        <v>2835</v>
      </c>
      <c r="N1044" s="13" t="s">
        <v>2914</v>
      </c>
      <c r="O1044" s="13" t="s">
        <v>365</v>
      </c>
      <c r="P1044" s="13" t="s">
        <v>365</v>
      </c>
      <c r="Q1044" s="22"/>
      <c r="R1044" s="23">
        <v>718159.31568382459</v>
      </c>
      <c r="S1044" s="21" t="s">
        <v>24</v>
      </c>
      <c r="T1044" s="21"/>
      <c r="U1044" s="21"/>
      <c r="V1044" s="24"/>
      <c r="W1044" s="24"/>
      <c r="X1044" s="24"/>
      <c r="Y1044" s="17" t="s">
        <v>469</v>
      </c>
      <c r="Z1044" s="18">
        <f>ROUND(R1044*'Data-CostAssumptions'!$C$8,-3)</f>
        <v>718000</v>
      </c>
      <c r="AA1044" s="11">
        <f t="shared" si="33"/>
        <v>0</v>
      </c>
      <c r="AB1044" s="11">
        <v>2041</v>
      </c>
      <c r="AC1044" s="11">
        <v>2041</v>
      </c>
      <c r="AD1044" s="11">
        <v>2041</v>
      </c>
      <c r="AE1044" s="11">
        <v>2041</v>
      </c>
      <c r="AF1044" s="11">
        <v>0</v>
      </c>
      <c r="AG1044" s="19">
        <f>ROUND((Z1044*'Data-CostAssumptions'!$G$5)*(1+'Data-CostAssumptions'!$G$3)^(AC1044-'Data-CostAssumptions'!$G$4),-3)</f>
        <v>405000</v>
      </c>
      <c r="AH1044" s="19">
        <f>ROUND((Z1044)*(1+'Data-CostAssumptions'!$G$3)^(AE1044-'Data-CostAssumptions'!$G$4),-3)</f>
        <v>1841000</v>
      </c>
    </row>
    <row r="1045" spans="1:34" ht="15" customHeight="1" x14ac:dyDescent="0.2">
      <c r="A1045" s="11"/>
      <c r="B1045" s="11" t="s">
        <v>1211</v>
      </c>
      <c r="C1045" s="13">
        <v>10050</v>
      </c>
      <c r="D1045" s="13" t="s">
        <v>420</v>
      </c>
      <c r="E1045" s="20" t="s">
        <v>298</v>
      </c>
      <c r="F1045" s="20">
        <v>143</v>
      </c>
      <c r="G1045" s="20">
        <v>1044</v>
      </c>
      <c r="H1045" s="13" t="s">
        <v>2740</v>
      </c>
      <c r="I1045" s="13" t="str">
        <f t="shared" si="32"/>
        <v>SR 862/I-595 (@  College Av)</v>
      </c>
      <c r="J1045" s="13" t="s">
        <v>347</v>
      </c>
      <c r="K1045" s="13" t="str">
        <f>VLOOKUP(J1045,'Data-ProjectTypes'!A$3:B$13,2,FALSE)</f>
        <v>Project</v>
      </c>
      <c r="L1045" s="21" t="s">
        <v>77</v>
      </c>
      <c r="M1045" s="13" t="s">
        <v>2835</v>
      </c>
      <c r="N1045" s="13" t="s">
        <v>2016</v>
      </c>
      <c r="O1045" s="13" t="s">
        <v>365</v>
      </c>
      <c r="P1045" s="13" t="s">
        <v>365</v>
      </c>
      <c r="Q1045" s="22"/>
      <c r="R1045" s="23">
        <v>718159.31568382459</v>
      </c>
      <c r="S1045" s="21" t="s">
        <v>350</v>
      </c>
      <c r="T1045" s="21"/>
      <c r="U1045" s="21"/>
      <c r="V1045" s="24"/>
      <c r="W1045" s="24"/>
      <c r="X1045" s="24" t="s">
        <v>480</v>
      </c>
      <c r="Y1045" s="17" t="s">
        <v>469</v>
      </c>
      <c r="Z1045" s="18">
        <f>ROUND(R1045*'Data-CostAssumptions'!$C$8,-3)</f>
        <v>718000</v>
      </c>
      <c r="AA1045" s="11">
        <f t="shared" si="33"/>
        <v>0</v>
      </c>
      <c r="AB1045" s="11">
        <v>2041</v>
      </c>
      <c r="AC1045" s="11">
        <v>2041</v>
      </c>
      <c r="AD1045" s="11">
        <v>2041</v>
      </c>
      <c r="AE1045" s="11">
        <v>2041</v>
      </c>
      <c r="AF1045" s="11">
        <v>0</v>
      </c>
      <c r="AG1045" s="19">
        <f>ROUND((Z1045*'Data-CostAssumptions'!$G$5)*(1+'Data-CostAssumptions'!$G$3)^(AC1045-'Data-CostAssumptions'!$G$4),-3)</f>
        <v>405000</v>
      </c>
      <c r="AH1045" s="19">
        <f>ROUND((Z1045)*(1+'Data-CostAssumptions'!$G$3)^(AE1045-'Data-CostAssumptions'!$G$4),-3)</f>
        <v>1841000</v>
      </c>
    </row>
    <row r="1046" spans="1:34" ht="15" customHeight="1" x14ac:dyDescent="0.2">
      <c r="A1046" s="11"/>
      <c r="B1046" s="11" t="s">
        <v>1211</v>
      </c>
      <c r="C1046" s="13">
        <v>10086</v>
      </c>
      <c r="D1046" s="13" t="s">
        <v>420</v>
      </c>
      <c r="E1046" s="20" t="s">
        <v>298</v>
      </c>
      <c r="F1046" s="20">
        <v>145</v>
      </c>
      <c r="G1046" s="20">
        <v>1045</v>
      </c>
      <c r="H1046" s="13" t="s">
        <v>2740</v>
      </c>
      <c r="I1046" s="13" t="str">
        <f t="shared" si="32"/>
        <v>SR 862/I-595 (@  Hiatus Rd)</v>
      </c>
      <c r="J1046" s="13" t="s">
        <v>347</v>
      </c>
      <c r="K1046" s="13" t="str">
        <f>VLOOKUP(J1046,'Data-ProjectTypes'!A$3:B$13,2,FALSE)</f>
        <v>Project</v>
      </c>
      <c r="L1046" s="21" t="s">
        <v>77</v>
      </c>
      <c r="M1046" s="13" t="s">
        <v>2835</v>
      </c>
      <c r="N1046" s="13" t="s">
        <v>1752</v>
      </c>
      <c r="O1046" s="13" t="s">
        <v>365</v>
      </c>
      <c r="P1046" s="13" t="s">
        <v>365</v>
      </c>
      <c r="Q1046" s="22"/>
      <c r="R1046" s="23">
        <v>718159.31568382459</v>
      </c>
      <c r="S1046" s="21" t="s">
        <v>24</v>
      </c>
      <c r="T1046" s="21"/>
      <c r="U1046" s="21"/>
      <c r="V1046" s="24"/>
      <c r="W1046" s="24"/>
      <c r="X1046" s="24"/>
      <c r="Y1046" s="17" t="s">
        <v>469</v>
      </c>
      <c r="Z1046" s="18">
        <f>ROUND(R1046*'Data-CostAssumptions'!$C$8,-3)</f>
        <v>718000</v>
      </c>
      <c r="AA1046" s="11">
        <f t="shared" si="33"/>
        <v>0</v>
      </c>
      <c r="AB1046" s="11">
        <v>2041</v>
      </c>
      <c r="AC1046" s="11">
        <v>2041</v>
      </c>
      <c r="AD1046" s="11">
        <v>2041</v>
      </c>
      <c r="AE1046" s="11">
        <v>2041</v>
      </c>
      <c r="AF1046" s="11">
        <v>0</v>
      </c>
      <c r="AG1046" s="19">
        <f>ROUND((Z1046*'Data-CostAssumptions'!$G$5)*(1+'Data-CostAssumptions'!$G$3)^(AC1046-'Data-CostAssumptions'!$G$4),-3)</f>
        <v>405000</v>
      </c>
      <c r="AH1046" s="19">
        <f>ROUND((Z1046)*(1+'Data-CostAssumptions'!$G$3)^(AE1046-'Data-CostAssumptions'!$G$4),-3)</f>
        <v>1841000</v>
      </c>
    </row>
    <row r="1047" spans="1:34" ht="15" customHeight="1" x14ac:dyDescent="0.2">
      <c r="A1047" s="11"/>
      <c r="B1047" s="11" t="s">
        <v>1211</v>
      </c>
      <c r="C1047" s="13">
        <v>10065</v>
      </c>
      <c r="D1047" s="13" t="s">
        <v>420</v>
      </c>
      <c r="E1047" s="20" t="s">
        <v>298</v>
      </c>
      <c r="F1047" s="20">
        <v>144</v>
      </c>
      <c r="G1047" s="20">
        <v>1046</v>
      </c>
      <c r="H1047" s="13" t="s">
        <v>2740</v>
      </c>
      <c r="I1047" s="13" t="str">
        <f t="shared" si="32"/>
        <v>SR 862/I-595 (@  I-75)</v>
      </c>
      <c r="J1047" s="13" t="s">
        <v>347</v>
      </c>
      <c r="K1047" s="13" t="str">
        <f>VLOOKUP(J1047,'Data-ProjectTypes'!A$3:B$13,2,FALSE)</f>
        <v>Project</v>
      </c>
      <c r="L1047" s="21" t="s">
        <v>77</v>
      </c>
      <c r="M1047" s="13" t="s">
        <v>2835</v>
      </c>
      <c r="N1047" s="13" t="s">
        <v>31</v>
      </c>
      <c r="O1047" s="13" t="s">
        <v>365</v>
      </c>
      <c r="P1047" s="13" t="s">
        <v>365</v>
      </c>
      <c r="Q1047" s="22"/>
      <c r="R1047" s="23">
        <v>718159.31568382459</v>
      </c>
      <c r="S1047" s="21"/>
      <c r="T1047" s="21"/>
      <c r="U1047" s="21"/>
      <c r="V1047" s="24"/>
      <c r="W1047" s="24"/>
      <c r="X1047" s="24"/>
      <c r="Y1047" s="17"/>
      <c r="Z1047" s="18">
        <f>ROUND(R1047*'Data-CostAssumptions'!$C$8,-3)</f>
        <v>718000</v>
      </c>
      <c r="AA1047" s="11">
        <f t="shared" si="33"/>
        <v>0</v>
      </c>
      <c r="AB1047" s="11">
        <v>2041</v>
      </c>
      <c r="AC1047" s="11">
        <v>2041</v>
      </c>
      <c r="AD1047" s="11">
        <v>2041</v>
      </c>
      <c r="AE1047" s="11">
        <v>2041</v>
      </c>
      <c r="AF1047" s="11">
        <v>0</v>
      </c>
      <c r="AG1047" s="19">
        <f>ROUND((Z1047*'Data-CostAssumptions'!$G$5)*(1+'Data-CostAssumptions'!$G$3)^(AC1047-'Data-CostAssumptions'!$G$4),-3)</f>
        <v>405000</v>
      </c>
      <c r="AH1047" s="19">
        <f>ROUND((Z1047)*(1+'Data-CostAssumptions'!$G$3)^(AE1047-'Data-CostAssumptions'!$G$4),-3)</f>
        <v>1841000</v>
      </c>
    </row>
    <row r="1048" spans="1:34" ht="15" customHeight="1" x14ac:dyDescent="0.2">
      <c r="A1048" s="11"/>
      <c r="B1048" s="11" t="s">
        <v>1211</v>
      </c>
      <c r="C1048" s="13">
        <v>10026</v>
      </c>
      <c r="D1048" s="13" t="s">
        <v>420</v>
      </c>
      <c r="E1048" s="20" t="s">
        <v>298</v>
      </c>
      <c r="F1048" s="20">
        <v>141</v>
      </c>
      <c r="G1048" s="20">
        <v>1047</v>
      </c>
      <c r="H1048" s="13" t="s">
        <v>2740</v>
      </c>
      <c r="I1048" s="13" t="str">
        <f t="shared" si="32"/>
        <v>SR 862/I-595 (@  SR 817/University Dr)</v>
      </c>
      <c r="J1048" s="13" t="s">
        <v>347</v>
      </c>
      <c r="K1048" s="13" t="str">
        <f>VLOOKUP(J1048,'Data-ProjectTypes'!A$3:B$13,2,FALSE)</f>
        <v>Project</v>
      </c>
      <c r="L1048" s="21" t="s">
        <v>77</v>
      </c>
      <c r="M1048" s="13" t="s">
        <v>2835</v>
      </c>
      <c r="N1048" s="13" t="s">
        <v>2709</v>
      </c>
      <c r="O1048" s="13" t="s">
        <v>365</v>
      </c>
      <c r="P1048" s="13" t="s">
        <v>365</v>
      </c>
      <c r="Q1048" s="22"/>
      <c r="R1048" s="23">
        <v>718159.31568382459</v>
      </c>
      <c r="S1048" s="21" t="s">
        <v>350</v>
      </c>
      <c r="T1048" s="21"/>
      <c r="U1048" s="21"/>
      <c r="V1048" s="24"/>
      <c r="W1048" s="24"/>
      <c r="X1048" s="24" t="s">
        <v>476</v>
      </c>
      <c r="Y1048" s="17" t="s">
        <v>469</v>
      </c>
      <c r="Z1048" s="18">
        <f>ROUND(R1048*'Data-CostAssumptions'!$C$8,-3)</f>
        <v>718000</v>
      </c>
      <c r="AA1048" s="11">
        <f t="shared" si="33"/>
        <v>0</v>
      </c>
      <c r="AB1048" s="11">
        <v>2041</v>
      </c>
      <c r="AC1048" s="11">
        <v>2041</v>
      </c>
      <c r="AD1048" s="11">
        <v>2041</v>
      </c>
      <c r="AE1048" s="11">
        <v>2041</v>
      </c>
      <c r="AF1048" s="11">
        <v>0</v>
      </c>
      <c r="AG1048" s="19">
        <f>ROUND((Z1048*'Data-CostAssumptions'!$G$5)*(1+'Data-CostAssumptions'!$G$3)^(AC1048-'Data-CostAssumptions'!$G$4),-3)</f>
        <v>405000</v>
      </c>
      <c r="AH1048" s="19">
        <f>ROUND((Z1048)*(1+'Data-CostAssumptions'!$G$3)^(AE1048-'Data-CostAssumptions'!$G$4),-3)</f>
        <v>1841000</v>
      </c>
    </row>
    <row r="1049" spans="1:34" ht="15" customHeight="1" x14ac:dyDescent="0.2">
      <c r="A1049" s="11"/>
      <c r="B1049" s="11" t="s">
        <v>1211</v>
      </c>
      <c r="C1049" s="13">
        <v>10068</v>
      </c>
      <c r="D1049" s="13" t="s">
        <v>420</v>
      </c>
      <c r="E1049" s="20" t="s">
        <v>298</v>
      </c>
      <c r="F1049" s="20">
        <v>144</v>
      </c>
      <c r="G1049" s="20">
        <v>1048</v>
      </c>
      <c r="H1049" s="13" t="s">
        <v>2803</v>
      </c>
      <c r="I1049" s="13" t="str">
        <f t="shared" si="32"/>
        <v>SR 870/Commercial Bl (@  SR7/US 441)</v>
      </c>
      <c r="J1049" s="13" t="s">
        <v>347</v>
      </c>
      <c r="K1049" s="13" t="str">
        <f>VLOOKUP(J1049,'Data-ProjectTypes'!A$3:B$13,2,FALSE)</f>
        <v>Project</v>
      </c>
      <c r="L1049" s="21" t="s">
        <v>26</v>
      </c>
      <c r="M1049" s="13" t="s">
        <v>2835</v>
      </c>
      <c r="N1049" s="13" t="s">
        <v>2911</v>
      </c>
      <c r="O1049" s="13" t="s">
        <v>365</v>
      </c>
      <c r="P1049" s="13" t="s">
        <v>365</v>
      </c>
      <c r="Q1049" s="72">
        <v>0</v>
      </c>
      <c r="R1049" s="23">
        <v>3056502.3571223663</v>
      </c>
      <c r="S1049" s="21"/>
      <c r="T1049" s="21"/>
      <c r="U1049" s="21"/>
      <c r="V1049" s="24"/>
      <c r="W1049" s="24"/>
      <c r="X1049" s="24"/>
      <c r="Y1049" s="17"/>
      <c r="Z1049" s="18">
        <f>ROUND(R1049*'Data-CostAssumptions'!$C$8,-3)</f>
        <v>3057000</v>
      </c>
      <c r="AA1049" s="11">
        <f t="shared" si="33"/>
        <v>0</v>
      </c>
      <c r="AB1049" s="11">
        <v>2041</v>
      </c>
      <c r="AC1049" s="11">
        <v>2041</v>
      </c>
      <c r="AD1049" s="11">
        <v>2041</v>
      </c>
      <c r="AE1049" s="11">
        <v>2041</v>
      </c>
      <c r="AF1049" s="11">
        <v>0</v>
      </c>
      <c r="AG1049" s="19">
        <f>ROUND((Z1049*'Data-CostAssumptions'!$G$5)*(1+'Data-CostAssumptions'!$G$3)^(AC1049-'Data-CostAssumptions'!$G$4),-3)</f>
        <v>1724000</v>
      </c>
      <c r="AH1049" s="19">
        <f>ROUND((Z1049)*(1+'Data-CostAssumptions'!$G$3)^(AE1049-'Data-CostAssumptions'!$G$4),-3)</f>
        <v>7838000</v>
      </c>
    </row>
    <row r="1050" spans="1:34" ht="15" customHeight="1" x14ac:dyDescent="0.2">
      <c r="A1050" s="11"/>
      <c r="B1050" s="11" t="s">
        <v>1211</v>
      </c>
      <c r="C1050" s="13">
        <v>10084</v>
      </c>
      <c r="D1050" s="13" t="s">
        <v>420</v>
      </c>
      <c r="E1050" s="20" t="s">
        <v>298</v>
      </c>
      <c r="F1050" s="20">
        <v>145</v>
      </c>
      <c r="G1050" s="20">
        <v>1049</v>
      </c>
      <c r="H1050" s="13" t="s">
        <v>2803</v>
      </c>
      <c r="I1050" s="13" t="str">
        <f t="shared" si="32"/>
        <v>SR 870/Commercial Bl (@  SR A1A)</v>
      </c>
      <c r="J1050" s="13" t="s">
        <v>347</v>
      </c>
      <c r="K1050" s="13" t="str">
        <f>VLOOKUP(J1050,'Data-ProjectTypes'!A$3:B$13,2,FALSE)</f>
        <v>Project</v>
      </c>
      <c r="L1050" s="21" t="s">
        <v>77</v>
      </c>
      <c r="M1050" s="13" t="s">
        <v>2835</v>
      </c>
      <c r="N1050" s="13" t="s">
        <v>110</v>
      </c>
      <c r="O1050" s="13" t="s">
        <v>365</v>
      </c>
      <c r="P1050" s="13" t="s">
        <v>365</v>
      </c>
      <c r="Q1050" s="22"/>
      <c r="R1050" s="23">
        <v>718159.31568382459</v>
      </c>
      <c r="S1050" s="21"/>
      <c r="T1050" s="21"/>
      <c r="U1050" s="21"/>
      <c r="V1050" s="24"/>
      <c r="W1050" s="24"/>
      <c r="X1050" s="24"/>
      <c r="Y1050" s="17"/>
      <c r="Z1050" s="18">
        <f>ROUND(R1050*'Data-CostAssumptions'!$C$8,-3)</f>
        <v>718000</v>
      </c>
      <c r="AA1050" s="11">
        <f t="shared" si="33"/>
        <v>0</v>
      </c>
      <c r="AB1050" s="11">
        <v>2041</v>
      </c>
      <c r="AC1050" s="11">
        <v>2041</v>
      </c>
      <c r="AD1050" s="11">
        <v>2041</v>
      </c>
      <c r="AE1050" s="11">
        <v>2041</v>
      </c>
      <c r="AF1050" s="11">
        <v>0</v>
      </c>
      <c r="AG1050" s="19">
        <f>ROUND((Z1050*'Data-CostAssumptions'!$G$5)*(1+'Data-CostAssumptions'!$G$3)^(AC1050-'Data-CostAssumptions'!$G$4),-3)</f>
        <v>405000</v>
      </c>
      <c r="AH1050" s="19">
        <f>ROUND((Z1050)*(1+'Data-CostAssumptions'!$G$3)^(AE1050-'Data-CostAssumptions'!$G$4),-3)</f>
        <v>1841000</v>
      </c>
    </row>
    <row r="1051" spans="1:34" ht="15" customHeight="1" x14ac:dyDescent="0.2">
      <c r="A1051" s="11"/>
      <c r="B1051" s="11" t="s">
        <v>1211</v>
      </c>
      <c r="C1051" s="13">
        <v>10052</v>
      </c>
      <c r="D1051" s="13" t="s">
        <v>420</v>
      </c>
      <c r="E1051" s="20" t="s">
        <v>298</v>
      </c>
      <c r="F1051" s="20">
        <v>143</v>
      </c>
      <c r="G1051" s="20">
        <v>1050</v>
      </c>
      <c r="H1051" s="13" t="s">
        <v>2803</v>
      </c>
      <c r="I1051" s="13" t="str">
        <f t="shared" si="32"/>
        <v>SR 870/Commercial Bl (@  Andrews Av)</v>
      </c>
      <c r="J1051" s="13" t="s">
        <v>347</v>
      </c>
      <c r="K1051" s="13" t="str">
        <f>VLOOKUP(J1051,'Data-ProjectTypes'!A$3:B$13,2,FALSE)</f>
        <v>Project</v>
      </c>
      <c r="L1051" s="21" t="s">
        <v>77</v>
      </c>
      <c r="M1051" s="13" t="s">
        <v>2835</v>
      </c>
      <c r="N1051" s="13" t="s">
        <v>2014</v>
      </c>
      <c r="O1051" s="13" t="s">
        <v>365</v>
      </c>
      <c r="P1051" s="13" t="s">
        <v>365</v>
      </c>
      <c r="Q1051" s="22"/>
      <c r="R1051" s="23">
        <v>718159.31568382459</v>
      </c>
      <c r="S1051" s="21"/>
      <c r="T1051" s="21"/>
      <c r="U1051" s="21"/>
      <c r="V1051" s="24"/>
      <c r="W1051" s="24" t="s">
        <v>715</v>
      </c>
      <c r="X1051" s="24"/>
      <c r="Y1051" s="17" t="s">
        <v>538</v>
      </c>
      <c r="Z1051" s="18">
        <f>ROUND(R1051*'Data-CostAssumptions'!$C$8,-3)</f>
        <v>718000</v>
      </c>
      <c r="AA1051" s="11">
        <f t="shared" si="33"/>
        <v>1</v>
      </c>
      <c r="AB1051" s="11">
        <v>2041</v>
      </c>
      <c r="AC1051" s="11">
        <v>2041</v>
      </c>
      <c r="AD1051" s="11">
        <v>2041</v>
      </c>
      <c r="AE1051" s="11">
        <v>2041</v>
      </c>
      <c r="AF1051" s="11">
        <v>0</v>
      </c>
      <c r="AG1051" s="19">
        <f>ROUND((Z1051*'Data-CostAssumptions'!$G$5)*(1+'Data-CostAssumptions'!$G$3)^(AC1051-'Data-CostAssumptions'!$G$4),-3)</f>
        <v>405000</v>
      </c>
      <c r="AH1051" s="19">
        <f>ROUND((Z1051)*(1+'Data-CostAssumptions'!$G$3)^(AE1051-'Data-CostAssumptions'!$G$4),-3)</f>
        <v>1841000</v>
      </c>
    </row>
    <row r="1052" spans="1:34" ht="15" customHeight="1" x14ac:dyDescent="0.2">
      <c r="A1052" s="11"/>
      <c r="B1052" s="11" t="s">
        <v>1211</v>
      </c>
      <c r="C1052" s="13">
        <v>10049</v>
      </c>
      <c r="D1052" s="13" t="s">
        <v>420</v>
      </c>
      <c r="E1052" s="20" t="s">
        <v>298</v>
      </c>
      <c r="F1052" s="20">
        <v>142</v>
      </c>
      <c r="G1052" s="20">
        <v>1051</v>
      </c>
      <c r="H1052" s="13" t="s">
        <v>2803</v>
      </c>
      <c r="I1052" s="13" t="str">
        <f t="shared" si="32"/>
        <v>SR 870/Commercial Bl (@  Dixie Hwy)</v>
      </c>
      <c r="J1052" s="13" t="s">
        <v>347</v>
      </c>
      <c r="K1052" s="13" t="str">
        <f>VLOOKUP(J1052,'Data-ProjectTypes'!A$3:B$13,2,FALSE)</f>
        <v>Project</v>
      </c>
      <c r="L1052" s="21" t="s">
        <v>77</v>
      </c>
      <c r="M1052" s="13" t="s">
        <v>2835</v>
      </c>
      <c r="N1052" s="13" t="s">
        <v>728</v>
      </c>
      <c r="O1052" s="13" t="s">
        <v>365</v>
      </c>
      <c r="P1052" s="13" t="s">
        <v>365</v>
      </c>
      <c r="Q1052" s="22"/>
      <c r="R1052" s="23">
        <v>718159.31568382459</v>
      </c>
      <c r="S1052" s="21"/>
      <c r="T1052" s="21"/>
      <c r="U1052" s="21"/>
      <c r="V1052" s="24"/>
      <c r="W1052" s="24" t="s">
        <v>715</v>
      </c>
      <c r="X1052" s="24"/>
      <c r="Y1052" s="17" t="s">
        <v>538</v>
      </c>
      <c r="Z1052" s="18">
        <f>ROUND(R1052*'Data-CostAssumptions'!$C$8,-3)</f>
        <v>718000</v>
      </c>
      <c r="AA1052" s="11">
        <f t="shared" si="33"/>
        <v>1</v>
      </c>
      <c r="AB1052" s="11">
        <v>2041</v>
      </c>
      <c r="AC1052" s="11">
        <v>2041</v>
      </c>
      <c r="AD1052" s="11">
        <v>2041</v>
      </c>
      <c r="AE1052" s="11">
        <v>2041</v>
      </c>
      <c r="AF1052" s="11">
        <v>0</v>
      </c>
      <c r="AG1052" s="19">
        <f>ROUND((Z1052*'Data-CostAssumptions'!$G$5)*(1+'Data-CostAssumptions'!$G$3)^(AC1052-'Data-CostAssumptions'!$G$4),-3)</f>
        <v>405000</v>
      </c>
      <c r="AH1052" s="19">
        <f>ROUND((Z1052)*(1+'Data-CostAssumptions'!$G$3)^(AE1052-'Data-CostAssumptions'!$G$4),-3)</f>
        <v>1841000</v>
      </c>
    </row>
    <row r="1053" spans="1:34" ht="15" customHeight="1" x14ac:dyDescent="0.2">
      <c r="A1053" s="11"/>
      <c r="B1053" s="11" t="s">
        <v>1211</v>
      </c>
      <c r="C1053" s="13">
        <v>10096</v>
      </c>
      <c r="D1053" s="13" t="s">
        <v>420</v>
      </c>
      <c r="E1053" s="20" t="s">
        <v>298</v>
      </c>
      <c r="F1053" s="20">
        <v>146</v>
      </c>
      <c r="G1053" s="20">
        <v>1052</v>
      </c>
      <c r="H1053" s="13" t="s">
        <v>2803</v>
      </c>
      <c r="I1053" s="13" t="str">
        <f t="shared" si="32"/>
        <v>SR 870/Commercial Bl (@  SR 817/University Dr)</v>
      </c>
      <c r="J1053" s="13" t="s">
        <v>347</v>
      </c>
      <c r="K1053" s="13" t="str">
        <f>VLOOKUP(J1053,'Data-ProjectTypes'!A$3:B$13,2,FALSE)</f>
        <v>Project</v>
      </c>
      <c r="L1053" s="21" t="s">
        <v>77</v>
      </c>
      <c r="M1053" s="13" t="s">
        <v>2835</v>
      </c>
      <c r="N1053" s="13" t="s">
        <v>2709</v>
      </c>
      <c r="O1053" s="13" t="s">
        <v>365</v>
      </c>
      <c r="P1053" s="13" t="s">
        <v>365</v>
      </c>
      <c r="Q1053" s="22"/>
      <c r="R1053" s="23">
        <v>718159.31568382459</v>
      </c>
      <c r="S1053" s="21"/>
      <c r="T1053" s="21"/>
      <c r="U1053" s="21"/>
      <c r="V1053" s="24"/>
      <c r="W1053" s="24"/>
      <c r="X1053" s="24"/>
      <c r="Y1053" s="17"/>
      <c r="Z1053" s="18">
        <f>ROUND(R1053*'Data-CostAssumptions'!$C$8,-3)</f>
        <v>718000</v>
      </c>
      <c r="AA1053" s="11">
        <f t="shared" si="33"/>
        <v>0</v>
      </c>
      <c r="AB1053" s="11">
        <v>2041</v>
      </c>
      <c r="AC1053" s="11">
        <v>2041</v>
      </c>
      <c r="AD1053" s="11">
        <v>2041</v>
      </c>
      <c r="AE1053" s="11">
        <v>2041</v>
      </c>
      <c r="AF1053" s="11">
        <v>0</v>
      </c>
      <c r="AG1053" s="19">
        <f>ROUND((Z1053*'Data-CostAssumptions'!$G$5)*(1+'Data-CostAssumptions'!$G$3)^(AC1053-'Data-CostAssumptions'!$G$4),-3)</f>
        <v>405000</v>
      </c>
      <c r="AH1053" s="19">
        <f>ROUND((Z1053)*(1+'Data-CostAssumptions'!$G$3)^(AE1053-'Data-CostAssumptions'!$G$4),-3)</f>
        <v>1841000</v>
      </c>
    </row>
    <row r="1054" spans="1:34" ht="15" customHeight="1" x14ac:dyDescent="0.2">
      <c r="A1054" s="11"/>
      <c r="B1054" s="11" t="s">
        <v>1211</v>
      </c>
      <c r="C1054" s="13">
        <v>10093</v>
      </c>
      <c r="D1054" s="13" t="s">
        <v>420</v>
      </c>
      <c r="E1054" s="20" t="s">
        <v>298</v>
      </c>
      <c r="F1054" s="20">
        <v>145</v>
      </c>
      <c r="G1054" s="20">
        <v>1053</v>
      </c>
      <c r="H1054" s="13" t="s">
        <v>1954</v>
      </c>
      <c r="I1054" s="13" t="str">
        <f t="shared" si="32"/>
        <v>SW 10th St (@  Dixie Hwy)</v>
      </c>
      <c r="J1054" s="13" t="s">
        <v>347</v>
      </c>
      <c r="K1054" s="13" t="str">
        <f>VLOOKUP(J1054,'Data-ProjectTypes'!A$3:B$13,2,FALSE)</f>
        <v>Project</v>
      </c>
      <c r="L1054" s="21" t="s">
        <v>77</v>
      </c>
      <c r="M1054" s="13" t="s">
        <v>2835</v>
      </c>
      <c r="N1054" s="13" t="s">
        <v>728</v>
      </c>
      <c r="O1054" s="13" t="s">
        <v>365</v>
      </c>
      <c r="P1054" s="13" t="s">
        <v>365</v>
      </c>
      <c r="Q1054" s="22"/>
      <c r="R1054" s="23">
        <v>718159.31568382459</v>
      </c>
      <c r="S1054" s="21"/>
      <c r="T1054" s="21"/>
      <c r="U1054" s="21"/>
      <c r="V1054" s="24"/>
      <c r="W1054" s="24" t="s">
        <v>491</v>
      </c>
      <c r="X1054" s="24"/>
      <c r="Y1054" s="17" t="s">
        <v>492</v>
      </c>
      <c r="Z1054" s="18">
        <f>ROUND(R1054*'Data-CostAssumptions'!$C$8,-3)</f>
        <v>718000</v>
      </c>
      <c r="AA1054" s="11">
        <f t="shared" si="33"/>
        <v>1</v>
      </c>
      <c r="AB1054" s="11">
        <v>2041</v>
      </c>
      <c r="AC1054" s="11">
        <v>2041</v>
      </c>
      <c r="AD1054" s="11">
        <v>2041</v>
      </c>
      <c r="AE1054" s="11">
        <v>2041</v>
      </c>
      <c r="AF1054" s="11">
        <v>0</v>
      </c>
      <c r="AG1054" s="19">
        <f>ROUND((Z1054*'Data-CostAssumptions'!$G$5)*(1+'Data-CostAssumptions'!$G$3)^(AC1054-'Data-CostAssumptions'!$G$4),-3)</f>
        <v>405000</v>
      </c>
      <c r="AH1054" s="19">
        <f>ROUND((Z1054)*(1+'Data-CostAssumptions'!$G$3)^(AE1054-'Data-CostAssumptions'!$G$4),-3)</f>
        <v>1841000</v>
      </c>
    </row>
    <row r="1055" spans="1:34" ht="15" customHeight="1" x14ac:dyDescent="0.2">
      <c r="A1055" s="11"/>
      <c r="B1055" s="11" t="s">
        <v>1211</v>
      </c>
      <c r="C1055" s="13">
        <v>10035</v>
      </c>
      <c r="D1055" s="13" t="s">
        <v>420</v>
      </c>
      <c r="E1055" s="20" t="s">
        <v>298</v>
      </c>
      <c r="F1055" s="20">
        <v>142</v>
      </c>
      <c r="G1055" s="20">
        <v>1054</v>
      </c>
      <c r="H1055" s="13" t="s">
        <v>485</v>
      </c>
      <c r="I1055" s="13" t="str">
        <f t="shared" si="32"/>
        <v>SW 30th St (@  University Dr)</v>
      </c>
      <c r="J1055" s="13" t="s">
        <v>347</v>
      </c>
      <c r="K1055" s="13" t="str">
        <f>VLOOKUP(J1055,'Data-ProjectTypes'!A$3:B$13,2,FALSE)</f>
        <v>Project</v>
      </c>
      <c r="L1055" s="21" t="s">
        <v>85</v>
      </c>
      <c r="M1055" s="13" t="s">
        <v>2835</v>
      </c>
      <c r="N1055" s="13" t="s">
        <v>1804</v>
      </c>
      <c r="O1055" s="13" t="s">
        <v>365</v>
      </c>
      <c r="P1055" s="13" t="s">
        <v>365</v>
      </c>
      <c r="Q1055" s="22"/>
      <c r="R1055" s="23">
        <v>9426949.8170891684</v>
      </c>
      <c r="S1055" s="21" t="s">
        <v>24</v>
      </c>
      <c r="T1055" s="21"/>
      <c r="U1055" s="21"/>
      <c r="V1055" s="24"/>
      <c r="W1055" s="24"/>
      <c r="X1055" s="24" t="s">
        <v>478</v>
      </c>
      <c r="Y1055" s="17" t="s">
        <v>469</v>
      </c>
      <c r="Z1055" s="18">
        <f>ROUND(R1055*'Data-CostAssumptions'!$C$8,-3)</f>
        <v>9427000</v>
      </c>
      <c r="AA1055" s="11">
        <f t="shared" si="33"/>
        <v>0</v>
      </c>
      <c r="AB1055" s="11">
        <v>2041</v>
      </c>
      <c r="AC1055" s="11">
        <v>2041</v>
      </c>
      <c r="AD1055" s="11">
        <v>2041</v>
      </c>
      <c r="AE1055" s="11">
        <v>2041</v>
      </c>
      <c r="AF1055" s="11">
        <v>0</v>
      </c>
      <c r="AG1055" s="19">
        <f>ROUND((Z1055*'Data-CostAssumptions'!$G$5)*(1+'Data-CostAssumptions'!$G$3)^(AC1055-'Data-CostAssumptions'!$G$4),-3)</f>
        <v>5317000</v>
      </c>
      <c r="AH1055" s="19">
        <f>ROUND((Z1055)*(1+'Data-CostAssumptions'!$G$3)^(AE1055-'Data-CostAssumptions'!$G$4),-3)</f>
        <v>24170000</v>
      </c>
    </row>
    <row r="1056" spans="1:34" ht="15" customHeight="1" x14ac:dyDescent="0.2">
      <c r="A1056" s="11"/>
      <c r="B1056" s="11" t="s">
        <v>1211</v>
      </c>
      <c r="C1056" s="11">
        <v>10006</v>
      </c>
      <c r="D1056" s="13" t="s">
        <v>420</v>
      </c>
      <c r="E1056" s="14"/>
      <c r="F1056" s="14">
        <v>138</v>
      </c>
      <c r="G1056" s="20">
        <v>1055</v>
      </c>
      <c r="H1056" s="13" t="s">
        <v>381</v>
      </c>
      <c r="I1056" s="13" t="str">
        <f t="shared" si="32"/>
        <v>Third Operations/Maintenance Facility ( to )</v>
      </c>
      <c r="J1056" s="11" t="s">
        <v>347</v>
      </c>
      <c r="K1056" s="13" t="str">
        <f>VLOOKUP(J1056,'Data-ProjectTypes'!A$3:B$13,2,FALSE)</f>
        <v>Project</v>
      </c>
      <c r="L1056" s="11" t="s">
        <v>401</v>
      </c>
      <c r="M1056" s="11"/>
      <c r="N1056" s="11"/>
      <c r="O1056" s="11" t="s">
        <v>409</v>
      </c>
      <c r="P1056" s="11" t="s">
        <v>409</v>
      </c>
      <c r="Q1056" s="15"/>
      <c r="R1056" s="16">
        <v>58710000</v>
      </c>
      <c r="S1056" s="11"/>
      <c r="T1056" s="11"/>
      <c r="U1056" s="11"/>
      <c r="V1056" s="11"/>
      <c r="W1056" s="11"/>
      <c r="X1056" s="11"/>
      <c r="Y1056" s="17"/>
      <c r="Z1056" s="18">
        <f>ROUND(R1056*'Data-CostAssumptions'!$C$8,-3)</f>
        <v>58710000</v>
      </c>
      <c r="AA1056" s="11">
        <f t="shared" si="33"/>
        <v>0</v>
      </c>
      <c r="AB1056" s="11">
        <v>2041</v>
      </c>
      <c r="AC1056" s="11">
        <v>2041</v>
      </c>
      <c r="AD1056" s="11">
        <v>2041</v>
      </c>
      <c r="AE1056" s="11">
        <v>2041</v>
      </c>
      <c r="AF1056" s="11">
        <v>0</v>
      </c>
      <c r="AG1056" s="19">
        <f>ROUND((Z1056*'Data-CostAssumptions'!$G$5)*(1+'Data-CostAssumptions'!$G$3)^(AC1056-'Data-CostAssumptions'!$G$4),-3)</f>
        <v>33116000</v>
      </c>
      <c r="AH1056" s="19">
        <f>ROUND((Z1056)*(1+'Data-CostAssumptions'!$G$3)^(AE1056-'Data-CostAssumptions'!$G$4),-3)</f>
        <v>150529000</v>
      </c>
    </row>
    <row r="1057" spans="1:34" ht="15" customHeight="1" x14ac:dyDescent="0.2">
      <c r="A1057" s="11"/>
      <c r="B1057" s="11" t="s">
        <v>1211</v>
      </c>
      <c r="C1057" s="11">
        <v>10008</v>
      </c>
      <c r="D1057" s="13" t="s">
        <v>420</v>
      </c>
      <c r="E1057" s="14"/>
      <c r="F1057" s="14">
        <v>139</v>
      </c>
      <c r="G1057" s="20">
        <v>1056</v>
      </c>
      <c r="H1057" s="13" t="s">
        <v>383</v>
      </c>
      <c r="I1057" s="13" t="str">
        <f t="shared" si="32"/>
        <v>Tri-Rail ( to )</v>
      </c>
      <c r="J1057" s="11" t="s">
        <v>347</v>
      </c>
      <c r="K1057" s="13" t="str">
        <f>VLOOKUP(J1057,'Data-ProjectTypes'!A$3:B$13,2,FALSE)</f>
        <v>Project</v>
      </c>
      <c r="L1057" s="11" t="s">
        <v>403</v>
      </c>
      <c r="M1057" s="11"/>
      <c r="N1057" s="11"/>
      <c r="O1057" s="11" t="s">
        <v>409</v>
      </c>
      <c r="P1057" s="11" t="s">
        <v>409</v>
      </c>
      <c r="Q1057" s="15"/>
      <c r="R1057" s="16">
        <v>62972723</v>
      </c>
      <c r="S1057" s="11"/>
      <c r="T1057" s="11"/>
      <c r="U1057" s="11"/>
      <c r="V1057" s="11"/>
      <c r="W1057" s="11"/>
      <c r="X1057" s="11"/>
      <c r="Y1057" s="17" t="s">
        <v>3002</v>
      </c>
      <c r="Z1057" s="18">
        <f>ROUND(R1057*'Data-CostAssumptions'!$C$8,-3)</f>
        <v>62973000</v>
      </c>
      <c r="AA1057" s="11">
        <f t="shared" si="33"/>
        <v>0</v>
      </c>
      <c r="AB1057" s="11">
        <v>2041</v>
      </c>
      <c r="AC1057" s="11">
        <v>2041</v>
      </c>
      <c r="AD1057" s="11">
        <v>2041</v>
      </c>
      <c r="AE1057" s="11">
        <v>2041</v>
      </c>
      <c r="AF1057" s="11">
        <v>0</v>
      </c>
      <c r="AG1057" s="19">
        <f>ROUND((Z1057*'Data-CostAssumptions'!$G$5)*(1+'Data-CostAssumptions'!$G$3)^(AC1057-'Data-CostAssumptions'!$G$4),-3)</f>
        <v>35521000</v>
      </c>
      <c r="AH1057" s="19">
        <f>ROUND((Z1057)*(1+'Data-CostAssumptions'!$G$3)^(AE1057-'Data-CostAssumptions'!$G$4),-3)</f>
        <v>161460000</v>
      </c>
    </row>
    <row r="1058" spans="1:34" ht="15" customHeight="1" x14ac:dyDescent="0.2">
      <c r="A1058" s="11"/>
      <c r="B1058" s="11" t="s">
        <v>1211</v>
      </c>
      <c r="C1058" s="11">
        <v>10196</v>
      </c>
      <c r="D1058" s="13" t="s">
        <v>420</v>
      </c>
      <c r="E1058" s="14"/>
      <c r="F1058" s="14"/>
      <c r="G1058" s="20">
        <v>1057</v>
      </c>
      <c r="H1058" s="13" t="s">
        <v>390</v>
      </c>
      <c r="I1058" s="13" t="str">
        <f t="shared" si="32"/>
        <v>Tri-Rail Deerfield Beach Station New Parking Deck ( to )</v>
      </c>
      <c r="J1058" s="11" t="s">
        <v>347</v>
      </c>
      <c r="K1058" s="13" t="str">
        <f>VLOOKUP(J1058,'Data-ProjectTypes'!A$3:B$13,2,FALSE)</f>
        <v>Project</v>
      </c>
      <c r="L1058" s="11" t="s">
        <v>403</v>
      </c>
      <c r="M1058" s="11"/>
      <c r="N1058" s="11"/>
      <c r="O1058" s="11" t="s">
        <v>383</v>
      </c>
      <c r="P1058" s="11" t="s">
        <v>383</v>
      </c>
      <c r="Q1058" s="15"/>
      <c r="R1058" s="16">
        <v>11398610</v>
      </c>
      <c r="S1058" s="11"/>
      <c r="T1058" s="11"/>
      <c r="U1058" s="11"/>
      <c r="V1058" s="11"/>
      <c r="W1058" s="11"/>
      <c r="X1058" s="11"/>
      <c r="Y1058" s="17"/>
      <c r="Z1058" s="18">
        <f>ROUND(R1058*'Data-CostAssumptions'!$C$8,-3)</f>
        <v>11399000</v>
      </c>
      <c r="AA1058" s="11">
        <f t="shared" si="33"/>
        <v>0</v>
      </c>
      <c r="AB1058" s="11">
        <v>2041</v>
      </c>
      <c r="AC1058" s="11">
        <v>2041</v>
      </c>
      <c r="AD1058" s="11">
        <v>2041</v>
      </c>
      <c r="AE1058" s="11">
        <v>2041</v>
      </c>
      <c r="AF1058" s="11">
        <v>0</v>
      </c>
      <c r="AG1058" s="19">
        <f>ROUND((Z1058*'Data-CostAssumptions'!$G$5)*(1+'Data-CostAssumptions'!$G$3)^(AC1058-'Data-CostAssumptions'!$G$4),-3)</f>
        <v>6430000</v>
      </c>
      <c r="AH1058" s="19">
        <f>ROUND((Z1058)*(1+'Data-CostAssumptions'!$G$3)^(AE1058-'Data-CostAssumptions'!$G$4),-3)</f>
        <v>29226000</v>
      </c>
    </row>
    <row r="1059" spans="1:34" ht="15" customHeight="1" x14ac:dyDescent="0.2">
      <c r="A1059" s="11"/>
      <c r="B1059" s="11" t="s">
        <v>1211</v>
      </c>
      <c r="C1059" s="11">
        <v>10197</v>
      </c>
      <c r="D1059" s="13" t="s">
        <v>420</v>
      </c>
      <c r="E1059" s="14"/>
      <c r="F1059" s="14"/>
      <c r="G1059" s="20">
        <v>1058</v>
      </c>
      <c r="H1059" s="13" t="s">
        <v>391</v>
      </c>
      <c r="I1059" s="13" t="str">
        <f t="shared" si="32"/>
        <v>Tri-Rail Hollywood Station, New Parking Deck ( to )</v>
      </c>
      <c r="J1059" s="11" t="s">
        <v>347</v>
      </c>
      <c r="K1059" s="13" t="str">
        <f>VLOOKUP(J1059,'Data-ProjectTypes'!A$3:B$13,2,FALSE)</f>
        <v>Project</v>
      </c>
      <c r="L1059" s="11" t="s">
        <v>403</v>
      </c>
      <c r="M1059" s="11"/>
      <c r="N1059" s="11"/>
      <c r="O1059" s="11" t="s">
        <v>383</v>
      </c>
      <c r="P1059" s="11" t="s">
        <v>383</v>
      </c>
      <c r="Q1059" s="15"/>
      <c r="R1059" s="16">
        <v>13628667</v>
      </c>
      <c r="S1059" s="11"/>
      <c r="T1059" s="11"/>
      <c r="U1059" s="11"/>
      <c r="V1059" s="11"/>
      <c r="W1059" s="11"/>
      <c r="X1059" s="11"/>
      <c r="Y1059" s="17"/>
      <c r="Z1059" s="18">
        <f>ROUND(R1059*'Data-CostAssumptions'!$C$8,-3)</f>
        <v>13629000</v>
      </c>
      <c r="AA1059" s="11">
        <f t="shared" si="33"/>
        <v>0</v>
      </c>
      <c r="AB1059" s="11">
        <v>2041</v>
      </c>
      <c r="AC1059" s="11">
        <v>2041</v>
      </c>
      <c r="AD1059" s="11">
        <v>2041</v>
      </c>
      <c r="AE1059" s="11">
        <v>2041</v>
      </c>
      <c r="AF1059" s="11">
        <v>0</v>
      </c>
      <c r="AG1059" s="19">
        <f>ROUND((Z1059*'Data-CostAssumptions'!$G$5)*(1+'Data-CostAssumptions'!$G$3)^(AC1059-'Data-CostAssumptions'!$G$4),-3)</f>
        <v>7688000</v>
      </c>
      <c r="AH1059" s="19">
        <f>ROUND((Z1059)*(1+'Data-CostAssumptions'!$G$3)^(AE1059-'Data-CostAssumptions'!$G$4),-3)</f>
        <v>34944000</v>
      </c>
    </row>
    <row r="1060" spans="1:34" ht="15" customHeight="1" x14ac:dyDescent="0.2">
      <c r="A1060" s="11"/>
      <c r="B1060" s="11" t="s">
        <v>1211</v>
      </c>
      <c r="C1060" s="13">
        <v>10017</v>
      </c>
      <c r="D1060" s="13" t="s">
        <v>420</v>
      </c>
      <c r="E1060" s="20" t="s">
        <v>298</v>
      </c>
      <c r="F1060" s="20">
        <v>140</v>
      </c>
      <c r="G1060" s="20">
        <v>1059</v>
      </c>
      <c r="H1060" s="13" t="s">
        <v>933</v>
      </c>
      <c r="I1060" s="13" t="str">
        <f t="shared" si="32"/>
        <v>Tri-Rail Station (@  Cypress Creek)</v>
      </c>
      <c r="J1060" s="13" t="s">
        <v>347</v>
      </c>
      <c r="K1060" s="13" t="str">
        <f>VLOOKUP(J1060,'Data-ProjectTypes'!A$3:B$13,2,FALSE)</f>
        <v>Project</v>
      </c>
      <c r="L1060" s="21" t="s">
        <v>85</v>
      </c>
      <c r="M1060" s="13" t="s">
        <v>2835</v>
      </c>
      <c r="N1060" s="13" t="s">
        <v>2837</v>
      </c>
      <c r="O1060" s="13" t="s">
        <v>365</v>
      </c>
      <c r="P1060" s="13" t="s">
        <v>365</v>
      </c>
      <c r="Q1060" s="22"/>
      <c r="R1060" s="23">
        <v>9426949.8170891684</v>
      </c>
      <c r="S1060" s="21"/>
      <c r="T1060" s="21"/>
      <c r="U1060" s="21"/>
      <c r="V1060" s="24"/>
      <c r="W1060" s="24"/>
      <c r="X1060" s="24"/>
      <c r="Y1060" s="17"/>
      <c r="Z1060" s="18">
        <f>ROUND(R1060*'Data-CostAssumptions'!$C$8,-3)</f>
        <v>9427000</v>
      </c>
      <c r="AA1060" s="11">
        <f t="shared" si="33"/>
        <v>0</v>
      </c>
      <c r="AB1060" s="11">
        <v>2041</v>
      </c>
      <c r="AC1060" s="11">
        <v>2041</v>
      </c>
      <c r="AD1060" s="11">
        <v>2041</v>
      </c>
      <c r="AE1060" s="11">
        <v>2041</v>
      </c>
      <c r="AF1060" s="11">
        <v>0</v>
      </c>
      <c r="AG1060" s="19">
        <f>ROUND((Z1060*'Data-CostAssumptions'!$G$5)*(1+'Data-CostAssumptions'!$G$3)^(AC1060-'Data-CostAssumptions'!$G$4),-3)</f>
        <v>5317000</v>
      </c>
      <c r="AH1060" s="19">
        <f>ROUND((Z1060)*(1+'Data-CostAssumptions'!$G$3)^(AE1060-'Data-CostAssumptions'!$G$4),-3)</f>
        <v>24170000</v>
      </c>
    </row>
    <row r="1061" spans="1:34" ht="15" customHeight="1" x14ac:dyDescent="0.2">
      <c r="A1061" s="11"/>
      <c r="B1061" s="11" t="s">
        <v>1211</v>
      </c>
      <c r="C1061" s="13">
        <v>10019</v>
      </c>
      <c r="D1061" s="13" t="s">
        <v>420</v>
      </c>
      <c r="E1061" s="20" t="s">
        <v>298</v>
      </c>
      <c r="F1061" s="20">
        <v>140</v>
      </c>
      <c r="G1061" s="20">
        <v>1060</v>
      </c>
      <c r="H1061" s="13" t="s">
        <v>933</v>
      </c>
      <c r="I1061" s="13" t="str">
        <f t="shared" si="32"/>
        <v>Tri-Rail Station (@  Deerfield Beach/Amtrak)</v>
      </c>
      <c r="J1061" s="13" t="s">
        <v>347</v>
      </c>
      <c r="K1061" s="13" t="str">
        <f>VLOOKUP(J1061,'Data-ProjectTypes'!A$3:B$13,2,FALSE)</f>
        <v>Project</v>
      </c>
      <c r="L1061" s="21" t="s">
        <v>85</v>
      </c>
      <c r="M1061" s="13" t="s">
        <v>2835</v>
      </c>
      <c r="N1061" s="13" t="s">
        <v>2839</v>
      </c>
      <c r="O1061" s="13" t="s">
        <v>365</v>
      </c>
      <c r="P1061" s="13" t="s">
        <v>365</v>
      </c>
      <c r="Q1061" s="22"/>
      <c r="R1061" s="23">
        <v>9426949.8170891684</v>
      </c>
      <c r="S1061" s="21"/>
      <c r="T1061" s="21"/>
      <c r="U1061" s="21"/>
      <c r="V1061" s="24"/>
      <c r="W1061" s="24" t="s">
        <v>491</v>
      </c>
      <c r="X1061" s="24"/>
      <c r="Y1061" s="17" t="s">
        <v>492</v>
      </c>
      <c r="Z1061" s="18">
        <f>ROUND(R1061*'Data-CostAssumptions'!$C$8,-3)</f>
        <v>9427000</v>
      </c>
      <c r="AA1061" s="11">
        <f t="shared" si="33"/>
        <v>1</v>
      </c>
      <c r="AB1061" s="11">
        <v>2041</v>
      </c>
      <c r="AC1061" s="11">
        <v>2041</v>
      </c>
      <c r="AD1061" s="11">
        <v>2041</v>
      </c>
      <c r="AE1061" s="11">
        <v>2041</v>
      </c>
      <c r="AF1061" s="11">
        <v>0</v>
      </c>
      <c r="AG1061" s="19">
        <f>ROUND((Z1061*'Data-CostAssumptions'!$G$5)*(1+'Data-CostAssumptions'!$G$3)^(AC1061-'Data-CostAssumptions'!$G$4),-3)</f>
        <v>5317000</v>
      </c>
      <c r="AH1061" s="19">
        <f>ROUND((Z1061)*(1+'Data-CostAssumptions'!$G$3)^(AE1061-'Data-CostAssumptions'!$G$4),-3)</f>
        <v>24170000</v>
      </c>
    </row>
    <row r="1062" spans="1:34" ht="15" customHeight="1" x14ac:dyDescent="0.2">
      <c r="A1062" s="66"/>
      <c r="B1062" s="66" t="s">
        <v>1213</v>
      </c>
      <c r="C1062" s="66">
        <v>10195</v>
      </c>
      <c r="D1062" s="67" t="s">
        <v>420</v>
      </c>
      <c r="E1062" s="73"/>
      <c r="F1062" s="73"/>
      <c r="G1062" s="20">
        <v>1061</v>
      </c>
      <c r="H1062" s="67" t="s">
        <v>389</v>
      </c>
      <c r="I1062" s="67" t="str">
        <f t="shared" si="32"/>
        <v>Tri-Rail/I-95 Corridor, Tri-Rail Shuttles ( to )</v>
      </c>
      <c r="J1062" s="66" t="s">
        <v>347</v>
      </c>
      <c r="K1062" s="67" t="str">
        <f>VLOOKUP(J1062,'Data-ProjectTypes'!A$3:B$13,2,FALSE)</f>
        <v>Project</v>
      </c>
      <c r="L1062" s="66" t="s">
        <v>408</v>
      </c>
      <c r="M1062" s="11"/>
      <c r="N1062" s="11"/>
      <c r="O1062" s="11" t="s">
        <v>383</v>
      </c>
      <c r="P1062" s="11" t="s">
        <v>383</v>
      </c>
      <c r="Q1062" s="74"/>
      <c r="R1062" s="70">
        <v>0</v>
      </c>
      <c r="S1062" s="11"/>
      <c r="T1062" s="11"/>
      <c r="U1062" s="11"/>
      <c r="V1062" s="11"/>
      <c r="W1062" s="11"/>
      <c r="X1062" s="11"/>
      <c r="Y1062" s="12" t="s">
        <v>3096</v>
      </c>
      <c r="Z1062" s="71">
        <f>ROUND(R1062*'Data-CostAssumptions'!$C$8,-3)</f>
        <v>0</v>
      </c>
      <c r="AA1062" s="11">
        <f t="shared" si="33"/>
        <v>0</v>
      </c>
      <c r="AB1062" s="11">
        <v>2041</v>
      </c>
      <c r="AC1062" s="11">
        <v>2041</v>
      </c>
      <c r="AD1062" s="11">
        <v>2041</v>
      </c>
      <c r="AE1062" s="11">
        <v>2041</v>
      </c>
      <c r="AF1062" s="11">
        <v>0</v>
      </c>
      <c r="AG1062" s="19">
        <f>ROUND((Z1062*'Data-CostAssumptions'!$G$5)*(1+'Data-CostAssumptions'!$G$3)^(AC1062-'Data-CostAssumptions'!$G$4),-3)</f>
        <v>0</v>
      </c>
      <c r="AH1062" s="19">
        <f>ROUND((Z1062)*(1+'Data-CostAssumptions'!$G$3)^(AE1062-'Data-CostAssumptions'!$G$4),-3)</f>
        <v>0</v>
      </c>
    </row>
    <row r="1063" spans="1:34" ht="15" customHeight="1" x14ac:dyDescent="0.2">
      <c r="A1063" s="11"/>
      <c r="B1063" s="11" t="s">
        <v>1213</v>
      </c>
      <c r="C1063" s="11">
        <v>10189</v>
      </c>
      <c r="D1063" s="13" t="s">
        <v>420</v>
      </c>
      <c r="E1063" s="14"/>
      <c r="F1063" s="14">
        <v>137</v>
      </c>
      <c r="G1063" s="20">
        <v>1062</v>
      </c>
      <c r="H1063" s="13" t="s">
        <v>2997</v>
      </c>
      <c r="I1063" s="13" t="str">
        <f t="shared" si="32"/>
        <v>Wave Streetcar (@  First Segment)</v>
      </c>
      <c r="J1063" s="11" t="s">
        <v>347</v>
      </c>
      <c r="K1063" s="13" t="str">
        <f>VLOOKUP(J1063,'Data-ProjectTypes'!A$3:B$13,2,FALSE)</f>
        <v>Project</v>
      </c>
      <c r="L1063" s="11" t="s">
        <v>406</v>
      </c>
      <c r="M1063" s="11" t="s">
        <v>2835</v>
      </c>
      <c r="N1063" s="11" t="s">
        <v>2993</v>
      </c>
      <c r="O1063" s="13" t="s">
        <v>365</v>
      </c>
      <c r="P1063" s="13" t="s">
        <v>365</v>
      </c>
      <c r="Q1063" s="15"/>
      <c r="R1063" s="16">
        <v>227516414</v>
      </c>
      <c r="S1063" s="11"/>
      <c r="T1063" s="11"/>
      <c r="U1063" s="11"/>
      <c r="V1063" s="11"/>
      <c r="W1063" s="11"/>
      <c r="X1063" s="11"/>
      <c r="Y1063" s="17" t="s">
        <v>2994</v>
      </c>
      <c r="Z1063" s="18">
        <f>ROUND(R1063*'Data-CostAssumptions'!$C$16,-3)</f>
        <v>227516000</v>
      </c>
      <c r="AA1063" s="11">
        <f t="shared" si="33"/>
        <v>0</v>
      </c>
      <c r="AB1063" s="11">
        <v>2041</v>
      </c>
      <c r="AC1063" s="11">
        <v>2041</v>
      </c>
      <c r="AD1063" s="11">
        <v>2041</v>
      </c>
      <c r="AE1063" s="11">
        <v>2041</v>
      </c>
      <c r="AF1063" s="11">
        <v>0</v>
      </c>
      <c r="AG1063" s="19">
        <f>ROUND((Z1063*'Data-CostAssumptions'!$G$5)*(1+'Data-CostAssumptions'!$G$3)^(AC1063-'Data-CostAssumptions'!$G$4),-3)</f>
        <v>128335000</v>
      </c>
      <c r="AH1063" s="19">
        <f>ROUND((Z1063)*(1+'Data-CostAssumptions'!$G$3)^(AE1063-'Data-CostAssumptions'!$G$4),-3)</f>
        <v>583339000</v>
      </c>
    </row>
    <row r="1064" spans="1:34" ht="15" customHeight="1" x14ac:dyDescent="0.2">
      <c r="A1064" s="11"/>
      <c r="B1064" s="11" t="s">
        <v>1211</v>
      </c>
      <c r="C1064" s="13">
        <v>10034</v>
      </c>
      <c r="D1064" s="13" t="s">
        <v>420</v>
      </c>
      <c r="E1064" s="20" t="s">
        <v>298</v>
      </c>
      <c r="F1064" s="20">
        <v>141</v>
      </c>
      <c r="G1064" s="20">
        <v>1063</v>
      </c>
      <c r="H1064" s="13" t="s">
        <v>1780</v>
      </c>
      <c r="I1064" s="13" t="str">
        <f t="shared" si="32"/>
        <v>Wiles Rd (@  SR 7/US 441)</v>
      </c>
      <c r="J1064" s="13" t="s">
        <v>347</v>
      </c>
      <c r="K1064" s="13" t="str">
        <f>VLOOKUP(J1064,'Data-ProjectTypes'!A$3:B$13,2,FALSE)</f>
        <v>Project</v>
      </c>
      <c r="L1064" s="21" t="s">
        <v>77</v>
      </c>
      <c r="M1064" s="13" t="s">
        <v>2835</v>
      </c>
      <c r="N1064" s="13" t="s">
        <v>57</v>
      </c>
      <c r="O1064" s="13" t="s">
        <v>365</v>
      </c>
      <c r="P1064" s="13" t="s">
        <v>365</v>
      </c>
      <c r="Q1064" s="22"/>
      <c r="R1064" s="23">
        <v>718159.31568382459</v>
      </c>
      <c r="S1064" s="21"/>
      <c r="T1064" s="21"/>
      <c r="U1064" s="21"/>
      <c r="V1064" s="24"/>
      <c r="W1064" s="24"/>
      <c r="X1064" s="24"/>
      <c r="Y1064" s="17"/>
      <c r="Z1064" s="18">
        <f>ROUND(R1064/1.384,-3)</f>
        <v>519000</v>
      </c>
      <c r="AA1064" s="11">
        <f t="shared" si="33"/>
        <v>0</v>
      </c>
      <c r="AB1064" s="11">
        <v>2041</v>
      </c>
      <c r="AC1064" s="11">
        <v>2041</v>
      </c>
      <c r="AD1064" s="11">
        <v>2041</v>
      </c>
      <c r="AE1064" s="11">
        <v>2041</v>
      </c>
      <c r="AF1064" s="11">
        <v>0</v>
      </c>
      <c r="AG1064" s="19">
        <f>ROUND((Z1064*'Data-CostAssumptions'!$G$5)*(1+'Data-CostAssumptions'!$G$3)^(AC1064-'Data-CostAssumptions'!$G$4),-3)</f>
        <v>293000</v>
      </c>
      <c r="AH1064" s="19">
        <f>ROUND((Z1064)*(1+'Data-CostAssumptions'!$G$3)^(AE1064-'Data-CostAssumptions'!$G$4),-3)</f>
        <v>1331000</v>
      </c>
    </row>
    <row r="1065" spans="1:34" ht="15" customHeight="1" x14ac:dyDescent="0.2">
      <c r="A1065" s="11"/>
      <c r="B1065" s="11" t="s">
        <v>1211</v>
      </c>
      <c r="C1065" s="13">
        <v>10078</v>
      </c>
      <c r="D1065" s="13" t="s">
        <v>420</v>
      </c>
      <c r="E1065" s="20" t="s">
        <v>298</v>
      </c>
      <c r="F1065" s="20">
        <v>144</v>
      </c>
      <c r="G1065" s="20">
        <v>1064</v>
      </c>
      <c r="H1065" s="13" t="s">
        <v>1780</v>
      </c>
      <c r="I1065" s="13" t="str">
        <f t="shared" si="32"/>
        <v>Wiles Rd (@  SR 817/University Dr)</v>
      </c>
      <c r="J1065" s="13" t="s">
        <v>347</v>
      </c>
      <c r="K1065" s="13" t="str">
        <f>VLOOKUP(J1065,'Data-ProjectTypes'!A$3:B$13,2,FALSE)</f>
        <v>Project</v>
      </c>
      <c r="L1065" s="21" t="s">
        <v>77</v>
      </c>
      <c r="M1065" s="13" t="s">
        <v>2835</v>
      </c>
      <c r="N1065" s="13" t="s">
        <v>2709</v>
      </c>
      <c r="O1065" s="13" t="s">
        <v>365</v>
      </c>
      <c r="P1065" s="13" t="s">
        <v>365</v>
      </c>
      <c r="Q1065" s="22"/>
      <c r="R1065" s="23">
        <v>718159.31568382459</v>
      </c>
      <c r="S1065" s="21" t="s">
        <v>24</v>
      </c>
      <c r="T1065" s="21"/>
      <c r="U1065" s="21"/>
      <c r="V1065" s="24"/>
      <c r="W1065" s="24"/>
      <c r="X1065" s="24"/>
      <c r="Y1065" s="17" t="s">
        <v>460</v>
      </c>
      <c r="Z1065" s="18">
        <f>ROUND(R1065/1.384,-3)</f>
        <v>519000</v>
      </c>
      <c r="AA1065" s="11">
        <f t="shared" si="33"/>
        <v>0</v>
      </c>
      <c r="AB1065" s="11">
        <v>2041</v>
      </c>
      <c r="AC1065" s="11">
        <v>2041</v>
      </c>
      <c r="AD1065" s="11">
        <v>2041</v>
      </c>
      <c r="AE1065" s="11">
        <v>2041</v>
      </c>
      <c r="AF1065" s="11">
        <v>0</v>
      </c>
      <c r="AG1065" s="19">
        <f>ROUND((Z1065*'Data-CostAssumptions'!$G$5)*(1+'Data-CostAssumptions'!$G$3)^(AC1065-'Data-CostAssumptions'!$G$4),-3)</f>
        <v>293000</v>
      </c>
      <c r="AH1065" s="19">
        <f>ROUND((Z1065)*(1+'Data-CostAssumptions'!$G$3)^(AE1065-'Data-CostAssumptions'!$G$4),-3)</f>
        <v>1331000</v>
      </c>
    </row>
    <row r="1066" spans="1:34" ht="15" customHeight="1" x14ac:dyDescent="0.2">
      <c r="A1066" s="11"/>
      <c r="B1066" s="11" t="s">
        <v>1211</v>
      </c>
      <c r="C1066" s="13">
        <v>10094</v>
      </c>
      <c r="D1066" s="13" t="s">
        <v>420</v>
      </c>
      <c r="E1066" s="20" t="s">
        <v>298</v>
      </c>
      <c r="F1066" s="20">
        <v>145</v>
      </c>
      <c r="G1066" s="20">
        <v>1065</v>
      </c>
      <c r="H1066" s="13" t="s">
        <v>2965</v>
      </c>
      <c r="I1066" s="13" t="str">
        <f t="shared" si="32"/>
        <v>Wiles Rd/NE 49 St (@  SR 5/US 1)</v>
      </c>
      <c r="J1066" s="13" t="s">
        <v>347</v>
      </c>
      <c r="K1066" s="13" t="str">
        <f>VLOOKUP(J1066,'Data-ProjectTypes'!A$3:B$13,2,FALSE)</f>
        <v>Project</v>
      </c>
      <c r="L1066" s="21" t="s">
        <v>77</v>
      </c>
      <c r="M1066" s="13" t="s">
        <v>2835</v>
      </c>
      <c r="N1066" s="13" t="s">
        <v>1424</v>
      </c>
      <c r="O1066" s="13" t="s">
        <v>365</v>
      </c>
      <c r="P1066" s="13" t="s">
        <v>365</v>
      </c>
      <c r="Q1066" s="22"/>
      <c r="R1066" s="23">
        <v>718159.31568382459</v>
      </c>
      <c r="S1066" s="21"/>
      <c r="T1066" s="21"/>
      <c r="U1066" s="21"/>
      <c r="V1066" s="24"/>
      <c r="W1066" s="24" t="s">
        <v>679</v>
      </c>
      <c r="X1066" s="24"/>
      <c r="Y1066" s="17" t="s">
        <v>670</v>
      </c>
      <c r="Z1066" s="18">
        <f>ROUND(R1066*'Data-CostAssumptions'!$C$19,-3)</f>
        <v>718000</v>
      </c>
      <c r="AA1066" s="11">
        <f t="shared" si="33"/>
        <v>1</v>
      </c>
      <c r="AB1066" s="11">
        <v>2041</v>
      </c>
      <c r="AC1066" s="11">
        <v>2041</v>
      </c>
      <c r="AD1066" s="11">
        <v>2041</v>
      </c>
      <c r="AE1066" s="11">
        <v>2041</v>
      </c>
      <c r="AF1066" s="11">
        <v>0</v>
      </c>
      <c r="AG1066" s="19">
        <f>ROUND((Z1066*'Data-CostAssumptions'!$G$5)*(1+'Data-CostAssumptions'!$G$3)^(AC1066-'Data-CostAssumptions'!$G$4),-3)</f>
        <v>405000</v>
      </c>
      <c r="AH1066" s="19">
        <f>ROUND((Z1066)*(1+'Data-CostAssumptions'!$G$3)^(AE1066-'Data-CostAssumptions'!$G$4),-3)</f>
        <v>1841000</v>
      </c>
    </row>
    <row r="1067" spans="1:34" ht="15" customHeight="1" x14ac:dyDescent="0.2">
      <c r="A1067" s="11"/>
      <c r="B1067" s="11" t="s">
        <v>1213</v>
      </c>
      <c r="C1067" s="11">
        <v>12804</v>
      </c>
      <c r="D1067" s="84" t="s">
        <v>365</v>
      </c>
      <c r="E1067" s="14"/>
      <c r="F1067" s="14"/>
      <c r="G1067" s="20">
        <v>1066</v>
      </c>
      <c r="H1067" s="13" t="s">
        <v>861</v>
      </c>
      <c r="I1067" s="13" t="str">
        <f t="shared" si="32"/>
        <v>Computer-Aided Dispatch/Automatic Vehicle Locator/Single Sign-On/Real Time Passenger Information System ( to )</v>
      </c>
      <c r="J1067" s="84" t="s">
        <v>347</v>
      </c>
      <c r="K1067" s="13" t="str">
        <f>VLOOKUP(J1067,'Data-ProjectTypes'!A$3:B$13,2,FALSE)</f>
        <v>Project</v>
      </c>
      <c r="L1067" s="85" t="s">
        <v>862</v>
      </c>
      <c r="M1067" s="11"/>
      <c r="N1067" s="11"/>
      <c r="O1067" s="11"/>
      <c r="P1067" s="11"/>
      <c r="Q1067" s="15"/>
      <c r="R1067" s="23">
        <v>44949000</v>
      </c>
      <c r="S1067" s="11"/>
      <c r="T1067" s="11"/>
      <c r="U1067" s="11"/>
      <c r="V1067" s="11"/>
      <c r="W1067" s="11"/>
      <c r="X1067" s="11"/>
      <c r="Y1067" s="12" t="s">
        <v>2972</v>
      </c>
      <c r="Z1067" s="18">
        <f>ROUND(R1067*'Data-CostAssumptions'!$C$3,-3)</f>
        <v>62209000</v>
      </c>
      <c r="AA1067" s="11">
        <f t="shared" si="33"/>
        <v>0</v>
      </c>
      <c r="AB1067" s="11">
        <v>2041</v>
      </c>
      <c r="AC1067" s="11">
        <v>2041</v>
      </c>
      <c r="AD1067" s="11">
        <v>2041</v>
      </c>
      <c r="AE1067" s="11">
        <v>2041</v>
      </c>
      <c r="AF1067" s="11">
        <v>0</v>
      </c>
      <c r="AG1067" s="19">
        <f>ROUND((Z1067*'Data-CostAssumptions'!$G$5)*(1+'Data-CostAssumptions'!$G$3)^(AC1067-'Data-CostAssumptions'!$G$4),-3)</f>
        <v>35090000</v>
      </c>
      <c r="AH1067" s="19">
        <f>ROUND((Z1067)*(1+'Data-CostAssumptions'!$G$3)^(AE1067-'Data-CostAssumptions'!$G$4),-3)</f>
        <v>159501000</v>
      </c>
    </row>
    <row r="1068" spans="1:34" ht="15" customHeight="1" x14ac:dyDescent="0.2">
      <c r="A1068" s="66"/>
      <c r="B1068" s="66" t="s">
        <v>1213</v>
      </c>
      <c r="C1068" s="66">
        <v>12802</v>
      </c>
      <c r="D1068" s="86" t="s">
        <v>365</v>
      </c>
      <c r="E1068" s="73"/>
      <c r="F1068" s="73"/>
      <c r="G1068" s="20">
        <v>1067</v>
      </c>
      <c r="H1068" s="67" t="s">
        <v>1837</v>
      </c>
      <c r="I1068" s="67" t="str">
        <f t="shared" si="32"/>
        <v>Copans Rd Facility Administration Building #4 Rehabilitation ( to )</v>
      </c>
      <c r="J1068" s="86" t="s">
        <v>347</v>
      </c>
      <c r="K1068" s="67" t="str">
        <f>VLOOKUP(J1068,'Data-ProjectTypes'!A$3:B$13,2,FALSE)</f>
        <v>Project</v>
      </c>
      <c r="L1068" s="87" t="s">
        <v>859</v>
      </c>
      <c r="M1068" s="66"/>
      <c r="N1068" s="66"/>
      <c r="O1068" s="66"/>
      <c r="P1068" s="66"/>
      <c r="Q1068" s="74"/>
      <c r="R1068" s="70">
        <v>2747000</v>
      </c>
      <c r="S1068" s="11"/>
      <c r="T1068" s="11"/>
      <c r="U1068" s="11"/>
      <c r="V1068" s="11"/>
      <c r="W1068" s="11"/>
      <c r="X1068" s="11"/>
      <c r="Z1068" s="71">
        <f>ROUND(R1068*'Data-CostAssumptions'!$C$3,-3)</f>
        <v>3802000</v>
      </c>
      <c r="AA1068" s="11">
        <f t="shared" si="33"/>
        <v>0</v>
      </c>
      <c r="AB1068" s="11">
        <v>2041</v>
      </c>
      <c r="AC1068" s="11">
        <v>2041</v>
      </c>
      <c r="AD1068" s="11">
        <v>2041</v>
      </c>
      <c r="AE1068" s="11">
        <v>2041</v>
      </c>
      <c r="AF1068" s="11">
        <v>0</v>
      </c>
      <c r="AG1068" s="19">
        <f>ROUND((Z1068*'Data-CostAssumptions'!$G$5)*(1+'Data-CostAssumptions'!$G$3)^(AC1068-'Data-CostAssumptions'!$G$4),-3)</f>
        <v>2145000</v>
      </c>
      <c r="AH1068" s="19">
        <f>ROUND((Z1068)*(1+'Data-CostAssumptions'!$G$3)^(AE1068-'Data-CostAssumptions'!$G$4),-3)</f>
        <v>9748000</v>
      </c>
    </row>
    <row r="1069" spans="1:34" ht="15" customHeight="1" x14ac:dyDescent="0.2">
      <c r="A1069" s="11"/>
      <c r="B1069" s="11" t="s">
        <v>1211</v>
      </c>
      <c r="C1069" s="11">
        <v>12803</v>
      </c>
      <c r="D1069" s="84" t="s">
        <v>365</v>
      </c>
      <c r="E1069" s="14"/>
      <c r="F1069" s="14"/>
      <c r="G1069" s="20">
        <v>1068</v>
      </c>
      <c r="H1069" s="13" t="s">
        <v>1838</v>
      </c>
      <c r="I1069" s="13" t="str">
        <f t="shared" si="32"/>
        <v>Copans Rd Maintenance and Operations Facility Rehabilitation/Upgrade ( to )</v>
      </c>
      <c r="J1069" s="84" t="s">
        <v>347</v>
      </c>
      <c r="K1069" s="13" t="str">
        <f>VLOOKUP(J1069,'Data-ProjectTypes'!A$3:B$13,2,FALSE)</f>
        <v>Project</v>
      </c>
      <c r="L1069" s="85" t="s">
        <v>860</v>
      </c>
      <c r="M1069" s="11"/>
      <c r="N1069" s="11"/>
      <c r="O1069" s="11"/>
      <c r="P1069" s="11"/>
      <c r="Q1069" s="15"/>
      <c r="R1069" s="23">
        <v>150800000</v>
      </c>
      <c r="S1069" s="11"/>
      <c r="T1069" s="11"/>
      <c r="U1069" s="11"/>
      <c r="V1069" s="11"/>
      <c r="W1069" s="11"/>
      <c r="X1069" s="11"/>
      <c r="Y1069" s="12" t="s">
        <v>3013</v>
      </c>
      <c r="Z1069" s="18">
        <f>ROUND(R1069*'Data-CostAssumptions'!$C$3,-3)</f>
        <v>208707000</v>
      </c>
      <c r="AA1069" s="11">
        <f t="shared" si="33"/>
        <v>0</v>
      </c>
      <c r="AB1069" s="11">
        <v>2041</v>
      </c>
      <c r="AC1069" s="11">
        <v>2041</v>
      </c>
      <c r="AD1069" s="11">
        <v>2041</v>
      </c>
      <c r="AE1069" s="11">
        <v>2041</v>
      </c>
      <c r="AF1069" s="11">
        <v>0</v>
      </c>
      <c r="AG1069" s="19">
        <f>ROUND((Z1069*'Data-CostAssumptions'!$G$5)*(1+'Data-CostAssumptions'!$G$3)^(AC1069-'Data-CostAssumptions'!$G$4),-3)</f>
        <v>117725000</v>
      </c>
      <c r="AH1069" s="19">
        <f>ROUND((Z1069)*(1+'Data-CostAssumptions'!$G$3)^(AE1069-'Data-CostAssumptions'!$G$4),-3)</f>
        <v>535114000</v>
      </c>
    </row>
    <row r="1070" spans="1:34" ht="15" customHeight="1" x14ac:dyDescent="0.2">
      <c r="A1070" s="66"/>
      <c r="B1070" s="66" t="s">
        <v>1211</v>
      </c>
      <c r="C1070" s="66">
        <v>12816</v>
      </c>
      <c r="D1070" s="86" t="s">
        <v>365</v>
      </c>
      <c r="E1070" s="73"/>
      <c r="F1070" s="73"/>
      <c r="G1070" s="20">
        <v>1069</v>
      </c>
      <c r="H1070" s="67" t="s">
        <v>1814</v>
      </c>
      <c r="I1070" s="67" t="str">
        <f t="shared" si="32"/>
        <v>Cypress Creek Bl (Federal Hwy to Hiatus Rd)</v>
      </c>
      <c r="J1070" s="86" t="s">
        <v>347</v>
      </c>
      <c r="K1070" s="67" t="str">
        <f>VLOOKUP(J1070,'Data-ProjectTypes'!A$3:B$13,2,FALSE)</f>
        <v>Project</v>
      </c>
      <c r="L1070" s="87" t="s">
        <v>873</v>
      </c>
      <c r="M1070" s="87" t="s">
        <v>2595</v>
      </c>
      <c r="N1070" s="86" t="s">
        <v>1752</v>
      </c>
      <c r="O1070" s="86" t="s">
        <v>365</v>
      </c>
      <c r="P1070" s="87" t="s">
        <v>365</v>
      </c>
      <c r="Q1070" s="74"/>
      <c r="R1070" s="70">
        <f>504471*2</f>
        <v>1008942</v>
      </c>
      <c r="S1070" s="11"/>
      <c r="T1070" s="11"/>
      <c r="U1070" s="11"/>
      <c r="V1070" s="11"/>
      <c r="W1070" s="11"/>
      <c r="X1070" s="11"/>
      <c r="Z1070" s="71">
        <f>ROUND(R1070*'Data-CostAssumptions'!$C$3,-3)</f>
        <v>1396000</v>
      </c>
      <c r="AA1070" s="11">
        <f t="shared" si="33"/>
        <v>0</v>
      </c>
      <c r="AB1070" s="11">
        <v>2041</v>
      </c>
      <c r="AC1070" s="11">
        <v>2041</v>
      </c>
      <c r="AD1070" s="11">
        <v>2041</v>
      </c>
      <c r="AE1070" s="11">
        <v>2041</v>
      </c>
      <c r="AF1070" s="11">
        <v>0</v>
      </c>
      <c r="AG1070" s="19">
        <f>ROUND((Z1070*'Data-CostAssumptions'!$G$5)*(1+'Data-CostAssumptions'!$G$3)^(AC1070-'Data-CostAssumptions'!$G$4),-3)</f>
        <v>787000</v>
      </c>
      <c r="AH1070" s="19">
        <f>ROUND((Z1070)*(1+'Data-CostAssumptions'!$G$3)^(AE1070-'Data-CostAssumptions'!$G$4),-3)</f>
        <v>3579000</v>
      </c>
    </row>
    <row r="1071" spans="1:34" ht="15" customHeight="1" x14ac:dyDescent="0.2">
      <c r="A1071" s="11"/>
      <c r="B1071" s="11" t="s">
        <v>1211</v>
      </c>
      <c r="C1071" s="11">
        <v>12800</v>
      </c>
      <c r="D1071" s="84" t="s">
        <v>365</v>
      </c>
      <c r="E1071" s="14"/>
      <c r="F1071" s="14"/>
      <c r="G1071" s="20">
        <v>1070</v>
      </c>
      <c r="H1071" s="13" t="s">
        <v>856</v>
      </c>
      <c r="I1071" s="13" t="str">
        <f t="shared" si="32"/>
        <v>Cypress Creek Tri-Rail Access Improvements ( to )</v>
      </c>
      <c r="J1071" s="84" t="s">
        <v>347</v>
      </c>
      <c r="K1071" s="13" t="str">
        <f>VLOOKUP(J1071,'Data-ProjectTypes'!A$3:B$13,2,FALSE)</f>
        <v>Project</v>
      </c>
      <c r="L1071" s="85" t="s">
        <v>857</v>
      </c>
      <c r="M1071" s="11"/>
      <c r="N1071" s="11"/>
      <c r="O1071" s="11"/>
      <c r="P1071" s="11"/>
      <c r="Q1071" s="15"/>
      <c r="R1071" s="23">
        <v>1500000</v>
      </c>
      <c r="S1071" s="11"/>
      <c r="T1071" s="11"/>
      <c r="U1071" s="11"/>
      <c r="V1071" s="11"/>
      <c r="W1071" s="11"/>
      <c r="X1071" s="11"/>
      <c r="Y1071" s="17" t="s">
        <v>2970</v>
      </c>
      <c r="Z1071" s="18">
        <f>ROUND(R1071*'Data-CostAssumptions'!$C$3,-3)</f>
        <v>2076000</v>
      </c>
      <c r="AA1071" s="11">
        <f t="shared" si="33"/>
        <v>0</v>
      </c>
      <c r="AB1071" s="11">
        <v>2041</v>
      </c>
      <c r="AC1071" s="11">
        <v>2041</v>
      </c>
      <c r="AD1071" s="11">
        <v>2041</v>
      </c>
      <c r="AE1071" s="11">
        <v>2041</v>
      </c>
      <c r="AF1071" s="11">
        <v>0</v>
      </c>
      <c r="AG1071" s="19">
        <f>ROUND((Z1071*'Data-CostAssumptions'!$G$5)*(1+'Data-CostAssumptions'!$G$3)^(AC1071-'Data-CostAssumptions'!$G$4),-3)</f>
        <v>1171000</v>
      </c>
      <c r="AH1071" s="19">
        <f>ROUND((Z1071)*(1+'Data-CostAssumptions'!$G$3)^(AE1071-'Data-CostAssumptions'!$G$4),-3)</f>
        <v>5323000</v>
      </c>
    </row>
    <row r="1072" spans="1:34" ht="15" customHeight="1" x14ac:dyDescent="0.2">
      <c r="A1072" s="66"/>
      <c r="B1072" s="66" t="s">
        <v>1213</v>
      </c>
      <c r="C1072" s="66">
        <v>12801</v>
      </c>
      <c r="D1072" s="86" t="s">
        <v>365</v>
      </c>
      <c r="E1072" s="73"/>
      <c r="F1072" s="73"/>
      <c r="G1072" s="20">
        <v>1071</v>
      </c>
      <c r="H1072" s="67" t="s">
        <v>2974</v>
      </c>
      <c r="I1072" s="67" t="str">
        <f t="shared" si="32"/>
        <v>Transit Center (@  Lauderhill Mall)</v>
      </c>
      <c r="J1072" s="86" t="s">
        <v>347</v>
      </c>
      <c r="K1072" s="67" t="str">
        <f>VLOOKUP(J1072,'Data-ProjectTypes'!A$3:B$13,2,FALSE)</f>
        <v>Project</v>
      </c>
      <c r="L1072" s="87" t="s">
        <v>858</v>
      </c>
      <c r="M1072" s="66" t="s">
        <v>2835</v>
      </c>
      <c r="N1072" s="66" t="s">
        <v>2973</v>
      </c>
      <c r="O1072" s="66"/>
      <c r="P1072" s="66"/>
      <c r="Q1072" s="74"/>
      <c r="R1072" s="70">
        <v>3600000</v>
      </c>
      <c r="S1072" s="11"/>
      <c r="T1072" s="11"/>
      <c r="U1072" s="11"/>
      <c r="V1072" s="11"/>
      <c r="W1072" s="11"/>
      <c r="X1072" s="11"/>
      <c r="Y1072" s="12" t="s">
        <v>1738</v>
      </c>
      <c r="Z1072" s="71">
        <f>ROUND(R1072*'Data-CostAssumptions'!$C$3,-3)</f>
        <v>4982000</v>
      </c>
      <c r="AA1072" s="11">
        <f t="shared" si="33"/>
        <v>0</v>
      </c>
      <c r="AB1072" s="11">
        <v>2041</v>
      </c>
      <c r="AC1072" s="11">
        <v>2041</v>
      </c>
      <c r="AD1072" s="11">
        <v>2041</v>
      </c>
      <c r="AE1072" s="11">
        <v>2041</v>
      </c>
      <c r="AF1072" s="11">
        <v>0</v>
      </c>
      <c r="AG1072" s="19">
        <f>ROUND((Z1072*'Data-CostAssumptions'!$G$5)*(1+'Data-CostAssumptions'!$G$3)^(AC1072-'Data-CostAssumptions'!$G$4),-3)</f>
        <v>2810000</v>
      </c>
      <c r="AH1072" s="19">
        <f>ROUND((Z1072)*(1+'Data-CostAssumptions'!$G$3)^(AE1072-'Data-CostAssumptions'!$G$4),-3)</f>
        <v>12774000</v>
      </c>
    </row>
    <row r="1073" spans="1:34" ht="15" customHeight="1" x14ac:dyDescent="0.2">
      <c r="A1073" s="11"/>
      <c r="B1073" s="11" t="s">
        <v>1211</v>
      </c>
      <c r="C1073" s="11">
        <v>12817</v>
      </c>
      <c r="D1073" s="84" t="s">
        <v>365</v>
      </c>
      <c r="E1073" s="14"/>
      <c r="F1073" s="14"/>
      <c r="G1073" s="20">
        <v>1072</v>
      </c>
      <c r="H1073" s="13" t="s">
        <v>874</v>
      </c>
      <c r="I1073" s="13" t="str">
        <f t="shared" si="32"/>
        <v>Maintenace/Operations Facility ( to )</v>
      </c>
      <c r="J1073" s="84" t="s">
        <v>347</v>
      </c>
      <c r="K1073" s="13" t="str">
        <f>VLOOKUP(J1073,'Data-ProjectTypes'!A$3:B$13,2,FALSE)</f>
        <v>Project</v>
      </c>
      <c r="L1073" s="85" t="s">
        <v>875</v>
      </c>
      <c r="M1073" s="11"/>
      <c r="N1073" s="11"/>
      <c r="O1073" s="84" t="s">
        <v>365</v>
      </c>
      <c r="P1073" s="85" t="s">
        <v>365</v>
      </c>
      <c r="Q1073" s="15"/>
      <c r="R1073" s="23">
        <v>273000000</v>
      </c>
      <c r="S1073" s="11"/>
      <c r="T1073" s="11"/>
      <c r="U1073" s="11"/>
      <c r="V1073" s="11"/>
      <c r="W1073" s="11"/>
      <c r="X1073" s="11"/>
      <c r="Y1073" s="12" t="s">
        <v>3013</v>
      </c>
      <c r="Z1073" s="18">
        <f>ROUND(R1073*'Data-CostAssumptions'!$C$3,-3)</f>
        <v>377832000</v>
      </c>
      <c r="AA1073" s="11">
        <f t="shared" si="33"/>
        <v>0</v>
      </c>
      <c r="AB1073" s="11">
        <v>2041</v>
      </c>
      <c r="AC1073" s="11">
        <v>2041</v>
      </c>
      <c r="AD1073" s="11">
        <v>2041</v>
      </c>
      <c r="AE1073" s="11">
        <v>2041</v>
      </c>
      <c r="AF1073" s="11">
        <v>0</v>
      </c>
      <c r="AG1073" s="19">
        <f>ROUND((Z1073*'Data-CostAssumptions'!$G$5)*(1+'Data-CostAssumptions'!$G$3)^(AC1073-'Data-CostAssumptions'!$G$4),-3)</f>
        <v>213123000</v>
      </c>
      <c r="AH1073" s="19">
        <f>ROUND((Z1073)*(1+'Data-CostAssumptions'!$G$3)^(AE1073-'Data-CostAssumptions'!$G$4),-3)</f>
        <v>968742000</v>
      </c>
    </row>
    <row r="1074" spans="1:34" ht="15" customHeight="1" x14ac:dyDescent="0.2">
      <c r="A1074" s="11"/>
      <c r="B1074" s="11" t="s">
        <v>1211</v>
      </c>
      <c r="C1074" s="11">
        <v>12815</v>
      </c>
      <c r="D1074" s="84" t="s">
        <v>365</v>
      </c>
      <c r="E1074" s="14"/>
      <c r="F1074" s="14"/>
      <c r="G1074" s="20">
        <v>1073</v>
      </c>
      <c r="H1074" s="13" t="s">
        <v>1854</v>
      </c>
      <c r="I1074" s="13" t="str">
        <f t="shared" si="32"/>
        <v>McNab Rd (Federal Hwy to Hiatus Rd)</v>
      </c>
      <c r="J1074" s="84" t="s">
        <v>347</v>
      </c>
      <c r="K1074" s="13" t="str">
        <f>VLOOKUP(J1074,'Data-ProjectTypes'!A$3:B$13,2,FALSE)</f>
        <v>Project</v>
      </c>
      <c r="L1074" s="85" t="s">
        <v>873</v>
      </c>
      <c r="M1074" s="85" t="s">
        <v>2595</v>
      </c>
      <c r="N1074" s="84" t="s">
        <v>1752</v>
      </c>
      <c r="O1074" s="84" t="s">
        <v>365</v>
      </c>
      <c r="P1074" s="85" t="s">
        <v>365</v>
      </c>
      <c r="Q1074" s="15"/>
      <c r="R1074" s="23">
        <v>48791905</v>
      </c>
      <c r="S1074" s="11"/>
      <c r="T1074" s="11"/>
      <c r="U1074" s="11"/>
      <c r="V1074" s="11"/>
      <c r="W1074" s="11"/>
      <c r="X1074" s="11"/>
      <c r="Y1074" s="12" t="s">
        <v>3014</v>
      </c>
      <c r="Z1074" s="18">
        <f>ROUND(R1074*'Data-CostAssumptions'!$C$3,-3)</f>
        <v>67528000</v>
      </c>
      <c r="AA1074" s="11">
        <f t="shared" si="33"/>
        <v>0</v>
      </c>
      <c r="AB1074" s="11">
        <v>2041</v>
      </c>
      <c r="AC1074" s="11">
        <v>2041</v>
      </c>
      <c r="AD1074" s="11">
        <v>2041</v>
      </c>
      <c r="AE1074" s="11">
        <v>2041</v>
      </c>
      <c r="AF1074" s="11">
        <v>0</v>
      </c>
      <c r="AG1074" s="19">
        <f>ROUND((Z1074*'Data-CostAssumptions'!$G$5)*(1+'Data-CostAssumptions'!$G$3)^(AC1074-'Data-CostAssumptions'!$G$4),-3)</f>
        <v>38090000</v>
      </c>
      <c r="AH1074" s="19">
        <f>ROUND((Z1074)*(1+'Data-CostAssumptions'!$G$3)^(AE1074-'Data-CostAssumptions'!$G$4),-3)</f>
        <v>173138000</v>
      </c>
    </row>
    <row r="1075" spans="1:34" ht="15" customHeight="1" x14ac:dyDescent="0.2">
      <c r="A1075" s="66"/>
      <c r="B1075" s="66" t="s">
        <v>1211</v>
      </c>
      <c r="C1075" s="66">
        <v>12814</v>
      </c>
      <c r="D1075" s="86" t="s">
        <v>365</v>
      </c>
      <c r="E1075" s="73"/>
      <c r="F1075" s="73"/>
      <c r="G1075" s="20">
        <v>1074</v>
      </c>
      <c r="H1075" s="67" t="s">
        <v>1755</v>
      </c>
      <c r="I1075" s="67" t="str">
        <f t="shared" si="32"/>
        <v>Nob Hill Rd (Broward Bl to Holmberg Rd)</v>
      </c>
      <c r="J1075" s="86" t="s">
        <v>347</v>
      </c>
      <c r="K1075" s="67" t="str">
        <f>VLOOKUP(J1075,'Data-ProjectTypes'!A$3:B$13,2,FALSE)</f>
        <v>Project</v>
      </c>
      <c r="L1075" s="87" t="s">
        <v>873</v>
      </c>
      <c r="M1075" s="87" t="s">
        <v>1811</v>
      </c>
      <c r="N1075" s="86" t="s">
        <v>2404</v>
      </c>
      <c r="O1075" s="86" t="s">
        <v>365</v>
      </c>
      <c r="P1075" s="87" t="s">
        <v>365</v>
      </c>
      <c r="Q1075" s="74"/>
      <c r="R1075" s="88">
        <v>2409456</v>
      </c>
      <c r="S1075" s="11"/>
      <c r="T1075" s="11"/>
      <c r="U1075" s="11"/>
      <c r="V1075" s="11"/>
      <c r="W1075" s="11"/>
      <c r="X1075" s="11"/>
      <c r="Y1075" s="12" t="s">
        <v>3015</v>
      </c>
      <c r="Z1075" s="71">
        <f>ROUND(R1075*'Data-CostAssumptions'!$C$3,-3)</f>
        <v>3335000</v>
      </c>
      <c r="AA1075" s="11">
        <f t="shared" si="33"/>
        <v>0</v>
      </c>
      <c r="AB1075" s="11">
        <v>2041</v>
      </c>
      <c r="AC1075" s="11">
        <v>2041</v>
      </c>
      <c r="AD1075" s="11">
        <v>2041</v>
      </c>
      <c r="AE1075" s="11">
        <v>2041</v>
      </c>
      <c r="AF1075" s="11">
        <v>0</v>
      </c>
      <c r="AG1075" s="19">
        <f>ROUND((Z1075*'Data-CostAssumptions'!$G$5)*(1+'Data-CostAssumptions'!$G$3)^(AC1075-'Data-CostAssumptions'!$G$4),-3)</f>
        <v>1881000</v>
      </c>
      <c r="AH1075" s="19">
        <f>ROUND((Z1075)*(1+'Data-CostAssumptions'!$G$3)^(AE1075-'Data-CostAssumptions'!$G$4),-3)</f>
        <v>8551000</v>
      </c>
    </row>
    <row r="1076" spans="1:34" ht="15" customHeight="1" x14ac:dyDescent="0.2">
      <c r="A1076" s="66"/>
      <c r="B1076" s="66" t="s">
        <v>1211</v>
      </c>
      <c r="C1076" s="66">
        <v>12807</v>
      </c>
      <c r="D1076" s="86" t="s">
        <v>365</v>
      </c>
      <c r="E1076" s="73"/>
      <c r="F1076" s="73"/>
      <c r="G1076" s="20">
        <v>1075</v>
      </c>
      <c r="H1076" s="67" t="s">
        <v>2209</v>
      </c>
      <c r="I1076" s="67" t="str">
        <f t="shared" si="32"/>
        <v>SR 5/ US 1 (Broward Terminal to Aventura Mall (Miami-Dade County))</v>
      </c>
      <c r="J1076" s="86" t="s">
        <v>347</v>
      </c>
      <c r="K1076" s="67" t="str">
        <f>VLOOKUP(J1076,'Data-ProjectTypes'!A$3:B$13,2,FALSE)</f>
        <v>Project</v>
      </c>
      <c r="L1076" s="87" t="s">
        <v>863</v>
      </c>
      <c r="M1076" s="87" t="s">
        <v>867</v>
      </c>
      <c r="N1076" s="86" t="s">
        <v>866</v>
      </c>
      <c r="O1076" s="86" t="s">
        <v>365</v>
      </c>
      <c r="P1076" s="87" t="s">
        <v>365</v>
      </c>
      <c r="Q1076" s="74"/>
      <c r="R1076" s="88">
        <v>2439636</v>
      </c>
      <c r="S1076" s="11"/>
      <c r="T1076" s="11"/>
      <c r="U1076" s="11"/>
      <c r="V1076" s="11"/>
      <c r="W1076" s="11"/>
      <c r="X1076" s="11"/>
      <c r="Y1076" s="12" t="s">
        <v>3016</v>
      </c>
      <c r="Z1076" s="71">
        <f>ROUND(R1076*'Data-CostAssumptions'!$C$8,-3)</f>
        <v>2440000</v>
      </c>
      <c r="AA1076" s="11">
        <f t="shared" si="33"/>
        <v>0</v>
      </c>
      <c r="AB1076" s="11">
        <v>2041</v>
      </c>
      <c r="AC1076" s="11">
        <v>2041</v>
      </c>
      <c r="AD1076" s="11">
        <v>2041</v>
      </c>
      <c r="AE1076" s="11">
        <v>2041</v>
      </c>
      <c r="AF1076" s="11">
        <v>0</v>
      </c>
      <c r="AG1076" s="19">
        <f>ROUND((Z1076*'Data-CostAssumptions'!$G$5)*(1+'Data-CostAssumptions'!$G$3)^(AC1076-'Data-CostAssumptions'!$G$4),-3)</f>
        <v>1376000</v>
      </c>
      <c r="AH1076" s="19">
        <f>ROUND((Z1076)*(1+'Data-CostAssumptions'!$G$3)^(AE1076-'Data-CostAssumptions'!$G$4),-3)</f>
        <v>6256000</v>
      </c>
    </row>
    <row r="1077" spans="1:34" ht="15" customHeight="1" x14ac:dyDescent="0.2">
      <c r="A1077" s="66"/>
      <c r="B1077" s="66" t="s">
        <v>1211</v>
      </c>
      <c r="C1077" s="66">
        <v>12805</v>
      </c>
      <c r="D1077" s="86" t="s">
        <v>365</v>
      </c>
      <c r="E1077" s="73"/>
      <c r="F1077" s="73"/>
      <c r="G1077" s="20">
        <v>1076</v>
      </c>
      <c r="H1077" s="67" t="s">
        <v>57</v>
      </c>
      <c r="I1077" s="67" t="str">
        <f t="shared" si="32"/>
        <v>SR 7/US 441 (Sandalfoot Bl to Golden Glades)</v>
      </c>
      <c r="J1077" s="86" t="s">
        <v>347</v>
      </c>
      <c r="K1077" s="67" t="str">
        <f>VLOOKUP(J1077,'Data-ProjectTypes'!A$3:B$13,2,FALSE)</f>
        <v>Project</v>
      </c>
      <c r="L1077" s="87" t="s">
        <v>863</v>
      </c>
      <c r="M1077" s="86" t="s">
        <v>2324</v>
      </c>
      <c r="N1077" s="89" t="s">
        <v>864</v>
      </c>
      <c r="O1077" s="86" t="s">
        <v>365</v>
      </c>
      <c r="P1077" s="87" t="s">
        <v>365</v>
      </c>
      <c r="Q1077" s="74"/>
      <c r="R1077" s="88">
        <v>6323878</v>
      </c>
      <c r="S1077" s="11"/>
      <c r="T1077" s="11"/>
      <c r="U1077" s="11"/>
      <c r="V1077" s="11"/>
      <c r="W1077" s="11"/>
      <c r="X1077" s="11"/>
      <c r="Z1077" s="71">
        <f>ROUND(R1077*'Data-CostAssumptions'!$C$8,-3)</f>
        <v>6324000</v>
      </c>
      <c r="AA1077" s="11">
        <f t="shared" si="33"/>
        <v>0</v>
      </c>
      <c r="AB1077" s="11">
        <v>2041</v>
      </c>
      <c r="AC1077" s="11">
        <v>2041</v>
      </c>
      <c r="AD1077" s="11">
        <v>2041</v>
      </c>
      <c r="AE1077" s="11">
        <v>2041</v>
      </c>
      <c r="AF1077" s="11">
        <v>0</v>
      </c>
      <c r="AG1077" s="19">
        <f>ROUND((Z1077*'Data-CostAssumptions'!$G$5)*(1+'Data-CostAssumptions'!$G$3)^(AC1077-'Data-CostAssumptions'!$G$4),-3)</f>
        <v>3567000</v>
      </c>
      <c r="AH1077" s="19">
        <f>ROUND((Z1077)*(1+'Data-CostAssumptions'!$G$3)^(AE1077-'Data-CostAssumptions'!$G$4),-3)</f>
        <v>16214000</v>
      </c>
    </row>
    <row r="1078" spans="1:34" ht="15" customHeight="1" x14ac:dyDescent="0.2">
      <c r="A1078" s="66"/>
      <c r="B1078" s="66" t="s">
        <v>1211</v>
      </c>
      <c r="C1078" s="66">
        <v>12806</v>
      </c>
      <c r="D1078" s="86" t="s">
        <v>365</v>
      </c>
      <c r="E1078" s="73"/>
      <c r="F1078" s="73"/>
      <c r="G1078" s="20">
        <v>1077</v>
      </c>
      <c r="H1078" s="67" t="s">
        <v>2710</v>
      </c>
      <c r="I1078" s="67" t="str">
        <f t="shared" si="32"/>
        <v>SR 816/Oakland Park Bl (Sawgrass Mills Mall to SR A1A)</v>
      </c>
      <c r="J1078" s="86" t="s">
        <v>347</v>
      </c>
      <c r="K1078" s="67" t="str">
        <f>VLOOKUP(J1078,'Data-ProjectTypes'!A$3:B$13,2,FALSE)</f>
        <v>Project</v>
      </c>
      <c r="L1078" s="87" t="s">
        <v>863</v>
      </c>
      <c r="M1078" s="87" t="s">
        <v>865</v>
      </c>
      <c r="N1078" s="86" t="s">
        <v>110</v>
      </c>
      <c r="O1078" s="86" t="s">
        <v>365</v>
      </c>
      <c r="P1078" s="87" t="s">
        <v>365</v>
      </c>
      <c r="Q1078" s="74"/>
      <c r="R1078" s="88">
        <v>7105740</v>
      </c>
      <c r="S1078" s="11"/>
      <c r="T1078" s="11"/>
      <c r="U1078" s="11"/>
      <c r="V1078" s="11"/>
      <c r="W1078" s="11"/>
      <c r="X1078" s="11"/>
      <c r="Z1078" s="71">
        <f>ROUND(R1078*'Data-CostAssumptions'!$C$8,-3)</f>
        <v>7106000</v>
      </c>
      <c r="AA1078" s="11">
        <f t="shared" si="33"/>
        <v>0</v>
      </c>
      <c r="AB1078" s="11">
        <v>2041</v>
      </c>
      <c r="AC1078" s="11">
        <v>2041</v>
      </c>
      <c r="AD1078" s="11">
        <v>2041</v>
      </c>
      <c r="AE1078" s="11">
        <v>2041</v>
      </c>
      <c r="AF1078" s="11">
        <v>0</v>
      </c>
      <c r="AG1078" s="19">
        <f>ROUND((Z1078*'Data-CostAssumptions'!$G$5)*(1+'Data-CostAssumptions'!$G$3)^(AC1078-'Data-CostAssumptions'!$G$4),-3)</f>
        <v>4008000</v>
      </c>
      <c r="AH1078" s="19">
        <f>ROUND((Z1078)*(1+'Data-CostAssumptions'!$G$3)^(AE1078-'Data-CostAssumptions'!$G$4),-3)</f>
        <v>18219000</v>
      </c>
    </row>
    <row r="1079" spans="1:34" ht="15" customHeight="1" x14ac:dyDescent="0.2">
      <c r="A1079" s="66"/>
      <c r="B1079" s="66" t="s">
        <v>1211</v>
      </c>
      <c r="C1079" s="66">
        <v>12808</v>
      </c>
      <c r="D1079" s="86" t="s">
        <v>365</v>
      </c>
      <c r="E1079" s="73"/>
      <c r="F1079" s="73"/>
      <c r="G1079" s="20">
        <v>1078</v>
      </c>
      <c r="H1079" s="67" t="s">
        <v>2709</v>
      </c>
      <c r="I1079" s="67" t="str">
        <f t="shared" si="32"/>
        <v>SR 817/University Dr (Sample Rd to Golden Glades)</v>
      </c>
      <c r="J1079" s="86" t="s">
        <v>347</v>
      </c>
      <c r="K1079" s="67" t="str">
        <f>VLOOKUP(J1079,'Data-ProjectTypes'!A$3:B$13,2,FALSE)</f>
        <v>Project</v>
      </c>
      <c r="L1079" s="87" t="s">
        <v>863</v>
      </c>
      <c r="M1079" s="87" t="s">
        <v>1864</v>
      </c>
      <c r="N1079" s="86" t="s">
        <v>864</v>
      </c>
      <c r="O1079" s="86" t="s">
        <v>365</v>
      </c>
      <c r="P1079" s="87" t="s">
        <v>365</v>
      </c>
      <c r="Q1079" s="74"/>
      <c r="R1079" s="88">
        <v>1258612</v>
      </c>
      <c r="S1079" s="11"/>
      <c r="T1079" s="11"/>
      <c r="U1079" s="11"/>
      <c r="V1079" s="11"/>
      <c r="W1079" s="11"/>
      <c r="X1079" s="11"/>
      <c r="Z1079" s="71">
        <f>ROUND(R1079*'Data-CostAssumptions'!$C$8,-3)</f>
        <v>1259000</v>
      </c>
      <c r="AA1079" s="11">
        <f t="shared" si="33"/>
        <v>0</v>
      </c>
      <c r="AB1079" s="11">
        <v>2041</v>
      </c>
      <c r="AC1079" s="11">
        <v>2041</v>
      </c>
      <c r="AD1079" s="11">
        <v>2041</v>
      </c>
      <c r="AE1079" s="11">
        <v>2041</v>
      </c>
      <c r="AF1079" s="11">
        <v>0</v>
      </c>
      <c r="AG1079" s="19">
        <f>ROUND((Z1079*'Data-CostAssumptions'!$G$5)*(1+'Data-CostAssumptions'!$G$3)^(AC1079-'Data-CostAssumptions'!$G$4),-3)</f>
        <v>710000</v>
      </c>
      <c r="AH1079" s="19">
        <f>ROUND((Z1079)*(1+'Data-CostAssumptions'!$G$3)^(AE1079-'Data-CostAssumptions'!$G$4),-3)</f>
        <v>3228000</v>
      </c>
    </row>
    <row r="1080" spans="1:34" ht="15" customHeight="1" x14ac:dyDescent="0.2">
      <c r="A1080" s="66"/>
      <c r="B1080" s="66" t="s">
        <v>1211</v>
      </c>
      <c r="C1080" s="66">
        <v>12811</v>
      </c>
      <c r="D1080" s="86" t="s">
        <v>365</v>
      </c>
      <c r="E1080" s="73"/>
      <c r="F1080" s="73"/>
      <c r="G1080" s="20">
        <v>1079</v>
      </c>
      <c r="H1080" s="67" t="s">
        <v>2724</v>
      </c>
      <c r="I1080" s="67" t="str">
        <f t="shared" si="32"/>
        <v>SR 820/Pines/Hollywood Bl (Pembroke Lanes Mall to Young Circle)</v>
      </c>
      <c r="J1080" s="86" t="s">
        <v>347</v>
      </c>
      <c r="K1080" s="67" t="str">
        <f>VLOOKUP(J1080,'Data-ProjectTypes'!A$3:B$13,2,FALSE)</f>
        <v>Project</v>
      </c>
      <c r="L1080" s="87" t="s">
        <v>863</v>
      </c>
      <c r="M1080" s="87" t="s">
        <v>868</v>
      </c>
      <c r="N1080" s="86" t="s">
        <v>189</v>
      </c>
      <c r="O1080" s="86" t="s">
        <v>365</v>
      </c>
      <c r="P1080" s="87" t="s">
        <v>365</v>
      </c>
      <c r="Q1080" s="74"/>
      <c r="R1080" s="88">
        <v>4797170</v>
      </c>
      <c r="S1080" s="11"/>
      <c r="T1080" s="11"/>
      <c r="U1080" s="11"/>
      <c r="V1080" s="11"/>
      <c r="W1080" s="11"/>
      <c r="X1080" s="11"/>
      <c r="Z1080" s="71">
        <f>ROUND(R1080*'Data-CostAssumptions'!$C$8,-3)</f>
        <v>4797000</v>
      </c>
      <c r="AA1080" s="11">
        <f t="shared" si="33"/>
        <v>0</v>
      </c>
      <c r="AB1080" s="11">
        <v>2041</v>
      </c>
      <c r="AC1080" s="11">
        <v>2041</v>
      </c>
      <c r="AD1080" s="11">
        <v>2041</v>
      </c>
      <c r="AE1080" s="11">
        <v>2041</v>
      </c>
      <c r="AF1080" s="11">
        <v>0</v>
      </c>
      <c r="AG1080" s="19">
        <f>ROUND((Z1080*'Data-CostAssumptions'!$G$5)*(1+'Data-CostAssumptions'!$G$3)^(AC1080-'Data-CostAssumptions'!$G$4),-3)</f>
        <v>2706000</v>
      </c>
      <c r="AH1080" s="19">
        <f>ROUND((Z1080)*(1+'Data-CostAssumptions'!$G$3)^(AE1080-'Data-CostAssumptions'!$G$4),-3)</f>
        <v>12299000</v>
      </c>
    </row>
    <row r="1081" spans="1:34" ht="15" customHeight="1" x14ac:dyDescent="0.2">
      <c r="A1081" s="66"/>
      <c r="B1081" s="66" t="s">
        <v>1211</v>
      </c>
      <c r="C1081" s="66">
        <v>12812</v>
      </c>
      <c r="D1081" s="86" t="s">
        <v>365</v>
      </c>
      <c r="E1081" s="73"/>
      <c r="F1081" s="73"/>
      <c r="G1081" s="20">
        <v>1080</v>
      </c>
      <c r="H1081" s="67" t="s">
        <v>2793</v>
      </c>
      <c r="I1081" s="67" t="str">
        <f t="shared" si="32"/>
        <v>SR 834/Sample Rd (Coral Ridge Dr to US 1)</v>
      </c>
      <c r="J1081" s="86" t="s">
        <v>347</v>
      </c>
      <c r="K1081" s="67" t="str">
        <f>VLOOKUP(J1081,'Data-ProjectTypes'!A$3:B$13,2,FALSE)</f>
        <v>Project</v>
      </c>
      <c r="L1081" s="87" t="s">
        <v>863</v>
      </c>
      <c r="M1081" s="87" t="s">
        <v>1786</v>
      </c>
      <c r="N1081" s="86" t="s">
        <v>98</v>
      </c>
      <c r="O1081" s="86" t="s">
        <v>365</v>
      </c>
      <c r="P1081" s="87" t="s">
        <v>365</v>
      </c>
      <c r="Q1081" s="74"/>
      <c r="R1081" s="88">
        <v>3426550</v>
      </c>
      <c r="S1081" s="11"/>
      <c r="T1081" s="11"/>
      <c r="U1081" s="11"/>
      <c r="V1081" s="11"/>
      <c r="W1081" s="11"/>
      <c r="X1081" s="11"/>
      <c r="Z1081" s="71">
        <f>ROUND(R1081*'Data-CostAssumptions'!$C$8,-3)</f>
        <v>3427000</v>
      </c>
      <c r="AA1081" s="11">
        <f t="shared" si="33"/>
        <v>0</v>
      </c>
      <c r="AB1081" s="11">
        <v>2041</v>
      </c>
      <c r="AC1081" s="11">
        <v>2041</v>
      </c>
      <c r="AD1081" s="11">
        <v>2041</v>
      </c>
      <c r="AE1081" s="11">
        <v>2041</v>
      </c>
      <c r="AF1081" s="11">
        <v>0</v>
      </c>
      <c r="AG1081" s="19">
        <f>ROUND((Z1081*'Data-CostAssumptions'!$G$5)*(1+'Data-CostAssumptions'!$G$3)^(AC1081-'Data-CostAssumptions'!$G$4),-3)</f>
        <v>1933000</v>
      </c>
      <c r="AH1081" s="19">
        <f>ROUND((Z1081)*(1+'Data-CostAssumptions'!$G$3)^(AE1081-'Data-CostAssumptions'!$G$4),-3)</f>
        <v>8787000</v>
      </c>
    </row>
    <row r="1082" spans="1:34" ht="15" customHeight="1" x14ac:dyDescent="0.2">
      <c r="A1082" s="66"/>
      <c r="B1082" s="66" t="s">
        <v>1211</v>
      </c>
      <c r="C1082" s="66">
        <v>12810</v>
      </c>
      <c r="D1082" s="86" t="s">
        <v>365</v>
      </c>
      <c r="E1082" s="73"/>
      <c r="F1082" s="73"/>
      <c r="G1082" s="20">
        <v>1081</v>
      </c>
      <c r="H1082" s="67" t="s">
        <v>2728</v>
      </c>
      <c r="I1082" s="67" t="str">
        <f t="shared" si="32"/>
        <v>SR 838/Sunrise Bl (Sawgrass Mills Mall to SR A1A)</v>
      </c>
      <c r="J1082" s="86" t="s">
        <v>347</v>
      </c>
      <c r="K1082" s="67" t="str">
        <f>VLOOKUP(J1082,'Data-ProjectTypes'!A$3:B$13,2,FALSE)</f>
        <v>Project</v>
      </c>
      <c r="L1082" s="87" t="s">
        <v>863</v>
      </c>
      <c r="M1082" s="87" t="s">
        <v>865</v>
      </c>
      <c r="N1082" s="86" t="s">
        <v>110</v>
      </c>
      <c r="O1082" s="86" t="s">
        <v>365</v>
      </c>
      <c r="P1082" s="87" t="s">
        <v>365</v>
      </c>
      <c r="Q1082" s="74"/>
      <c r="R1082" s="88">
        <v>1997697</v>
      </c>
      <c r="S1082" s="11"/>
      <c r="T1082" s="11"/>
      <c r="U1082" s="11"/>
      <c r="V1082" s="11"/>
      <c r="W1082" s="11"/>
      <c r="X1082" s="11"/>
      <c r="Z1082" s="71">
        <f>ROUND(R1082*'Data-CostAssumptions'!$C$8,-3)</f>
        <v>1998000</v>
      </c>
      <c r="AA1082" s="11">
        <f t="shared" si="33"/>
        <v>0</v>
      </c>
      <c r="AB1082" s="11">
        <v>2041</v>
      </c>
      <c r="AC1082" s="11">
        <v>2041</v>
      </c>
      <c r="AD1082" s="11">
        <v>2041</v>
      </c>
      <c r="AE1082" s="11">
        <v>2041</v>
      </c>
      <c r="AF1082" s="11">
        <v>0</v>
      </c>
      <c r="AG1082" s="19">
        <f>ROUND((Z1082*'Data-CostAssumptions'!$G$5)*(1+'Data-CostAssumptions'!$G$3)^(AC1082-'Data-CostAssumptions'!$G$4),-3)</f>
        <v>1127000</v>
      </c>
      <c r="AH1082" s="19">
        <f>ROUND((Z1082)*(1+'Data-CostAssumptions'!$G$3)^(AE1082-'Data-CostAssumptions'!$G$4),-3)</f>
        <v>5123000</v>
      </c>
    </row>
    <row r="1083" spans="1:34" ht="15" customHeight="1" x14ac:dyDescent="0.2">
      <c r="A1083" s="66"/>
      <c r="B1083" s="66" t="s">
        <v>1211</v>
      </c>
      <c r="C1083" s="66">
        <v>12809</v>
      </c>
      <c r="D1083" s="86" t="s">
        <v>365</v>
      </c>
      <c r="E1083" s="73"/>
      <c r="F1083" s="73"/>
      <c r="G1083" s="20">
        <v>1082</v>
      </c>
      <c r="H1083" s="67" t="s">
        <v>2798</v>
      </c>
      <c r="I1083" s="67" t="str">
        <f t="shared" si="32"/>
        <v>SR 842/Broward Bl (Sawgrass Mills Mall to Broward Terminal)</v>
      </c>
      <c r="J1083" s="86" t="s">
        <v>347</v>
      </c>
      <c r="K1083" s="67" t="str">
        <f>VLOOKUP(J1083,'Data-ProjectTypes'!A$3:B$13,2,FALSE)</f>
        <v>Project</v>
      </c>
      <c r="L1083" s="87" t="s">
        <v>863</v>
      </c>
      <c r="M1083" s="87" t="s">
        <v>865</v>
      </c>
      <c r="N1083" s="86" t="s">
        <v>867</v>
      </c>
      <c r="O1083" s="86" t="s">
        <v>365</v>
      </c>
      <c r="P1083" s="87" t="s">
        <v>365</v>
      </c>
      <c r="Q1083" s="74"/>
      <c r="R1083" s="88">
        <v>3882318</v>
      </c>
      <c r="S1083" s="11"/>
      <c r="T1083" s="11"/>
      <c r="U1083" s="11"/>
      <c r="V1083" s="11"/>
      <c r="W1083" s="11"/>
      <c r="X1083" s="11"/>
      <c r="Z1083" s="71">
        <f>ROUND(R1083*'Data-CostAssumptions'!$C$8,-3)</f>
        <v>3882000</v>
      </c>
      <c r="AA1083" s="11">
        <f t="shared" si="33"/>
        <v>0</v>
      </c>
      <c r="AB1083" s="11">
        <v>2041</v>
      </c>
      <c r="AC1083" s="11">
        <v>2041</v>
      </c>
      <c r="AD1083" s="11">
        <v>2041</v>
      </c>
      <c r="AE1083" s="11">
        <v>2041</v>
      </c>
      <c r="AF1083" s="11">
        <v>0</v>
      </c>
      <c r="AG1083" s="19">
        <f>ROUND((Z1083*'Data-CostAssumptions'!$G$5)*(1+'Data-CostAssumptions'!$G$3)^(AC1083-'Data-CostAssumptions'!$G$4),-3)</f>
        <v>2190000</v>
      </c>
      <c r="AH1083" s="19">
        <f>ROUND((Z1083)*(1+'Data-CostAssumptions'!$G$3)^(AE1083-'Data-CostAssumptions'!$G$4),-3)</f>
        <v>9953000</v>
      </c>
    </row>
    <row r="1084" spans="1:34" ht="15" customHeight="1" x14ac:dyDescent="0.2">
      <c r="A1084" s="11"/>
      <c r="B1084" s="11" t="s">
        <v>1211</v>
      </c>
      <c r="C1084" s="11">
        <v>12813</v>
      </c>
      <c r="D1084" s="84" t="s">
        <v>365</v>
      </c>
      <c r="E1084" s="14"/>
      <c r="F1084" s="14"/>
      <c r="G1084" s="20">
        <v>1083</v>
      </c>
      <c r="H1084" s="13" t="s">
        <v>2699</v>
      </c>
      <c r="I1084" s="13" t="str">
        <f t="shared" si="32"/>
        <v>SR 93 /I-75 Express Bus Route (Miami-Dade International Airport jobs centers to I-595/I-75 area)</v>
      </c>
      <c r="J1084" s="84" t="s">
        <v>347</v>
      </c>
      <c r="K1084" s="13" t="str">
        <f>VLOOKUP(J1084,'Data-ProjectTypes'!A$3:B$13,2,FALSE)</f>
        <v>Project</v>
      </c>
      <c r="L1084" s="85" t="s">
        <v>869</v>
      </c>
      <c r="M1084" s="85" t="s">
        <v>872</v>
      </c>
      <c r="N1084" s="84" t="s">
        <v>871</v>
      </c>
      <c r="O1084" s="84" t="s">
        <v>870</v>
      </c>
      <c r="P1084" s="85" t="s">
        <v>365</v>
      </c>
      <c r="Q1084" s="15"/>
      <c r="R1084" s="23">
        <v>3552870</v>
      </c>
      <c r="S1084" s="11"/>
      <c r="T1084" s="11"/>
      <c r="U1084" s="11"/>
      <c r="V1084" s="11"/>
      <c r="W1084" s="11"/>
      <c r="X1084" s="11"/>
      <c r="Z1084" s="18">
        <f>ROUND(R1084*'Data-CostAssumptions'!$C$8,-3)</f>
        <v>3553000</v>
      </c>
      <c r="AA1084" s="11">
        <f t="shared" si="33"/>
        <v>0</v>
      </c>
      <c r="AB1084" s="11">
        <v>2041</v>
      </c>
      <c r="AC1084" s="11">
        <v>2041</v>
      </c>
      <c r="AD1084" s="11">
        <v>2041</v>
      </c>
      <c r="AE1084" s="11">
        <v>2041</v>
      </c>
      <c r="AF1084" s="11">
        <v>0</v>
      </c>
      <c r="AG1084" s="19">
        <f>ROUND((Z1084*'Data-CostAssumptions'!$G$5)*(1+'Data-CostAssumptions'!$G$3)^(AC1084-'Data-CostAssumptions'!$G$4),-3)</f>
        <v>2004000</v>
      </c>
      <c r="AH1084" s="19">
        <f>ROUND((Z1084)*(1+'Data-CostAssumptions'!$G$3)^(AE1084-'Data-CostAssumptions'!$G$4),-3)</f>
        <v>9110000</v>
      </c>
    </row>
    <row r="1085" spans="1:34" ht="15" customHeight="1" x14ac:dyDescent="0.2">
      <c r="A1085" s="11"/>
      <c r="B1085" s="11" t="s">
        <v>1211</v>
      </c>
      <c r="C1085" s="11">
        <v>12001</v>
      </c>
      <c r="D1085" s="84" t="s">
        <v>292</v>
      </c>
      <c r="E1085" s="14"/>
      <c r="F1085" s="14"/>
      <c r="G1085" s="20">
        <v>1084</v>
      </c>
      <c r="H1085" s="13" t="s">
        <v>1785</v>
      </c>
      <c r="I1085" s="13" t="str">
        <f t="shared" si="32"/>
        <v>Coral Hills Dr (Wiles Rd to Sample Rd)</v>
      </c>
      <c r="J1085" s="11" t="s">
        <v>29</v>
      </c>
      <c r="K1085" s="13" t="str">
        <f>VLOOKUP(J1085,'Data-ProjectTypes'!A$3:B$13,2,FALSE)</f>
        <v>Program</v>
      </c>
      <c r="L1085" s="11" t="s">
        <v>426</v>
      </c>
      <c r="M1085" s="11" t="s">
        <v>1780</v>
      </c>
      <c r="N1085" s="11" t="s">
        <v>1864</v>
      </c>
      <c r="O1085" s="11"/>
      <c r="P1085" s="11"/>
      <c r="Q1085" s="15">
        <v>1.07</v>
      </c>
      <c r="R1085" s="16">
        <v>272492.21109399927</v>
      </c>
      <c r="S1085" s="11"/>
      <c r="T1085" s="11"/>
      <c r="U1085" s="11"/>
      <c r="V1085" s="85" t="s">
        <v>437</v>
      </c>
      <c r="W1085" s="11"/>
      <c r="X1085" s="11" t="s">
        <v>464</v>
      </c>
      <c r="Z1085" s="18">
        <f>ROUND(R1085*'Data-CostAssumptions'!$C$4,-3)</f>
        <v>272000</v>
      </c>
      <c r="AA1085" s="11">
        <f t="shared" si="33"/>
        <v>1</v>
      </c>
      <c r="AB1085" s="11">
        <v>2041</v>
      </c>
      <c r="AC1085" s="11">
        <v>2041</v>
      </c>
      <c r="AD1085" s="11">
        <v>2041</v>
      </c>
      <c r="AE1085" s="11">
        <v>2041</v>
      </c>
      <c r="AF1085" s="11">
        <v>0</v>
      </c>
      <c r="AG1085" s="19">
        <f>ROUND((Z1085*'Data-CostAssumptions'!$G$5)*(1+'Data-CostAssumptions'!$G$3)^(AC1085-'Data-CostAssumptions'!$G$4),-3)</f>
        <v>153000</v>
      </c>
      <c r="AH1085" s="19">
        <f>ROUND((Z1085)*(1+'Data-CostAssumptions'!$G$3)^(AE1085-'Data-CostAssumptions'!$G$4),-3)</f>
        <v>697000</v>
      </c>
    </row>
    <row r="1086" spans="1:34" ht="15" customHeight="1" x14ac:dyDescent="0.2">
      <c r="A1086" s="11"/>
      <c r="B1086" s="11" t="s">
        <v>1211</v>
      </c>
      <c r="C1086" s="11">
        <v>12002</v>
      </c>
      <c r="D1086" s="84" t="s">
        <v>292</v>
      </c>
      <c r="E1086" s="14"/>
      <c r="F1086" s="14"/>
      <c r="G1086" s="20">
        <v>1085</v>
      </c>
      <c r="H1086" s="13" t="s">
        <v>1793</v>
      </c>
      <c r="I1086" s="13" t="str">
        <f t="shared" si="32"/>
        <v>Lakeview Dr (Coral Springs Dr to Atlantic Bl)</v>
      </c>
      <c r="J1086" s="11" t="s">
        <v>29</v>
      </c>
      <c r="K1086" s="13" t="str">
        <f>VLOOKUP(J1086,'Data-ProjectTypes'!A$3:B$13,2,FALSE)</f>
        <v>Program</v>
      </c>
      <c r="L1086" s="11" t="s">
        <v>426</v>
      </c>
      <c r="M1086" s="11" t="s">
        <v>1787</v>
      </c>
      <c r="N1086" s="11" t="s">
        <v>1809</v>
      </c>
      <c r="O1086" s="11"/>
      <c r="P1086" s="11"/>
      <c r="Q1086" s="15">
        <v>2.38</v>
      </c>
      <c r="R1086" s="16">
        <v>606104.17047076463</v>
      </c>
      <c r="S1086" s="11"/>
      <c r="T1086" s="11"/>
      <c r="U1086" s="11"/>
      <c r="V1086" s="85" t="s">
        <v>438</v>
      </c>
      <c r="W1086" s="11"/>
      <c r="X1086" s="11" t="s">
        <v>464</v>
      </c>
      <c r="Z1086" s="18">
        <f>ROUND(R1086*'Data-CostAssumptions'!$C$4,-3)</f>
        <v>606000</v>
      </c>
      <c r="AA1086" s="11">
        <f t="shared" si="33"/>
        <v>1</v>
      </c>
      <c r="AB1086" s="11">
        <v>2041</v>
      </c>
      <c r="AC1086" s="11">
        <v>2041</v>
      </c>
      <c r="AD1086" s="11">
        <v>2041</v>
      </c>
      <c r="AE1086" s="11">
        <v>2041</v>
      </c>
      <c r="AF1086" s="11">
        <v>0</v>
      </c>
      <c r="AG1086" s="19">
        <f>ROUND((Z1086*'Data-CostAssumptions'!$G$5)*(1+'Data-CostAssumptions'!$G$3)^(AC1086-'Data-CostAssumptions'!$G$4),-3)</f>
        <v>342000</v>
      </c>
      <c r="AH1086" s="19">
        <f>ROUND((Z1086)*(1+'Data-CostAssumptions'!$G$3)^(AE1086-'Data-CostAssumptions'!$G$4),-3)</f>
        <v>1554000</v>
      </c>
    </row>
    <row r="1087" spans="1:34" ht="15" customHeight="1" x14ac:dyDescent="0.2">
      <c r="A1087" s="11"/>
      <c r="B1087" s="11" t="s">
        <v>1211</v>
      </c>
      <c r="C1087" s="11">
        <v>12003</v>
      </c>
      <c r="D1087" s="84" t="s">
        <v>292</v>
      </c>
      <c r="E1087" s="14"/>
      <c r="F1087" s="14"/>
      <c r="G1087" s="20">
        <v>1086</v>
      </c>
      <c r="H1087" s="13" t="s">
        <v>1918</v>
      </c>
      <c r="I1087" s="13" t="str">
        <f t="shared" si="32"/>
        <v>NW 39 St (NW 110 Av to NW 126 Av)</v>
      </c>
      <c r="J1087" s="11" t="s">
        <v>29</v>
      </c>
      <c r="K1087" s="13" t="str">
        <f>VLOOKUP(J1087,'Data-ProjectTypes'!A$3:B$13,2,FALSE)</f>
        <v>Program</v>
      </c>
      <c r="L1087" s="11" t="s">
        <v>426</v>
      </c>
      <c r="M1087" s="11" t="s">
        <v>2258</v>
      </c>
      <c r="N1087" s="11" t="s">
        <v>2242</v>
      </c>
      <c r="O1087" s="11"/>
      <c r="P1087" s="11"/>
      <c r="Q1087" s="15">
        <v>1.05</v>
      </c>
      <c r="R1087" s="16">
        <v>267398.89873710205</v>
      </c>
      <c r="S1087" s="11"/>
      <c r="T1087" s="11"/>
      <c r="U1087" s="11"/>
      <c r="V1087" s="85" t="s">
        <v>439</v>
      </c>
      <c r="W1087" s="11"/>
      <c r="X1087" s="11" t="s">
        <v>465</v>
      </c>
      <c r="Z1087" s="18">
        <f>ROUND(R1087*'Data-CostAssumptions'!$C$4,-3)</f>
        <v>267000</v>
      </c>
      <c r="AA1087" s="11">
        <f t="shared" si="33"/>
        <v>1</v>
      </c>
      <c r="AB1087" s="11">
        <v>2041</v>
      </c>
      <c r="AC1087" s="11">
        <v>2041</v>
      </c>
      <c r="AD1087" s="11">
        <v>2041</v>
      </c>
      <c r="AE1087" s="11">
        <v>2041</v>
      </c>
      <c r="AF1087" s="11">
        <v>0</v>
      </c>
      <c r="AG1087" s="19">
        <f>ROUND((Z1087*'Data-CostAssumptions'!$G$5)*(1+'Data-CostAssumptions'!$G$3)^(AC1087-'Data-CostAssumptions'!$G$4),-3)</f>
        <v>151000</v>
      </c>
      <c r="AH1087" s="19">
        <f>ROUND((Z1087)*(1+'Data-CostAssumptions'!$G$3)^(AE1087-'Data-CostAssumptions'!$G$4),-3)</f>
        <v>685000</v>
      </c>
    </row>
    <row r="1088" spans="1:34" ht="15" customHeight="1" x14ac:dyDescent="0.2">
      <c r="A1088" s="11"/>
      <c r="B1088" s="11" t="s">
        <v>1211</v>
      </c>
      <c r="C1088" s="11">
        <v>12004</v>
      </c>
      <c r="D1088" s="84" t="s">
        <v>292</v>
      </c>
      <c r="E1088" s="14"/>
      <c r="F1088" s="14"/>
      <c r="G1088" s="20">
        <v>1087</v>
      </c>
      <c r="H1088" s="13" t="s">
        <v>1985</v>
      </c>
      <c r="I1088" s="13" t="str">
        <f t="shared" si="32"/>
        <v>NW 99th Av (NW 99 Way to Royal Palm Bl)</v>
      </c>
      <c r="J1088" s="11" t="s">
        <v>29</v>
      </c>
      <c r="K1088" s="13" t="str">
        <f>VLOOKUP(J1088,'Data-ProjectTypes'!A$3:B$13,2,FALSE)</f>
        <v>Program</v>
      </c>
      <c r="L1088" s="11" t="s">
        <v>426</v>
      </c>
      <c r="M1088" s="11" t="s">
        <v>435</v>
      </c>
      <c r="N1088" s="11" t="s">
        <v>1827</v>
      </c>
      <c r="O1088" s="11"/>
      <c r="P1088" s="11"/>
      <c r="Q1088" s="15">
        <v>0.75</v>
      </c>
      <c r="R1088" s="16">
        <v>190999.21338364432</v>
      </c>
      <c r="S1088" s="11"/>
      <c r="T1088" s="11"/>
      <c r="U1088" s="11"/>
      <c r="V1088" s="85" t="s">
        <v>440</v>
      </c>
      <c r="W1088" s="11"/>
      <c r="X1088" s="11" t="s">
        <v>466</v>
      </c>
      <c r="Z1088" s="18">
        <f>ROUND(R1088*'Data-CostAssumptions'!$C$4,-3)</f>
        <v>191000</v>
      </c>
      <c r="AA1088" s="11">
        <f t="shared" si="33"/>
        <v>1</v>
      </c>
      <c r="AB1088" s="11">
        <v>2041</v>
      </c>
      <c r="AC1088" s="11">
        <v>2041</v>
      </c>
      <c r="AD1088" s="11">
        <v>2041</v>
      </c>
      <c r="AE1088" s="11">
        <v>2041</v>
      </c>
      <c r="AF1088" s="11">
        <v>0</v>
      </c>
      <c r="AG1088" s="19">
        <f>ROUND((Z1088*'Data-CostAssumptions'!$G$5)*(1+'Data-CostAssumptions'!$G$3)^(AC1088-'Data-CostAssumptions'!$G$4),-3)</f>
        <v>108000</v>
      </c>
      <c r="AH1088" s="19">
        <f>ROUND((Z1088)*(1+'Data-CostAssumptions'!$G$3)^(AE1088-'Data-CostAssumptions'!$G$4),-3)</f>
        <v>490000</v>
      </c>
    </row>
    <row r="1089" spans="1:34" ht="15" customHeight="1" x14ac:dyDescent="0.2">
      <c r="A1089" s="11"/>
      <c r="B1089" s="11" t="s">
        <v>1211</v>
      </c>
      <c r="C1089" s="11">
        <v>12005</v>
      </c>
      <c r="D1089" s="84" t="s">
        <v>292</v>
      </c>
      <c r="E1089" s="14"/>
      <c r="F1089" s="14"/>
      <c r="G1089" s="20">
        <v>1088</v>
      </c>
      <c r="H1089" s="13" t="s">
        <v>1827</v>
      </c>
      <c r="I1089" s="13" t="str">
        <f t="shared" si="32"/>
        <v>Royal Palm Bl (University Dr to Sportsplex Dr)</v>
      </c>
      <c r="J1089" s="11" t="s">
        <v>29</v>
      </c>
      <c r="K1089" s="13" t="str">
        <f>VLOOKUP(J1089,'Data-ProjectTypes'!A$3:B$13,2,FALSE)</f>
        <v>Program</v>
      </c>
      <c r="L1089" s="11" t="s">
        <v>426</v>
      </c>
      <c r="M1089" s="11" t="s">
        <v>1804</v>
      </c>
      <c r="N1089" s="11" t="s">
        <v>1802</v>
      </c>
      <c r="O1089" s="11"/>
      <c r="P1089" s="11"/>
      <c r="Q1089" s="15">
        <v>2.71</v>
      </c>
      <c r="R1089" s="16">
        <v>690143.82435956807</v>
      </c>
      <c r="S1089" s="11"/>
      <c r="T1089" s="11"/>
      <c r="U1089" s="11"/>
      <c r="V1089" s="85" t="s">
        <v>441</v>
      </c>
      <c r="W1089" s="11"/>
      <c r="X1089" s="11" t="s">
        <v>465</v>
      </c>
      <c r="Z1089" s="18">
        <f>ROUND(R1089*'Data-CostAssumptions'!$C$4,-3)</f>
        <v>690000</v>
      </c>
      <c r="AA1089" s="11">
        <f t="shared" si="33"/>
        <v>1</v>
      </c>
      <c r="AB1089" s="11">
        <v>2041</v>
      </c>
      <c r="AC1089" s="11">
        <v>2041</v>
      </c>
      <c r="AD1089" s="11">
        <v>2041</v>
      </c>
      <c r="AE1089" s="11">
        <v>2041</v>
      </c>
      <c r="AF1089" s="11">
        <v>0</v>
      </c>
      <c r="AG1089" s="19">
        <f>ROUND((Z1089*'Data-CostAssumptions'!$G$5)*(1+'Data-CostAssumptions'!$G$3)^(AC1089-'Data-CostAssumptions'!$G$4),-3)</f>
        <v>389000</v>
      </c>
      <c r="AH1089" s="19">
        <f>ROUND((Z1089)*(1+'Data-CostAssumptions'!$G$3)^(AE1089-'Data-CostAssumptions'!$G$4),-3)</f>
        <v>1769000</v>
      </c>
    </row>
    <row r="1090" spans="1:34" ht="15" customHeight="1" x14ac:dyDescent="0.2">
      <c r="A1090" s="11"/>
      <c r="B1090" s="11" t="s">
        <v>1211</v>
      </c>
      <c r="C1090" s="11">
        <v>12006</v>
      </c>
      <c r="D1090" s="84" t="s">
        <v>292</v>
      </c>
      <c r="E1090" s="14"/>
      <c r="F1090" s="14"/>
      <c r="G1090" s="20">
        <v>1089</v>
      </c>
      <c r="H1090" s="13" t="s">
        <v>2793</v>
      </c>
      <c r="I1090" s="13" t="str">
        <f t="shared" ref="I1090:I1153" si="34">IF(M1090="@",H1090&amp;" ("&amp;M1090&amp;"  "&amp;N1090&amp;")",H1090&amp;" ("&amp;M1090&amp;" to "&amp;N1090&amp;")")</f>
        <v>SR 834/Sample Rd (University Dr to NW 110 Av)</v>
      </c>
      <c r="J1090" s="11" t="s">
        <v>29</v>
      </c>
      <c r="K1090" s="13" t="str">
        <f>VLOOKUP(J1090,'Data-ProjectTypes'!A$3:B$13,2,FALSE)</f>
        <v>Program</v>
      </c>
      <c r="L1090" s="11" t="s">
        <v>426</v>
      </c>
      <c r="M1090" s="11" t="s">
        <v>1804</v>
      </c>
      <c r="N1090" s="11" t="s">
        <v>2258</v>
      </c>
      <c r="O1090" s="11"/>
      <c r="P1090" s="11"/>
      <c r="Q1090" s="15">
        <v>1.4</v>
      </c>
      <c r="R1090" s="16">
        <v>356531.86498280271</v>
      </c>
      <c r="S1090" s="11"/>
      <c r="T1090" s="11"/>
      <c r="U1090" s="11"/>
      <c r="V1090" s="85" t="s">
        <v>442</v>
      </c>
      <c r="W1090" s="11"/>
      <c r="X1090" s="11" t="s">
        <v>464</v>
      </c>
      <c r="Z1090" s="18">
        <f>ROUND(R1090*'Data-CostAssumptions'!$C$4,-3)</f>
        <v>357000</v>
      </c>
      <c r="AA1090" s="11">
        <f t="shared" si="33"/>
        <v>1</v>
      </c>
      <c r="AB1090" s="11">
        <v>2041</v>
      </c>
      <c r="AC1090" s="11">
        <v>2041</v>
      </c>
      <c r="AD1090" s="11">
        <v>2041</v>
      </c>
      <c r="AE1090" s="11">
        <v>2041</v>
      </c>
      <c r="AF1090" s="11">
        <v>0</v>
      </c>
      <c r="AG1090" s="19">
        <f>ROUND((Z1090*'Data-CostAssumptions'!$G$5)*(1+'Data-CostAssumptions'!$G$3)^(AC1090-'Data-CostAssumptions'!$G$4),-3)</f>
        <v>201000</v>
      </c>
      <c r="AH1090" s="19">
        <f>ROUND((Z1090)*(1+'Data-CostAssumptions'!$G$3)^(AE1090-'Data-CostAssumptions'!$G$4),-3)</f>
        <v>915000</v>
      </c>
    </row>
    <row r="1091" spans="1:34" ht="15" customHeight="1" x14ac:dyDescent="0.2">
      <c r="A1091" s="11"/>
      <c r="B1091" s="11" t="s">
        <v>1211</v>
      </c>
      <c r="C1091" s="11">
        <v>12007</v>
      </c>
      <c r="D1091" s="84" t="s">
        <v>292</v>
      </c>
      <c r="E1091" s="14"/>
      <c r="F1091" s="14"/>
      <c r="G1091" s="20">
        <v>1090</v>
      </c>
      <c r="H1091" s="13" t="s">
        <v>1802</v>
      </c>
      <c r="I1091" s="13" t="str">
        <f t="shared" si="34"/>
        <v>Sportsplex Dr (Sample Rd to Royal Palm Bl)</v>
      </c>
      <c r="J1091" s="11" t="s">
        <v>29</v>
      </c>
      <c r="K1091" s="13" t="str">
        <f>VLOOKUP(J1091,'Data-ProjectTypes'!A$3:B$13,2,FALSE)</f>
        <v>Program</v>
      </c>
      <c r="L1091" s="11" t="s">
        <v>426</v>
      </c>
      <c r="M1091" s="11" t="s">
        <v>1864</v>
      </c>
      <c r="N1091" s="11" t="s">
        <v>1827</v>
      </c>
      <c r="O1091" s="11"/>
      <c r="P1091" s="11"/>
      <c r="Q1091" s="15">
        <v>1</v>
      </c>
      <c r="R1091" s="16">
        <v>254665.61784485908</v>
      </c>
      <c r="S1091" s="11"/>
      <c r="T1091" s="11"/>
      <c r="U1091" s="11"/>
      <c r="V1091" s="85" t="s">
        <v>443</v>
      </c>
      <c r="W1091" s="11"/>
      <c r="X1091" s="11" t="s">
        <v>467</v>
      </c>
      <c r="Z1091" s="18">
        <f>ROUND(R1091*'Data-CostAssumptions'!$C$4,-3)</f>
        <v>255000</v>
      </c>
      <c r="AA1091" s="11">
        <f t="shared" ref="AA1091:AA1154" si="35">IF(V1091="",IF(W1091="",0,1),1)</f>
        <v>1</v>
      </c>
      <c r="AB1091" s="11">
        <v>2041</v>
      </c>
      <c r="AC1091" s="11">
        <v>2041</v>
      </c>
      <c r="AD1091" s="11">
        <v>2041</v>
      </c>
      <c r="AE1091" s="11">
        <v>2041</v>
      </c>
      <c r="AF1091" s="11">
        <v>0</v>
      </c>
      <c r="AG1091" s="19">
        <f>ROUND((Z1091*'Data-CostAssumptions'!$G$5)*(1+'Data-CostAssumptions'!$G$3)^(AC1091-'Data-CostAssumptions'!$G$4),-3)</f>
        <v>144000</v>
      </c>
      <c r="AH1091" s="19">
        <f>ROUND((Z1091)*(1+'Data-CostAssumptions'!$G$3)^(AE1091-'Data-CostAssumptions'!$G$4),-3)</f>
        <v>654000</v>
      </c>
    </row>
    <row r="1092" spans="1:34" ht="15" customHeight="1" x14ac:dyDescent="0.2">
      <c r="A1092" s="11"/>
      <c r="B1092" s="11" t="s">
        <v>1211</v>
      </c>
      <c r="C1092" s="11">
        <v>12008</v>
      </c>
      <c r="D1092" s="84" t="s">
        <v>292</v>
      </c>
      <c r="E1092" s="14"/>
      <c r="F1092" s="14"/>
      <c r="G1092" s="20">
        <v>1091</v>
      </c>
      <c r="H1092" s="13" t="s">
        <v>422</v>
      </c>
      <c r="I1092" s="13" t="str">
        <f t="shared" si="34"/>
        <v>Terrapin Lane (Turtle Creek Dr to Sample Rd)</v>
      </c>
      <c r="J1092" s="11" t="s">
        <v>29</v>
      </c>
      <c r="K1092" s="13" t="str">
        <f>VLOOKUP(J1092,'Data-ProjectTypes'!A$3:B$13,2,FALSE)</f>
        <v>Program</v>
      </c>
      <c r="L1092" s="11" t="s">
        <v>426</v>
      </c>
      <c r="M1092" s="11" t="s">
        <v>1803</v>
      </c>
      <c r="N1092" s="11" t="s">
        <v>1864</v>
      </c>
      <c r="O1092" s="11"/>
      <c r="P1092" s="11"/>
      <c r="Q1092" s="15">
        <v>0.32</v>
      </c>
      <c r="R1092" s="16">
        <v>81492.997710354917</v>
      </c>
      <c r="S1092" s="11"/>
      <c r="T1092" s="11"/>
      <c r="U1092" s="11"/>
      <c r="V1092" s="85" t="s">
        <v>437</v>
      </c>
      <c r="W1092" s="11"/>
      <c r="X1092" s="11" t="s">
        <v>467</v>
      </c>
      <c r="Z1092" s="18">
        <f>ROUND(R1092*'Data-CostAssumptions'!$C$4,-3)</f>
        <v>81000</v>
      </c>
      <c r="AA1092" s="11">
        <f t="shared" si="35"/>
        <v>1</v>
      </c>
      <c r="AB1092" s="11">
        <v>2041</v>
      </c>
      <c r="AC1092" s="11">
        <v>2041</v>
      </c>
      <c r="AD1092" s="11">
        <v>2041</v>
      </c>
      <c r="AE1092" s="11">
        <v>2041</v>
      </c>
      <c r="AF1092" s="11">
        <v>0</v>
      </c>
      <c r="AG1092" s="19">
        <f>ROUND((Z1092*'Data-CostAssumptions'!$G$5)*(1+'Data-CostAssumptions'!$G$3)^(AC1092-'Data-CostAssumptions'!$G$4),-3)</f>
        <v>46000</v>
      </c>
      <c r="AH1092" s="19">
        <f>ROUND((Z1092)*(1+'Data-CostAssumptions'!$G$3)^(AE1092-'Data-CostAssumptions'!$G$4),-3)</f>
        <v>208000</v>
      </c>
    </row>
    <row r="1093" spans="1:34" ht="15" customHeight="1" x14ac:dyDescent="0.2">
      <c r="A1093" s="11"/>
      <c r="B1093" s="11" t="s">
        <v>1211</v>
      </c>
      <c r="C1093" s="11">
        <v>12009</v>
      </c>
      <c r="D1093" s="84" t="s">
        <v>292</v>
      </c>
      <c r="E1093" s="14"/>
      <c r="F1093" s="14"/>
      <c r="G1093" s="20">
        <v>1092</v>
      </c>
      <c r="H1093" s="13" t="s">
        <v>1803</v>
      </c>
      <c r="I1093" s="13" t="str">
        <f t="shared" si="34"/>
        <v>Turtle Creek Dr (SR7 to Sample Rd)</v>
      </c>
      <c r="J1093" s="11" t="s">
        <v>29</v>
      </c>
      <c r="K1093" s="13" t="str">
        <f>VLOOKUP(J1093,'Data-ProjectTypes'!A$3:B$13,2,FALSE)</f>
        <v>Program</v>
      </c>
      <c r="L1093" s="11" t="s">
        <v>426</v>
      </c>
      <c r="M1093" s="11" t="s">
        <v>436</v>
      </c>
      <c r="N1093" s="11" t="s">
        <v>1864</v>
      </c>
      <c r="O1093" s="11"/>
      <c r="P1093" s="11"/>
      <c r="Q1093" s="15">
        <v>0.56999999999999995</v>
      </c>
      <c r="R1093" s="16">
        <v>145159.40217156967</v>
      </c>
      <c r="S1093" s="11"/>
      <c r="T1093" s="11"/>
      <c r="U1093" s="11"/>
      <c r="V1093" s="85" t="s">
        <v>444</v>
      </c>
      <c r="W1093" s="11"/>
      <c r="X1093" s="11" t="s">
        <v>467</v>
      </c>
      <c r="Z1093" s="18">
        <f>ROUND(R1093*'Data-CostAssumptions'!$C$4,-3)</f>
        <v>145000</v>
      </c>
      <c r="AA1093" s="11">
        <f t="shared" si="35"/>
        <v>1</v>
      </c>
      <c r="AB1093" s="11">
        <v>2041</v>
      </c>
      <c r="AC1093" s="11">
        <v>2041</v>
      </c>
      <c r="AD1093" s="11">
        <v>2041</v>
      </c>
      <c r="AE1093" s="11">
        <v>2041</v>
      </c>
      <c r="AF1093" s="11">
        <v>0</v>
      </c>
      <c r="AG1093" s="19">
        <f>ROUND((Z1093*'Data-CostAssumptions'!$G$5)*(1+'Data-CostAssumptions'!$G$3)^(AC1093-'Data-CostAssumptions'!$G$4),-3)</f>
        <v>82000</v>
      </c>
      <c r="AH1093" s="19">
        <f>ROUND((Z1093)*(1+'Data-CostAssumptions'!$G$3)^(AE1093-'Data-CostAssumptions'!$G$4),-3)</f>
        <v>372000</v>
      </c>
    </row>
    <row r="1094" spans="1:34" ht="15" customHeight="1" x14ac:dyDescent="0.2">
      <c r="A1094" s="11"/>
      <c r="B1094" s="11" t="s">
        <v>1211</v>
      </c>
      <c r="C1094" s="11">
        <v>12010</v>
      </c>
      <c r="D1094" s="84" t="s">
        <v>292</v>
      </c>
      <c r="E1094" s="14"/>
      <c r="F1094" s="14"/>
      <c r="G1094" s="20">
        <v>1093</v>
      </c>
      <c r="H1094" s="13" t="s">
        <v>1831</v>
      </c>
      <c r="I1094" s="13" t="str">
        <f t="shared" si="34"/>
        <v>Turtle Run Bl (Sample Rd to SR 7)</v>
      </c>
      <c r="J1094" s="11" t="s">
        <v>29</v>
      </c>
      <c r="K1094" s="13" t="str">
        <f>VLOOKUP(J1094,'Data-ProjectTypes'!A$3:B$13,2,FALSE)</f>
        <v>Program</v>
      </c>
      <c r="L1094" s="11" t="s">
        <v>426</v>
      </c>
      <c r="M1094" s="11" t="s">
        <v>1864</v>
      </c>
      <c r="N1094" s="11" t="s">
        <v>53</v>
      </c>
      <c r="O1094" s="11"/>
      <c r="P1094" s="11"/>
      <c r="Q1094" s="15">
        <v>0.67</v>
      </c>
      <c r="R1094" s="16">
        <v>170625.96395605558</v>
      </c>
      <c r="S1094" s="11"/>
      <c r="T1094" s="11"/>
      <c r="U1094" s="11"/>
      <c r="V1094" s="85" t="s">
        <v>445</v>
      </c>
      <c r="W1094" s="11"/>
      <c r="X1094" s="11" t="s">
        <v>465</v>
      </c>
      <c r="Z1094" s="18">
        <f>ROUND(R1094*'Data-CostAssumptions'!$C$4,-3)</f>
        <v>171000</v>
      </c>
      <c r="AA1094" s="11">
        <f t="shared" si="35"/>
        <v>1</v>
      </c>
      <c r="AB1094" s="11">
        <v>2041</v>
      </c>
      <c r="AC1094" s="11">
        <v>2041</v>
      </c>
      <c r="AD1094" s="11">
        <v>2041</v>
      </c>
      <c r="AE1094" s="11">
        <v>2041</v>
      </c>
      <c r="AF1094" s="11">
        <v>0</v>
      </c>
      <c r="AG1094" s="19">
        <f>ROUND((Z1094*'Data-CostAssumptions'!$G$5)*(1+'Data-CostAssumptions'!$G$3)^(AC1094-'Data-CostAssumptions'!$G$4),-3)</f>
        <v>96000</v>
      </c>
      <c r="AH1094" s="19">
        <f>ROUND((Z1094)*(1+'Data-CostAssumptions'!$G$3)^(AE1094-'Data-CostAssumptions'!$G$4),-3)</f>
        <v>438000</v>
      </c>
    </row>
    <row r="1095" spans="1:34" ht="15" customHeight="1" x14ac:dyDescent="0.2">
      <c r="A1095" s="11"/>
      <c r="B1095" s="11" t="s">
        <v>1211</v>
      </c>
      <c r="C1095" s="11">
        <v>12011</v>
      </c>
      <c r="D1095" s="84" t="s">
        <v>292</v>
      </c>
      <c r="E1095" s="14"/>
      <c r="F1095" s="14"/>
      <c r="G1095" s="20">
        <v>1094</v>
      </c>
      <c r="H1095" s="13" t="s">
        <v>1806</v>
      </c>
      <c r="I1095" s="13" t="str">
        <f t="shared" si="34"/>
        <v>Westview Dr (Riverside Dr to Coral Ridge Dr)</v>
      </c>
      <c r="J1095" s="11" t="s">
        <v>29</v>
      </c>
      <c r="K1095" s="13" t="str">
        <f>VLOOKUP(J1095,'Data-ProjectTypes'!A$3:B$13,2,FALSE)</f>
        <v>Program</v>
      </c>
      <c r="L1095" s="11" t="s">
        <v>426</v>
      </c>
      <c r="M1095" s="11" t="s">
        <v>1799</v>
      </c>
      <c r="N1095" s="11" t="s">
        <v>1786</v>
      </c>
      <c r="O1095" s="11"/>
      <c r="P1095" s="11"/>
      <c r="Q1095" s="15">
        <v>2.7</v>
      </c>
      <c r="R1095" s="16">
        <v>687597.1681811196</v>
      </c>
      <c r="S1095" s="11"/>
      <c r="T1095" s="11"/>
      <c r="U1095" s="11"/>
      <c r="V1095" s="85" t="s">
        <v>446</v>
      </c>
      <c r="W1095" s="11"/>
      <c r="X1095" s="11" t="s">
        <v>467</v>
      </c>
      <c r="Z1095" s="18">
        <f>ROUND(R1095*'Data-CostAssumptions'!$C$4,-3)</f>
        <v>688000</v>
      </c>
      <c r="AA1095" s="11">
        <f t="shared" si="35"/>
        <v>1</v>
      </c>
      <c r="AB1095" s="11">
        <v>2041</v>
      </c>
      <c r="AC1095" s="11">
        <v>2041</v>
      </c>
      <c r="AD1095" s="11">
        <v>2041</v>
      </c>
      <c r="AE1095" s="11">
        <v>2041</v>
      </c>
      <c r="AF1095" s="11">
        <v>0</v>
      </c>
      <c r="AG1095" s="19">
        <f>ROUND((Z1095*'Data-CostAssumptions'!$G$5)*(1+'Data-CostAssumptions'!$G$3)^(AC1095-'Data-CostAssumptions'!$G$4),-3)</f>
        <v>388000</v>
      </c>
      <c r="AH1095" s="19">
        <f>ROUND((Z1095)*(1+'Data-CostAssumptions'!$G$3)^(AE1095-'Data-CostAssumptions'!$G$4),-3)</f>
        <v>1764000</v>
      </c>
    </row>
    <row r="1096" spans="1:34" ht="15" customHeight="1" x14ac:dyDescent="0.2">
      <c r="A1096" s="11"/>
      <c r="B1096" s="11" t="s">
        <v>1211</v>
      </c>
      <c r="C1096" s="11">
        <v>12012</v>
      </c>
      <c r="D1096" s="84" t="s">
        <v>292</v>
      </c>
      <c r="E1096" s="14"/>
      <c r="F1096" s="14"/>
      <c r="G1096" s="20">
        <v>1095</v>
      </c>
      <c r="H1096" s="13" t="s">
        <v>1783</v>
      </c>
      <c r="I1096" s="13" t="str">
        <f t="shared" si="34"/>
        <v>Broken Woods Dr (Sample Rd to University Dr )</v>
      </c>
      <c r="J1096" s="11" t="s">
        <v>27</v>
      </c>
      <c r="K1096" s="13" t="str">
        <f>VLOOKUP(J1096,'Data-ProjectTypes'!A$3:B$13,2,FALSE)</f>
        <v>Program</v>
      </c>
      <c r="L1096" s="11" t="s">
        <v>427</v>
      </c>
      <c r="M1096" s="11" t="s">
        <v>1864</v>
      </c>
      <c r="N1096" s="11" t="s">
        <v>2648</v>
      </c>
      <c r="O1096" s="11"/>
      <c r="P1096" s="11"/>
      <c r="Q1096" s="15">
        <v>0.21</v>
      </c>
      <c r="R1096" s="16">
        <v>81741.208032051276</v>
      </c>
      <c r="S1096" s="11"/>
      <c r="T1096" s="11"/>
      <c r="U1096" s="11"/>
      <c r="V1096" s="85" t="s">
        <v>447</v>
      </c>
      <c r="W1096" s="11"/>
      <c r="X1096" s="11" t="s">
        <v>464</v>
      </c>
      <c r="Z1096" s="18">
        <f>ROUND(R1096*'Data-CostAssumptions'!$C$4,-3)</f>
        <v>82000</v>
      </c>
      <c r="AA1096" s="11">
        <f t="shared" si="35"/>
        <v>1</v>
      </c>
      <c r="AB1096" s="11">
        <v>2041</v>
      </c>
      <c r="AC1096" s="11">
        <v>2041</v>
      </c>
      <c r="AD1096" s="11">
        <v>2041</v>
      </c>
      <c r="AE1096" s="11">
        <v>2041</v>
      </c>
      <c r="AF1096" s="11">
        <v>0</v>
      </c>
      <c r="AG1096" s="19">
        <f>ROUND((Z1096*'Data-CostAssumptions'!$G$5)*(1+'Data-CostAssumptions'!$G$3)^(AC1096-'Data-CostAssumptions'!$G$4),-3)</f>
        <v>46000</v>
      </c>
      <c r="AH1096" s="19">
        <f>ROUND((Z1096)*(1+'Data-CostAssumptions'!$G$3)^(AE1096-'Data-CostAssumptions'!$G$4),-3)</f>
        <v>210000</v>
      </c>
    </row>
    <row r="1097" spans="1:34" ht="15" customHeight="1" x14ac:dyDescent="0.2">
      <c r="A1097" s="11"/>
      <c r="B1097" s="11" t="s">
        <v>1211</v>
      </c>
      <c r="C1097" s="11">
        <v>12013</v>
      </c>
      <c r="D1097" s="84" t="s">
        <v>292</v>
      </c>
      <c r="E1097" s="14"/>
      <c r="F1097" s="14"/>
      <c r="G1097" s="20">
        <v>1096</v>
      </c>
      <c r="H1097" s="13" t="s">
        <v>423</v>
      </c>
      <c r="I1097" s="13" t="str">
        <f t="shared" si="34"/>
        <v>NW 114 Lane (NW 36 St to Sample Rd)</v>
      </c>
      <c r="J1097" s="11" t="s">
        <v>27</v>
      </c>
      <c r="K1097" s="13" t="str">
        <f>VLOOKUP(J1097,'Data-ProjectTypes'!A$3:B$13,2,FALSE)</f>
        <v>Program</v>
      </c>
      <c r="L1097" s="11" t="s">
        <v>428</v>
      </c>
      <c r="M1097" s="11" t="s">
        <v>2535</v>
      </c>
      <c r="N1097" s="11" t="s">
        <v>1864</v>
      </c>
      <c r="O1097" s="11"/>
      <c r="P1097" s="11"/>
      <c r="Q1097" s="15">
        <v>0.2</v>
      </c>
      <c r="R1097" s="16">
        <v>77848.769554334562</v>
      </c>
      <c r="S1097" s="11"/>
      <c r="T1097" s="11"/>
      <c r="U1097" s="11"/>
      <c r="V1097" s="85" t="s">
        <v>448</v>
      </c>
      <c r="W1097" s="11"/>
      <c r="X1097" s="11" t="s">
        <v>464</v>
      </c>
      <c r="Z1097" s="18">
        <f>ROUND(R1097*'Data-CostAssumptions'!$C$4,-3)</f>
        <v>78000</v>
      </c>
      <c r="AA1097" s="11">
        <f t="shared" si="35"/>
        <v>1</v>
      </c>
      <c r="AB1097" s="11">
        <v>2041</v>
      </c>
      <c r="AC1097" s="11">
        <v>2041</v>
      </c>
      <c r="AD1097" s="11">
        <v>2041</v>
      </c>
      <c r="AE1097" s="11">
        <v>2041</v>
      </c>
      <c r="AF1097" s="11">
        <v>0</v>
      </c>
      <c r="AG1097" s="19">
        <f>ROUND((Z1097*'Data-CostAssumptions'!$G$5)*(1+'Data-CostAssumptions'!$G$3)^(AC1097-'Data-CostAssumptions'!$G$4),-3)</f>
        <v>44000</v>
      </c>
      <c r="AH1097" s="19">
        <f>ROUND((Z1097)*(1+'Data-CostAssumptions'!$G$3)^(AE1097-'Data-CostAssumptions'!$G$4),-3)</f>
        <v>200000</v>
      </c>
    </row>
    <row r="1098" spans="1:34" ht="15" customHeight="1" x14ac:dyDescent="0.2">
      <c r="A1098" s="11"/>
      <c r="B1098" s="11" t="s">
        <v>1211</v>
      </c>
      <c r="C1098" s="11">
        <v>12014</v>
      </c>
      <c r="D1098" s="84" t="s">
        <v>292</v>
      </c>
      <c r="E1098" s="14"/>
      <c r="F1098" s="14"/>
      <c r="G1098" s="20">
        <v>1097</v>
      </c>
      <c r="H1098" s="13" t="s">
        <v>2049</v>
      </c>
      <c r="I1098" s="13" t="str">
        <f t="shared" si="34"/>
        <v>NW 120 Av (Wiles Rd to Sample Rd )</v>
      </c>
      <c r="J1098" s="11" t="s">
        <v>27</v>
      </c>
      <c r="K1098" s="13" t="str">
        <f>VLOOKUP(J1098,'Data-ProjectTypes'!A$3:B$13,2,FALSE)</f>
        <v>Program</v>
      </c>
      <c r="L1098" s="11" t="s">
        <v>428</v>
      </c>
      <c r="M1098" s="11" t="s">
        <v>1780</v>
      </c>
      <c r="N1098" s="11" t="s">
        <v>2433</v>
      </c>
      <c r="O1098" s="11"/>
      <c r="P1098" s="11"/>
      <c r="Q1098" s="15">
        <v>0.85</v>
      </c>
      <c r="R1098" s="16">
        <v>330857.27060592186</v>
      </c>
      <c r="S1098" s="11"/>
      <c r="T1098" s="11"/>
      <c r="U1098" s="11"/>
      <c r="V1098" s="85" t="s">
        <v>449</v>
      </c>
      <c r="W1098" s="11"/>
      <c r="X1098" s="11" t="s">
        <v>467</v>
      </c>
      <c r="Z1098" s="18">
        <f>ROUND(R1098*'Data-CostAssumptions'!$C$4,-3)</f>
        <v>331000</v>
      </c>
      <c r="AA1098" s="11">
        <f t="shared" si="35"/>
        <v>1</v>
      </c>
      <c r="AB1098" s="11">
        <v>2041</v>
      </c>
      <c r="AC1098" s="11">
        <v>2041</v>
      </c>
      <c r="AD1098" s="11">
        <v>2041</v>
      </c>
      <c r="AE1098" s="11">
        <v>2041</v>
      </c>
      <c r="AF1098" s="11">
        <v>0</v>
      </c>
      <c r="AG1098" s="19">
        <f>ROUND((Z1098*'Data-CostAssumptions'!$G$5)*(1+'Data-CostAssumptions'!$G$3)^(AC1098-'Data-CostAssumptions'!$G$4),-3)</f>
        <v>187000</v>
      </c>
      <c r="AH1098" s="19">
        <f>ROUND((Z1098)*(1+'Data-CostAssumptions'!$G$3)^(AE1098-'Data-CostAssumptions'!$G$4),-3)</f>
        <v>849000</v>
      </c>
    </row>
    <row r="1099" spans="1:34" ht="15" customHeight="1" x14ac:dyDescent="0.2">
      <c r="A1099" s="11"/>
      <c r="B1099" s="11" t="s">
        <v>1211</v>
      </c>
      <c r="C1099" s="11">
        <v>12015</v>
      </c>
      <c r="D1099" s="84" t="s">
        <v>292</v>
      </c>
      <c r="E1099" s="14"/>
      <c r="F1099" s="14"/>
      <c r="G1099" s="20">
        <v>1098</v>
      </c>
      <c r="H1099" s="13" t="s">
        <v>2050</v>
      </c>
      <c r="I1099" s="13" t="str">
        <f t="shared" si="34"/>
        <v>NW 124 Av (NW 39 St to Sample Rd)</v>
      </c>
      <c r="J1099" s="11" t="s">
        <v>27</v>
      </c>
      <c r="K1099" s="13" t="str">
        <f>VLOOKUP(J1099,'Data-ProjectTypes'!A$3:B$13,2,FALSE)</f>
        <v>Program</v>
      </c>
      <c r="L1099" s="11" t="s">
        <v>428</v>
      </c>
      <c r="M1099" s="11" t="s">
        <v>1918</v>
      </c>
      <c r="N1099" s="11" t="s">
        <v>1864</v>
      </c>
      <c r="O1099" s="11"/>
      <c r="P1099" s="11"/>
      <c r="Q1099" s="15">
        <v>0.3</v>
      </c>
      <c r="R1099" s="16">
        <v>116773.15433150184</v>
      </c>
      <c r="S1099" s="11"/>
      <c r="T1099" s="11"/>
      <c r="U1099" s="11"/>
      <c r="V1099" s="85" t="s">
        <v>450</v>
      </c>
      <c r="W1099" s="11"/>
      <c r="X1099" s="11" t="s">
        <v>464</v>
      </c>
      <c r="Z1099" s="18">
        <f>ROUND(R1099*'Data-CostAssumptions'!$C$4,-3)</f>
        <v>117000</v>
      </c>
      <c r="AA1099" s="11">
        <f t="shared" si="35"/>
        <v>1</v>
      </c>
      <c r="AB1099" s="11">
        <v>2041</v>
      </c>
      <c r="AC1099" s="11">
        <v>2041</v>
      </c>
      <c r="AD1099" s="11">
        <v>2041</v>
      </c>
      <c r="AE1099" s="11">
        <v>2041</v>
      </c>
      <c r="AF1099" s="11">
        <v>0</v>
      </c>
      <c r="AG1099" s="19">
        <f>ROUND((Z1099*'Data-CostAssumptions'!$G$5)*(1+'Data-CostAssumptions'!$G$3)^(AC1099-'Data-CostAssumptions'!$G$4),-3)</f>
        <v>66000</v>
      </c>
      <c r="AH1099" s="19">
        <f>ROUND((Z1099)*(1+'Data-CostAssumptions'!$G$3)^(AE1099-'Data-CostAssumptions'!$G$4),-3)</f>
        <v>300000</v>
      </c>
    </row>
    <row r="1100" spans="1:34" ht="15" customHeight="1" x14ac:dyDescent="0.2">
      <c r="A1100" s="11"/>
      <c r="B1100" s="11" t="s">
        <v>1211</v>
      </c>
      <c r="C1100" s="11">
        <v>12016</v>
      </c>
      <c r="D1100" s="84" t="s">
        <v>292</v>
      </c>
      <c r="E1100" s="14"/>
      <c r="F1100" s="14"/>
      <c r="G1100" s="20">
        <v>1099</v>
      </c>
      <c r="H1100" s="13" t="s">
        <v>1913</v>
      </c>
      <c r="I1100" s="13" t="str">
        <f t="shared" si="34"/>
        <v>NW 33 St (Coral Hills Dr to NW 101 Av)</v>
      </c>
      <c r="J1100" s="11" t="s">
        <v>27</v>
      </c>
      <c r="K1100" s="13" t="str">
        <f>VLOOKUP(J1100,'Data-ProjectTypes'!A$3:B$13,2,FALSE)</f>
        <v>Program</v>
      </c>
      <c r="L1100" s="11" t="s">
        <v>428</v>
      </c>
      <c r="M1100" s="11" t="s">
        <v>1785</v>
      </c>
      <c r="N1100" s="11" t="s">
        <v>2241</v>
      </c>
      <c r="O1100" s="11"/>
      <c r="P1100" s="11"/>
      <c r="Q1100" s="15">
        <v>0.28000000000000003</v>
      </c>
      <c r="R1100" s="16">
        <v>108988.27737606839</v>
      </c>
      <c r="S1100" s="11"/>
      <c r="T1100" s="11"/>
      <c r="U1100" s="11"/>
      <c r="V1100" s="85" t="s">
        <v>451</v>
      </c>
      <c r="W1100" s="11"/>
      <c r="X1100" s="38" t="s">
        <v>466</v>
      </c>
      <c r="Z1100" s="18">
        <f>ROUND(R1100*'Data-CostAssumptions'!$C$4,-3)</f>
        <v>109000</v>
      </c>
      <c r="AA1100" s="11">
        <f t="shared" si="35"/>
        <v>1</v>
      </c>
      <c r="AB1100" s="11">
        <v>2041</v>
      </c>
      <c r="AC1100" s="11">
        <v>2041</v>
      </c>
      <c r="AD1100" s="11">
        <v>2041</v>
      </c>
      <c r="AE1100" s="11">
        <v>2041</v>
      </c>
      <c r="AF1100" s="11">
        <v>0</v>
      </c>
      <c r="AG1100" s="19">
        <f>ROUND((Z1100*'Data-CostAssumptions'!$G$5)*(1+'Data-CostAssumptions'!$G$3)^(AC1100-'Data-CostAssumptions'!$G$4),-3)</f>
        <v>61000</v>
      </c>
      <c r="AH1100" s="19">
        <f>ROUND((Z1100)*(1+'Data-CostAssumptions'!$G$3)^(AE1100-'Data-CostAssumptions'!$G$4),-3)</f>
        <v>279000</v>
      </c>
    </row>
    <row r="1101" spans="1:34" ht="15" customHeight="1" x14ac:dyDescent="0.2">
      <c r="A1101" s="11"/>
      <c r="B1101" s="11" t="s">
        <v>1211</v>
      </c>
      <c r="C1101" s="11">
        <v>12017</v>
      </c>
      <c r="D1101" s="84" t="s">
        <v>292</v>
      </c>
      <c r="E1101" s="14"/>
      <c r="F1101" s="14"/>
      <c r="G1101" s="20">
        <v>1100</v>
      </c>
      <c r="H1101" s="13" t="s">
        <v>1915</v>
      </c>
      <c r="I1101" s="13" t="str">
        <f t="shared" si="34"/>
        <v>NW 35 St (Coral Hills Dr to NW 101 Av)</v>
      </c>
      <c r="J1101" s="11" t="s">
        <v>27</v>
      </c>
      <c r="K1101" s="13" t="str">
        <f>VLOOKUP(J1101,'Data-ProjectTypes'!A$3:B$13,2,FALSE)</f>
        <v>Program</v>
      </c>
      <c r="L1101" s="11" t="s">
        <v>428</v>
      </c>
      <c r="M1101" s="11" t="s">
        <v>1785</v>
      </c>
      <c r="N1101" s="11" t="s">
        <v>2241</v>
      </c>
      <c r="O1101" s="11"/>
      <c r="P1101" s="11"/>
      <c r="Q1101" s="15">
        <v>0.28000000000000003</v>
      </c>
      <c r="R1101" s="16">
        <v>108988.27737606839</v>
      </c>
      <c r="S1101" s="11"/>
      <c r="T1101" s="11"/>
      <c r="U1101" s="11"/>
      <c r="V1101" s="85" t="s">
        <v>452</v>
      </c>
      <c r="W1101" s="11"/>
      <c r="X1101" s="11" t="s">
        <v>464</v>
      </c>
      <c r="Z1101" s="18">
        <f>ROUND(R1101*'Data-CostAssumptions'!$C$4,-3)</f>
        <v>109000</v>
      </c>
      <c r="AA1101" s="11">
        <f t="shared" si="35"/>
        <v>1</v>
      </c>
      <c r="AB1101" s="11">
        <v>2041</v>
      </c>
      <c r="AC1101" s="11">
        <v>2041</v>
      </c>
      <c r="AD1101" s="11">
        <v>2041</v>
      </c>
      <c r="AE1101" s="11">
        <v>2041</v>
      </c>
      <c r="AF1101" s="11">
        <v>0</v>
      </c>
      <c r="AG1101" s="19">
        <f>ROUND((Z1101*'Data-CostAssumptions'!$G$5)*(1+'Data-CostAssumptions'!$G$3)^(AC1101-'Data-CostAssumptions'!$G$4),-3)</f>
        <v>61000</v>
      </c>
      <c r="AH1101" s="19">
        <f>ROUND((Z1101)*(1+'Data-CostAssumptions'!$G$3)^(AE1101-'Data-CostAssumptions'!$G$4),-3)</f>
        <v>279000</v>
      </c>
    </row>
    <row r="1102" spans="1:34" ht="15" customHeight="1" x14ac:dyDescent="0.2">
      <c r="A1102" s="11"/>
      <c r="B1102" s="11" t="s">
        <v>1211</v>
      </c>
      <c r="C1102" s="11">
        <v>12018</v>
      </c>
      <c r="D1102" s="84" t="s">
        <v>292</v>
      </c>
      <c r="E1102" s="14"/>
      <c r="F1102" s="14"/>
      <c r="G1102" s="20">
        <v>1101</v>
      </c>
      <c r="H1102" s="13" t="s">
        <v>1920</v>
      </c>
      <c r="I1102" s="13" t="str">
        <f t="shared" si="34"/>
        <v>NW 40 St (NW 76 Av to Woodside Dr )</v>
      </c>
      <c r="J1102" s="11" t="s">
        <v>27</v>
      </c>
      <c r="K1102" s="13" t="str">
        <f>VLOOKUP(J1102,'Data-ProjectTypes'!A$3:B$13,2,FALSE)</f>
        <v>Program</v>
      </c>
      <c r="L1102" s="11" t="s">
        <v>429</v>
      </c>
      <c r="M1102" s="11" t="s">
        <v>2367</v>
      </c>
      <c r="N1102" s="11" t="s">
        <v>2664</v>
      </c>
      <c r="O1102" s="11"/>
      <c r="P1102" s="11"/>
      <c r="Q1102" s="15">
        <v>0.28000000000000003</v>
      </c>
      <c r="R1102" s="16">
        <v>108988.27737606839</v>
      </c>
      <c r="S1102" s="11"/>
      <c r="T1102" s="11"/>
      <c r="U1102" s="11"/>
      <c r="V1102" s="85" t="s">
        <v>453</v>
      </c>
      <c r="W1102" s="11"/>
      <c r="X1102" s="11" t="s">
        <v>464</v>
      </c>
      <c r="Z1102" s="18">
        <f>ROUND(R1102*'Data-CostAssumptions'!$C$4,-3)</f>
        <v>109000</v>
      </c>
      <c r="AA1102" s="11">
        <f t="shared" si="35"/>
        <v>1</v>
      </c>
      <c r="AB1102" s="11">
        <v>2041</v>
      </c>
      <c r="AC1102" s="11">
        <v>2041</v>
      </c>
      <c r="AD1102" s="11">
        <v>2041</v>
      </c>
      <c r="AE1102" s="11">
        <v>2041</v>
      </c>
      <c r="AF1102" s="11">
        <v>0</v>
      </c>
      <c r="AG1102" s="19">
        <f>ROUND((Z1102*'Data-CostAssumptions'!$G$5)*(1+'Data-CostAssumptions'!$G$3)^(AC1102-'Data-CostAssumptions'!$G$4),-3)</f>
        <v>61000</v>
      </c>
      <c r="AH1102" s="19">
        <f>ROUND((Z1102)*(1+'Data-CostAssumptions'!$G$3)^(AE1102-'Data-CostAssumptions'!$G$4),-3)</f>
        <v>279000</v>
      </c>
    </row>
    <row r="1103" spans="1:34" ht="15" customHeight="1" x14ac:dyDescent="0.2">
      <c r="A1103" s="11"/>
      <c r="B1103" s="11" t="s">
        <v>1211</v>
      </c>
      <c r="C1103" s="11">
        <v>12019</v>
      </c>
      <c r="D1103" s="84" t="s">
        <v>292</v>
      </c>
      <c r="E1103" s="14"/>
      <c r="F1103" s="14"/>
      <c r="G1103" s="20">
        <v>1102</v>
      </c>
      <c r="H1103" s="13" t="s">
        <v>1922</v>
      </c>
      <c r="I1103" s="13" t="str">
        <f t="shared" si="34"/>
        <v>NW 41 St (Coral Ridge Dr to NW 120 Av)</v>
      </c>
      <c r="J1103" s="11" t="s">
        <v>27</v>
      </c>
      <c r="K1103" s="13" t="str">
        <f>VLOOKUP(J1103,'Data-ProjectTypes'!A$3:B$13,2,FALSE)</f>
        <v>Program</v>
      </c>
      <c r="L1103" s="11" t="s">
        <v>428</v>
      </c>
      <c r="M1103" s="11" t="s">
        <v>1786</v>
      </c>
      <c r="N1103" s="11" t="s">
        <v>2049</v>
      </c>
      <c r="O1103" s="11"/>
      <c r="P1103" s="11"/>
      <c r="Q1103" s="15">
        <v>0.27</v>
      </c>
      <c r="R1103" s="16">
        <v>105095.83889835165</v>
      </c>
      <c r="S1103" s="11"/>
      <c r="T1103" s="11"/>
      <c r="U1103" s="11"/>
      <c r="V1103" s="85" t="s">
        <v>454</v>
      </c>
      <c r="W1103" s="11"/>
      <c r="X1103" s="11" t="s">
        <v>464</v>
      </c>
      <c r="Z1103" s="18">
        <f>ROUND(R1103*'Data-CostAssumptions'!$C$4,-3)</f>
        <v>105000</v>
      </c>
      <c r="AA1103" s="11">
        <f t="shared" si="35"/>
        <v>1</v>
      </c>
      <c r="AB1103" s="11">
        <v>2041</v>
      </c>
      <c r="AC1103" s="11">
        <v>2041</v>
      </c>
      <c r="AD1103" s="11">
        <v>2041</v>
      </c>
      <c r="AE1103" s="11">
        <v>2041</v>
      </c>
      <c r="AF1103" s="11">
        <v>0</v>
      </c>
      <c r="AG1103" s="19">
        <f>ROUND((Z1103*'Data-CostAssumptions'!$G$5)*(1+'Data-CostAssumptions'!$G$3)^(AC1103-'Data-CostAssumptions'!$G$4),-3)</f>
        <v>59000</v>
      </c>
      <c r="AH1103" s="19">
        <f>ROUND((Z1103)*(1+'Data-CostAssumptions'!$G$3)^(AE1103-'Data-CostAssumptions'!$G$4),-3)</f>
        <v>269000</v>
      </c>
    </row>
    <row r="1104" spans="1:34" ht="15" customHeight="1" x14ac:dyDescent="0.2">
      <c r="A1104" s="11"/>
      <c r="B1104" s="11" t="s">
        <v>1211</v>
      </c>
      <c r="C1104" s="11">
        <v>12020</v>
      </c>
      <c r="D1104" s="84" t="s">
        <v>292</v>
      </c>
      <c r="E1104" s="14"/>
      <c r="F1104" s="14"/>
      <c r="G1104" s="20">
        <v>1103</v>
      </c>
      <c r="H1104" s="13" t="s">
        <v>1785</v>
      </c>
      <c r="I1104" s="13" t="str">
        <f t="shared" si="34"/>
        <v>Coral Hills Dr (NW 29 St to Sample Rd)</v>
      </c>
      <c r="J1104" s="11" t="s">
        <v>300</v>
      </c>
      <c r="K1104" s="13" t="str">
        <f>VLOOKUP(J1104,'Data-ProjectTypes'!A$3:B$13,2,FALSE)</f>
        <v>Project</v>
      </c>
      <c r="L1104" s="11" t="s">
        <v>430</v>
      </c>
      <c r="M1104" s="11" t="s">
        <v>2486</v>
      </c>
      <c r="N1104" s="11" t="s">
        <v>1864</v>
      </c>
      <c r="O1104" s="11"/>
      <c r="P1104" s="11"/>
      <c r="Q1104" s="15">
        <v>0.4</v>
      </c>
      <c r="R1104" s="16">
        <v>814000</v>
      </c>
      <c r="S1104" s="11"/>
      <c r="T1104" s="11"/>
      <c r="U1104" s="11"/>
      <c r="V1104" s="85" t="s">
        <v>455</v>
      </c>
      <c r="W1104" s="11"/>
      <c r="X1104" s="11" t="s">
        <v>464</v>
      </c>
      <c r="Z1104" s="18">
        <f>ROUND(R1104*'Data-CostAssumptions'!$C$4,-3)</f>
        <v>814000</v>
      </c>
      <c r="AA1104" s="11">
        <f t="shared" si="35"/>
        <v>1</v>
      </c>
      <c r="AB1104" s="11">
        <v>2041</v>
      </c>
      <c r="AC1104" s="11">
        <v>2041</v>
      </c>
      <c r="AD1104" s="11">
        <v>2041</v>
      </c>
      <c r="AE1104" s="11">
        <v>2041</v>
      </c>
      <c r="AF1104" s="11">
        <v>0</v>
      </c>
      <c r="AG1104" s="19">
        <f>ROUND((Z1104*'Data-CostAssumptions'!$G$5)*(1+'Data-CostAssumptions'!$G$3)^(AC1104-'Data-CostAssumptions'!$G$4),-3)</f>
        <v>459000</v>
      </c>
      <c r="AH1104" s="19">
        <f>ROUND((Z1104)*(1+'Data-CostAssumptions'!$G$3)^(AE1104-'Data-CostAssumptions'!$G$4),-3)</f>
        <v>2087000</v>
      </c>
    </row>
    <row r="1105" spans="1:34" ht="15" customHeight="1" x14ac:dyDescent="0.2">
      <c r="A1105" s="11"/>
      <c r="B1105" s="11" t="s">
        <v>1211</v>
      </c>
      <c r="C1105" s="11">
        <v>12021</v>
      </c>
      <c r="D1105" s="84" t="s">
        <v>292</v>
      </c>
      <c r="E1105" s="14"/>
      <c r="F1105" s="14"/>
      <c r="G1105" s="20">
        <v>1104</v>
      </c>
      <c r="H1105" s="13" t="s">
        <v>1913</v>
      </c>
      <c r="I1105" s="13" t="str">
        <f t="shared" si="34"/>
        <v>NW 33 St (Coral Hills Dr to NW 99 Av)</v>
      </c>
      <c r="J1105" s="11" t="s">
        <v>300</v>
      </c>
      <c r="K1105" s="13" t="str">
        <f>VLOOKUP(J1105,'Data-ProjectTypes'!A$3:B$13,2,FALSE)</f>
        <v>Project</v>
      </c>
      <c r="L1105" s="11" t="s">
        <v>431</v>
      </c>
      <c r="M1105" s="11" t="s">
        <v>1785</v>
      </c>
      <c r="N1105" s="11" t="s">
        <v>1984</v>
      </c>
      <c r="O1105" s="11"/>
      <c r="P1105" s="11"/>
      <c r="Q1105" s="15">
        <v>0.3</v>
      </c>
      <c r="R1105" s="16">
        <v>612700</v>
      </c>
      <c r="S1105" s="11"/>
      <c r="T1105" s="11"/>
      <c r="U1105" s="11"/>
      <c r="V1105" s="85" t="s">
        <v>456</v>
      </c>
      <c r="W1105" s="11"/>
      <c r="X1105" s="11" t="s">
        <v>464</v>
      </c>
      <c r="Z1105" s="18">
        <f>ROUND(R1105*'Data-CostAssumptions'!$C$4,-3)</f>
        <v>613000</v>
      </c>
      <c r="AA1105" s="11">
        <f t="shared" si="35"/>
        <v>1</v>
      </c>
      <c r="AB1105" s="11">
        <v>2041</v>
      </c>
      <c r="AC1105" s="11">
        <v>2041</v>
      </c>
      <c r="AD1105" s="11">
        <v>2041</v>
      </c>
      <c r="AE1105" s="11">
        <v>2041</v>
      </c>
      <c r="AF1105" s="11">
        <v>0</v>
      </c>
      <c r="AG1105" s="19">
        <f>ROUND((Z1105*'Data-CostAssumptions'!$G$5)*(1+'Data-CostAssumptions'!$G$3)^(AC1105-'Data-CostAssumptions'!$G$4),-3)</f>
        <v>346000</v>
      </c>
      <c r="AH1105" s="19">
        <f>ROUND((Z1105)*(1+'Data-CostAssumptions'!$G$3)^(AE1105-'Data-CostAssumptions'!$G$4),-3)</f>
        <v>1572000</v>
      </c>
    </row>
    <row r="1106" spans="1:34" ht="15" customHeight="1" x14ac:dyDescent="0.2">
      <c r="A1106" s="11"/>
      <c r="B1106" s="11" t="s">
        <v>1211</v>
      </c>
      <c r="C1106" s="11">
        <v>12022</v>
      </c>
      <c r="D1106" s="84" t="s">
        <v>292</v>
      </c>
      <c r="E1106" s="14"/>
      <c r="F1106" s="14"/>
      <c r="G1106" s="20">
        <v>1105</v>
      </c>
      <c r="H1106" s="13" t="s">
        <v>1780</v>
      </c>
      <c r="I1106" s="13" t="str">
        <f t="shared" si="34"/>
        <v>Wiles Rd (Coral Ridge Dr to Sawgrass Expressway)</v>
      </c>
      <c r="J1106" s="11" t="s">
        <v>300</v>
      </c>
      <c r="K1106" s="13" t="str">
        <f>VLOOKUP(J1106,'Data-ProjectTypes'!A$3:B$13,2,FALSE)</f>
        <v>Project</v>
      </c>
      <c r="L1106" s="11" t="s">
        <v>432</v>
      </c>
      <c r="M1106" s="11" t="s">
        <v>1786</v>
      </c>
      <c r="N1106" s="11" t="s">
        <v>72</v>
      </c>
      <c r="O1106" s="11"/>
      <c r="P1106" s="11"/>
      <c r="Q1106" s="15">
        <v>0.84</v>
      </c>
      <c r="R1106" s="16">
        <v>1709400</v>
      </c>
      <c r="S1106" s="11"/>
      <c r="T1106" s="11"/>
      <c r="U1106" s="11"/>
      <c r="V1106" s="85" t="s">
        <v>457</v>
      </c>
      <c r="W1106" s="11"/>
      <c r="X1106" s="11" t="s">
        <v>464</v>
      </c>
      <c r="Z1106" s="18">
        <f>ROUND(R1106*'Data-CostAssumptions'!$C$4,-3)</f>
        <v>1709000</v>
      </c>
      <c r="AA1106" s="11">
        <f t="shared" si="35"/>
        <v>1</v>
      </c>
      <c r="AB1106" s="11">
        <v>2041</v>
      </c>
      <c r="AC1106" s="11">
        <v>2041</v>
      </c>
      <c r="AD1106" s="11">
        <v>2041</v>
      </c>
      <c r="AE1106" s="11">
        <v>2041</v>
      </c>
      <c r="AF1106" s="11">
        <v>0</v>
      </c>
      <c r="AG1106" s="19">
        <f>ROUND((Z1106*'Data-CostAssumptions'!$G$5)*(1+'Data-CostAssumptions'!$G$3)^(AC1106-'Data-CostAssumptions'!$G$4),-3)</f>
        <v>964000</v>
      </c>
      <c r="AH1106" s="19">
        <f>ROUND((Z1106)*(1+'Data-CostAssumptions'!$G$3)^(AE1106-'Data-CostAssumptions'!$G$4),-3)</f>
        <v>4382000</v>
      </c>
    </row>
    <row r="1107" spans="1:34" ht="15" customHeight="1" x14ac:dyDescent="0.2">
      <c r="A1107" s="11"/>
      <c r="B1107" s="11" t="s">
        <v>1211</v>
      </c>
      <c r="C1107" s="11">
        <v>12023</v>
      </c>
      <c r="D1107" s="84" t="s">
        <v>292</v>
      </c>
      <c r="E1107" s="14"/>
      <c r="F1107" s="14"/>
      <c r="G1107" s="20">
        <v>1106</v>
      </c>
      <c r="H1107" s="13" t="s">
        <v>424</v>
      </c>
      <c r="I1107" s="13" t="str">
        <f t="shared" si="34"/>
        <v>Neighborhood Transit Center (Sample Rd to University Dr )</v>
      </c>
      <c r="J1107" s="11" t="s">
        <v>347</v>
      </c>
      <c r="K1107" s="13" t="str">
        <f>VLOOKUP(J1107,'Data-ProjectTypes'!A$3:B$13,2,FALSE)</f>
        <v>Project</v>
      </c>
      <c r="L1107" s="85" t="s">
        <v>433</v>
      </c>
      <c r="M1107" s="11" t="s">
        <v>1864</v>
      </c>
      <c r="N1107" s="11" t="s">
        <v>2648</v>
      </c>
      <c r="O1107" s="11"/>
      <c r="P1107" s="11"/>
      <c r="Q1107" s="15"/>
      <c r="R1107" s="16">
        <v>1100000</v>
      </c>
      <c r="S1107" s="11"/>
      <c r="T1107" s="11"/>
      <c r="U1107" s="11"/>
      <c r="V1107" s="85" t="s">
        <v>458</v>
      </c>
      <c r="W1107" s="11"/>
      <c r="X1107" s="11" t="s">
        <v>464</v>
      </c>
      <c r="Z1107" s="18">
        <f>ROUND(R1107*'Data-CostAssumptions'!$C$3,-3)</f>
        <v>1522000</v>
      </c>
      <c r="AA1107" s="11">
        <f t="shared" si="35"/>
        <v>1</v>
      </c>
      <c r="AB1107" s="11">
        <v>2041</v>
      </c>
      <c r="AC1107" s="11">
        <v>2041</v>
      </c>
      <c r="AD1107" s="11">
        <v>2041</v>
      </c>
      <c r="AE1107" s="11">
        <v>2041</v>
      </c>
      <c r="AF1107" s="11">
        <v>0</v>
      </c>
      <c r="AG1107" s="19">
        <f>ROUND((Z1107*'Data-CostAssumptions'!$G$5)*(1+'Data-CostAssumptions'!$G$3)^(AC1107-'Data-CostAssumptions'!$G$4),-3)</f>
        <v>859000</v>
      </c>
      <c r="AH1107" s="19">
        <f>ROUND((Z1107)*(1+'Data-CostAssumptions'!$G$3)^(AE1107-'Data-CostAssumptions'!$G$4),-3)</f>
        <v>3902000</v>
      </c>
    </row>
    <row r="1108" spans="1:34" ht="15" customHeight="1" x14ac:dyDescent="0.2">
      <c r="A1108" s="11"/>
      <c r="B1108" s="11" t="s">
        <v>1211</v>
      </c>
      <c r="C1108" s="11">
        <v>12024</v>
      </c>
      <c r="D1108" s="84" t="s">
        <v>292</v>
      </c>
      <c r="E1108" s="14"/>
      <c r="F1108" s="14"/>
      <c r="G1108" s="20">
        <v>1107</v>
      </c>
      <c r="H1108" s="13" t="s">
        <v>425</v>
      </c>
      <c r="I1108" s="13" t="str">
        <f t="shared" si="34"/>
        <v>Parking Garage (Sample Rd to University Dr )</v>
      </c>
      <c r="J1108" s="11" t="s">
        <v>347</v>
      </c>
      <c r="K1108" s="13" t="str">
        <f>VLOOKUP(J1108,'Data-ProjectTypes'!A$3:B$13,2,FALSE)</f>
        <v>Project</v>
      </c>
      <c r="L1108" s="11"/>
      <c r="M1108" s="11" t="s">
        <v>1864</v>
      </c>
      <c r="N1108" s="11" t="s">
        <v>2648</v>
      </c>
      <c r="O1108" s="11"/>
      <c r="P1108" s="11"/>
      <c r="Q1108" s="15"/>
      <c r="R1108" s="16">
        <v>4150000</v>
      </c>
      <c r="S1108" s="11"/>
      <c r="T1108" s="11"/>
      <c r="U1108" s="11"/>
      <c r="V1108" s="85" t="s">
        <v>459</v>
      </c>
      <c r="W1108" s="11"/>
      <c r="X1108" s="11" t="s">
        <v>468</v>
      </c>
      <c r="Z1108" s="18">
        <f>ROUND(R1108*'Data-CostAssumptions'!$C$3,-3)</f>
        <v>5744000</v>
      </c>
      <c r="AA1108" s="11">
        <f t="shared" si="35"/>
        <v>1</v>
      </c>
      <c r="AB1108" s="11">
        <v>2041</v>
      </c>
      <c r="AC1108" s="11">
        <v>2041</v>
      </c>
      <c r="AD1108" s="11">
        <v>2041</v>
      </c>
      <c r="AE1108" s="11">
        <v>2041</v>
      </c>
      <c r="AF1108" s="11">
        <v>0</v>
      </c>
      <c r="AG1108" s="19">
        <f>ROUND((Z1108*'Data-CostAssumptions'!$G$5)*(1+'Data-CostAssumptions'!$G$3)^(AC1108-'Data-CostAssumptions'!$G$4),-3)</f>
        <v>3240000</v>
      </c>
      <c r="AH1108" s="19">
        <f>ROUND((Z1108)*(1+'Data-CostAssumptions'!$G$3)^(AE1108-'Data-CostAssumptions'!$G$4),-3)</f>
        <v>14727000</v>
      </c>
    </row>
    <row r="1109" spans="1:34" ht="15" customHeight="1" x14ac:dyDescent="0.2">
      <c r="A1109" s="11"/>
      <c r="B1109" s="11" t="s">
        <v>1211</v>
      </c>
      <c r="C1109" s="11">
        <v>14500</v>
      </c>
      <c r="D1109" s="84" t="s">
        <v>286</v>
      </c>
      <c r="E1109" s="14"/>
      <c r="F1109" s="14"/>
      <c r="G1109" s="20">
        <v>1108</v>
      </c>
      <c r="H1109" s="13" t="s">
        <v>1872</v>
      </c>
      <c r="I1109" s="13" t="str">
        <f t="shared" si="34"/>
        <v>Complete St Project for Dania Beach Bl (Bryan Rd to City Limits)</v>
      </c>
      <c r="J1109" s="11" t="s">
        <v>300</v>
      </c>
      <c r="K1109" s="13" t="str">
        <f>VLOOKUP(J1109,'Data-ProjectTypes'!A$3:B$13,2,FALSE)</f>
        <v>Project</v>
      </c>
      <c r="L1109" s="31" t="s">
        <v>1146</v>
      </c>
      <c r="M1109" s="11" t="s">
        <v>1746</v>
      </c>
      <c r="N1109" s="11" t="s">
        <v>1156</v>
      </c>
      <c r="O1109" s="11"/>
      <c r="P1109" s="11"/>
      <c r="Q1109" s="15">
        <v>1.7</v>
      </c>
      <c r="R1109" s="16">
        <v>937500</v>
      </c>
      <c r="S1109" s="11"/>
      <c r="T1109" s="11"/>
      <c r="U1109" s="11"/>
      <c r="V1109" s="85" t="s">
        <v>1162</v>
      </c>
      <c r="W1109" s="11"/>
      <c r="X1109" s="11"/>
      <c r="Z1109" s="18">
        <f>ROUND(R1109*'Data-CostAssumptions'!$C$5,-3)</f>
        <v>938000</v>
      </c>
      <c r="AA1109" s="11">
        <f t="shared" si="35"/>
        <v>1</v>
      </c>
      <c r="AB1109" s="11">
        <v>2041</v>
      </c>
      <c r="AC1109" s="11">
        <v>2041</v>
      </c>
      <c r="AD1109" s="11">
        <v>2041</v>
      </c>
      <c r="AE1109" s="11">
        <v>2041</v>
      </c>
      <c r="AF1109" s="11">
        <v>0</v>
      </c>
      <c r="AG1109" s="19">
        <f>ROUND((Z1109*'Data-CostAssumptions'!$G$5)*(1+'Data-CostAssumptions'!$G$3)^(AC1109-'Data-CostAssumptions'!$G$4),-3)</f>
        <v>529000</v>
      </c>
      <c r="AH1109" s="19">
        <f>ROUND((Z1109)*(1+'Data-CostAssumptions'!$G$3)^(AE1109-'Data-CostAssumptions'!$G$4),-3)</f>
        <v>2405000</v>
      </c>
    </row>
    <row r="1110" spans="1:34" ht="15" customHeight="1" x14ac:dyDescent="0.2">
      <c r="A1110" s="11"/>
      <c r="B1110" s="11" t="s">
        <v>1211</v>
      </c>
      <c r="C1110" s="11">
        <v>14501</v>
      </c>
      <c r="D1110" s="84" t="s">
        <v>286</v>
      </c>
      <c r="E1110" s="14"/>
      <c r="F1110" s="14"/>
      <c r="G1110" s="20">
        <v>1109</v>
      </c>
      <c r="H1110" s="13" t="s">
        <v>3001</v>
      </c>
      <c r="I1110" s="13" t="str">
        <f t="shared" si="34"/>
        <v>Dania Beach Bl Bridge (SW 12th Av to  Bryan Rd)</v>
      </c>
      <c r="J1110" s="11" t="s">
        <v>300</v>
      </c>
      <c r="K1110" s="13" t="str">
        <f>VLOOKUP(J1110,'Data-ProjectTypes'!A$3:B$13,2,FALSE)</f>
        <v>Project</v>
      </c>
      <c r="L1110" s="31" t="s">
        <v>1147</v>
      </c>
      <c r="M1110" s="11" t="s">
        <v>2390</v>
      </c>
      <c r="N1110" s="11" t="s">
        <v>2468</v>
      </c>
      <c r="O1110" s="11"/>
      <c r="P1110" s="11"/>
      <c r="Q1110" s="15">
        <v>0.03</v>
      </c>
      <c r="R1110" s="16">
        <v>6250000</v>
      </c>
      <c r="S1110" s="11"/>
      <c r="T1110" s="11"/>
      <c r="U1110" s="11"/>
      <c r="V1110" s="85" t="s">
        <v>1163</v>
      </c>
      <c r="W1110" s="11"/>
      <c r="X1110" s="11"/>
      <c r="Z1110" s="18">
        <f>ROUND(R1110*'Data-CostAssumptions'!$C$5,-3)</f>
        <v>6250000</v>
      </c>
      <c r="AA1110" s="11">
        <f t="shared" si="35"/>
        <v>1</v>
      </c>
      <c r="AB1110" s="11">
        <v>2041</v>
      </c>
      <c r="AC1110" s="11">
        <v>2041</v>
      </c>
      <c r="AD1110" s="11">
        <v>2041</v>
      </c>
      <c r="AE1110" s="11">
        <v>2041</v>
      </c>
      <c r="AF1110" s="11">
        <v>0</v>
      </c>
      <c r="AG1110" s="19">
        <f>ROUND((Z1110*'Data-CostAssumptions'!$G$5)*(1+'Data-CostAssumptions'!$G$3)^(AC1110-'Data-CostAssumptions'!$G$4),-3)</f>
        <v>3525000</v>
      </c>
      <c r="AH1110" s="19">
        <f>ROUND((Z1110)*(1+'Data-CostAssumptions'!$G$3)^(AE1110-'Data-CostAssumptions'!$G$4),-3)</f>
        <v>16025000</v>
      </c>
    </row>
    <row r="1111" spans="1:34" ht="15" customHeight="1" x14ac:dyDescent="0.2">
      <c r="A1111" s="11"/>
      <c r="B1111" s="11" t="s">
        <v>1211</v>
      </c>
      <c r="C1111" s="11">
        <v>14502</v>
      </c>
      <c r="D1111" s="84" t="s">
        <v>286</v>
      </c>
      <c r="E1111" s="14"/>
      <c r="F1111" s="14"/>
      <c r="G1111" s="20">
        <v>1110</v>
      </c>
      <c r="H1111" s="13" t="s">
        <v>1874</v>
      </c>
      <c r="I1111" s="13" t="str">
        <f t="shared" si="34"/>
        <v>Complete St Project for Ravenswood Rd (SR 84 to Stirling Rd)</v>
      </c>
      <c r="J1111" s="11" t="s">
        <v>300</v>
      </c>
      <c r="K1111" s="13" t="str">
        <f>VLOOKUP(J1111,'Data-ProjectTypes'!A$3:B$13,2,FALSE)</f>
        <v>Project</v>
      </c>
      <c r="L1111" s="31" t="s">
        <v>1146</v>
      </c>
      <c r="M1111" s="11" t="s">
        <v>45</v>
      </c>
      <c r="N1111" s="11" t="s">
        <v>177</v>
      </c>
      <c r="O1111" s="11"/>
      <c r="P1111" s="11"/>
      <c r="Q1111" s="15">
        <v>2.3199999999999998</v>
      </c>
      <c r="R1111" s="16">
        <v>1275000</v>
      </c>
      <c r="S1111" s="11"/>
      <c r="T1111" s="11"/>
      <c r="U1111" s="11"/>
      <c r="V1111" s="85" t="s">
        <v>1162</v>
      </c>
      <c r="W1111" s="11"/>
      <c r="X1111" s="11"/>
      <c r="Z1111" s="18">
        <f>ROUND(R1111*'Data-CostAssumptions'!$C$5,-3)</f>
        <v>1275000</v>
      </c>
      <c r="AA1111" s="11">
        <f t="shared" si="35"/>
        <v>1</v>
      </c>
      <c r="AB1111" s="11">
        <v>2041</v>
      </c>
      <c r="AC1111" s="11">
        <v>2041</v>
      </c>
      <c r="AD1111" s="11">
        <v>2041</v>
      </c>
      <c r="AE1111" s="11">
        <v>2041</v>
      </c>
      <c r="AF1111" s="11">
        <v>0</v>
      </c>
      <c r="AG1111" s="19">
        <f>ROUND((Z1111*'Data-CostAssumptions'!$G$5)*(1+'Data-CostAssumptions'!$G$3)^(AC1111-'Data-CostAssumptions'!$G$4),-3)</f>
        <v>719000</v>
      </c>
      <c r="AH1111" s="19">
        <f>ROUND((Z1111)*(1+'Data-CostAssumptions'!$G$3)^(AE1111-'Data-CostAssumptions'!$G$4),-3)</f>
        <v>3269000</v>
      </c>
    </row>
    <row r="1112" spans="1:34" ht="15" customHeight="1" x14ac:dyDescent="0.2">
      <c r="A1112" s="11"/>
      <c r="B1112" s="11" t="s">
        <v>1211</v>
      </c>
      <c r="C1112" s="11">
        <v>14503</v>
      </c>
      <c r="D1112" s="84" t="s">
        <v>286</v>
      </c>
      <c r="E1112" s="14"/>
      <c r="F1112" s="14"/>
      <c r="G1112" s="20">
        <v>1111</v>
      </c>
      <c r="H1112" s="13" t="s">
        <v>1873</v>
      </c>
      <c r="I1112" s="13" t="str">
        <f t="shared" si="34"/>
        <v>Complete St Project for Griffin Rd (I-95 to SW 45th Terrace)</v>
      </c>
      <c r="J1112" s="11" t="s">
        <v>300</v>
      </c>
      <c r="K1112" s="13" t="str">
        <f>VLOOKUP(J1112,'Data-ProjectTypes'!A$3:B$13,2,FALSE)</f>
        <v>Project</v>
      </c>
      <c r="L1112" s="31" t="s">
        <v>1146</v>
      </c>
      <c r="M1112" s="11" t="s">
        <v>41</v>
      </c>
      <c r="N1112" s="11" t="s">
        <v>1157</v>
      </c>
      <c r="O1112" s="11"/>
      <c r="P1112" s="11"/>
      <c r="Q1112" s="15">
        <v>2.6</v>
      </c>
      <c r="R1112" s="16">
        <v>1437500</v>
      </c>
      <c r="S1112" s="11"/>
      <c r="T1112" s="11"/>
      <c r="U1112" s="11"/>
      <c r="V1112" s="85" t="s">
        <v>1162</v>
      </c>
      <c r="W1112" s="11"/>
      <c r="X1112" s="11"/>
      <c r="Z1112" s="18">
        <f>ROUND(R1112*'Data-CostAssumptions'!$C$5,-3)</f>
        <v>1438000</v>
      </c>
      <c r="AA1112" s="11">
        <f t="shared" si="35"/>
        <v>1</v>
      </c>
      <c r="AB1112" s="11">
        <v>2041</v>
      </c>
      <c r="AC1112" s="11">
        <v>2041</v>
      </c>
      <c r="AD1112" s="11">
        <v>2041</v>
      </c>
      <c r="AE1112" s="11">
        <v>2041</v>
      </c>
      <c r="AF1112" s="11">
        <v>0</v>
      </c>
      <c r="AG1112" s="19">
        <f>ROUND((Z1112*'Data-CostAssumptions'!$G$5)*(1+'Data-CostAssumptions'!$G$3)^(AC1112-'Data-CostAssumptions'!$G$4),-3)</f>
        <v>811000</v>
      </c>
      <c r="AH1112" s="19">
        <f>ROUND((Z1112)*(1+'Data-CostAssumptions'!$G$3)^(AE1112-'Data-CostAssumptions'!$G$4),-3)</f>
        <v>3687000</v>
      </c>
    </row>
    <row r="1113" spans="1:34" ht="15" customHeight="1" x14ac:dyDescent="0.2">
      <c r="A1113" s="11"/>
      <c r="B1113" s="11" t="s">
        <v>1211</v>
      </c>
      <c r="C1113" s="11">
        <v>14506</v>
      </c>
      <c r="D1113" s="84" t="s">
        <v>286</v>
      </c>
      <c r="E1113" s="14"/>
      <c r="F1113" s="14"/>
      <c r="G1113" s="20">
        <v>1112</v>
      </c>
      <c r="H1113" s="13" t="s">
        <v>1861</v>
      </c>
      <c r="I1113" s="13" t="str">
        <f t="shared" si="34"/>
        <v>Re-alignment of Old Griffin Rd (Bryan Rd to Dixie Hwy)</v>
      </c>
      <c r="J1113" s="11" t="s">
        <v>300</v>
      </c>
      <c r="K1113" s="13" t="str">
        <f>VLOOKUP(J1113,'Data-ProjectTypes'!A$3:B$13,2,FALSE)</f>
        <v>Project</v>
      </c>
      <c r="L1113" s="31" t="s">
        <v>1150</v>
      </c>
      <c r="M1113" s="11" t="s">
        <v>1746</v>
      </c>
      <c r="N1113" s="11" t="s">
        <v>728</v>
      </c>
      <c r="O1113" s="11"/>
      <c r="P1113" s="11"/>
      <c r="Q1113" s="15">
        <v>0.41</v>
      </c>
      <c r="R1113" s="16">
        <v>4875000</v>
      </c>
      <c r="S1113" s="11"/>
      <c r="T1113" s="11"/>
      <c r="U1113" s="11"/>
      <c r="V1113" s="85" t="s">
        <v>1166</v>
      </c>
      <c r="W1113" s="11"/>
      <c r="X1113" s="11"/>
      <c r="Z1113" s="18">
        <f>ROUND(R1113*'Data-CostAssumptions'!$C$5,-3)</f>
        <v>4875000</v>
      </c>
      <c r="AA1113" s="11">
        <f t="shared" si="35"/>
        <v>1</v>
      </c>
      <c r="AB1113" s="11">
        <v>2041</v>
      </c>
      <c r="AC1113" s="11">
        <v>2041</v>
      </c>
      <c r="AD1113" s="11">
        <v>2041</v>
      </c>
      <c r="AE1113" s="11">
        <v>2041</v>
      </c>
      <c r="AF1113" s="11">
        <v>0</v>
      </c>
      <c r="AG1113" s="19">
        <f>ROUND((Z1113*'Data-CostAssumptions'!$G$5)*(1+'Data-CostAssumptions'!$G$3)^(AC1113-'Data-CostAssumptions'!$G$4),-3)</f>
        <v>2750000</v>
      </c>
      <c r="AH1113" s="19">
        <f>ROUND((Z1113)*(1+'Data-CostAssumptions'!$G$3)^(AE1113-'Data-CostAssumptions'!$G$4),-3)</f>
        <v>12499000</v>
      </c>
    </row>
    <row r="1114" spans="1:34" ht="15" customHeight="1" x14ac:dyDescent="0.2">
      <c r="A1114" s="11"/>
      <c r="B1114" s="11" t="s">
        <v>1211</v>
      </c>
      <c r="C1114" s="11">
        <v>14507</v>
      </c>
      <c r="D1114" s="84" t="s">
        <v>286</v>
      </c>
      <c r="E1114" s="14"/>
      <c r="F1114" s="14"/>
      <c r="G1114" s="20">
        <v>1113</v>
      </c>
      <c r="H1114" s="13" t="s">
        <v>1951</v>
      </c>
      <c r="I1114" s="13" t="str">
        <f t="shared" si="34"/>
        <v>Sheridan St (Dixie Hwy to City Limits)</v>
      </c>
      <c r="J1114" s="11" t="s">
        <v>300</v>
      </c>
      <c r="K1114" s="13" t="str">
        <f>VLOOKUP(J1114,'Data-ProjectTypes'!A$3:B$13,2,FALSE)</f>
        <v>Project</v>
      </c>
      <c r="L1114" s="31" t="s">
        <v>1151</v>
      </c>
      <c r="M1114" s="11" t="s">
        <v>728</v>
      </c>
      <c r="N1114" s="11" t="s">
        <v>1156</v>
      </c>
      <c r="O1114" s="11"/>
      <c r="P1114" s="11"/>
      <c r="Q1114" s="15">
        <v>0.4</v>
      </c>
      <c r="R1114" s="16">
        <v>4062500</v>
      </c>
      <c r="S1114" s="11"/>
      <c r="T1114" s="11"/>
      <c r="U1114" s="11"/>
      <c r="V1114" s="85" t="s">
        <v>1167</v>
      </c>
      <c r="W1114" s="11"/>
      <c r="X1114" s="11"/>
      <c r="Z1114" s="18">
        <f>ROUND(R1114*'Data-CostAssumptions'!$C$5,-3)</f>
        <v>4063000</v>
      </c>
      <c r="AA1114" s="11">
        <f t="shared" si="35"/>
        <v>1</v>
      </c>
      <c r="AB1114" s="11">
        <v>2041</v>
      </c>
      <c r="AC1114" s="11">
        <v>2041</v>
      </c>
      <c r="AD1114" s="11">
        <v>2041</v>
      </c>
      <c r="AE1114" s="11">
        <v>2041</v>
      </c>
      <c r="AF1114" s="11">
        <v>0</v>
      </c>
      <c r="AG1114" s="19">
        <f>ROUND((Z1114*'Data-CostAssumptions'!$G$5)*(1+'Data-CostAssumptions'!$G$3)^(AC1114-'Data-CostAssumptions'!$G$4),-3)</f>
        <v>2292000</v>
      </c>
      <c r="AH1114" s="19">
        <f>ROUND((Z1114)*(1+'Data-CostAssumptions'!$G$3)^(AE1114-'Data-CostAssumptions'!$G$4),-3)</f>
        <v>10417000</v>
      </c>
    </row>
    <row r="1115" spans="1:34" ht="15" customHeight="1" x14ac:dyDescent="0.2">
      <c r="A1115" s="11"/>
      <c r="B1115" s="11" t="s">
        <v>1211</v>
      </c>
      <c r="C1115" s="11">
        <v>14508</v>
      </c>
      <c r="D1115" s="84" t="s">
        <v>286</v>
      </c>
      <c r="E1115" s="14"/>
      <c r="F1115" s="14"/>
      <c r="G1115" s="20">
        <v>1114</v>
      </c>
      <c r="H1115" s="13" t="s">
        <v>1875</v>
      </c>
      <c r="I1115" s="13" t="str">
        <f t="shared" si="34"/>
        <v>Complete St Project on Sheridan St (Federal Hwy to City Limits)</v>
      </c>
      <c r="J1115" s="11" t="s">
        <v>300</v>
      </c>
      <c r="K1115" s="13" t="str">
        <f>VLOOKUP(J1115,'Data-ProjectTypes'!A$3:B$13,2,FALSE)</f>
        <v>Project</v>
      </c>
      <c r="L1115" s="90" t="s">
        <v>1146</v>
      </c>
      <c r="M1115" s="11" t="s">
        <v>2595</v>
      </c>
      <c r="N1115" s="11" t="s">
        <v>1156</v>
      </c>
      <c r="O1115" s="11"/>
      <c r="P1115" s="11"/>
      <c r="Q1115" s="15">
        <v>0.82</v>
      </c>
      <c r="R1115" s="16">
        <v>525000</v>
      </c>
      <c r="S1115" s="11"/>
      <c r="T1115" s="11"/>
      <c r="U1115" s="11"/>
      <c r="V1115" s="85" t="s">
        <v>1162</v>
      </c>
      <c r="W1115" s="11"/>
      <c r="X1115" s="11"/>
      <c r="Z1115" s="18">
        <f>ROUND(R1115*'Data-CostAssumptions'!$C$5,-3)</f>
        <v>525000</v>
      </c>
      <c r="AA1115" s="11">
        <f t="shared" si="35"/>
        <v>1</v>
      </c>
      <c r="AB1115" s="11">
        <v>2041</v>
      </c>
      <c r="AC1115" s="11">
        <v>2041</v>
      </c>
      <c r="AD1115" s="11">
        <v>2041</v>
      </c>
      <c r="AE1115" s="11">
        <v>2041</v>
      </c>
      <c r="AF1115" s="11">
        <v>0</v>
      </c>
      <c r="AG1115" s="19">
        <f>ROUND((Z1115*'Data-CostAssumptions'!$G$5)*(1+'Data-CostAssumptions'!$G$3)^(AC1115-'Data-CostAssumptions'!$G$4),-3)</f>
        <v>296000</v>
      </c>
      <c r="AH1115" s="19">
        <f>ROUND((Z1115)*(1+'Data-CostAssumptions'!$G$3)^(AE1115-'Data-CostAssumptions'!$G$4),-3)</f>
        <v>1346000</v>
      </c>
    </row>
    <row r="1116" spans="1:34" ht="15" customHeight="1" x14ac:dyDescent="0.2">
      <c r="A1116" s="11"/>
      <c r="B1116" s="11" t="s">
        <v>1211</v>
      </c>
      <c r="C1116" s="11">
        <v>14509</v>
      </c>
      <c r="D1116" s="84" t="s">
        <v>286</v>
      </c>
      <c r="E1116" s="14"/>
      <c r="F1116" s="14"/>
      <c r="G1116" s="20">
        <v>1115</v>
      </c>
      <c r="H1116" s="13" t="s">
        <v>1144</v>
      </c>
      <c r="I1116" s="13" t="str">
        <f t="shared" si="34"/>
        <v>Solar Lighting on all City's hurricane evacuation zones (Dixie Hwy to City limits)</v>
      </c>
      <c r="J1116" s="11" t="s">
        <v>300</v>
      </c>
      <c r="K1116" s="13" t="str">
        <f>VLOOKUP(J1116,'Data-ProjectTypes'!A$3:B$13,2,FALSE)</f>
        <v>Project</v>
      </c>
      <c r="L1116" s="31" t="s">
        <v>1152</v>
      </c>
      <c r="M1116" s="11" t="s">
        <v>728</v>
      </c>
      <c r="N1116" s="11" t="s">
        <v>1159</v>
      </c>
      <c r="O1116" s="11"/>
      <c r="P1116" s="11"/>
      <c r="Q1116" s="15">
        <v>2.1</v>
      </c>
      <c r="R1116" s="16">
        <v>562500</v>
      </c>
      <c r="S1116" s="11"/>
      <c r="T1116" s="11"/>
      <c r="U1116" s="11"/>
      <c r="V1116" s="85" t="s">
        <v>1168</v>
      </c>
      <c r="W1116" s="11"/>
      <c r="X1116" s="11"/>
      <c r="Z1116" s="18">
        <f>ROUND(R1116*'Data-CostAssumptions'!$C$5,-3)</f>
        <v>563000</v>
      </c>
      <c r="AA1116" s="11">
        <f t="shared" si="35"/>
        <v>1</v>
      </c>
      <c r="AB1116" s="11">
        <v>2041</v>
      </c>
      <c r="AC1116" s="11">
        <v>2041</v>
      </c>
      <c r="AD1116" s="11">
        <v>2041</v>
      </c>
      <c r="AE1116" s="11">
        <v>2041</v>
      </c>
      <c r="AF1116" s="11">
        <v>0</v>
      </c>
      <c r="AG1116" s="19">
        <f>ROUND((Z1116*'Data-CostAssumptions'!$G$5)*(1+'Data-CostAssumptions'!$G$3)^(AC1116-'Data-CostAssumptions'!$G$4),-3)</f>
        <v>318000</v>
      </c>
      <c r="AH1116" s="19">
        <f>ROUND((Z1116)*(1+'Data-CostAssumptions'!$G$3)^(AE1116-'Data-CostAssumptions'!$G$4),-3)</f>
        <v>1444000</v>
      </c>
    </row>
    <row r="1117" spans="1:34" ht="15" customHeight="1" x14ac:dyDescent="0.2">
      <c r="A1117" s="11"/>
      <c r="B1117" s="11" t="s">
        <v>1211</v>
      </c>
      <c r="C1117" s="11">
        <v>14511</v>
      </c>
      <c r="D1117" s="84" t="s">
        <v>286</v>
      </c>
      <c r="E1117" s="14"/>
      <c r="F1117" s="14"/>
      <c r="G1117" s="20">
        <v>1116</v>
      </c>
      <c r="H1117" s="13" t="s">
        <v>2931</v>
      </c>
      <c r="I1117" s="13" t="str">
        <f t="shared" si="34"/>
        <v>SR 5/US 1 Drawbridge ( NE 2nd Place to City Limits)</v>
      </c>
      <c r="J1117" s="11" t="s">
        <v>300</v>
      </c>
      <c r="K1117" s="13" t="str">
        <f>VLOOKUP(J1117,'Data-ProjectTypes'!A$3:B$13,2,FALSE)</f>
        <v>Project</v>
      </c>
      <c r="L1117" s="31" t="s">
        <v>1154</v>
      </c>
      <c r="M1117" s="11" t="s">
        <v>1161</v>
      </c>
      <c r="N1117" s="11" t="s">
        <v>1156</v>
      </c>
      <c r="O1117" s="11"/>
      <c r="P1117" s="11"/>
      <c r="Q1117" s="15">
        <v>0.4</v>
      </c>
      <c r="R1117" s="16">
        <v>150000000</v>
      </c>
      <c r="S1117" s="11"/>
      <c r="T1117" s="11"/>
      <c r="U1117" s="11"/>
      <c r="V1117" s="85" t="s">
        <v>1170</v>
      </c>
      <c r="W1117" s="11"/>
      <c r="X1117" s="11"/>
      <c r="Z1117" s="18">
        <f>ROUND(R1117*'Data-CostAssumptions'!$C$5,-3)</f>
        <v>150000000</v>
      </c>
      <c r="AA1117" s="11">
        <f t="shared" si="35"/>
        <v>1</v>
      </c>
      <c r="AB1117" s="11">
        <v>2041</v>
      </c>
      <c r="AC1117" s="11">
        <v>2041</v>
      </c>
      <c r="AD1117" s="11">
        <v>2041</v>
      </c>
      <c r="AE1117" s="11">
        <v>2041</v>
      </c>
      <c r="AF1117" s="11">
        <v>0</v>
      </c>
      <c r="AG1117" s="19">
        <f>ROUND((Z1117*'Data-CostAssumptions'!$G$5)*(1+'Data-CostAssumptions'!$G$3)^(AC1117-'Data-CostAssumptions'!$G$4),-3)</f>
        <v>84610000</v>
      </c>
      <c r="AH1117" s="19">
        <f>ROUND((Z1117)*(1+'Data-CostAssumptions'!$G$3)^(AE1117-'Data-CostAssumptions'!$G$4),-3)</f>
        <v>384592000</v>
      </c>
    </row>
    <row r="1118" spans="1:34" ht="15" customHeight="1" x14ac:dyDescent="0.2">
      <c r="A1118" s="11"/>
      <c r="B1118" s="11" t="s">
        <v>1211</v>
      </c>
      <c r="C1118" s="11">
        <v>14512</v>
      </c>
      <c r="D1118" s="84" t="s">
        <v>286</v>
      </c>
      <c r="E1118" s="14"/>
      <c r="F1118" s="14"/>
      <c r="G1118" s="20">
        <v>1117</v>
      </c>
      <c r="H1118" s="13" t="s">
        <v>2017</v>
      </c>
      <c r="I1118" s="13" t="str">
        <f t="shared" si="34"/>
        <v>Complete St Project on SE  5th Av (Dania Beach to Sheridan St)</v>
      </c>
      <c r="J1118" s="11" t="s">
        <v>300</v>
      </c>
      <c r="K1118" s="13" t="str">
        <f>VLOOKUP(J1118,'Data-ProjectTypes'!A$3:B$13,2,FALSE)</f>
        <v>Project</v>
      </c>
      <c r="L1118" s="31" t="s">
        <v>1155</v>
      </c>
      <c r="M1118" s="11" t="s">
        <v>286</v>
      </c>
      <c r="N1118" s="11" t="s">
        <v>1951</v>
      </c>
      <c r="O1118" s="11"/>
      <c r="P1118" s="11"/>
      <c r="Q1118" s="15">
        <v>1.26</v>
      </c>
      <c r="R1118" s="16">
        <v>5125000</v>
      </c>
      <c r="S1118" s="11"/>
      <c r="T1118" s="11"/>
      <c r="U1118" s="11"/>
      <c r="V1118" s="85" t="s">
        <v>1162</v>
      </c>
      <c r="W1118" s="11"/>
      <c r="X1118" s="11"/>
      <c r="Z1118" s="18">
        <f>ROUND(R1118*'Data-CostAssumptions'!$C$5,-3)</f>
        <v>5125000</v>
      </c>
      <c r="AA1118" s="11">
        <f t="shared" si="35"/>
        <v>1</v>
      </c>
      <c r="AB1118" s="11">
        <v>2041</v>
      </c>
      <c r="AC1118" s="11">
        <v>2041</v>
      </c>
      <c r="AD1118" s="11">
        <v>2041</v>
      </c>
      <c r="AE1118" s="11">
        <v>2041</v>
      </c>
      <c r="AF1118" s="11">
        <v>0</v>
      </c>
      <c r="AG1118" s="19">
        <f>ROUND((Z1118*'Data-CostAssumptions'!$G$5)*(1+'Data-CostAssumptions'!$G$3)^(AC1118-'Data-CostAssumptions'!$G$4),-3)</f>
        <v>2891000</v>
      </c>
      <c r="AH1118" s="19">
        <f>ROUND((Z1118)*(1+'Data-CostAssumptions'!$G$3)^(AE1118-'Data-CostAssumptions'!$G$4),-3)</f>
        <v>13140000</v>
      </c>
    </row>
    <row r="1119" spans="1:34" ht="15" customHeight="1" x14ac:dyDescent="0.2">
      <c r="A1119" s="11"/>
      <c r="B1119" s="11" t="s">
        <v>1211</v>
      </c>
      <c r="C1119" s="11">
        <v>14505</v>
      </c>
      <c r="D1119" s="84" t="s">
        <v>286</v>
      </c>
      <c r="E1119" s="14"/>
      <c r="F1119" s="14"/>
      <c r="G1119" s="20">
        <v>1118</v>
      </c>
      <c r="H1119" s="13" t="s">
        <v>1143</v>
      </c>
      <c r="I1119" s="13" t="str">
        <f t="shared" si="34"/>
        <v>Area-wide improvements for multi-modal station (NE 1st St to SE 1st St)</v>
      </c>
      <c r="J1119" s="11" t="s">
        <v>347</v>
      </c>
      <c r="K1119" s="13" t="str">
        <f>VLOOKUP(J1119,'Data-ProjectTypes'!A$3:B$13,2,FALSE)</f>
        <v>Project</v>
      </c>
      <c r="L1119" s="31" t="s">
        <v>1149</v>
      </c>
      <c r="M1119" s="11" t="s">
        <v>2482</v>
      </c>
      <c r="N1119" s="11" t="s">
        <v>2481</v>
      </c>
      <c r="O1119" s="11"/>
      <c r="P1119" s="11"/>
      <c r="Q1119" s="15">
        <v>0.26</v>
      </c>
      <c r="R1119" s="16">
        <v>212500</v>
      </c>
      <c r="S1119" s="11"/>
      <c r="T1119" s="11"/>
      <c r="U1119" s="11"/>
      <c r="V1119" s="85" t="s">
        <v>1165</v>
      </c>
      <c r="W1119" s="11"/>
      <c r="X1119" s="11"/>
      <c r="Z1119" s="18">
        <f>ROUND(R1119*'Data-CostAssumptions'!$C$3,-3)</f>
        <v>294000</v>
      </c>
      <c r="AA1119" s="11">
        <f t="shared" si="35"/>
        <v>1</v>
      </c>
      <c r="AB1119" s="11">
        <v>2041</v>
      </c>
      <c r="AC1119" s="11">
        <v>2041</v>
      </c>
      <c r="AD1119" s="11">
        <v>2041</v>
      </c>
      <c r="AE1119" s="11">
        <v>2041</v>
      </c>
      <c r="AF1119" s="11">
        <v>0</v>
      </c>
      <c r="AG1119" s="19">
        <f>ROUND((Z1119*'Data-CostAssumptions'!$G$5)*(1+'Data-CostAssumptions'!$G$3)^(AC1119-'Data-CostAssumptions'!$G$4),-3)</f>
        <v>166000</v>
      </c>
      <c r="AH1119" s="19">
        <f>ROUND((Z1119)*(1+'Data-CostAssumptions'!$G$3)^(AE1119-'Data-CostAssumptions'!$G$4),-3)</f>
        <v>754000</v>
      </c>
    </row>
    <row r="1120" spans="1:34" ht="15" customHeight="1" x14ac:dyDescent="0.2">
      <c r="A1120" s="11"/>
      <c r="B1120" s="11" t="s">
        <v>1211</v>
      </c>
      <c r="C1120" s="11">
        <v>14510</v>
      </c>
      <c r="D1120" s="84" t="s">
        <v>286</v>
      </c>
      <c r="E1120" s="14"/>
      <c r="F1120" s="14"/>
      <c r="G1120" s="20">
        <v>1119</v>
      </c>
      <c r="H1120" s="13" t="s">
        <v>1145</v>
      </c>
      <c r="I1120" s="13" t="str">
        <f t="shared" si="34"/>
        <v>Drawbridge FEC Railroad tracks (NW 3rd Place  to City Limits)</v>
      </c>
      <c r="J1120" s="11" t="s">
        <v>347</v>
      </c>
      <c r="K1120" s="13" t="str">
        <f>VLOOKUP(J1120,'Data-ProjectTypes'!A$3:B$13,2,FALSE)</f>
        <v>Project</v>
      </c>
      <c r="L1120" s="31" t="s">
        <v>1153</v>
      </c>
      <c r="M1120" s="11" t="s">
        <v>1160</v>
      </c>
      <c r="N1120" s="11" t="s">
        <v>1156</v>
      </c>
      <c r="O1120" s="11"/>
      <c r="P1120" s="11"/>
      <c r="Q1120" s="15">
        <v>0.21</v>
      </c>
      <c r="R1120" s="16">
        <v>87500000</v>
      </c>
      <c r="S1120" s="11"/>
      <c r="T1120" s="11"/>
      <c r="U1120" s="11"/>
      <c r="V1120" s="85" t="s">
        <v>1169</v>
      </c>
      <c r="W1120" s="11"/>
      <c r="X1120" s="38"/>
      <c r="Z1120" s="18">
        <f>ROUND(R1120*'Data-CostAssumptions'!$C$3,-3)</f>
        <v>121100000</v>
      </c>
      <c r="AA1120" s="11">
        <f t="shared" si="35"/>
        <v>1</v>
      </c>
      <c r="AB1120" s="11">
        <v>2041</v>
      </c>
      <c r="AC1120" s="11">
        <v>2041</v>
      </c>
      <c r="AD1120" s="11">
        <v>2041</v>
      </c>
      <c r="AE1120" s="11">
        <v>2041</v>
      </c>
      <c r="AF1120" s="11">
        <v>0</v>
      </c>
      <c r="AG1120" s="19">
        <f>ROUND((Z1120*'Data-CostAssumptions'!$G$5)*(1+'Data-CostAssumptions'!$G$3)^(AC1120-'Data-CostAssumptions'!$G$4),-3)</f>
        <v>68309000</v>
      </c>
      <c r="AH1120" s="19">
        <f>ROUND((Z1120)*(1+'Data-CostAssumptions'!$G$3)^(AE1120-'Data-CostAssumptions'!$G$4),-3)</f>
        <v>310494000</v>
      </c>
    </row>
    <row r="1121" spans="1:34" ht="15" customHeight="1" x14ac:dyDescent="0.2">
      <c r="A1121" s="11"/>
      <c r="B1121" s="11" t="s">
        <v>1211</v>
      </c>
      <c r="C1121" s="11">
        <v>14504</v>
      </c>
      <c r="D1121" s="84" t="s">
        <v>286</v>
      </c>
      <c r="E1121" s="14"/>
      <c r="F1121" s="14"/>
      <c r="G1121" s="20">
        <v>1120</v>
      </c>
      <c r="H1121" s="13" t="s">
        <v>1142</v>
      </c>
      <c r="I1121" s="13" t="str">
        <f t="shared" si="34"/>
        <v>Multi-modal Station (SW Park St to NW 1st)</v>
      </c>
      <c r="J1121" s="11" t="s">
        <v>347</v>
      </c>
      <c r="K1121" s="13" t="str">
        <f>VLOOKUP(J1121,'Data-ProjectTypes'!A$3:B$13,2,FALSE)</f>
        <v>Project</v>
      </c>
      <c r="L1121" s="31" t="s">
        <v>1148</v>
      </c>
      <c r="M1121" s="11" t="s">
        <v>2501</v>
      </c>
      <c r="N1121" s="11" t="s">
        <v>1158</v>
      </c>
      <c r="O1121" s="11"/>
      <c r="P1121" s="11"/>
      <c r="Q1121" s="15">
        <v>0.19</v>
      </c>
      <c r="R1121" s="16">
        <v>875000</v>
      </c>
      <c r="S1121" s="11"/>
      <c r="T1121" s="11"/>
      <c r="U1121" s="11"/>
      <c r="V1121" s="85" t="s">
        <v>1164</v>
      </c>
      <c r="W1121" s="11"/>
      <c r="X1121" s="11"/>
      <c r="Z1121" s="18">
        <f>ROUND(R1121*'Data-CostAssumptions'!$C$3,-3)</f>
        <v>1211000</v>
      </c>
      <c r="AA1121" s="11">
        <f t="shared" si="35"/>
        <v>1</v>
      </c>
      <c r="AB1121" s="11">
        <v>2041</v>
      </c>
      <c r="AC1121" s="11">
        <v>2041</v>
      </c>
      <c r="AD1121" s="11">
        <v>2041</v>
      </c>
      <c r="AE1121" s="11">
        <v>2041</v>
      </c>
      <c r="AF1121" s="11">
        <v>0</v>
      </c>
      <c r="AG1121" s="19">
        <f>ROUND((Z1121*'Data-CostAssumptions'!$G$5)*(1+'Data-CostAssumptions'!$G$3)^(AC1121-'Data-CostAssumptions'!$G$4),-3)</f>
        <v>683000</v>
      </c>
      <c r="AH1121" s="19">
        <f>ROUND((Z1121)*(1+'Data-CostAssumptions'!$G$3)^(AE1121-'Data-CostAssumptions'!$G$4),-3)</f>
        <v>3105000</v>
      </c>
    </row>
    <row r="1122" spans="1:34" ht="15" customHeight="1" x14ac:dyDescent="0.2">
      <c r="A1122" s="11"/>
      <c r="B1122" s="11" t="s">
        <v>1211</v>
      </c>
      <c r="C1122" s="11">
        <v>12103</v>
      </c>
      <c r="D1122" s="84" t="s">
        <v>279</v>
      </c>
      <c r="E1122" s="14"/>
      <c r="F1122" s="14"/>
      <c r="G1122" s="20">
        <v>1121</v>
      </c>
      <c r="H1122" s="13" t="s">
        <v>1766</v>
      </c>
      <c r="I1122" s="13" t="str">
        <f t="shared" si="34"/>
        <v>Reese Rd (SW 29th St to Davie Rd )</v>
      </c>
      <c r="J1122" s="11" t="s">
        <v>27</v>
      </c>
      <c r="K1122" s="13" t="str">
        <f>VLOOKUP(J1122,'Data-ProjectTypes'!A$3:B$13,2,FALSE)</f>
        <v>Program</v>
      </c>
      <c r="L1122" s="11" t="s">
        <v>484</v>
      </c>
      <c r="M1122" s="11" t="s">
        <v>488</v>
      </c>
      <c r="N1122" s="11" t="s">
        <v>2446</v>
      </c>
      <c r="O1122" s="11"/>
      <c r="P1122" s="11"/>
      <c r="Q1122" s="15">
        <v>1.2</v>
      </c>
      <c r="R1122" s="23">
        <f>ROUND('Data-CostAssumptions'!$C$23*Q1122,-3)</f>
        <v>175000</v>
      </c>
      <c r="S1122" s="11"/>
      <c r="T1122" s="11"/>
      <c r="U1122" s="11"/>
      <c r="V1122" s="11" t="s">
        <v>490</v>
      </c>
      <c r="W1122" s="11"/>
      <c r="X1122" s="11"/>
      <c r="Z1122" s="18">
        <f>ROUND(R1122*'Data-CostAssumptions'!$C$6,-3)</f>
        <v>175000</v>
      </c>
      <c r="AA1122" s="11">
        <f t="shared" si="35"/>
        <v>1</v>
      </c>
      <c r="AB1122" s="11">
        <v>2041</v>
      </c>
      <c r="AC1122" s="11">
        <v>2041</v>
      </c>
      <c r="AD1122" s="11">
        <v>2041</v>
      </c>
      <c r="AE1122" s="11">
        <v>2041</v>
      </c>
      <c r="AF1122" s="11">
        <v>0</v>
      </c>
      <c r="AG1122" s="19">
        <f>ROUND((Z1122*'Data-CostAssumptions'!$G$5)*(1+'Data-CostAssumptions'!$G$3)^(AC1122-'Data-CostAssumptions'!$G$4),-3)</f>
        <v>99000</v>
      </c>
      <c r="AH1122" s="19">
        <f>ROUND((Z1122)*(1+'Data-CostAssumptions'!$G$3)^(AE1122-'Data-CostAssumptions'!$G$4),-3)</f>
        <v>449000</v>
      </c>
    </row>
    <row r="1123" spans="1:34" ht="15" customHeight="1" x14ac:dyDescent="0.2">
      <c r="A1123" s="11"/>
      <c r="B1123" s="11" t="s">
        <v>1211</v>
      </c>
      <c r="C1123" s="11">
        <v>12100</v>
      </c>
      <c r="D1123" s="84" t="s">
        <v>279</v>
      </c>
      <c r="E1123" s="14"/>
      <c r="F1123" s="14"/>
      <c r="G1123" s="20">
        <v>1122</v>
      </c>
      <c r="H1123" s="13" t="s">
        <v>2016</v>
      </c>
      <c r="I1123" s="13" t="str">
        <f t="shared" si="34"/>
        <v>College Av (SW 39th St to SW 30th St)</v>
      </c>
      <c r="J1123" s="11" t="s">
        <v>300</v>
      </c>
      <c r="K1123" s="13" t="str">
        <f>VLOOKUP(J1123,'Data-ProjectTypes'!A$3:B$13,2,FALSE)</f>
        <v>Project</v>
      </c>
      <c r="L1123" s="11" t="s">
        <v>481</v>
      </c>
      <c r="M1123" s="11" t="s">
        <v>486</v>
      </c>
      <c r="N1123" s="11" t="s">
        <v>485</v>
      </c>
      <c r="O1123" s="11"/>
      <c r="P1123" s="11"/>
      <c r="Q1123" s="15">
        <v>0.56999999999999995</v>
      </c>
      <c r="R1123" s="16">
        <v>1845990</v>
      </c>
      <c r="S1123" s="11"/>
      <c r="T1123" s="11"/>
      <c r="U1123" s="11"/>
      <c r="V1123" s="11" t="s">
        <v>489</v>
      </c>
      <c r="W1123" s="11"/>
      <c r="Z1123" s="18">
        <f>ROUND(R1123*'Data-CostAssumptions'!$C$6,-3)</f>
        <v>1846000</v>
      </c>
      <c r="AA1123" s="11">
        <f t="shared" si="35"/>
        <v>1</v>
      </c>
      <c r="AB1123" s="11">
        <v>2041</v>
      </c>
      <c r="AC1123" s="11">
        <v>2041</v>
      </c>
      <c r="AD1123" s="11">
        <v>2041</v>
      </c>
      <c r="AE1123" s="11">
        <v>2041</v>
      </c>
      <c r="AF1123" s="11">
        <v>0</v>
      </c>
      <c r="AG1123" s="19">
        <f>ROUND((Z1123*'Data-CostAssumptions'!$G$5)*(1+'Data-CostAssumptions'!$G$3)^(AC1123-'Data-CostAssumptions'!$G$4),-3)</f>
        <v>1041000</v>
      </c>
      <c r="AH1123" s="19">
        <f>ROUND((Z1123)*(1+'Data-CostAssumptions'!$G$3)^(AE1123-'Data-CostAssumptions'!$G$4),-3)</f>
        <v>4733000</v>
      </c>
    </row>
    <row r="1124" spans="1:34" ht="15" customHeight="1" x14ac:dyDescent="0.2">
      <c r="A1124" s="11"/>
      <c r="B1124" s="11" t="s">
        <v>1211</v>
      </c>
      <c r="C1124" s="11">
        <v>12101</v>
      </c>
      <c r="D1124" s="84" t="s">
        <v>279</v>
      </c>
      <c r="E1124" s="14"/>
      <c r="F1124" s="14"/>
      <c r="G1124" s="20">
        <v>1123</v>
      </c>
      <c r="H1124" s="13" t="s">
        <v>1845</v>
      </c>
      <c r="I1124" s="13" t="str">
        <f t="shared" si="34"/>
        <v>Davie Rd (SW 39th St to Nova Dr)</v>
      </c>
      <c r="J1124" s="11" t="s">
        <v>300</v>
      </c>
      <c r="K1124" s="13" t="str">
        <f>VLOOKUP(J1124,'Data-ProjectTypes'!A$3:B$13,2,FALSE)</f>
        <v>Project</v>
      </c>
      <c r="L1124" s="11" t="s">
        <v>482</v>
      </c>
      <c r="M1124" s="11" t="s">
        <v>486</v>
      </c>
      <c r="N1124" s="11" t="s">
        <v>487</v>
      </c>
      <c r="O1124" s="11"/>
      <c r="P1124" s="11"/>
      <c r="Q1124" s="15">
        <v>0.9</v>
      </c>
      <c r="R1124" s="23">
        <f>ROUND('Data-CostAssumptions'!$C$22*Q1124,-3)</f>
        <v>355000</v>
      </c>
      <c r="S1124" s="11"/>
      <c r="T1124" s="11"/>
      <c r="U1124" s="11"/>
      <c r="V1124" s="11"/>
      <c r="W1124" s="11"/>
      <c r="X1124" s="11"/>
      <c r="Z1124" s="18">
        <f>ROUND(R1124*'Data-CostAssumptions'!$C$6,-3)</f>
        <v>355000</v>
      </c>
      <c r="AA1124" s="11">
        <f t="shared" si="35"/>
        <v>0</v>
      </c>
      <c r="AB1124" s="11">
        <v>2041</v>
      </c>
      <c r="AC1124" s="11">
        <v>2041</v>
      </c>
      <c r="AD1124" s="11">
        <v>2041</v>
      </c>
      <c r="AE1124" s="11">
        <v>2041</v>
      </c>
      <c r="AF1124" s="11">
        <v>0</v>
      </c>
      <c r="AG1124" s="19">
        <f>ROUND((Z1124*'Data-CostAssumptions'!$G$5)*(1+'Data-CostAssumptions'!$G$3)^(AC1124-'Data-CostAssumptions'!$G$4),-3)</f>
        <v>200000</v>
      </c>
      <c r="AH1124" s="19">
        <f>ROUND((Z1124)*(1+'Data-CostAssumptions'!$G$3)^(AE1124-'Data-CostAssumptions'!$G$4),-3)</f>
        <v>910000</v>
      </c>
    </row>
    <row r="1125" spans="1:34" ht="15" customHeight="1" x14ac:dyDescent="0.2">
      <c r="A1125" s="11"/>
      <c r="B1125" s="11" t="s">
        <v>1211</v>
      </c>
      <c r="C1125" s="11">
        <v>12102</v>
      </c>
      <c r="D1125" s="84" t="s">
        <v>279</v>
      </c>
      <c r="E1125" s="14"/>
      <c r="F1125" s="14"/>
      <c r="G1125" s="20">
        <v>1124</v>
      </c>
      <c r="H1125" s="13" t="s">
        <v>1844</v>
      </c>
      <c r="I1125" s="13" t="str">
        <f t="shared" si="34"/>
        <v>David Rd (Orange Dr to SW 39th St)</v>
      </c>
      <c r="J1125" s="11" t="s">
        <v>300</v>
      </c>
      <c r="K1125" s="13" t="str">
        <f>VLOOKUP(J1125,'Data-ProjectTypes'!A$3:B$13,2,FALSE)</f>
        <v>Project</v>
      </c>
      <c r="L1125" s="11" t="s">
        <v>483</v>
      </c>
      <c r="M1125" s="11" t="s">
        <v>184</v>
      </c>
      <c r="N1125" s="11" t="s">
        <v>486</v>
      </c>
      <c r="O1125" s="11"/>
      <c r="P1125" s="11"/>
      <c r="Q1125" s="15">
        <v>0.5</v>
      </c>
      <c r="R1125" s="23">
        <f>ROUND('Data-CostAssumptions'!$C$22*Q1125,-3)</f>
        <v>197000</v>
      </c>
      <c r="S1125" s="11"/>
      <c r="T1125" s="11"/>
      <c r="U1125" s="11"/>
      <c r="V1125" s="11"/>
      <c r="W1125" s="11"/>
      <c r="X1125" s="11"/>
      <c r="Z1125" s="18">
        <f>ROUND(R1125*'Data-CostAssumptions'!$C$6,-3)</f>
        <v>197000</v>
      </c>
      <c r="AA1125" s="11">
        <f t="shared" si="35"/>
        <v>0</v>
      </c>
      <c r="AB1125" s="11">
        <v>2041</v>
      </c>
      <c r="AC1125" s="11">
        <v>2041</v>
      </c>
      <c r="AD1125" s="11">
        <v>2041</v>
      </c>
      <c r="AE1125" s="11">
        <v>2041</v>
      </c>
      <c r="AF1125" s="11">
        <v>0</v>
      </c>
      <c r="AG1125" s="19">
        <f>ROUND((Z1125*'Data-CostAssumptions'!$G$5)*(1+'Data-CostAssumptions'!$G$3)^(AC1125-'Data-CostAssumptions'!$G$4),-3)</f>
        <v>111000</v>
      </c>
      <c r="AH1125" s="19">
        <f>ROUND((Z1125)*(1+'Data-CostAssumptions'!$G$3)^(AE1125-'Data-CostAssumptions'!$G$4),-3)</f>
        <v>505000</v>
      </c>
    </row>
    <row r="1126" spans="1:34" ht="15" customHeight="1" x14ac:dyDescent="0.2">
      <c r="A1126" s="11"/>
      <c r="B1126" s="11" t="s">
        <v>1211</v>
      </c>
      <c r="C1126" s="11">
        <v>12150</v>
      </c>
      <c r="D1126" s="84" t="s">
        <v>289</v>
      </c>
      <c r="E1126" s="14"/>
      <c r="F1126" s="14"/>
      <c r="G1126" s="20">
        <v>1125</v>
      </c>
      <c r="H1126" s="13" t="s">
        <v>110</v>
      </c>
      <c r="I1126" s="13" t="str">
        <f t="shared" si="34"/>
        <v>SR A1A (SE 3 St. to County line)</v>
      </c>
      <c r="J1126" s="11" t="s">
        <v>300</v>
      </c>
      <c r="K1126" s="13" t="str">
        <f>VLOOKUP(J1126,'Data-ProjectTypes'!A$3:B$13,2,FALSE)</f>
        <v>Project</v>
      </c>
      <c r="L1126" s="85" t="s">
        <v>505</v>
      </c>
      <c r="M1126" s="12" t="s">
        <v>507</v>
      </c>
      <c r="N1126" s="12" t="s">
        <v>506</v>
      </c>
      <c r="O1126" s="11"/>
      <c r="P1126" s="11"/>
      <c r="Q1126" s="15">
        <v>0.84</v>
      </c>
      <c r="R1126" s="23">
        <f>ROUND(Q1126*'Data-CostAssumptions'!$C$24*Q1126,-3)</f>
        <v>6503000</v>
      </c>
      <c r="S1126" s="11"/>
      <c r="T1126" s="11"/>
      <c r="U1126" s="11"/>
      <c r="V1126" s="85" t="s">
        <v>509</v>
      </c>
      <c r="W1126" s="11"/>
      <c r="X1126" s="11" t="s">
        <v>508</v>
      </c>
      <c r="Z1126" s="18">
        <f>ROUND(R1126*'Data-CostAssumptions'!$C$7,-3)</f>
        <v>6503000</v>
      </c>
      <c r="AA1126" s="11">
        <f t="shared" si="35"/>
        <v>1</v>
      </c>
      <c r="AB1126" s="11">
        <v>2041</v>
      </c>
      <c r="AC1126" s="11">
        <v>2041</v>
      </c>
      <c r="AD1126" s="11">
        <v>2041</v>
      </c>
      <c r="AE1126" s="11">
        <v>2041</v>
      </c>
      <c r="AF1126" s="11">
        <v>0</v>
      </c>
      <c r="AG1126" s="19">
        <f>ROUND((Z1126*'Data-CostAssumptions'!$G$5)*(1+'Data-CostAssumptions'!$G$3)^(AC1126-'Data-CostAssumptions'!$G$4),-3)</f>
        <v>3668000</v>
      </c>
      <c r="AH1126" s="19">
        <f>ROUND((Z1126)*(1+'Data-CostAssumptions'!$G$3)^(AE1126-'Data-CostAssumptions'!$G$4),-3)</f>
        <v>16673000</v>
      </c>
    </row>
    <row r="1127" spans="1:34" ht="15" customHeight="1" x14ac:dyDescent="0.2">
      <c r="A1127" s="66">
        <v>4077041</v>
      </c>
      <c r="B1127" s="66" t="s">
        <v>1213</v>
      </c>
      <c r="C1127" s="66">
        <v>13043</v>
      </c>
      <c r="D1127" s="86" t="s">
        <v>1732</v>
      </c>
      <c r="E1127" s="73"/>
      <c r="F1127" s="73"/>
      <c r="G1127" s="20">
        <v>1126</v>
      </c>
      <c r="H1127" s="67" t="s">
        <v>2851</v>
      </c>
      <c r="I1127" s="67" t="str">
        <f t="shared" si="34"/>
        <v>FLL Airport ( to Extend runway 9R/27L)</v>
      </c>
      <c r="J1127" s="86" t="s">
        <v>1199</v>
      </c>
      <c r="K1127" s="67" t="str">
        <f>VLOOKUP(J1127,'Data-ProjectTypes'!A$3:B$13,2,FALSE)</f>
        <v>Program</v>
      </c>
      <c r="L1127" s="87" t="s">
        <v>2821</v>
      </c>
      <c r="M1127" s="66"/>
      <c r="N1127" s="87" t="s">
        <v>2821</v>
      </c>
      <c r="O1127" s="86" t="s">
        <v>270</v>
      </c>
      <c r="P1127" s="87" t="s">
        <v>270</v>
      </c>
      <c r="Q1127" s="74"/>
      <c r="R1127" s="70"/>
      <c r="S1127" s="11"/>
      <c r="T1127" s="11"/>
      <c r="U1127" s="11"/>
      <c r="V1127" s="11"/>
      <c r="W1127" s="11"/>
      <c r="X1127" s="11"/>
      <c r="Y1127" s="12" t="s">
        <v>1737</v>
      </c>
      <c r="Z1127" s="71">
        <f>ROUND(R1127*'Data-CostAssumptions'!$C$3,-3)</f>
        <v>0</v>
      </c>
      <c r="AA1127" s="11">
        <f t="shared" si="35"/>
        <v>0</v>
      </c>
      <c r="AB1127" s="11">
        <v>2041</v>
      </c>
      <c r="AC1127" s="11">
        <v>2041</v>
      </c>
      <c r="AD1127" s="11">
        <v>2041</v>
      </c>
      <c r="AE1127" s="11">
        <v>2041</v>
      </c>
      <c r="AF1127" s="11">
        <v>0</v>
      </c>
      <c r="AG1127" s="19">
        <f>ROUND((Z1127*'Data-CostAssumptions'!$G$5)*(1+'Data-CostAssumptions'!$G$3)^(AC1127-'Data-CostAssumptions'!$G$4),-3)</f>
        <v>0</v>
      </c>
      <c r="AH1127" s="19">
        <f>ROUND((Z1127)*(1+'Data-CostAssumptions'!$G$3)^(AE1127-'Data-CostAssumptions'!$G$4),-3)</f>
        <v>0</v>
      </c>
    </row>
    <row r="1128" spans="1:34" ht="15" customHeight="1" x14ac:dyDescent="0.2">
      <c r="A1128" s="11" t="s">
        <v>906</v>
      </c>
      <c r="B1128" s="11" t="s">
        <v>1211</v>
      </c>
      <c r="C1128" s="11">
        <v>13064</v>
      </c>
      <c r="D1128" s="84" t="s">
        <v>1732</v>
      </c>
      <c r="E1128" s="14"/>
      <c r="F1128" s="14"/>
      <c r="G1128" s="20">
        <v>1127</v>
      </c>
      <c r="H1128" s="13" t="s">
        <v>2851</v>
      </c>
      <c r="I1128" s="13" t="str">
        <f t="shared" si="34"/>
        <v>FLL Airport (Permanent In-Line Baggage System T2,T3, T4 (Construction) to )</v>
      </c>
      <c r="J1128" s="84" t="s">
        <v>1199</v>
      </c>
      <c r="K1128" s="13" t="str">
        <f>VLOOKUP(J1128,'Data-ProjectTypes'!A$3:B$13,2,FALSE)</f>
        <v>Program</v>
      </c>
      <c r="L1128" s="85" t="s">
        <v>909</v>
      </c>
      <c r="M1128" s="85" t="s">
        <v>909</v>
      </c>
      <c r="N1128" s="11"/>
      <c r="O1128" s="84" t="s">
        <v>270</v>
      </c>
      <c r="P1128" s="85" t="s">
        <v>270</v>
      </c>
      <c r="Q1128" s="15"/>
      <c r="R1128" s="16">
        <v>100000000</v>
      </c>
      <c r="S1128" s="11"/>
      <c r="T1128" s="11"/>
      <c r="U1128" s="11"/>
      <c r="V1128" s="11"/>
      <c r="W1128" s="11"/>
      <c r="X1128" s="11"/>
      <c r="Z1128" s="18">
        <f>ROUND(R1128*'Data-CostAssumptions'!$C$3,-3)</f>
        <v>138400000</v>
      </c>
      <c r="AA1128" s="11">
        <f t="shared" si="35"/>
        <v>0</v>
      </c>
      <c r="AB1128" s="11">
        <v>2041</v>
      </c>
      <c r="AC1128" s="11">
        <v>2041</v>
      </c>
      <c r="AD1128" s="11">
        <v>2041</v>
      </c>
      <c r="AE1128" s="11">
        <v>2041</v>
      </c>
      <c r="AF1128" s="11">
        <v>0</v>
      </c>
      <c r="AG1128" s="19">
        <f>ROUND((Z1128*'Data-CostAssumptions'!$G$5)*(1+'Data-CostAssumptions'!$G$3)^(AC1128-'Data-CostAssumptions'!$G$4),-3)</f>
        <v>78067000</v>
      </c>
      <c r="AH1128" s="19">
        <f>ROUND((Z1128)*(1+'Data-CostAssumptions'!$G$3)^(AE1128-'Data-CostAssumptions'!$G$4),-3)</f>
        <v>354850000</v>
      </c>
    </row>
    <row r="1129" spans="1:34" ht="15" customHeight="1" x14ac:dyDescent="0.2">
      <c r="A1129" s="11" t="s">
        <v>907</v>
      </c>
      <c r="B1129" s="11" t="s">
        <v>1211</v>
      </c>
      <c r="C1129" s="11">
        <v>13065</v>
      </c>
      <c r="D1129" s="84" t="s">
        <v>1732</v>
      </c>
      <c r="E1129" s="14"/>
      <c r="F1129" s="14"/>
      <c r="G1129" s="20">
        <v>1128</v>
      </c>
      <c r="H1129" s="13" t="s">
        <v>2851</v>
      </c>
      <c r="I1129" s="13" t="str">
        <f t="shared" si="34"/>
        <v>FLL Airport ( to Terminal 4 Apron)</v>
      </c>
      <c r="J1129" s="84" t="s">
        <v>1199</v>
      </c>
      <c r="K1129" s="13" t="str">
        <f>VLOOKUP(J1129,'Data-ProjectTypes'!A$3:B$13,2,FALSE)</f>
        <v>Program</v>
      </c>
      <c r="L1129" s="85" t="s">
        <v>910</v>
      </c>
      <c r="M1129" s="11"/>
      <c r="N1129" s="85" t="s">
        <v>910</v>
      </c>
      <c r="O1129" s="84" t="s">
        <v>270</v>
      </c>
      <c r="P1129" s="85" t="s">
        <v>270</v>
      </c>
      <c r="Q1129" s="15"/>
      <c r="R1129" s="16">
        <v>89000000</v>
      </c>
      <c r="S1129" s="11"/>
      <c r="T1129" s="11"/>
      <c r="U1129" s="11"/>
      <c r="V1129" s="11"/>
      <c r="W1129" s="11"/>
      <c r="X1129" s="11"/>
      <c r="Z1129" s="18">
        <f>ROUND(R1129*'Data-CostAssumptions'!$C$3,-3)</f>
        <v>123176000</v>
      </c>
      <c r="AA1129" s="11">
        <f t="shared" si="35"/>
        <v>0</v>
      </c>
      <c r="AB1129" s="11">
        <v>2041</v>
      </c>
      <c r="AC1129" s="11">
        <v>2041</v>
      </c>
      <c r="AD1129" s="11">
        <v>2041</v>
      </c>
      <c r="AE1129" s="11">
        <v>2041</v>
      </c>
      <c r="AF1129" s="11">
        <v>0</v>
      </c>
      <c r="AG1129" s="19">
        <f>ROUND((Z1129*'Data-CostAssumptions'!$G$5)*(1+'Data-CostAssumptions'!$G$3)^(AC1129-'Data-CostAssumptions'!$G$4),-3)</f>
        <v>69480000</v>
      </c>
      <c r="AH1129" s="19">
        <f>ROUND((Z1129)*(1+'Data-CostAssumptions'!$G$3)^(AE1129-'Data-CostAssumptions'!$G$4),-3)</f>
        <v>315817000</v>
      </c>
    </row>
    <row r="1130" spans="1:34" ht="15" customHeight="1" x14ac:dyDescent="0.2">
      <c r="A1130" s="11" t="s">
        <v>908</v>
      </c>
      <c r="B1130" s="11" t="s">
        <v>1211</v>
      </c>
      <c r="C1130" s="11">
        <v>13066</v>
      </c>
      <c r="D1130" s="84" t="s">
        <v>1732</v>
      </c>
      <c r="E1130" s="14"/>
      <c r="F1130" s="14"/>
      <c r="G1130" s="20">
        <v>1129</v>
      </c>
      <c r="H1130" s="13" t="s">
        <v>2851</v>
      </c>
      <c r="I1130" s="13" t="str">
        <f t="shared" si="34"/>
        <v>FLL Airport ( to Runway 9R/27L Extension)</v>
      </c>
      <c r="J1130" s="84" t="s">
        <v>1199</v>
      </c>
      <c r="K1130" s="13" t="str">
        <f>VLOOKUP(J1130,'Data-ProjectTypes'!A$3:B$13,2,FALSE)</f>
        <v>Program</v>
      </c>
      <c r="L1130" s="85" t="s">
        <v>911</v>
      </c>
      <c r="M1130" s="11"/>
      <c r="N1130" s="85" t="s">
        <v>911</v>
      </c>
      <c r="O1130" s="84" t="s">
        <v>270</v>
      </c>
      <c r="P1130" s="85" t="s">
        <v>270</v>
      </c>
      <c r="Q1130" s="15"/>
      <c r="R1130" s="16">
        <v>751031000</v>
      </c>
      <c r="S1130" s="11"/>
      <c r="T1130" s="11"/>
      <c r="U1130" s="11"/>
      <c r="V1130" s="11"/>
      <c r="W1130" s="11"/>
      <c r="X1130" s="38"/>
      <c r="Z1130" s="18">
        <f>ROUND(R1130*'Data-CostAssumptions'!$C$3,-3)</f>
        <v>1039427000</v>
      </c>
      <c r="AA1130" s="11">
        <f t="shared" si="35"/>
        <v>0</v>
      </c>
      <c r="AB1130" s="11">
        <v>2041</v>
      </c>
      <c r="AC1130" s="11">
        <v>2041</v>
      </c>
      <c r="AD1130" s="11">
        <v>2041</v>
      </c>
      <c r="AE1130" s="11">
        <v>2041</v>
      </c>
      <c r="AF1130" s="11">
        <v>0</v>
      </c>
      <c r="AG1130" s="19">
        <f>ROUND((Z1130*'Data-CostAssumptions'!$G$5)*(1+'Data-CostAssumptions'!$G$3)^(AC1130-'Data-CostAssumptions'!$G$4),-3)</f>
        <v>586308000</v>
      </c>
      <c r="AH1130" s="19">
        <f>ROUND((Z1130)*(1+'Data-CostAssumptions'!$G$3)^(AE1130-'Data-CostAssumptions'!$G$4),-3)</f>
        <v>2665037000</v>
      </c>
    </row>
    <row r="1131" spans="1:34" ht="15" customHeight="1" x14ac:dyDescent="0.2">
      <c r="A1131" s="66">
        <v>4258822</v>
      </c>
      <c r="B1131" s="66" t="s">
        <v>1213</v>
      </c>
      <c r="C1131" s="66">
        <v>13030</v>
      </c>
      <c r="D1131" s="86" t="s">
        <v>1732</v>
      </c>
      <c r="E1131" s="73"/>
      <c r="F1131" s="73"/>
      <c r="G1131" s="20">
        <v>1130</v>
      </c>
      <c r="H1131" s="67" t="s">
        <v>2874</v>
      </c>
      <c r="I1131" s="67" t="str">
        <f t="shared" si="34"/>
        <v>PEV Spangler Bl ( Bypass Rd to SR-5/US 1)</v>
      </c>
      <c r="J1131" s="86" t="s">
        <v>300</v>
      </c>
      <c r="K1131" s="67" t="str">
        <f>VLOOKUP(J1131,'Data-ProjectTypes'!A$3:B$13,2,FALSE)</f>
        <v>Project</v>
      </c>
      <c r="L1131" s="87" t="s">
        <v>897</v>
      </c>
      <c r="M1131" s="66" t="s">
        <v>2873</v>
      </c>
      <c r="N1131" s="66" t="s">
        <v>2872</v>
      </c>
      <c r="O1131" s="86" t="s">
        <v>270</v>
      </c>
      <c r="P1131" s="87" t="s">
        <v>270</v>
      </c>
      <c r="Q1131" s="74"/>
      <c r="R1131" s="70"/>
      <c r="S1131" s="11"/>
      <c r="T1131" s="11"/>
      <c r="U1131" s="11"/>
      <c r="V1131" s="11"/>
      <c r="W1131" s="11"/>
      <c r="X1131" s="11"/>
      <c r="Y1131" s="12" t="s">
        <v>2200</v>
      </c>
      <c r="Z1131" s="71">
        <f>ROUND(R1131*'Data-CostAssumptions'!$C$3,-3)</f>
        <v>0</v>
      </c>
      <c r="AA1131" s="11">
        <f t="shared" si="35"/>
        <v>0</v>
      </c>
      <c r="AB1131" s="11">
        <v>2041</v>
      </c>
      <c r="AC1131" s="11">
        <v>2041</v>
      </c>
      <c r="AD1131" s="11">
        <v>2041</v>
      </c>
      <c r="AE1131" s="11">
        <v>2041</v>
      </c>
      <c r="AF1131" s="11">
        <v>0</v>
      </c>
      <c r="AG1131" s="19">
        <f>ROUND((Z1131*'Data-CostAssumptions'!$G$5)*(1+'Data-CostAssumptions'!$G$3)^(AC1131-'Data-CostAssumptions'!$G$4),-3)</f>
        <v>0</v>
      </c>
      <c r="AH1131" s="19">
        <f>ROUND((Z1131)*(1+'Data-CostAssumptions'!$G$3)^(AE1131-'Data-CostAssumptions'!$G$4),-3)</f>
        <v>0</v>
      </c>
    </row>
    <row r="1132" spans="1:34" ht="15" customHeight="1" x14ac:dyDescent="0.2">
      <c r="A1132" s="66">
        <v>4208094</v>
      </c>
      <c r="B1132" s="66" t="s">
        <v>1211</v>
      </c>
      <c r="C1132" s="66">
        <v>13000</v>
      </c>
      <c r="D1132" s="86" t="s">
        <v>1732</v>
      </c>
      <c r="E1132" s="73"/>
      <c r="F1132" s="73"/>
      <c r="G1132" s="20">
        <v>1131</v>
      </c>
      <c r="H1132" s="67" t="s">
        <v>2745</v>
      </c>
      <c r="I1132" s="67" t="str">
        <f t="shared" si="34"/>
        <v>SR 862/I-595/P3/Utilities from I-75 To West of I-95 (West of I-95 to at Broward Bl)</v>
      </c>
      <c r="J1132" s="86" t="s">
        <v>300</v>
      </c>
      <c r="K1132" s="67" t="str">
        <f>VLOOKUP(J1132,'Data-ProjectTypes'!A$3:B$13,2,FALSE)</f>
        <v>Project</v>
      </c>
      <c r="L1132" s="87" t="s">
        <v>890</v>
      </c>
      <c r="M1132" s="67" t="s">
        <v>91</v>
      </c>
      <c r="N1132" s="66" t="s">
        <v>2774</v>
      </c>
      <c r="O1132" s="86" t="s">
        <v>270</v>
      </c>
      <c r="P1132" s="87" t="s">
        <v>270</v>
      </c>
      <c r="Q1132" s="74"/>
      <c r="R1132" s="70"/>
      <c r="S1132" s="11"/>
      <c r="T1132" s="11"/>
      <c r="U1132" s="11"/>
      <c r="V1132" s="11"/>
      <c r="W1132" s="11"/>
      <c r="X1132" s="11"/>
      <c r="Z1132" s="71">
        <f>ROUND(R1132*'Data-CostAssumptions'!$C$8,-3)</f>
        <v>0</v>
      </c>
      <c r="AA1132" s="11">
        <f t="shared" si="35"/>
        <v>0</v>
      </c>
      <c r="AB1132" s="11">
        <v>2041</v>
      </c>
      <c r="AC1132" s="11">
        <v>2041</v>
      </c>
      <c r="AD1132" s="11">
        <v>2041</v>
      </c>
      <c r="AE1132" s="11">
        <v>2041</v>
      </c>
      <c r="AF1132" s="11">
        <v>0</v>
      </c>
      <c r="AG1132" s="19">
        <f>ROUND((Z1132*'Data-CostAssumptions'!$G$5)*(1+'Data-CostAssumptions'!$G$3)^(AC1132-'Data-CostAssumptions'!$G$4),-3)</f>
        <v>0</v>
      </c>
      <c r="AH1132" s="19">
        <f>ROUND((Z1132)*(1+'Data-CostAssumptions'!$G$3)^(AE1132-'Data-CostAssumptions'!$G$4),-3)</f>
        <v>0</v>
      </c>
    </row>
    <row r="1133" spans="1:34" ht="15" customHeight="1" x14ac:dyDescent="0.2">
      <c r="A1133" s="66">
        <v>4111892</v>
      </c>
      <c r="B1133" s="66" t="s">
        <v>1211</v>
      </c>
      <c r="C1133" s="66">
        <v>13001</v>
      </c>
      <c r="D1133" s="86" t="s">
        <v>1732</v>
      </c>
      <c r="E1133" s="73"/>
      <c r="F1133" s="73"/>
      <c r="G1133" s="20">
        <v>1132</v>
      </c>
      <c r="H1133" s="67" t="s">
        <v>2740</v>
      </c>
      <c r="I1133" s="67" t="str">
        <f t="shared" si="34"/>
        <v>SR 862/I-595 (West to East)</v>
      </c>
      <c r="J1133" s="86" t="s">
        <v>300</v>
      </c>
      <c r="K1133" s="67" t="str">
        <f>VLOOKUP(J1133,'Data-ProjectTypes'!A$3:B$13,2,FALSE)</f>
        <v>Project</v>
      </c>
      <c r="L1133" s="87" t="s">
        <v>2754</v>
      </c>
      <c r="M1133" s="67" t="s">
        <v>2753</v>
      </c>
      <c r="N1133" s="67" t="s">
        <v>2752</v>
      </c>
      <c r="O1133" s="86"/>
      <c r="P1133" s="87"/>
      <c r="Q1133" s="74"/>
      <c r="R1133" s="70"/>
      <c r="S1133" s="11"/>
      <c r="T1133" s="11"/>
      <c r="U1133" s="11"/>
      <c r="V1133" s="11"/>
      <c r="W1133" s="11"/>
      <c r="X1133" s="11"/>
      <c r="Z1133" s="71">
        <f>ROUND(R1133*'Data-CostAssumptions'!$C$8,-3)</f>
        <v>0</v>
      </c>
      <c r="AA1133" s="11">
        <f t="shared" si="35"/>
        <v>0</v>
      </c>
      <c r="AB1133" s="11">
        <v>2041</v>
      </c>
      <c r="AC1133" s="11">
        <v>2041</v>
      </c>
      <c r="AD1133" s="11">
        <v>2041</v>
      </c>
      <c r="AE1133" s="11">
        <v>2041</v>
      </c>
      <c r="AF1133" s="11">
        <v>0</v>
      </c>
      <c r="AG1133" s="19">
        <f>ROUND((Z1133*'Data-CostAssumptions'!$G$5)*(1+'Data-CostAssumptions'!$G$3)^(AC1133-'Data-CostAssumptions'!$G$4),-3)</f>
        <v>0</v>
      </c>
      <c r="AH1133" s="19">
        <f>ROUND((Z1133)*(1+'Data-CostAssumptions'!$G$3)^(AE1133-'Data-CostAssumptions'!$G$4),-3)</f>
        <v>0</v>
      </c>
    </row>
    <row r="1134" spans="1:34" ht="15" customHeight="1" x14ac:dyDescent="0.2">
      <c r="A1134" s="66">
        <v>4208091</v>
      </c>
      <c r="B1134" s="66" t="s">
        <v>1211</v>
      </c>
      <c r="C1134" s="66">
        <v>13002</v>
      </c>
      <c r="D1134" s="86" t="s">
        <v>1732</v>
      </c>
      <c r="E1134" s="73"/>
      <c r="F1134" s="73"/>
      <c r="G1134" s="20">
        <v>1133</v>
      </c>
      <c r="H1134" s="67" t="s">
        <v>2740</v>
      </c>
      <c r="I1134" s="67" t="str">
        <f t="shared" si="34"/>
        <v>SR 862/I-595 (West of I-95 to East of I-75)</v>
      </c>
      <c r="J1134" s="86" t="s">
        <v>300</v>
      </c>
      <c r="K1134" s="67" t="str">
        <f>VLOOKUP(J1134,'Data-ProjectTypes'!A$3:B$13,2,FALSE)</f>
        <v>Project</v>
      </c>
      <c r="L1134" s="87" t="s">
        <v>892</v>
      </c>
      <c r="M1134" s="67" t="s">
        <v>91</v>
      </c>
      <c r="N1134" s="67" t="s">
        <v>92</v>
      </c>
      <c r="O1134" s="86" t="s">
        <v>270</v>
      </c>
      <c r="P1134" s="87" t="s">
        <v>270</v>
      </c>
      <c r="Q1134" s="74"/>
      <c r="R1134" s="70"/>
      <c r="S1134" s="11"/>
      <c r="T1134" s="11"/>
      <c r="U1134" s="11"/>
      <c r="V1134" s="11"/>
      <c r="W1134" s="11"/>
      <c r="X1134" s="11"/>
      <c r="Z1134" s="71">
        <f>ROUND(R1134*'Data-CostAssumptions'!$C$8,-3)</f>
        <v>0</v>
      </c>
      <c r="AA1134" s="11">
        <f t="shared" si="35"/>
        <v>0</v>
      </c>
      <c r="AB1134" s="11">
        <v>2041</v>
      </c>
      <c r="AC1134" s="11">
        <v>2041</v>
      </c>
      <c r="AD1134" s="11">
        <v>2041</v>
      </c>
      <c r="AE1134" s="11">
        <v>2041</v>
      </c>
      <c r="AF1134" s="11">
        <v>0</v>
      </c>
      <c r="AG1134" s="19">
        <f>ROUND((Z1134*'Data-CostAssumptions'!$G$5)*(1+'Data-CostAssumptions'!$G$3)^(AC1134-'Data-CostAssumptions'!$G$4),-3)</f>
        <v>0</v>
      </c>
      <c r="AH1134" s="19">
        <f>ROUND((Z1134)*(1+'Data-CostAssumptions'!$G$3)^(AE1134-'Data-CostAssumptions'!$G$4),-3)</f>
        <v>0</v>
      </c>
    </row>
    <row r="1135" spans="1:34" ht="15" customHeight="1" x14ac:dyDescent="0.2">
      <c r="A1135" s="66">
        <v>4208093</v>
      </c>
      <c r="B1135" s="66" t="s">
        <v>1211</v>
      </c>
      <c r="C1135" s="66">
        <v>13003</v>
      </c>
      <c r="D1135" s="86" t="s">
        <v>1732</v>
      </c>
      <c r="E1135" s="73"/>
      <c r="F1135" s="73"/>
      <c r="G1135" s="20">
        <v>1134</v>
      </c>
      <c r="H1135" s="67" t="s">
        <v>2740</v>
      </c>
      <c r="I1135" s="67" t="str">
        <f t="shared" si="34"/>
        <v>SR 862/I-595 (West of I-95 to East of I-75)</v>
      </c>
      <c r="J1135" s="86" t="s">
        <v>300</v>
      </c>
      <c r="K1135" s="67" t="str">
        <f>VLOOKUP(J1135,'Data-ProjectTypes'!A$3:B$13,2,FALSE)</f>
        <v>Project</v>
      </c>
      <c r="L1135" s="87" t="s">
        <v>893</v>
      </c>
      <c r="M1135" s="67" t="s">
        <v>91</v>
      </c>
      <c r="N1135" s="67" t="s">
        <v>92</v>
      </c>
      <c r="O1135" s="86" t="s">
        <v>270</v>
      </c>
      <c r="P1135" s="87" t="s">
        <v>270</v>
      </c>
      <c r="Q1135" s="74"/>
      <c r="R1135" s="70"/>
      <c r="S1135" s="11"/>
      <c r="T1135" s="11"/>
      <c r="U1135" s="11"/>
      <c r="V1135" s="11"/>
      <c r="W1135" s="11"/>
      <c r="X1135" s="11"/>
      <c r="Z1135" s="71">
        <f>ROUND(R1135*'Data-CostAssumptions'!$C$8,-3)</f>
        <v>0</v>
      </c>
      <c r="AA1135" s="11">
        <f t="shared" si="35"/>
        <v>0</v>
      </c>
      <c r="AB1135" s="11">
        <v>2041</v>
      </c>
      <c r="AC1135" s="11">
        <v>2041</v>
      </c>
      <c r="AD1135" s="11">
        <v>2041</v>
      </c>
      <c r="AE1135" s="11">
        <v>2041</v>
      </c>
      <c r="AF1135" s="11">
        <v>0</v>
      </c>
      <c r="AG1135" s="19">
        <f>ROUND((Z1135*'Data-CostAssumptions'!$G$5)*(1+'Data-CostAssumptions'!$G$3)^(AC1135-'Data-CostAssumptions'!$G$4),-3)</f>
        <v>0</v>
      </c>
      <c r="AH1135" s="19">
        <f>ROUND((Z1135)*(1+'Data-CostAssumptions'!$G$3)^(AE1135-'Data-CostAssumptions'!$G$4),-3)</f>
        <v>0</v>
      </c>
    </row>
    <row r="1136" spans="1:34" ht="15" customHeight="1" x14ac:dyDescent="0.2">
      <c r="A1136" s="66">
        <v>4208092</v>
      </c>
      <c r="B1136" s="66" t="s">
        <v>1211</v>
      </c>
      <c r="C1136" s="66">
        <v>13004</v>
      </c>
      <c r="D1136" s="86" t="s">
        <v>1732</v>
      </c>
      <c r="E1136" s="73"/>
      <c r="F1136" s="73"/>
      <c r="G1136" s="20">
        <v>1135</v>
      </c>
      <c r="H1136" s="67" t="s">
        <v>2740</v>
      </c>
      <c r="I1136" s="67" t="str">
        <f t="shared" si="34"/>
        <v>SR 862/I-595 (West of I-95 to East of I-75)</v>
      </c>
      <c r="J1136" s="86" t="s">
        <v>300</v>
      </c>
      <c r="K1136" s="67" t="str">
        <f>VLOOKUP(J1136,'Data-ProjectTypes'!A$3:B$13,2,FALSE)</f>
        <v>Project</v>
      </c>
      <c r="L1136" s="87" t="s">
        <v>2749</v>
      </c>
      <c r="M1136" s="67" t="s">
        <v>91</v>
      </c>
      <c r="N1136" s="67" t="s">
        <v>92</v>
      </c>
      <c r="O1136" s="86" t="s">
        <v>270</v>
      </c>
      <c r="P1136" s="87" t="s">
        <v>270</v>
      </c>
      <c r="Q1136" s="74"/>
      <c r="R1136" s="70"/>
      <c r="S1136" s="11"/>
      <c r="T1136" s="11"/>
      <c r="U1136" s="11"/>
      <c r="V1136" s="11"/>
      <c r="W1136" s="11"/>
      <c r="X1136" s="11"/>
      <c r="Z1136" s="71">
        <f>ROUND(R1136*'Data-CostAssumptions'!$C$8,-3)</f>
        <v>0</v>
      </c>
      <c r="AA1136" s="11">
        <f t="shared" si="35"/>
        <v>0</v>
      </c>
      <c r="AB1136" s="11">
        <v>2041</v>
      </c>
      <c r="AC1136" s="11">
        <v>2041</v>
      </c>
      <c r="AD1136" s="11">
        <v>2041</v>
      </c>
      <c r="AE1136" s="11">
        <v>2041</v>
      </c>
      <c r="AF1136" s="11">
        <v>0</v>
      </c>
      <c r="AG1136" s="19">
        <f>ROUND((Z1136*'Data-CostAssumptions'!$G$5)*(1+'Data-CostAssumptions'!$G$3)^(AC1136-'Data-CostAssumptions'!$G$4),-3)</f>
        <v>0</v>
      </c>
      <c r="AH1136" s="19">
        <f>ROUND((Z1136)*(1+'Data-CostAssumptions'!$G$3)^(AE1136-'Data-CostAssumptions'!$G$4),-3)</f>
        <v>0</v>
      </c>
    </row>
    <row r="1137" spans="1:34" ht="15" customHeight="1" x14ac:dyDescent="0.2">
      <c r="A1137" s="66">
        <v>4208095</v>
      </c>
      <c r="B1137" s="66" t="s">
        <v>1211</v>
      </c>
      <c r="C1137" s="66">
        <v>13005</v>
      </c>
      <c r="D1137" s="86" t="s">
        <v>1732</v>
      </c>
      <c r="E1137" s="73"/>
      <c r="F1137" s="73"/>
      <c r="G1137" s="20">
        <v>1136</v>
      </c>
      <c r="H1137" s="67" t="s">
        <v>2740</v>
      </c>
      <c r="I1137" s="67" t="str">
        <f t="shared" si="34"/>
        <v>SR 862/I-595 (West of I-95 to East of I-75)</v>
      </c>
      <c r="J1137" s="86" t="s">
        <v>300</v>
      </c>
      <c r="K1137" s="67" t="str">
        <f>VLOOKUP(J1137,'Data-ProjectTypes'!A$3:B$13,2,FALSE)</f>
        <v>Project</v>
      </c>
      <c r="L1137" s="87" t="s">
        <v>2750</v>
      </c>
      <c r="M1137" s="67" t="s">
        <v>91</v>
      </c>
      <c r="N1137" s="67" t="s">
        <v>92</v>
      </c>
      <c r="O1137" s="86" t="s">
        <v>270</v>
      </c>
      <c r="P1137" s="87" t="s">
        <v>270</v>
      </c>
      <c r="Q1137" s="74"/>
      <c r="R1137" s="70"/>
      <c r="S1137" s="11"/>
      <c r="T1137" s="11"/>
      <c r="U1137" s="11"/>
      <c r="V1137" s="11"/>
      <c r="W1137" s="11"/>
      <c r="X1137" s="11"/>
      <c r="Z1137" s="71">
        <f>ROUND(R1137*'Data-CostAssumptions'!$C$8,-3)</f>
        <v>0</v>
      </c>
      <c r="AA1137" s="11">
        <f t="shared" si="35"/>
        <v>0</v>
      </c>
      <c r="AB1137" s="11">
        <v>2041</v>
      </c>
      <c r="AC1137" s="11">
        <v>2041</v>
      </c>
      <c r="AD1137" s="11">
        <v>2041</v>
      </c>
      <c r="AE1137" s="11">
        <v>2041</v>
      </c>
      <c r="AF1137" s="11">
        <v>0</v>
      </c>
      <c r="AG1137" s="19">
        <f>ROUND((Z1137*'Data-CostAssumptions'!$G$5)*(1+'Data-CostAssumptions'!$G$3)^(AC1137-'Data-CostAssumptions'!$G$4),-3)</f>
        <v>0</v>
      </c>
      <c r="AH1137" s="19">
        <f>ROUND((Z1137)*(1+'Data-CostAssumptions'!$G$3)^(AE1137-'Data-CostAssumptions'!$G$4),-3)</f>
        <v>0</v>
      </c>
    </row>
    <row r="1138" spans="1:34" ht="15" customHeight="1" x14ac:dyDescent="0.2">
      <c r="A1138" s="66">
        <v>4218542</v>
      </c>
      <c r="B1138" s="66" t="s">
        <v>1211</v>
      </c>
      <c r="C1138" s="66">
        <v>13006</v>
      </c>
      <c r="D1138" s="86" t="s">
        <v>1732</v>
      </c>
      <c r="E1138" s="73"/>
      <c r="F1138" s="73"/>
      <c r="G1138" s="20">
        <v>1137</v>
      </c>
      <c r="H1138" s="67" t="s">
        <v>2740</v>
      </c>
      <c r="I1138" s="67" t="str">
        <f t="shared" si="34"/>
        <v>SR 862/I-595 (West of I-95 to East of I-75)</v>
      </c>
      <c r="J1138" s="86" t="s">
        <v>300</v>
      </c>
      <c r="K1138" s="67" t="str">
        <f>VLOOKUP(J1138,'Data-ProjectTypes'!A$3:B$13,2,FALSE)</f>
        <v>Project</v>
      </c>
      <c r="L1138" s="87" t="s">
        <v>2751</v>
      </c>
      <c r="M1138" s="67" t="s">
        <v>91</v>
      </c>
      <c r="N1138" s="67" t="s">
        <v>92</v>
      </c>
      <c r="O1138" s="86" t="s">
        <v>270</v>
      </c>
      <c r="P1138" s="87" t="s">
        <v>270</v>
      </c>
      <c r="Q1138" s="74"/>
      <c r="R1138" s="70"/>
      <c r="S1138" s="11"/>
      <c r="T1138" s="11"/>
      <c r="U1138" s="11"/>
      <c r="V1138" s="11"/>
      <c r="W1138" s="11"/>
      <c r="X1138" s="11"/>
      <c r="Z1138" s="71">
        <f>ROUND(R1138*'Data-CostAssumptions'!$C$8,-3)</f>
        <v>0</v>
      </c>
      <c r="AA1138" s="11">
        <f t="shared" si="35"/>
        <v>0</v>
      </c>
      <c r="AB1138" s="11">
        <v>2041</v>
      </c>
      <c r="AC1138" s="11">
        <v>2041</v>
      </c>
      <c r="AD1138" s="11">
        <v>2041</v>
      </c>
      <c r="AE1138" s="11">
        <v>2041</v>
      </c>
      <c r="AF1138" s="11">
        <v>0</v>
      </c>
      <c r="AG1138" s="19">
        <f>ROUND((Z1138*'Data-CostAssumptions'!$G$5)*(1+'Data-CostAssumptions'!$G$3)^(AC1138-'Data-CostAssumptions'!$G$4),-3)</f>
        <v>0</v>
      </c>
      <c r="AH1138" s="19">
        <f>ROUND((Z1138)*(1+'Data-CostAssumptions'!$G$3)^(AE1138-'Data-CostAssumptions'!$G$4),-3)</f>
        <v>0</v>
      </c>
    </row>
    <row r="1139" spans="1:34" ht="15" customHeight="1" x14ac:dyDescent="0.2">
      <c r="A1139" s="66">
        <v>4327091</v>
      </c>
      <c r="B1139" s="66" t="s">
        <v>1211</v>
      </c>
      <c r="C1139" s="66">
        <v>13007</v>
      </c>
      <c r="D1139" s="86" t="s">
        <v>1732</v>
      </c>
      <c r="E1139" s="73"/>
      <c r="F1139" s="73"/>
      <c r="G1139" s="20">
        <v>1138</v>
      </c>
      <c r="H1139" s="67" t="s">
        <v>2805</v>
      </c>
      <c r="I1139" s="67" t="str">
        <f t="shared" si="34"/>
        <v>SR 93/I-75 (@  Griffin Rd)</v>
      </c>
      <c r="J1139" s="86" t="s">
        <v>300</v>
      </c>
      <c r="K1139" s="67" t="str">
        <f>VLOOKUP(J1139,'Data-ProjectTypes'!A$3:B$13,2,FALSE)</f>
        <v>Project</v>
      </c>
      <c r="L1139" s="87" t="s">
        <v>894</v>
      </c>
      <c r="M1139" s="87" t="s">
        <v>2835</v>
      </c>
      <c r="N1139" s="66" t="s">
        <v>1750</v>
      </c>
      <c r="O1139" s="86" t="s">
        <v>270</v>
      </c>
      <c r="P1139" s="87" t="s">
        <v>270</v>
      </c>
      <c r="Q1139" s="74"/>
      <c r="R1139" s="70"/>
      <c r="S1139" s="11"/>
      <c r="T1139" s="11"/>
      <c r="U1139" s="11"/>
      <c r="V1139" s="11"/>
      <c r="W1139" s="11"/>
      <c r="X1139" s="11"/>
      <c r="Z1139" s="71">
        <f>ROUND(R1139*'Data-CostAssumptions'!$C$8,-3)</f>
        <v>0</v>
      </c>
      <c r="AA1139" s="11">
        <f t="shared" si="35"/>
        <v>0</v>
      </c>
      <c r="AB1139" s="11">
        <v>2041</v>
      </c>
      <c r="AC1139" s="11">
        <v>2041</v>
      </c>
      <c r="AD1139" s="11">
        <v>2041</v>
      </c>
      <c r="AE1139" s="11">
        <v>2041</v>
      </c>
      <c r="AF1139" s="11">
        <v>0</v>
      </c>
      <c r="AG1139" s="19">
        <f>ROUND((Z1139*'Data-CostAssumptions'!$G$5)*(1+'Data-CostAssumptions'!$G$3)^(AC1139-'Data-CostAssumptions'!$G$4),-3)</f>
        <v>0</v>
      </c>
      <c r="AH1139" s="19">
        <f>ROUND((Z1139)*(1+'Data-CostAssumptions'!$G$3)^(AE1139-'Data-CostAssumptions'!$G$4),-3)</f>
        <v>0</v>
      </c>
    </row>
    <row r="1140" spans="1:34" ht="15" customHeight="1" x14ac:dyDescent="0.2">
      <c r="A1140" s="66">
        <v>4327101</v>
      </c>
      <c r="B1140" s="66" t="s">
        <v>1211</v>
      </c>
      <c r="C1140" s="66">
        <v>13008</v>
      </c>
      <c r="D1140" s="86" t="s">
        <v>1732</v>
      </c>
      <c r="E1140" s="73"/>
      <c r="F1140" s="73"/>
      <c r="G1140" s="20">
        <v>1139</v>
      </c>
      <c r="H1140" s="67" t="s">
        <v>2805</v>
      </c>
      <c r="I1140" s="67" t="str">
        <f t="shared" si="34"/>
        <v>SR 93/I-75 (@  Griffin Rd)</v>
      </c>
      <c r="J1140" s="86" t="s">
        <v>300</v>
      </c>
      <c r="K1140" s="67" t="str">
        <f>VLOOKUP(J1140,'Data-ProjectTypes'!A$3:B$13,2,FALSE)</f>
        <v>Project</v>
      </c>
      <c r="L1140" s="87" t="s">
        <v>894</v>
      </c>
      <c r="M1140" s="87" t="s">
        <v>2835</v>
      </c>
      <c r="N1140" s="66" t="s">
        <v>1750</v>
      </c>
      <c r="O1140" s="86" t="s">
        <v>270</v>
      </c>
      <c r="P1140" s="87" t="s">
        <v>270</v>
      </c>
      <c r="Q1140" s="74"/>
      <c r="R1140" s="70"/>
      <c r="S1140" s="11"/>
      <c r="T1140" s="11"/>
      <c r="U1140" s="11"/>
      <c r="V1140" s="11"/>
      <c r="W1140" s="11"/>
      <c r="X1140" s="11"/>
      <c r="Z1140" s="71">
        <f>ROUND(R1140*'Data-CostAssumptions'!$C$8,-3)</f>
        <v>0</v>
      </c>
      <c r="AA1140" s="11">
        <f t="shared" si="35"/>
        <v>0</v>
      </c>
      <c r="AB1140" s="11">
        <v>2041</v>
      </c>
      <c r="AC1140" s="11">
        <v>2041</v>
      </c>
      <c r="AD1140" s="11">
        <v>2041</v>
      </c>
      <c r="AE1140" s="11">
        <v>2041</v>
      </c>
      <c r="AF1140" s="11">
        <v>0</v>
      </c>
      <c r="AG1140" s="19">
        <f>ROUND((Z1140*'Data-CostAssumptions'!$G$5)*(1+'Data-CostAssumptions'!$G$3)^(AC1140-'Data-CostAssumptions'!$G$4),-3)</f>
        <v>0</v>
      </c>
      <c r="AH1140" s="19">
        <f>ROUND((Z1140)*(1+'Data-CostAssumptions'!$G$3)^(AE1140-'Data-CostAssumptions'!$G$4),-3)</f>
        <v>0</v>
      </c>
    </row>
    <row r="1141" spans="1:34" ht="15" customHeight="1" x14ac:dyDescent="0.2">
      <c r="A1141" s="66">
        <v>4327111</v>
      </c>
      <c r="B1141" s="66" t="s">
        <v>1211</v>
      </c>
      <c r="C1141" s="66">
        <v>13009</v>
      </c>
      <c r="D1141" s="86" t="s">
        <v>1732</v>
      </c>
      <c r="E1141" s="73"/>
      <c r="F1141" s="73"/>
      <c r="G1141" s="20">
        <v>1140</v>
      </c>
      <c r="H1141" s="67" t="s">
        <v>2805</v>
      </c>
      <c r="I1141" s="67" t="str">
        <f t="shared" si="34"/>
        <v>SR 93/I-75 (@  Sheridan St)</v>
      </c>
      <c r="J1141" s="86" t="s">
        <v>300</v>
      </c>
      <c r="K1141" s="67" t="str">
        <f>VLOOKUP(J1141,'Data-ProjectTypes'!A$3:B$13,2,FALSE)</f>
        <v>Project</v>
      </c>
      <c r="L1141" s="87" t="s">
        <v>894</v>
      </c>
      <c r="M1141" s="87" t="s">
        <v>2835</v>
      </c>
      <c r="N1141" s="66" t="s">
        <v>1951</v>
      </c>
      <c r="O1141" s="86" t="s">
        <v>270</v>
      </c>
      <c r="P1141" s="87" t="s">
        <v>270</v>
      </c>
      <c r="Q1141" s="74"/>
      <c r="R1141" s="70"/>
      <c r="S1141" s="11"/>
      <c r="T1141" s="11"/>
      <c r="U1141" s="11"/>
      <c r="V1141" s="11"/>
      <c r="W1141" s="11"/>
      <c r="X1141" s="11"/>
      <c r="Z1141" s="71">
        <f>ROUND(R1141*'Data-CostAssumptions'!$C$8,-3)</f>
        <v>0</v>
      </c>
      <c r="AA1141" s="11">
        <f t="shared" si="35"/>
        <v>0</v>
      </c>
      <c r="AB1141" s="11">
        <v>2041</v>
      </c>
      <c r="AC1141" s="11">
        <v>2041</v>
      </c>
      <c r="AD1141" s="11">
        <v>2041</v>
      </c>
      <c r="AE1141" s="11">
        <v>2041</v>
      </c>
      <c r="AF1141" s="11">
        <v>0</v>
      </c>
      <c r="AG1141" s="19">
        <f>ROUND((Z1141*'Data-CostAssumptions'!$G$5)*(1+'Data-CostAssumptions'!$G$3)^(AC1141-'Data-CostAssumptions'!$G$4),-3)</f>
        <v>0</v>
      </c>
      <c r="AH1141" s="19">
        <f>ROUND((Z1141)*(1+'Data-CostAssumptions'!$G$3)^(AE1141-'Data-CostAssumptions'!$G$4),-3)</f>
        <v>0</v>
      </c>
    </row>
    <row r="1142" spans="1:34" ht="15" customHeight="1" x14ac:dyDescent="0.2">
      <c r="A1142" s="66">
        <v>4093591</v>
      </c>
      <c r="B1142" s="66" t="s">
        <v>1211</v>
      </c>
      <c r="C1142" s="66">
        <v>13010</v>
      </c>
      <c r="D1142" s="86" t="s">
        <v>1732</v>
      </c>
      <c r="E1142" s="73"/>
      <c r="F1142" s="73"/>
      <c r="G1142" s="20">
        <v>1141</v>
      </c>
      <c r="H1142" s="67" t="s">
        <v>1445</v>
      </c>
      <c r="I1142" s="67" t="str">
        <f t="shared" si="34"/>
        <v>SR 9/I-95 (PALM BCH C/L to OAKLAND PARK BLD)</v>
      </c>
      <c r="J1142" s="86" t="s">
        <v>300</v>
      </c>
      <c r="K1142" s="67" t="str">
        <f>VLOOKUP(J1142,'Data-ProjectTypes'!A$3:B$13,2,FALSE)</f>
        <v>Project</v>
      </c>
      <c r="L1142" s="87" t="s">
        <v>891</v>
      </c>
      <c r="M1142" s="67" t="s">
        <v>2772</v>
      </c>
      <c r="N1142" s="67" t="s">
        <v>2747</v>
      </c>
      <c r="O1142" s="86" t="s">
        <v>270</v>
      </c>
      <c r="P1142" s="87" t="s">
        <v>270</v>
      </c>
      <c r="Q1142" s="74"/>
      <c r="R1142" s="70"/>
      <c r="S1142" s="11"/>
      <c r="T1142" s="11"/>
      <c r="U1142" s="11"/>
      <c r="V1142" s="11"/>
      <c r="W1142" s="11"/>
      <c r="X1142" s="11"/>
      <c r="Z1142" s="71">
        <f>ROUND(R1142*'Data-CostAssumptions'!$C$8,-3)</f>
        <v>0</v>
      </c>
      <c r="AA1142" s="11">
        <f t="shared" si="35"/>
        <v>0</v>
      </c>
      <c r="AB1142" s="11">
        <v>2041</v>
      </c>
      <c r="AC1142" s="11">
        <v>2041</v>
      </c>
      <c r="AD1142" s="11">
        <v>2041</v>
      </c>
      <c r="AE1142" s="11">
        <v>2041</v>
      </c>
      <c r="AF1142" s="11">
        <v>0</v>
      </c>
      <c r="AG1142" s="19">
        <f>ROUND((Z1142*'Data-CostAssumptions'!$G$5)*(1+'Data-CostAssumptions'!$G$3)^(AC1142-'Data-CostAssumptions'!$G$4),-3)</f>
        <v>0</v>
      </c>
      <c r="AH1142" s="19">
        <f>ROUND((Z1142)*(1+'Data-CostAssumptions'!$G$3)^(AE1142-'Data-CostAssumptions'!$G$4),-3)</f>
        <v>0</v>
      </c>
    </row>
    <row r="1143" spans="1:34" ht="15" customHeight="1" x14ac:dyDescent="0.2">
      <c r="A1143" s="66">
        <v>4093592</v>
      </c>
      <c r="B1143" s="66" t="s">
        <v>1211</v>
      </c>
      <c r="C1143" s="66">
        <v>13011</v>
      </c>
      <c r="D1143" s="86" t="s">
        <v>1732</v>
      </c>
      <c r="E1143" s="73"/>
      <c r="F1143" s="73"/>
      <c r="G1143" s="20">
        <v>1142</v>
      </c>
      <c r="H1143" s="67" t="s">
        <v>1445</v>
      </c>
      <c r="I1143" s="67" t="str">
        <f t="shared" si="34"/>
        <v>SR 9/I-95 (S OF ATLANTIC Bl to N OF OAKLAND PARK BL)</v>
      </c>
      <c r="J1143" s="86" t="s">
        <v>300</v>
      </c>
      <c r="K1143" s="67" t="str">
        <f>VLOOKUP(J1143,'Data-ProjectTypes'!A$3:B$13,2,FALSE)</f>
        <v>Project</v>
      </c>
      <c r="L1143" s="87" t="s">
        <v>317</v>
      </c>
      <c r="M1143" s="67" t="s">
        <v>2748</v>
      </c>
      <c r="N1143" s="67" t="s">
        <v>2746</v>
      </c>
      <c r="O1143" s="86" t="s">
        <v>270</v>
      </c>
      <c r="P1143" s="87" t="s">
        <v>270</v>
      </c>
      <c r="Q1143" s="74"/>
      <c r="R1143" s="70"/>
      <c r="S1143" s="11"/>
      <c r="T1143" s="11"/>
      <c r="U1143" s="11"/>
      <c r="V1143" s="11"/>
      <c r="W1143" s="11"/>
      <c r="X1143" s="11"/>
      <c r="Z1143" s="71">
        <f>ROUND(R1143*'Data-CostAssumptions'!$C$8,-3)</f>
        <v>0</v>
      </c>
      <c r="AA1143" s="11">
        <f t="shared" si="35"/>
        <v>0</v>
      </c>
      <c r="AB1143" s="11">
        <v>2041</v>
      </c>
      <c r="AC1143" s="11">
        <v>2041</v>
      </c>
      <c r="AD1143" s="11">
        <v>2041</v>
      </c>
      <c r="AE1143" s="11">
        <v>2041</v>
      </c>
      <c r="AF1143" s="11">
        <v>0</v>
      </c>
      <c r="AG1143" s="19">
        <f>ROUND((Z1143*'Data-CostAssumptions'!$G$5)*(1+'Data-CostAssumptions'!$G$3)^(AC1143-'Data-CostAssumptions'!$G$4),-3)</f>
        <v>0</v>
      </c>
      <c r="AH1143" s="19">
        <f>ROUND((Z1143)*(1+'Data-CostAssumptions'!$G$3)^(AE1143-'Data-CostAssumptions'!$G$4),-3)</f>
        <v>0</v>
      </c>
    </row>
    <row r="1144" spans="1:34" ht="15" customHeight="1" x14ac:dyDescent="0.2">
      <c r="A1144" s="66">
        <v>4093593</v>
      </c>
      <c r="B1144" s="66" t="s">
        <v>1211</v>
      </c>
      <c r="C1144" s="66">
        <v>13012</v>
      </c>
      <c r="D1144" s="86" t="s">
        <v>1732</v>
      </c>
      <c r="E1144" s="73"/>
      <c r="F1144" s="73"/>
      <c r="G1144" s="20">
        <v>1143</v>
      </c>
      <c r="H1144" s="67" t="s">
        <v>1445</v>
      </c>
      <c r="I1144" s="67" t="str">
        <f t="shared" si="34"/>
        <v>SR 9/I-95 (S OF SAMPLE Rd to S OF ATLANTIC Bl)</v>
      </c>
      <c r="J1144" s="86" t="s">
        <v>300</v>
      </c>
      <c r="K1144" s="67" t="str">
        <f>VLOOKUP(J1144,'Data-ProjectTypes'!A$3:B$13,2,FALSE)</f>
        <v>Project</v>
      </c>
      <c r="L1144" s="87" t="s">
        <v>317</v>
      </c>
      <c r="M1144" s="67" t="s">
        <v>2773</v>
      </c>
      <c r="N1144" s="67" t="s">
        <v>2748</v>
      </c>
      <c r="O1144" s="86" t="s">
        <v>270</v>
      </c>
      <c r="P1144" s="87" t="s">
        <v>270</v>
      </c>
      <c r="Q1144" s="74"/>
      <c r="R1144" s="70"/>
      <c r="S1144" s="11"/>
      <c r="T1144" s="11"/>
      <c r="U1144" s="11"/>
      <c r="V1144" s="11"/>
      <c r="W1144" s="11"/>
      <c r="X1144" s="11"/>
      <c r="Z1144" s="71">
        <f>ROUND(R1144*'Data-CostAssumptions'!$C$8,-3)</f>
        <v>0</v>
      </c>
      <c r="AA1144" s="11">
        <f t="shared" si="35"/>
        <v>0</v>
      </c>
      <c r="AB1144" s="11">
        <v>2041</v>
      </c>
      <c r="AC1144" s="11">
        <v>2041</v>
      </c>
      <c r="AD1144" s="11">
        <v>2041</v>
      </c>
      <c r="AE1144" s="11">
        <v>2041</v>
      </c>
      <c r="AF1144" s="11">
        <v>0</v>
      </c>
      <c r="AG1144" s="19">
        <f>ROUND((Z1144*'Data-CostAssumptions'!$G$5)*(1+'Data-CostAssumptions'!$G$3)^(AC1144-'Data-CostAssumptions'!$G$4),-3)</f>
        <v>0</v>
      </c>
      <c r="AH1144" s="19">
        <f>ROUND((Z1144)*(1+'Data-CostAssumptions'!$G$3)^(AE1144-'Data-CostAssumptions'!$G$4),-3)</f>
        <v>0</v>
      </c>
    </row>
    <row r="1145" spans="1:34" ht="15" customHeight="1" x14ac:dyDescent="0.2">
      <c r="A1145" s="66">
        <v>4093594</v>
      </c>
      <c r="B1145" s="66" t="s">
        <v>1211</v>
      </c>
      <c r="C1145" s="66">
        <v>13013</v>
      </c>
      <c r="D1145" s="86" t="s">
        <v>1732</v>
      </c>
      <c r="E1145" s="73"/>
      <c r="F1145" s="73"/>
      <c r="G1145" s="20">
        <v>1144</v>
      </c>
      <c r="H1145" s="67" t="s">
        <v>1445</v>
      </c>
      <c r="I1145" s="67" t="str">
        <f t="shared" si="34"/>
        <v>SR 9/I-95 ( to )</v>
      </c>
      <c r="J1145" s="86" t="s">
        <v>300</v>
      </c>
      <c r="K1145" s="67" t="str">
        <f>VLOOKUP(J1145,'Data-ProjectTypes'!A$3:B$13,2,FALSE)</f>
        <v>Project</v>
      </c>
      <c r="L1145" s="87" t="s">
        <v>317</v>
      </c>
      <c r="M1145" s="66"/>
      <c r="N1145" s="66"/>
      <c r="O1145" s="86" t="s">
        <v>270</v>
      </c>
      <c r="P1145" s="87" t="s">
        <v>270</v>
      </c>
      <c r="Q1145" s="74"/>
      <c r="R1145" s="70"/>
      <c r="S1145" s="11"/>
      <c r="T1145" s="11"/>
      <c r="U1145" s="11"/>
      <c r="V1145" s="11"/>
      <c r="W1145" s="11"/>
      <c r="X1145" s="11"/>
      <c r="Z1145" s="71">
        <f>ROUND(R1145*'Data-CostAssumptions'!$C$8,-3)</f>
        <v>0</v>
      </c>
      <c r="AA1145" s="11">
        <f t="shared" si="35"/>
        <v>0</v>
      </c>
      <c r="AB1145" s="11">
        <v>2041</v>
      </c>
      <c r="AC1145" s="11">
        <v>2041</v>
      </c>
      <c r="AD1145" s="11">
        <v>2041</v>
      </c>
      <c r="AE1145" s="11">
        <v>2041</v>
      </c>
      <c r="AF1145" s="11">
        <v>0</v>
      </c>
      <c r="AG1145" s="19">
        <f>ROUND((Z1145*'Data-CostAssumptions'!$G$5)*(1+'Data-CostAssumptions'!$G$3)^(AC1145-'Data-CostAssumptions'!$G$4),-3)</f>
        <v>0</v>
      </c>
      <c r="AH1145" s="19">
        <f>ROUND((Z1145)*(1+'Data-CostAssumptions'!$G$3)^(AE1145-'Data-CostAssumptions'!$G$4),-3)</f>
        <v>0</v>
      </c>
    </row>
    <row r="1146" spans="1:34" ht="15" customHeight="1" x14ac:dyDescent="0.2">
      <c r="A1146" s="66">
        <v>4247641</v>
      </c>
      <c r="B1146" s="66" t="s">
        <v>1211</v>
      </c>
      <c r="C1146" s="66">
        <v>13014</v>
      </c>
      <c r="D1146" s="86" t="s">
        <v>1732</v>
      </c>
      <c r="E1146" s="73"/>
      <c r="F1146" s="73"/>
      <c r="G1146" s="20">
        <v>1145</v>
      </c>
      <c r="H1146" s="67" t="s">
        <v>1445</v>
      </c>
      <c r="I1146" s="67" t="str">
        <f t="shared" si="34"/>
        <v>SR 9/I-95 (BROWARD/PALM BCH CO/L to GRIFFIN RD)</v>
      </c>
      <c r="J1146" s="86" t="s">
        <v>300</v>
      </c>
      <c r="K1146" s="67" t="str">
        <f>VLOOKUP(J1146,'Data-ProjectTypes'!A$3:B$13,2,FALSE)</f>
        <v>Project</v>
      </c>
      <c r="L1146" s="87" t="s">
        <v>891</v>
      </c>
      <c r="M1146" s="67" t="s">
        <v>2767</v>
      </c>
      <c r="N1146" s="67" t="s">
        <v>2766</v>
      </c>
      <c r="O1146" s="86" t="s">
        <v>270</v>
      </c>
      <c r="P1146" s="87" t="s">
        <v>270</v>
      </c>
      <c r="Q1146" s="74"/>
      <c r="R1146" s="70"/>
      <c r="S1146" s="11"/>
      <c r="T1146" s="11"/>
      <c r="U1146" s="11"/>
      <c r="V1146" s="11"/>
      <c r="W1146" s="11"/>
      <c r="X1146" s="11"/>
      <c r="Z1146" s="71">
        <f>ROUND(R1146*'Data-CostAssumptions'!$C$8,-3)</f>
        <v>0</v>
      </c>
      <c r="AA1146" s="11">
        <f t="shared" si="35"/>
        <v>0</v>
      </c>
      <c r="AB1146" s="11">
        <v>2041</v>
      </c>
      <c r="AC1146" s="11">
        <v>2041</v>
      </c>
      <c r="AD1146" s="11">
        <v>2041</v>
      </c>
      <c r="AE1146" s="11">
        <v>2041</v>
      </c>
      <c r="AF1146" s="11">
        <v>0</v>
      </c>
      <c r="AG1146" s="19">
        <f>ROUND((Z1146*'Data-CostAssumptions'!$G$5)*(1+'Data-CostAssumptions'!$G$3)^(AC1146-'Data-CostAssumptions'!$G$4),-3)</f>
        <v>0</v>
      </c>
      <c r="AH1146" s="19">
        <f>ROUND((Z1146)*(1+'Data-CostAssumptions'!$G$3)^(AE1146-'Data-CostAssumptions'!$G$4),-3)</f>
        <v>0</v>
      </c>
    </row>
    <row r="1147" spans="1:34" ht="15" customHeight="1" x14ac:dyDescent="0.2">
      <c r="A1147" s="66">
        <v>4259281</v>
      </c>
      <c r="B1147" s="66" t="s">
        <v>1211</v>
      </c>
      <c r="C1147" s="66">
        <v>13015</v>
      </c>
      <c r="D1147" s="86" t="s">
        <v>1732</v>
      </c>
      <c r="E1147" s="73"/>
      <c r="F1147" s="73"/>
      <c r="G1147" s="20">
        <v>1146</v>
      </c>
      <c r="H1147" s="67" t="s">
        <v>1445</v>
      </c>
      <c r="I1147" s="67" t="str">
        <f t="shared" si="34"/>
        <v>SR 9/I-95 (SR 842/BROWARD Bl to MIAMI-DADE/BROWARD)</v>
      </c>
      <c r="J1147" s="86" t="s">
        <v>300</v>
      </c>
      <c r="K1147" s="67" t="str">
        <f>VLOOKUP(J1147,'Data-ProjectTypes'!A$3:B$13,2,FALSE)</f>
        <v>Project</v>
      </c>
      <c r="L1147" s="87" t="s">
        <v>891</v>
      </c>
      <c r="M1147" s="67" t="s">
        <v>2769</v>
      </c>
      <c r="N1147" s="67" t="s">
        <v>2768</v>
      </c>
      <c r="O1147" s="86" t="s">
        <v>270</v>
      </c>
      <c r="P1147" s="87" t="s">
        <v>270</v>
      </c>
      <c r="Q1147" s="74"/>
      <c r="R1147" s="70"/>
      <c r="S1147" s="11"/>
      <c r="T1147" s="11"/>
      <c r="U1147" s="11"/>
      <c r="V1147" s="11"/>
      <c r="W1147" s="11"/>
      <c r="X1147" s="11"/>
      <c r="Z1147" s="71">
        <f>ROUND(R1147*'Data-CostAssumptions'!$C$8,-3)</f>
        <v>0</v>
      </c>
      <c r="AA1147" s="11">
        <f t="shared" si="35"/>
        <v>0</v>
      </c>
      <c r="AB1147" s="11">
        <v>2041</v>
      </c>
      <c r="AC1147" s="11">
        <v>2041</v>
      </c>
      <c r="AD1147" s="11">
        <v>2041</v>
      </c>
      <c r="AE1147" s="11">
        <v>2041</v>
      </c>
      <c r="AF1147" s="11">
        <v>0</v>
      </c>
      <c r="AG1147" s="19">
        <f>ROUND((Z1147*'Data-CostAssumptions'!$G$5)*(1+'Data-CostAssumptions'!$G$3)^(AC1147-'Data-CostAssumptions'!$G$4),-3)</f>
        <v>0</v>
      </c>
      <c r="AH1147" s="19">
        <f>ROUND((Z1147)*(1+'Data-CostAssumptions'!$G$3)^(AE1147-'Data-CostAssumptions'!$G$4),-3)</f>
        <v>0</v>
      </c>
    </row>
    <row r="1148" spans="1:34" ht="15" customHeight="1" x14ac:dyDescent="0.2">
      <c r="A1148" s="66">
        <v>4298041</v>
      </c>
      <c r="B1148" s="66" t="s">
        <v>1211</v>
      </c>
      <c r="C1148" s="66">
        <v>13016</v>
      </c>
      <c r="D1148" s="86" t="s">
        <v>1732</v>
      </c>
      <c r="E1148" s="73"/>
      <c r="F1148" s="73"/>
      <c r="G1148" s="20">
        <v>1147</v>
      </c>
      <c r="H1148" s="67" t="s">
        <v>1445</v>
      </c>
      <c r="I1148" s="67" t="str">
        <f t="shared" si="34"/>
        <v>SR 9/I-95 (N OF SR 816/OAKLAND PK BV to SR 848/STIRLING RD)</v>
      </c>
      <c r="J1148" s="86" t="s">
        <v>300</v>
      </c>
      <c r="K1148" s="67" t="str">
        <f>VLOOKUP(J1148,'Data-ProjectTypes'!A$3:B$13,2,FALSE)</f>
        <v>Project</v>
      </c>
      <c r="L1148" s="87" t="s">
        <v>895</v>
      </c>
      <c r="M1148" s="67" t="s">
        <v>2765</v>
      </c>
      <c r="N1148" s="67" t="s">
        <v>2764</v>
      </c>
      <c r="O1148" s="86" t="s">
        <v>270</v>
      </c>
      <c r="P1148" s="87" t="s">
        <v>270</v>
      </c>
      <c r="Q1148" s="74"/>
      <c r="R1148" s="70"/>
      <c r="S1148" s="11"/>
      <c r="T1148" s="11"/>
      <c r="U1148" s="11"/>
      <c r="V1148" s="11"/>
      <c r="W1148" s="11"/>
      <c r="X1148" s="11"/>
      <c r="Z1148" s="71">
        <f>ROUND(R1148*'Data-CostAssumptions'!$C$8,-3)</f>
        <v>0</v>
      </c>
      <c r="AA1148" s="11">
        <f t="shared" si="35"/>
        <v>0</v>
      </c>
      <c r="AB1148" s="11">
        <v>2041</v>
      </c>
      <c r="AC1148" s="11">
        <v>2041</v>
      </c>
      <c r="AD1148" s="11">
        <v>2041</v>
      </c>
      <c r="AE1148" s="11">
        <v>2041</v>
      </c>
      <c r="AF1148" s="11">
        <v>0</v>
      </c>
      <c r="AG1148" s="19">
        <f>ROUND((Z1148*'Data-CostAssumptions'!$G$5)*(1+'Data-CostAssumptions'!$G$3)^(AC1148-'Data-CostAssumptions'!$G$4),-3)</f>
        <v>0</v>
      </c>
      <c r="AH1148" s="19">
        <f>ROUND((Z1148)*(1+'Data-CostAssumptions'!$G$3)^(AE1148-'Data-CostAssumptions'!$G$4),-3)</f>
        <v>0</v>
      </c>
    </row>
    <row r="1149" spans="1:34" ht="15" customHeight="1" x14ac:dyDescent="0.2">
      <c r="A1149" s="66">
        <v>4298042</v>
      </c>
      <c r="B1149" s="66" t="s">
        <v>1211</v>
      </c>
      <c r="C1149" s="66">
        <v>13017</v>
      </c>
      <c r="D1149" s="86" t="s">
        <v>1732</v>
      </c>
      <c r="E1149" s="73"/>
      <c r="F1149" s="73"/>
      <c r="G1149" s="20">
        <v>1148</v>
      </c>
      <c r="H1149" s="67" t="s">
        <v>1445</v>
      </c>
      <c r="I1149" s="67" t="str">
        <f t="shared" si="34"/>
        <v>SR 9/I-95 (S OF SR 842/BROWARD BV to N OF SR 848/STIRLING)</v>
      </c>
      <c r="J1149" s="86" t="s">
        <v>300</v>
      </c>
      <c r="K1149" s="67" t="str">
        <f>VLOOKUP(J1149,'Data-ProjectTypes'!A$3:B$13,2,FALSE)</f>
        <v>Project</v>
      </c>
      <c r="L1149" s="87" t="s">
        <v>317</v>
      </c>
      <c r="M1149" s="67" t="s">
        <v>2759</v>
      </c>
      <c r="N1149" s="67" t="s">
        <v>2758</v>
      </c>
      <c r="O1149" s="86" t="s">
        <v>270</v>
      </c>
      <c r="P1149" s="87" t="s">
        <v>270</v>
      </c>
      <c r="Q1149" s="74"/>
      <c r="R1149" s="70"/>
      <c r="S1149" s="11"/>
      <c r="T1149" s="11"/>
      <c r="U1149" s="11"/>
      <c r="V1149" s="11"/>
      <c r="W1149" s="11"/>
      <c r="X1149" s="11"/>
      <c r="Z1149" s="71">
        <f>ROUND(R1149*'Data-CostAssumptions'!$C$8,-3)</f>
        <v>0</v>
      </c>
      <c r="AA1149" s="11">
        <f t="shared" si="35"/>
        <v>0</v>
      </c>
      <c r="AB1149" s="11">
        <v>2041</v>
      </c>
      <c r="AC1149" s="11">
        <v>2041</v>
      </c>
      <c r="AD1149" s="11">
        <v>2041</v>
      </c>
      <c r="AE1149" s="11">
        <v>2041</v>
      </c>
      <c r="AF1149" s="11">
        <v>0</v>
      </c>
      <c r="AG1149" s="19">
        <f>ROUND((Z1149*'Data-CostAssumptions'!$G$5)*(1+'Data-CostAssumptions'!$G$3)^(AC1149-'Data-CostAssumptions'!$G$4),-3)</f>
        <v>0</v>
      </c>
      <c r="AH1149" s="19">
        <f>ROUND((Z1149)*(1+'Data-CostAssumptions'!$G$3)^(AE1149-'Data-CostAssumptions'!$G$4),-3)</f>
        <v>0</v>
      </c>
    </row>
    <row r="1150" spans="1:34" ht="15" customHeight="1" x14ac:dyDescent="0.2">
      <c r="A1150" s="66">
        <v>4298043</v>
      </c>
      <c r="B1150" s="66" t="s">
        <v>1211</v>
      </c>
      <c r="C1150" s="66">
        <v>13018</v>
      </c>
      <c r="D1150" s="86" t="s">
        <v>1732</v>
      </c>
      <c r="E1150" s="73"/>
      <c r="F1150" s="73"/>
      <c r="G1150" s="20">
        <v>1149</v>
      </c>
      <c r="H1150" s="67" t="s">
        <v>1445</v>
      </c>
      <c r="I1150" s="67" t="str">
        <f t="shared" si="34"/>
        <v>SR 9/I-95 (N OF SR 816/OAKLAND PK to S OF SR842/BROWARD BV)</v>
      </c>
      <c r="J1150" s="86" t="s">
        <v>300</v>
      </c>
      <c r="K1150" s="67" t="str">
        <f>VLOOKUP(J1150,'Data-ProjectTypes'!A$3:B$13,2,FALSE)</f>
        <v>Project</v>
      </c>
      <c r="L1150" s="87" t="s">
        <v>317</v>
      </c>
      <c r="M1150" s="67" t="s">
        <v>2760</v>
      </c>
      <c r="N1150" s="67" t="s">
        <v>2761</v>
      </c>
      <c r="O1150" s="86" t="s">
        <v>270</v>
      </c>
      <c r="P1150" s="87" t="s">
        <v>270</v>
      </c>
      <c r="Q1150" s="74"/>
      <c r="R1150" s="70"/>
      <c r="S1150" s="11"/>
      <c r="T1150" s="11"/>
      <c r="U1150" s="11"/>
      <c r="V1150" s="11"/>
      <c r="W1150" s="11"/>
      <c r="X1150" s="11"/>
      <c r="Z1150" s="71">
        <f>ROUND(R1150*'Data-CostAssumptions'!$C$8,-3)</f>
        <v>0</v>
      </c>
      <c r="AA1150" s="11">
        <f t="shared" si="35"/>
        <v>0</v>
      </c>
      <c r="AB1150" s="11">
        <v>2041</v>
      </c>
      <c r="AC1150" s="11">
        <v>2041</v>
      </c>
      <c r="AD1150" s="11">
        <v>2041</v>
      </c>
      <c r="AE1150" s="11">
        <v>2041</v>
      </c>
      <c r="AF1150" s="11">
        <v>0</v>
      </c>
      <c r="AG1150" s="19">
        <f>ROUND((Z1150*'Data-CostAssumptions'!$G$5)*(1+'Data-CostAssumptions'!$G$3)^(AC1150-'Data-CostAssumptions'!$G$4),-3)</f>
        <v>0</v>
      </c>
      <c r="AH1150" s="19">
        <f>ROUND((Z1150)*(1+'Data-CostAssumptions'!$G$3)^(AE1150-'Data-CostAssumptions'!$G$4),-3)</f>
        <v>0</v>
      </c>
    </row>
    <row r="1151" spans="1:34" ht="15" customHeight="1" x14ac:dyDescent="0.2">
      <c r="A1151" s="66">
        <v>4309321</v>
      </c>
      <c r="B1151" s="66" t="s">
        <v>1211</v>
      </c>
      <c r="C1151" s="66">
        <v>13019</v>
      </c>
      <c r="D1151" s="86" t="s">
        <v>1732</v>
      </c>
      <c r="E1151" s="73"/>
      <c r="F1151" s="73"/>
      <c r="G1151" s="20">
        <v>1150</v>
      </c>
      <c r="H1151" s="67" t="s">
        <v>1445</v>
      </c>
      <c r="I1151" s="67" t="str">
        <f t="shared" si="34"/>
        <v>SR 9/I-95 (S OF HILLSBORO Bl to S OF SW 10TH ST)</v>
      </c>
      <c r="J1151" s="86" t="s">
        <v>300</v>
      </c>
      <c r="K1151" s="67" t="str">
        <f>VLOOKUP(J1151,'Data-ProjectTypes'!A$3:B$13,2,FALSE)</f>
        <v>Project</v>
      </c>
      <c r="L1151" s="87" t="s">
        <v>896</v>
      </c>
      <c r="M1151" s="67" t="s">
        <v>2763</v>
      </c>
      <c r="N1151" s="67" t="s">
        <v>2762</v>
      </c>
      <c r="O1151" s="86" t="s">
        <v>270</v>
      </c>
      <c r="P1151" s="87" t="s">
        <v>270</v>
      </c>
      <c r="Q1151" s="74"/>
      <c r="R1151" s="70"/>
      <c r="S1151" s="11"/>
      <c r="T1151" s="11"/>
      <c r="U1151" s="11"/>
      <c r="V1151" s="11"/>
      <c r="W1151" s="11"/>
      <c r="X1151" s="11"/>
      <c r="Z1151" s="71">
        <f>ROUND(R1151*'Data-CostAssumptions'!$C$8,-3)</f>
        <v>0</v>
      </c>
      <c r="AA1151" s="11">
        <f t="shared" si="35"/>
        <v>0</v>
      </c>
      <c r="AB1151" s="11">
        <v>2041</v>
      </c>
      <c r="AC1151" s="11">
        <v>2041</v>
      </c>
      <c r="AD1151" s="11">
        <v>2041</v>
      </c>
      <c r="AE1151" s="11">
        <v>2041</v>
      </c>
      <c r="AF1151" s="11">
        <v>0</v>
      </c>
      <c r="AG1151" s="19">
        <f>ROUND((Z1151*'Data-CostAssumptions'!$G$5)*(1+'Data-CostAssumptions'!$G$3)^(AC1151-'Data-CostAssumptions'!$G$4),-3)</f>
        <v>0</v>
      </c>
      <c r="AH1151" s="19">
        <f>ROUND((Z1151)*(1+'Data-CostAssumptions'!$G$3)^(AE1151-'Data-CostAssumptions'!$G$4),-3)</f>
        <v>0</v>
      </c>
    </row>
    <row r="1152" spans="1:34" ht="15" customHeight="1" x14ac:dyDescent="0.2">
      <c r="A1152" s="66">
        <v>4331081</v>
      </c>
      <c r="B1152" s="66" t="s">
        <v>1211</v>
      </c>
      <c r="C1152" s="66">
        <v>13020</v>
      </c>
      <c r="D1152" s="86" t="s">
        <v>1732</v>
      </c>
      <c r="E1152" s="73"/>
      <c r="F1152" s="73"/>
      <c r="G1152" s="20">
        <v>1151</v>
      </c>
      <c r="H1152" s="67" t="s">
        <v>1445</v>
      </c>
      <c r="I1152" s="67" t="str">
        <f t="shared" si="34"/>
        <v>SR 9/I-95 (PALM BEACH CO LINE to N OF STIRLING RD)</v>
      </c>
      <c r="J1152" s="86" t="s">
        <v>300</v>
      </c>
      <c r="K1152" s="67" t="str">
        <f>VLOOKUP(J1152,'Data-ProjectTypes'!A$3:B$13,2,FALSE)</f>
        <v>Project</v>
      </c>
      <c r="L1152" s="87" t="s">
        <v>892</v>
      </c>
      <c r="M1152" s="67" t="s">
        <v>2771</v>
      </c>
      <c r="N1152" s="67" t="s">
        <v>2770</v>
      </c>
      <c r="O1152" s="86" t="s">
        <v>270</v>
      </c>
      <c r="P1152" s="87" t="s">
        <v>270</v>
      </c>
      <c r="Q1152" s="74"/>
      <c r="R1152" s="70"/>
      <c r="S1152" s="11"/>
      <c r="T1152" s="11"/>
      <c r="U1152" s="11"/>
      <c r="V1152" s="11"/>
      <c r="W1152" s="11"/>
      <c r="X1152" s="11"/>
      <c r="Z1152" s="71">
        <f>ROUND(R1152*'Data-CostAssumptions'!$C$8,-3)</f>
        <v>0</v>
      </c>
      <c r="AA1152" s="11">
        <f t="shared" si="35"/>
        <v>0</v>
      </c>
      <c r="AB1152" s="11">
        <v>2041</v>
      </c>
      <c r="AC1152" s="11">
        <v>2041</v>
      </c>
      <c r="AD1152" s="11">
        <v>2041</v>
      </c>
      <c r="AE1152" s="11">
        <v>2041</v>
      </c>
      <c r="AF1152" s="11">
        <v>0</v>
      </c>
      <c r="AG1152" s="19">
        <f>ROUND((Z1152*'Data-CostAssumptions'!$G$5)*(1+'Data-CostAssumptions'!$G$3)^(AC1152-'Data-CostAssumptions'!$G$4),-3)</f>
        <v>0</v>
      </c>
      <c r="AH1152" s="19">
        <f>ROUND((Z1152)*(1+'Data-CostAssumptions'!$G$3)^(AE1152-'Data-CostAssumptions'!$G$4),-3)</f>
        <v>0</v>
      </c>
    </row>
    <row r="1153" spans="1:34" ht="15" customHeight="1" x14ac:dyDescent="0.2">
      <c r="A1153" s="66">
        <v>4193431</v>
      </c>
      <c r="B1153" s="66" t="s">
        <v>1211</v>
      </c>
      <c r="C1153" s="66">
        <v>13021</v>
      </c>
      <c r="D1153" s="86" t="s">
        <v>1732</v>
      </c>
      <c r="E1153" s="73"/>
      <c r="F1153" s="73"/>
      <c r="G1153" s="20">
        <v>1152</v>
      </c>
      <c r="H1153" s="67" t="s">
        <v>2805</v>
      </c>
      <c r="I1153" s="67" t="str">
        <f t="shared" si="34"/>
        <v>SR 93/I-75 (N. of HEFT to I-595)</v>
      </c>
      <c r="J1153" s="86" t="s">
        <v>300</v>
      </c>
      <c r="K1153" s="67" t="str">
        <f>VLOOKUP(J1153,'Data-ProjectTypes'!A$3:B$13,2,FALSE)</f>
        <v>Project</v>
      </c>
      <c r="L1153" s="87" t="s">
        <v>891</v>
      </c>
      <c r="M1153" s="67" t="s">
        <v>2960</v>
      </c>
      <c r="N1153" s="67" t="s">
        <v>34</v>
      </c>
      <c r="O1153" s="86" t="s">
        <v>270</v>
      </c>
      <c r="P1153" s="87" t="s">
        <v>270</v>
      </c>
      <c r="Q1153" s="74"/>
      <c r="R1153" s="70"/>
      <c r="S1153" s="11"/>
      <c r="T1153" s="11"/>
      <c r="U1153" s="11"/>
      <c r="V1153" s="11"/>
      <c r="W1153" s="11"/>
      <c r="X1153" s="11"/>
      <c r="Z1153" s="71">
        <f>ROUND(R1153*'Data-CostAssumptions'!$C$8,-3)</f>
        <v>0</v>
      </c>
      <c r="AA1153" s="11">
        <f t="shared" si="35"/>
        <v>0</v>
      </c>
      <c r="AB1153" s="11">
        <v>2041</v>
      </c>
      <c r="AC1153" s="11">
        <v>2041</v>
      </c>
      <c r="AD1153" s="11">
        <v>2041</v>
      </c>
      <c r="AE1153" s="11">
        <v>2041</v>
      </c>
      <c r="AF1153" s="11">
        <v>0</v>
      </c>
      <c r="AG1153" s="19">
        <f>ROUND((Z1153*'Data-CostAssumptions'!$G$5)*(1+'Data-CostAssumptions'!$G$3)^(AC1153-'Data-CostAssumptions'!$G$4),-3)</f>
        <v>0</v>
      </c>
      <c r="AH1153" s="19">
        <f>ROUND((Z1153)*(1+'Data-CostAssumptions'!$G$3)^(AE1153-'Data-CostAssumptions'!$G$4),-3)</f>
        <v>0</v>
      </c>
    </row>
    <row r="1154" spans="1:34" ht="15" customHeight="1" x14ac:dyDescent="0.2">
      <c r="A1154" s="66">
        <v>4307631</v>
      </c>
      <c r="B1154" s="66" t="s">
        <v>1211</v>
      </c>
      <c r="C1154" s="66">
        <v>13022</v>
      </c>
      <c r="D1154" s="86" t="s">
        <v>1732</v>
      </c>
      <c r="E1154" s="73"/>
      <c r="F1154" s="73"/>
      <c r="G1154" s="20">
        <v>1153</v>
      </c>
      <c r="H1154" s="67" t="s">
        <v>2805</v>
      </c>
      <c r="I1154" s="67" t="str">
        <f t="shared" ref="I1154:I1215" si="36">IF(M1154="@",H1154&amp;" ("&amp;M1154&amp;"  "&amp;N1154&amp;")",H1154&amp;" ("&amp;M1154&amp;" to "&amp;N1154&amp;")")</f>
        <v>SR 93/I-75 (N. of HEFT to I-595)</v>
      </c>
      <c r="J1154" s="86" t="s">
        <v>300</v>
      </c>
      <c r="K1154" s="67" t="str">
        <f>VLOOKUP(J1154,'Data-ProjectTypes'!A$3:B$13,2,FALSE)</f>
        <v>Project</v>
      </c>
      <c r="L1154" s="87" t="s">
        <v>892</v>
      </c>
      <c r="M1154" s="67" t="s">
        <v>2960</v>
      </c>
      <c r="N1154" s="67" t="s">
        <v>34</v>
      </c>
      <c r="O1154" s="86" t="s">
        <v>270</v>
      </c>
      <c r="P1154" s="87" t="s">
        <v>270</v>
      </c>
      <c r="Q1154" s="74"/>
      <c r="R1154" s="70"/>
      <c r="S1154" s="11"/>
      <c r="T1154" s="11"/>
      <c r="U1154" s="11"/>
      <c r="V1154" s="11"/>
      <c r="W1154" s="11"/>
      <c r="X1154" s="11"/>
      <c r="Z1154" s="71">
        <f>ROUND(R1154*'Data-CostAssumptions'!$C$8,-3)</f>
        <v>0</v>
      </c>
      <c r="AA1154" s="11">
        <f t="shared" si="35"/>
        <v>0</v>
      </c>
      <c r="AB1154" s="11">
        <v>2041</v>
      </c>
      <c r="AC1154" s="11">
        <v>2041</v>
      </c>
      <c r="AD1154" s="11">
        <v>2041</v>
      </c>
      <c r="AE1154" s="11">
        <v>2041</v>
      </c>
      <c r="AF1154" s="11">
        <v>0</v>
      </c>
      <c r="AG1154" s="19">
        <f>ROUND((Z1154*'Data-CostAssumptions'!$G$5)*(1+'Data-CostAssumptions'!$G$3)^(AC1154-'Data-CostAssumptions'!$G$4),-3)</f>
        <v>0</v>
      </c>
      <c r="AH1154" s="19">
        <f>ROUND((Z1154)*(1+'Data-CostAssumptions'!$G$3)^(AE1154-'Data-CostAssumptions'!$G$4),-3)</f>
        <v>0</v>
      </c>
    </row>
    <row r="1155" spans="1:34" ht="15" customHeight="1" x14ac:dyDescent="0.2">
      <c r="A1155" s="66">
        <v>4307632</v>
      </c>
      <c r="B1155" s="66" t="s">
        <v>1211</v>
      </c>
      <c r="C1155" s="66">
        <v>13023</v>
      </c>
      <c r="D1155" s="86" t="s">
        <v>1732</v>
      </c>
      <c r="E1155" s="73"/>
      <c r="F1155" s="73"/>
      <c r="G1155" s="20">
        <v>1154</v>
      </c>
      <c r="H1155" s="67" t="s">
        <v>2805</v>
      </c>
      <c r="I1155" s="67" t="str">
        <f t="shared" si="36"/>
        <v>SR 93/I-75 (N. of HEFT to I-595)</v>
      </c>
      <c r="J1155" s="86" t="s">
        <v>300</v>
      </c>
      <c r="K1155" s="67" t="str">
        <f>VLOOKUP(J1155,'Data-ProjectTypes'!A$3:B$13,2,FALSE)</f>
        <v>Project</v>
      </c>
      <c r="L1155" s="87" t="s">
        <v>892</v>
      </c>
      <c r="M1155" s="67" t="s">
        <v>2960</v>
      </c>
      <c r="N1155" s="67" t="s">
        <v>34</v>
      </c>
      <c r="O1155" s="86" t="s">
        <v>270</v>
      </c>
      <c r="P1155" s="87" t="s">
        <v>270</v>
      </c>
      <c r="Q1155" s="74"/>
      <c r="R1155" s="70"/>
      <c r="S1155" s="11"/>
      <c r="T1155" s="11"/>
      <c r="U1155" s="11"/>
      <c r="V1155" s="11"/>
      <c r="W1155" s="11"/>
      <c r="X1155" s="11"/>
      <c r="Z1155" s="71">
        <f>ROUND(R1155*'Data-CostAssumptions'!$C$8,-3)</f>
        <v>0</v>
      </c>
      <c r="AA1155" s="11">
        <f t="shared" ref="AA1155:AA1216" si="37">IF(V1155="",IF(W1155="",0,1),1)</f>
        <v>0</v>
      </c>
      <c r="AB1155" s="11">
        <v>2041</v>
      </c>
      <c r="AC1155" s="11">
        <v>2041</v>
      </c>
      <c r="AD1155" s="11">
        <v>2041</v>
      </c>
      <c r="AE1155" s="11">
        <v>2041</v>
      </c>
      <c r="AF1155" s="11">
        <v>0</v>
      </c>
      <c r="AG1155" s="19">
        <f>ROUND((Z1155*'Data-CostAssumptions'!$G$5)*(1+'Data-CostAssumptions'!$G$3)^(AC1155-'Data-CostAssumptions'!$G$4),-3)</f>
        <v>0</v>
      </c>
      <c r="AH1155" s="19">
        <f>ROUND((Z1155)*(1+'Data-CostAssumptions'!$G$3)^(AE1155-'Data-CostAssumptions'!$G$4),-3)</f>
        <v>0</v>
      </c>
    </row>
    <row r="1156" spans="1:34" ht="15" customHeight="1" x14ac:dyDescent="0.2">
      <c r="A1156" s="66">
        <v>4307635</v>
      </c>
      <c r="B1156" s="66" t="s">
        <v>1211</v>
      </c>
      <c r="C1156" s="66">
        <v>13024</v>
      </c>
      <c r="D1156" s="86" t="s">
        <v>1732</v>
      </c>
      <c r="E1156" s="73"/>
      <c r="F1156" s="73"/>
      <c r="G1156" s="20">
        <v>1155</v>
      </c>
      <c r="H1156" s="67" t="s">
        <v>2805</v>
      </c>
      <c r="I1156" s="67" t="str">
        <f t="shared" si="36"/>
        <v>SR 93/I-75 (Miami-Dade/Broward CL to I-595)</v>
      </c>
      <c r="J1156" s="86" t="s">
        <v>300</v>
      </c>
      <c r="K1156" s="67" t="str">
        <f>VLOOKUP(J1156,'Data-ProjectTypes'!A$3:B$13,2,FALSE)</f>
        <v>Project</v>
      </c>
      <c r="L1156" s="87" t="s">
        <v>892</v>
      </c>
      <c r="M1156" s="67" t="s">
        <v>2958</v>
      </c>
      <c r="N1156" s="67" t="s">
        <v>34</v>
      </c>
      <c r="O1156" s="86" t="s">
        <v>270</v>
      </c>
      <c r="P1156" s="87" t="s">
        <v>270</v>
      </c>
      <c r="Q1156" s="74"/>
      <c r="R1156" s="70"/>
      <c r="S1156" s="11"/>
      <c r="T1156" s="11"/>
      <c r="U1156" s="11"/>
      <c r="V1156" s="11"/>
      <c r="W1156" s="11"/>
      <c r="X1156" s="11"/>
      <c r="Z1156" s="71">
        <f>ROUND(R1156*'Data-CostAssumptions'!$C$8,-3)</f>
        <v>0</v>
      </c>
      <c r="AA1156" s="11">
        <f t="shared" si="37"/>
        <v>0</v>
      </c>
      <c r="AB1156" s="11">
        <v>2041</v>
      </c>
      <c r="AC1156" s="11">
        <v>2041</v>
      </c>
      <c r="AD1156" s="11">
        <v>2041</v>
      </c>
      <c r="AE1156" s="11">
        <v>2041</v>
      </c>
      <c r="AF1156" s="11">
        <v>0</v>
      </c>
      <c r="AG1156" s="19">
        <f>ROUND((Z1156*'Data-CostAssumptions'!$G$5)*(1+'Data-CostAssumptions'!$G$3)^(AC1156-'Data-CostAssumptions'!$G$4),-3)</f>
        <v>0</v>
      </c>
      <c r="AH1156" s="19">
        <f>ROUND((Z1156)*(1+'Data-CostAssumptions'!$G$3)^(AE1156-'Data-CostAssumptions'!$G$4),-3)</f>
        <v>0</v>
      </c>
    </row>
    <row r="1157" spans="1:34" ht="15" customHeight="1" x14ac:dyDescent="0.2">
      <c r="A1157" s="66">
        <v>4217073</v>
      </c>
      <c r="B1157" s="66" t="s">
        <v>1211</v>
      </c>
      <c r="C1157" s="66">
        <v>13025</v>
      </c>
      <c r="D1157" s="86" t="s">
        <v>1732</v>
      </c>
      <c r="E1157" s="73"/>
      <c r="F1157" s="73"/>
      <c r="G1157" s="20">
        <v>1156</v>
      </c>
      <c r="H1157" s="67" t="s">
        <v>2805</v>
      </c>
      <c r="I1157" s="67" t="str">
        <f t="shared" si="36"/>
        <v>SR 93/I-75 (Miami-Dade/Broward CL to S OF Miramar Pkwy)</v>
      </c>
      <c r="J1157" s="86" t="s">
        <v>300</v>
      </c>
      <c r="K1157" s="67" t="str">
        <f>VLOOKUP(J1157,'Data-ProjectTypes'!A$3:B$13,2,FALSE)</f>
        <v>Project</v>
      </c>
      <c r="L1157" s="87" t="s">
        <v>313</v>
      </c>
      <c r="M1157" s="67" t="s">
        <v>2958</v>
      </c>
      <c r="N1157" s="67" t="s">
        <v>2951</v>
      </c>
      <c r="O1157" s="86" t="s">
        <v>270</v>
      </c>
      <c r="P1157" s="87" t="s">
        <v>270</v>
      </c>
      <c r="Q1157" s="74"/>
      <c r="R1157" s="70"/>
      <c r="S1157" s="11"/>
      <c r="T1157" s="11"/>
      <c r="U1157" s="11"/>
      <c r="V1157" s="11"/>
      <c r="W1157" s="11"/>
      <c r="X1157" s="11"/>
      <c r="Z1157" s="71">
        <f>ROUND(R1157*'Data-CostAssumptions'!$C$8,-3)</f>
        <v>0</v>
      </c>
      <c r="AA1157" s="11">
        <f t="shared" si="37"/>
        <v>0</v>
      </c>
      <c r="AB1157" s="11">
        <v>2041</v>
      </c>
      <c r="AC1157" s="11">
        <v>2041</v>
      </c>
      <c r="AD1157" s="11">
        <v>2041</v>
      </c>
      <c r="AE1157" s="11">
        <v>2041</v>
      </c>
      <c r="AF1157" s="11">
        <v>0</v>
      </c>
      <c r="AG1157" s="19">
        <f>ROUND((Z1157*'Data-CostAssumptions'!$G$5)*(1+'Data-CostAssumptions'!$G$3)^(AC1157-'Data-CostAssumptions'!$G$4),-3)</f>
        <v>0</v>
      </c>
      <c r="AH1157" s="19">
        <f>ROUND((Z1157)*(1+'Data-CostAssumptions'!$G$3)^(AE1157-'Data-CostAssumptions'!$G$4),-3)</f>
        <v>0</v>
      </c>
    </row>
    <row r="1158" spans="1:34" ht="15" customHeight="1" x14ac:dyDescent="0.2">
      <c r="A1158" s="66">
        <v>4217074</v>
      </c>
      <c r="B1158" s="66" t="s">
        <v>1211</v>
      </c>
      <c r="C1158" s="66">
        <v>13026</v>
      </c>
      <c r="D1158" s="86" t="s">
        <v>1732</v>
      </c>
      <c r="E1158" s="73"/>
      <c r="F1158" s="73"/>
      <c r="G1158" s="20">
        <v>1157</v>
      </c>
      <c r="H1158" s="67" t="s">
        <v>2805</v>
      </c>
      <c r="I1158" s="67" t="str">
        <f t="shared" si="36"/>
        <v>SR 93/I-75 (S. of Miramar Pkwy Int. to S. of Sheridan St)</v>
      </c>
      <c r="J1158" s="86" t="s">
        <v>300</v>
      </c>
      <c r="K1158" s="67" t="str">
        <f>VLOOKUP(J1158,'Data-ProjectTypes'!A$3:B$13,2,FALSE)</f>
        <v>Project</v>
      </c>
      <c r="L1158" s="87" t="s">
        <v>313</v>
      </c>
      <c r="M1158" s="67" t="s">
        <v>2953</v>
      </c>
      <c r="N1158" s="67" t="s">
        <v>2959</v>
      </c>
      <c r="O1158" s="86" t="s">
        <v>270</v>
      </c>
      <c r="P1158" s="87" t="s">
        <v>270</v>
      </c>
      <c r="Q1158" s="74"/>
      <c r="R1158" s="70"/>
      <c r="S1158" s="11"/>
      <c r="T1158" s="11"/>
      <c r="U1158" s="11"/>
      <c r="V1158" s="11"/>
      <c r="W1158" s="11"/>
      <c r="X1158" s="11"/>
      <c r="Z1158" s="71">
        <f>ROUND(R1158*'Data-CostAssumptions'!$C$8,-3)</f>
        <v>0</v>
      </c>
      <c r="AA1158" s="11">
        <f t="shared" si="37"/>
        <v>0</v>
      </c>
      <c r="AB1158" s="11">
        <v>2041</v>
      </c>
      <c r="AC1158" s="11">
        <v>2041</v>
      </c>
      <c r="AD1158" s="11">
        <v>2041</v>
      </c>
      <c r="AE1158" s="11">
        <v>2041</v>
      </c>
      <c r="AF1158" s="11">
        <v>0</v>
      </c>
      <c r="AG1158" s="19">
        <f>ROUND((Z1158*'Data-CostAssumptions'!$G$5)*(1+'Data-CostAssumptions'!$G$3)^(AC1158-'Data-CostAssumptions'!$G$4),-3)</f>
        <v>0</v>
      </c>
      <c r="AH1158" s="19">
        <f>ROUND((Z1158)*(1+'Data-CostAssumptions'!$G$3)^(AE1158-'Data-CostAssumptions'!$G$4),-3)</f>
        <v>0</v>
      </c>
    </row>
    <row r="1159" spans="1:34" ht="15" customHeight="1" x14ac:dyDescent="0.2">
      <c r="A1159" s="66">
        <v>4217075</v>
      </c>
      <c r="B1159" s="66" t="s">
        <v>1211</v>
      </c>
      <c r="C1159" s="66">
        <v>13027</v>
      </c>
      <c r="D1159" s="86" t="s">
        <v>1732</v>
      </c>
      <c r="E1159" s="73"/>
      <c r="F1159" s="73"/>
      <c r="G1159" s="20">
        <v>1158</v>
      </c>
      <c r="H1159" s="67" t="s">
        <v>2805</v>
      </c>
      <c r="I1159" s="67" t="str">
        <f t="shared" si="36"/>
        <v>SR 93/I-75 (S. of Sheridan St. to N. of Griffin Rd)</v>
      </c>
      <c r="J1159" s="86" t="s">
        <v>300</v>
      </c>
      <c r="K1159" s="67" t="str">
        <f>VLOOKUP(J1159,'Data-ProjectTypes'!A$3:B$13,2,FALSE)</f>
        <v>Project</v>
      </c>
      <c r="L1159" s="87" t="s">
        <v>313</v>
      </c>
      <c r="M1159" s="67" t="s">
        <v>2954</v>
      </c>
      <c r="N1159" s="67" t="s">
        <v>2952</v>
      </c>
      <c r="O1159" s="86" t="s">
        <v>270</v>
      </c>
      <c r="P1159" s="87" t="s">
        <v>270</v>
      </c>
      <c r="Q1159" s="74"/>
      <c r="R1159" s="70"/>
      <c r="S1159" s="11"/>
      <c r="T1159" s="11"/>
      <c r="U1159" s="11"/>
      <c r="V1159" s="11"/>
      <c r="W1159" s="11"/>
      <c r="X1159" s="11"/>
      <c r="Z1159" s="71">
        <f>ROUND(R1159*'Data-CostAssumptions'!$C$8,-3)</f>
        <v>0</v>
      </c>
      <c r="AA1159" s="11">
        <f t="shared" si="37"/>
        <v>0</v>
      </c>
      <c r="AB1159" s="11">
        <v>2041</v>
      </c>
      <c r="AC1159" s="11">
        <v>2041</v>
      </c>
      <c r="AD1159" s="11">
        <v>2041</v>
      </c>
      <c r="AE1159" s="11">
        <v>2041</v>
      </c>
      <c r="AF1159" s="11">
        <v>0</v>
      </c>
      <c r="AG1159" s="19">
        <f>ROUND((Z1159*'Data-CostAssumptions'!$G$5)*(1+'Data-CostAssumptions'!$G$3)^(AC1159-'Data-CostAssumptions'!$G$4),-3)</f>
        <v>0</v>
      </c>
      <c r="AH1159" s="19">
        <f>ROUND((Z1159)*(1+'Data-CostAssumptions'!$G$3)^(AE1159-'Data-CostAssumptions'!$G$4),-3)</f>
        <v>0</v>
      </c>
    </row>
    <row r="1160" spans="1:34" ht="15" customHeight="1" x14ac:dyDescent="0.2">
      <c r="A1160" s="66">
        <v>4217076</v>
      </c>
      <c r="B1160" s="66" t="s">
        <v>1211</v>
      </c>
      <c r="C1160" s="66">
        <v>13028</v>
      </c>
      <c r="D1160" s="86" t="s">
        <v>1732</v>
      </c>
      <c r="E1160" s="73"/>
      <c r="F1160" s="73"/>
      <c r="G1160" s="20">
        <v>1159</v>
      </c>
      <c r="H1160" s="67" t="s">
        <v>2805</v>
      </c>
      <c r="I1160" s="67" t="str">
        <f t="shared" si="36"/>
        <v>SR 93/I-75 (N. of Griffin Rd to I-595)</v>
      </c>
      <c r="J1160" s="86" t="s">
        <v>300</v>
      </c>
      <c r="K1160" s="67" t="str">
        <f>VLOOKUP(J1160,'Data-ProjectTypes'!A$3:B$13,2,FALSE)</f>
        <v>Project</v>
      </c>
      <c r="L1160" s="87" t="s">
        <v>313</v>
      </c>
      <c r="M1160" s="67" t="s">
        <v>2952</v>
      </c>
      <c r="N1160" s="67" t="s">
        <v>34</v>
      </c>
      <c r="O1160" s="86" t="s">
        <v>270</v>
      </c>
      <c r="P1160" s="87" t="s">
        <v>270</v>
      </c>
      <c r="Q1160" s="74"/>
      <c r="R1160" s="70"/>
      <c r="S1160" s="11"/>
      <c r="T1160" s="11"/>
      <c r="U1160" s="11"/>
      <c r="V1160" s="11"/>
      <c r="W1160" s="11"/>
      <c r="X1160" s="11"/>
      <c r="Z1160" s="71">
        <f>ROUND(R1160*'Data-CostAssumptions'!$C$8,-3)</f>
        <v>0</v>
      </c>
      <c r="AA1160" s="11">
        <f t="shared" si="37"/>
        <v>0</v>
      </c>
      <c r="AB1160" s="11">
        <v>2041</v>
      </c>
      <c r="AC1160" s="11">
        <v>2041</v>
      </c>
      <c r="AD1160" s="11">
        <v>2041</v>
      </c>
      <c r="AE1160" s="11">
        <v>2041</v>
      </c>
      <c r="AF1160" s="11">
        <v>0</v>
      </c>
      <c r="AG1160" s="19">
        <f>ROUND((Z1160*'Data-CostAssumptions'!$G$5)*(1+'Data-CostAssumptions'!$G$3)^(AC1160-'Data-CostAssumptions'!$G$4),-3)</f>
        <v>0</v>
      </c>
      <c r="AH1160" s="19">
        <f>ROUND((Z1160)*(1+'Data-CostAssumptions'!$G$3)^(AE1160-'Data-CostAssumptions'!$G$4),-3)</f>
        <v>0</v>
      </c>
    </row>
    <row r="1161" spans="1:34" ht="15" customHeight="1" x14ac:dyDescent="0.2">
      <c r="A1161" s="66">
        <v>4332631</v>
      </c>
      <c r="B1161" s="66" t="s">
        <v>1211</v>
      </c>
      <c r="C1161" s="66">
        <v>13029</v>
      </c>
      <c r="D1161" s="86" t="s">
        <v>1732</v>
      </c>
      <c r="E1161" s="73"/>
      <c r="F1161" s="73"/>
      <c r="G1161" s="20">
        <v>1160</v>
      </c>
      <c r="H1161" s="67" t="s">
        <v>2842</v>
      </c>
      <c r="I1161" s="67" t="str">
        <f t="shared" si="36"/>
        <v>Districtwide SIS/NHS Connectors (Palm Beach Co. to Broward Co.)</v>
      </c>
      <c r="J1161" s="86" t="s">
        <v>300</v>
      </c>
      <c r="K1161" s="67" t="str">
        <f>VLOOKUP(J1161,'Data-ProjectTypes'!A$3:B$13,2,FALSE)</f>
        <v>Project</v>
      </c>
      <c r="L1161" s="87" t="s">
        <v>2927</v>
      </c>
      <c r="M1161" s="67" t="s">
        <v>2840</v>
      </c>
      <c r="N1161" s="67" t="s">
        <v>2841</v>
      </c>
      <c r="O1161" s="86" t="s">
        <v>270</v>
      </c>
      <c r="P1161" s="87" t="s">
        <v>270</v>
      </c>
      <c r="Q1161" s="74"/>
      <c r="R1161" s="70"/>
      <c r="S1161" s="11"/>
      <c r="T1161" s="11"/>
      <c r="U1161" s="11"/>
      <c r="V1161" s="11"/>
      <c r="W1161" s="11"/>
      <c r="X1161" s="11"/>
      <c r="Z1161" s="71">
        <f>ROUND(R1161*'Data-CostAssumptions'!$C$8,-3)</f>
        <v>0</v>
      </c>
      <c r="AA1161" s="11">
        <f t="shared" si="37"/>
        <v>0</v>
      </c>
      <c r="AB1161" s="11">
        <v>2041</v>
      </c>
      <c r="AC1161" s="11">
        <v>2041</v>
      </c>
      <c r="AD1161" s="11">
        <v>2041</v>
      </c>
      <c r="AE1161" s="11">
        <v>2041</v>
      </c>
      <c r="AF1161" s="11">
        <v>0</v>
      </c>
      <c r="AG1161" s="19">
        <f>ROUND((Z1161*'Data-CostAssumptions'!$G$5)*(1+'Data-CostAssumptions'!$G$3)^(AC1161-'Data-CostAssumptions'!$G$4),-3)</f>
        <v>0</v>
      </c>
      <c r="AH1161" s="19">
        <f>ROUND((Z1161)*(1+'Data-CostAssumptions'!$G$3)^(AE1161-'Data-CostAssumptions'!$G$4),-3)</f>
        <v>0</v>
      </c>
    </row>
    <row r="1162" spans="1:34" ht="15" customHeight="1" x14ac:dyDescent="0.2">
      <c r="A1162" s="66">
        <v>4293281</v>
      </c>
      <c r="B1162" s="66" t="s">
        <v>1211</v>
      </c>
      <c r="C1162" s="66">
        <v>13032</v>
      </c>
      <c r="D1162" s="86" t="s">
        <v>1732</v>
      </c>
      <c r="E1162" s="73"/>
      <c r="F1162" s="73"/>
      <c r="G1162" s="20">
        <v>1161</v>
      </c>
      <c r="H1162" s="67" t="s">
        <v>2825</v>
      </c>
      <c r="I1162" s="67" t="str">
        <f t="shared" si="36"/>
        <v>SR 821/HEFT (Miramar Toll Plaza (MP43-4) to NW 57 Av)</v>
      </c>
      <c r="J1162" s="86" t="s">
        <v>300</v>
      </c>
      <c r="K1162" s="67" t="str">
        <f>VLOOKUP(J1162,'Data-ProjectTypes'!A$3:B$13,2,FALSE)</f>
        <v>Project</v>
      </c>
      <c r="L1162" s="87" t="s">
        <v>898</v>
      </c>
      <c r="M1162" s="66" t="s">
        <v>2824</v>
      </c>
      <c r="N1162" s="66" t="s">
        <v>2823</v>
      </c>
      <c r="O1162" s="86" t="s">
        <v>270</v>
      </c>
      <c r="P1162" s="87" t="s">
        <v>270</v>
      </c>
      <c r="Q1162" s="74">
        <v>1</v>
      </c>
      <c r="R1162" s="70"/>
      <c r="S1162" s="11"/>
      <c r="T1162" s="11"/>
      <c r="U1162" s="11"/>
      <c r="V1162" s="11"/>
      <c r="W1162" s="11"/>
      <c r="X1162" s="11"/>
      <c r="Z1162" s="71">
        <f>ROUND(R1162*'Data-CostAssumptions'!$C$8,-3)</f>
        <v>0</v>
      </c>
      <c r="AA1162" s="11">
        <f t="shared" si="37"/>
        <v>0</v>
      </c>
      <c r="AB1162" s="11">
        <v>2041</v>
      </c>
      <c r="AC1162" s="11">
        <v>2041</v>
      </c>
      <c r="AD1162" s="11">
        <v>2041</v>
      </c>
      <c r="AE1162" s="11">
        <v>2041</v>
      </c>
      <c r="AF1162" s="11">
        <v>0</v>
      </c>
      <c r="AG1162" s="19">
        <f>ROUND((Z1162*'Data-CostAssumptions'!$G$5)*(1+'Data-CostAssumptions'!$G$3)^(AC1162-'Data-CostAssumptions'!$G$4),-3)</f>
        <v>0</v>
      </c>
      <c r="AH1162" s="19">
        <f>ROUND((Z1162)*(1+'Data-CostAssumptions'!$G$3)^(AE1162-'Data-CostAssumptions'!$G$4),-3)</f>
        <v>0</v>
      </c>
    </row>
    <row r="1163" spans="1:34" ht="15" customHeight="1" x14ac:dyDescent="0.2">
      <c r="A1163" s="66">
        <v>4233712</v>
      </c>
      <c r="B1163" s="66" t="s">
        <v>1211</v>
      </c>
      <c r="C1163" s="66">
        <v>13033</v>
      </c>
      <c r="D1163" s="86" t="s">
        <v>1732</v>
      </c>
      <c r="E1163" s="73"/>
      <c r="F1163" s="73"/>
      <c r="G1163" s="20">
        <v>1162</v>
      </c>
      <c r="H1163" s="67" t="s">
        <v>2825</v>
      </c>
      <c r="I1163" s="67" t="str">
        <f t="shared" si="36"/>
        <v>SR 821/HEFT (@  NW 57TH Av)</v>
      </c>
      <c r="J1163" s="86" t="s">
        <v>300</v>
      </c>
      <c r="K1163" s="67" t="str">
        <f>VLOOKUP(J1163,'Data-ProjectTypes'!A$3:B$13,2,FALSE)</f>
        <v>Project</v>
      </c>
      <c r="L1163" s="87" t="s">
        <v>894</v>
      </c>
      <c r="M1163" s="66" t="s">
        <v>2835</v>
      </c>
      <c r="N1163" s="67" t="s">
        <v>2856</v>
      </c>
      <c r="O1163" s="86" t="s">
        <v>270</v>
      </c>
      <c r="P1163" s="87" t="s">
        <v>270</v>
      </c>
      <c r="Q1163" s="74"/>
      <c r="R1163" s="70"/>
      <c r="S1163" s="11"/>
      <c r="T1163" s="11"/>
      <c r="U1163" s="11"/>
      <c r="V1163" s="11"/>
      <c r="W1163" s="11"/>
      <c r="X1163" s="11"/>
      <c r="Z1163" s="71">
        <f>ROUND(R1163*'Data-CostAssumptions'!$C$8,-3)</f>
        <v>0</v>
      </c>
      <c r="AA1163" s="11">
        <f t="shared" si="37"/>
        <v>0</v>
      </c>
      <c r="AB1163" s="11">
        <v>2041</v>
      </c>
      <c r="AC1163" s="11">
        <v>2041</v>
      </c>
      <c r="AD1163" s="11">
        <v>2041</v>
      </c>
      <c r="AE1163" s="11">
        <v>2041</v>
      </c>
      <c r="AF1163" s="11">
        <v>0</v>
      </c>
      <c r="AG1163" s="19">
        <f>ROUND((Z1163*'Data-CostAssumptions'!$G$5)*(1+'Data-CostAssumptions'!$G$3)^(AC1163-'Data-CostAssumptions'!$G$4),-3)</f>
        <v>0</v>
      </c>
      <c r="AH1163" s="19">
        <f>ROUND((Z1163)*(1+'Data-CostAssumptions'!$G$3)^(AE1163-'Data-CostAssumptions'!$G$4),-3)</f>
        <v>0</v>
      </c>
    </row>
    <row r="1164" spans="1:34" ht="15" customHeight="1" x14ac:dyDescent="0.2">
      <c r="A1164" s="66">
        <v>2519381</v>
      </c>
      <c r="B1164" s="66" t="s">
        <v>1211</v>
      </c>
      <c r="C1164" s="66">
        <v>13034</v>
      </c>
      <c r="D1164" s="86" t="s">
        <v>1732</v>
      </c>
      <c r="E1164" s="73"/>
      <c r="F1164" s="73"/>
      <c r="G1164" s="20">
        <v>1163</v>
      </c>
      <c r="H1164" s="67" t="s">
        <v>2825</v>
      </c>
      <c r="I1164" s="67" t="str">
        <f t="shared" si="36"/>
        <v>SR 821/HEFT (@  SR 93/I-75 INTCHG (MP 39))</v>
      </c>
      <c r="J1164" s="86" t="s">
        <v>300</v>
      </c>
      <c r="K1164" s="67" t="str">
        <f>VLOOKUP(J1164,'Data-ProjectTypes'!A$3:B$13,2,FALSE)</f>
        <v>Project</v>
      </c>
      <c r="L1164" s="87" t="s">
        <v>894</v>
      </c>
      <c r="M1164" s="66" t="s">
        <v>2835</v>
      </c>
      <c r="N1164" s="67" t="s">
        <v>2942</v>
      </c>
      <c r="O1164" s="86" t="s">
        <v>270</v>
      </c>
      <c r="P1164" s="87" t="s">
        <v>270</v>
      </c>
      <c r="Q1164" s="74"/>
      <c r="R1164" s="70"/>
      <c r="S1164" s="11"/>
      <c r="T1164" s="11"/>
      <c r="U1164" s="11"/>
      <c r="V1164" s="11"/>
      <c r="W1164" s="11"/>
      <c r="X1164" s="11"/>
      <c r="Z1164" s="71">
        <f>ROUND(R1164*'Data-CostAssumptions'!$C$8,-3)</f>
        <v>0</v>
      </c>
      <c r="AA1164" s="11">
        <f t="shared" si="37"/>
        <v>0</v>
      </c>
      <c r="AB1164" s="11">
        <v>2041</v>
      </c>
      <c r="AC1164" s="11">
        <v>2041</v>
      </c>
      <c r="AD1164" s="11">
        <v>2041</v>
      </c>
      <c r="AE1164" s="11">
        <v>2041</v>
      </c>
      <c r="AF1164" s="11">
        <v>0</v>
      </c>
      <c r="AG1164" s="19">
        <f>ROUND((Z1164*'Data-CostAssumptions'!$G$5)*(1+'Data-CostAssumptions'!$G$3)^(AC1164-'Data-CostAssumptions'!$G$4),-3)</f>
        <v>0</v>
      </c>
      <c r="AH1164" s="19">
        <f>ROUND((Z1164)*(1+'Data-CostAssumptions'!$G$3)^(AE1164-'Data-CostAssumptions'!$G$4),-3)</f>
        <v>0</v>
      </c>
    </row>
    <row r="1165" spans="1:34" ht="15" customHeight="1" x14ac:dyDescent="0.2">
      <c r="A1165" s="11">
        <v>4193361</v>
      </c>
      <c r="B1165" s="11" t="s">
        <v>1211</v>
      </c>
      <c r="C1165" s="11">
        <v>13039</v>
      </c>
      <c r="D1165" s="84" t="s">
        <v>1732</v>
      </c>
      <c r="E1165" s="14"/>
      <c r="F1165" s="14"/>
      <c r="G1165" s="20">
        <v>1166</v>
      </c>
      <c r="H1165" s="13" t="s">
        <v>2732</v>
      </c>
      <c r="I1165" s="13" t="str">
        <f t="shared" si="36"/>
        <v>SR 91/Florida's Turnpike (@  Griffin/I-595 Ramps)</v>
      </c>
      <c r="J1165" s="84" t="s">
        <v>300</v>
      </c>
      <c r="K1165" s="13" t="str">
        <f>VLOOKUP(J1165,'Data-ProjectTypes'!A$3:B$13,2,FALSE)</f>
        <v>Project</v>
      </c>
      <c r="L1165" s="85" t="s">
        <v>894</v>
      </c>
      <c r="M1165" s="11" t="s">
        <v>2835</v>
      </c>
      <c r="N1165" s="11" t="s">
        <v>2991</v>
      </c>
      <c r="O1165" s="84" t="s">
        <v>270</v>
      </c>
      <c r="P1165" s="85" t="s">
        <v>270</v>
      </c>
      <c r="Q1165" s="15">
        <v>0.5</v>
      </c>
      <c r="R1165" s="23">
        <v>25000000</v>
      </c>
      <c r="S1165" s="11"/>
      <c r="T1165" s="11"/>
      <c r="U1165" s="11"/>
      <c r="V1165" s="11"/>
      <c r="W1165" s="11"/>
      <c r="X1165" s="11"/>
      <c r="Y1165" s="12" t="s">
        <v>3007</v>
      </c>
      <c r="Z1165" s="18">
        <f>ROUND(R1165*'Data-CostAssumptions'!$C$8,-3)</f>
        <v>25000000</v>
      </c>
      <c r="AA1165" s="11">
        <f t="shared" si="37"/>
        <v>0</v>
      </c>
      <c r="AB1165" s="11">
        <v>2041</v>
      </c>
      <c r="AC1165" s="11">
        <v>2041</v>
      </c>
      <c r="AD1165" s="11">
        <v>2041</v>
      </c>
      <c r="AE1165" s="11">
        <v>2041</v>
      </c>
      <c r="AF1165" s="11">
        <v>0</v>
      </c>
      <c r="AG1165" s="19">
        <f>ROUND((Z1165*'Data-CostAssumptions'!$G$5)*(1+'Data-CostAssumptions'!$G$3)^(AC1165-'Data-CostAssumptions'!$G$4),-3)</f>
        <v>14102000</v>
      </c>
      <c r="AH1165" s="19">
        <f>ROUND((Z1165)*(1+'Data-CostAssumptions'!$G$3)^(AE1165-'Data-CostAssumptions'!$G$4),-3)</f>
        <v>64099000</v>
      </c>
    </row>
    <row r="1166" spans="1:34" ht="15" customHeight="1" x14ac:dyDescent="0.2">
      <c r="A1166" s="66">
        <v>4208091</v>
      </c>
      <c r="B1166" s="66" t="s">
        <v>1211</v>
      </c>
      <c r="C1166" s="66">
        <v>13048</v>
      </c>
      <c r="D1166" s="86" t="s">
        <v>1732</v>
      </c>
      <c r="E1166" s="73"/>
      <c r="F1166" s="73"/>
      <c r="G1166" s="20">
        <v>1167</v>
      </c>
      <c r="H1166" s="67" t="s">
        <v>2740</v>
      </c>
      <c r="I1166" s="67" t="str">
        <f t="shared" si="36"/>
        <v>SR 862/I-595 (West of I-95 to East of I-75)</v>
      </c>
      <c r="J1166" s="86" t="s">
        <v>300</v>
      </c>
      <c r="K1166" s="67" t="str">
        <f>VLOOKUP(J1166,'Data-ProjectTypes'!A$3:B$13,2,FALSE)</f>
        <v>Project</v>
      </c>
      <c r="L1166" s="87" t="s">
        <v>892</v>
      </c>
      <c r="M1166" s="67" t="s">
        <v>91</v>
      </c>
      <c r="N1166" s="67" t="s">
        <v>92</v>
      </c>
      <c r="O1166" s="86" t="s">
        <v>270</v>
      </c>
      <c r="P1166" s="87" t="s">
        <v>270</v>
      </c>
      <c r="Q1166" s="74"/>
      <c r="R1166" s="70"/>
      <c r="S1166" s="11"/>
      <c r="T1166" s="11"/>
      <c r="U1166" s="11"/>
      <c r="V1166" s="11"/>
      <c r="W1166" s="11"/>
      <c r="X1166" s="11"/>
      <c r="Z1166" s="71">
        <f>ROUND(R1166*'Data-CostAssumptions'!$C$8,-3)</f>
        <v>0</v>
      </c>
      <c r="AA1166" s="11">
        <f t="shared" si="37"/>
        <v>0</v>
      </c>
      <c r="AB1166" s="11">
        <v>2041</v>
      </c>
      <c r="AC1166" s="11">
        <v>2041</v>
      </c>
      <c r="AD1166" s="11">
        <v>2041</v>
      </c>
      <c r="AE1166" s="11">
        <v>2041</v>
      </c>
      <c r="AF1166" s="11">
        <v>0</v>
      </c>
      <c r="AG1166" s="19">
        <f>ROUND((Z1166*'Data-CostAssumptions'!$G$5)*(1+'Data-CostAssumptions'!$G$3)^(AC1166-'Data-CostAssumptions'!$G$4),-3)</f>
        <v>0</v>
      </c>
      <c r="AH1166" s="19">
        <f>ROUND((Z1166)*(1+'Data-CostAssumptions'!$G$3)^(AE1166-'Data-CostAssumptions'!$G$4),-3)</f>
        <v>0</v>
      </c>
    </row>
    <row r="1167" spans="1:34" ht="15" customHeight="1" x14ac:dyDescent="0.2">
      <c r="A1167" s="66">
        <v>4145613</v>
      </c>
      <c r="B1167" s="66" t="s">
        <v>1211</v>
      </c>
      <c r="C1167" s="66">
        <v>13049</v>
      </c>
      <c r="D1167" s="86" t="s">
        <v>1732</v>
      </c>
      <c r="E1167" s="73"/>
      <c r="F1167" s="73"/>
      <c r="G1167" s="20">
        <v>1168</v>
      </c>
      <c r="H1167" s="67" t="s">
        <v>2805</v>
      </c>
      <c r="I1167" s="67" t="str">
        <f t="shared" si="36"/>
        <v>SR 93/I-75 (N of HEFT to N of Miramar Pkwy)</v>
      </c>
      <c r="J1167" s="86" t="s">
        <v>300</v>
      </c>
      <c r="K1167" s="67" t="str">
        <f>VLOOKUP(J1167,'Data-ProjectTypes'!A$3:B$13,2,FALSE)</f>
        <v>Project</v>
      </c>
      <c r="L1167" s="87" t="s">
        <v>894</v>
      </c>
      <c r="M1167" s="87" t="s">
        <v>2936</v>
      </c>
      <c r="N1167" s="67" t="s">
        <v>2935</v>
      </c>
      <c r="O1167" s="86" t="s">
        <v>270</v>
      </c>
      <c r="P1167" s="87" t="s">
        <v>270</v>
      </c>
      <c r="Q1167" s="74"/>
      <c r="R1167" s="70"/>
      <c r="S1167" s="11"/>
      <c r="T1167" s="11"/>
      <c r="U1167" s="11"/>
      <c r="V1167" s="11"/>
      <c r="W1167" s="11"/>
      <c r="X1167" s="11"/>
      <c r="Z1167" s="71">
        <f>ROUND(R1167*'Data-CostAssumptions'!$C$8,-3)</f>
        <v>0</v>
      </c>
      <c r="AA1167" s="11">
        <f t="shared" si="37"/>
        <v>0</v>
      </c>
      <c r="AB1167" s="11">
        <v>2041</v>
      </c>
      <c r="AC1167" s="11">
        <v>2041</v>
      </c>
      <c r="AD1167" s="11">
        <v>2041</v>
      </c>
      <c r="AE1167" s="11">
        <v>2041</v>
      </c>
      <c r="AF1167" s="11">
        <v>0</v>
      </c>
      <c r="AG1167" s="19">
        <f>ROUND((Z1167*'Data-CostAssumptions'!$G$5)*(1+'Data-CostAssumptions'!$G$3)^(AC1167-'Data-CostAssumptions'!$G$4),-3)</f>
        <v>0</v>
      </c>
      <c r="AH1167" s="19">
        <f>ROUND((Z1167)*(1+'Data-CostAssumptions'!$G$3)^(AE1167-'Data-CostAssumptions'!$G$4),-3)</f>
        <v>0</v>
      </c>
    </row>
    <row r="1168" spans="1:34" ht="15" customHeight="1" x14ac:dyDescent="0.2">
      <c r="A1168" s="66">
        <v>4151521</v>
      </c>
      <c r="B1168" s="66" t="s">
        <v>1211</v>
      </c>
      <c r="C1168" s="66">
        <v>13050</v>
      </c>
      <c r="D1168" s="86" t="s">
        <v>1732</v>
      </c>
      <c r="E1168" s="73"/>
      <c r="F1168" s="73"/>
      <c r="G1168" s="20">
        <v>1169</v>
      </c>
      <c r="H1168" s="67" t="s">
        <v>2805</v>
      </c>
      <c r="I1168" s="67" t="str">
        <f t="shared" si="36"/>
        <v>SR 93/I-75 (@  SR 820 Pines Bl F N of Miramar Pkwy to N OF PI)</v>
      </c>
      <c r="J1168" s="86" t="s">
        <v>300</v>
      </c>
      <c r="K1168" s="67" t="str">
        <f>VLOOKUP(J1168,'Data-ProjectTypes'!A$3:B$13,2,FALSE)</f>
        <v>Project</v>
      </c>
      <c r="L1168" s="87" t="s">
        <v>894</v>
      </c>
      <c r="M1168" s="87" t="s">
        <v>2835</v>
      </c>
      <c r="N1168" s="67" t="s">
        <v>2938</v>
      </c>
      <c r="O1168" s="86" t="s">
        <v>270</v>
      </c>
      <c r="P1168" s="87" t="s">
        <v>270</v>
      </c>
      <c r="Q1168" s="74"/>
      <c r="R1168" s="70"/>
      <c r="S1168" s="11"/>
      <c r="T1168" s="11"/>
      <c r="U1168" s="11"/>
      <c r="V1168" s="11"/>
      <c r="W1168" s="11"/>
      <c r="X1168" s="11"/>
      <c r="Z1168" s="71">
        <f>ROUND(R1168*'Data-CostAssumptions'!$C$8,-3)</f>
        <v>0</v>
      </c>
      <c r="AA1168" s="11">
        <f t="shared" si="37"/>
        <v>0</v>
      </c>
      <c r="AB1168" s="11">
        <v>2041</v>
      </c>
      <c r="AC1168" s="11">
        <v>2041</v>
      </c>
      <c r="AD1168" s="11">
        <v>2041</v>
      </c>
      <c r="AE1168" s="11">
        <v>2041</v>
      </c>
      <c r="AF1168" s="11">
        <v>0</v>
      </c>
      <c r="AG1168" s="19">
        <f>ROUND((Z1168*'Data-CostAssumptions'!$G$5)*(1+'Data-CostAssumptions'!$G$3)^(AC1168-'Data-CostAssumptions'!$G$4),-3)</f>
        <v>0</v>
      </c>
      <c r="AH1168" s="19">
        <f>ROUND((Z1168)*(1+'Data-CostAssumptions'!$G$3)^(AE1168-'Data-CostAssumptions'!$G$4),-3)</f>
        <v>0</v>
      </c>
    </row>
    <row r="1169" spans="1:34" ht="15" customHeight="1" x14ac:dyDescent="0.2">
      <c r="A1169" s="66">
        <v>4215481</v>
      </c>
      <c r="B1169" s="66" t="s">
        <v>1211</v>
      </c>
      <c r="C1169" s="66">
        <v>13051</v>
      </c>
      <c r="D1169" s="86" t="s">
        <v>1732</v>
      </c>
      <c r="E1169" s="73"/>
      <c r="F1169" s="73"/>
      <c r="G1169" s="20">
        <v>1170</v>
      </c>
      <c r="H1169" s="67" t="s">
        <v>2805</v>
      </c>
      <c r="I1169" s="67" t="str">
        <f t="shared" si="36"/>
        <v>SR 93/I-75 (@  Royal Palm Bl F S OF SW 36 ST to N of SW 14 ST)</v>
      </c>
      <c r="J1169" s="86" t="s">
        <v>300</v>
      </c>
      <c r="K1169" s="67" t="str">
        <f>VLOOKUP(J1169,'Data-ProjectTypes'!A$3:B$13,2,FALSE)</f>
        <v>Project</v>
      </c>
      <c r="L1169" s="87" t="s">
        <v>894</v>
      </c>
      <c r="M1169" s="87" t="s">
        <v>2835</v>
      </c>
      <c r="N1169" s="67" t="s">
        <v>2937</v>
      </c>
      <c r="O1169" s="86" t="s">
        <v>270</v>
      </c>
      <c r="P1169" s="87" t="s">
        <v>270</v>
      </c>
      <c r="Q1169" s="74"/>
      <c r="R1169" s="70"/>
      <c r="S1169" s="11"/>
      <c r="T1169" s="11"/>
      <c r="U1169" s="11"/>
      <c r="V1169" s="11"/>
      <c r="W1169" s="11"/>
      <c r="X1169" s="11"/>
      <c r="Z1169" s="71">
        <f>ROUND(R1169*'Data-CostAssumptions'!$C$8,-3)</f>
        <v>0</v>
      </c>
      <c r="AA1169" s="11">
        <f t="shared" si="37"/>
        <v>0</v>
      </c>
      <c r="AB1169" s="11">
        <v>2041</v>
      </c>
      <c r="AC1169" s="11">
        <v>2041</v>
      </c>
      <c r="AD1169" s="11">
        <v>2041</v>
      </c>
      <c r="AE1169" s="11">
        <v>2041</v>
      </c>
      <c r="AF1169" s="11">
        <v>0</v>
      </c>
      <c r="AG1169" s="19">
        <f>ROUND((Z1169*'Data-CostAssumptions'!$G$5)*(1+'Data-CostAssumptions'!$G$3)^(AC1169-'Data-CostAssumptions'!$G$4),-3)</f>
        <v>0</v>
      </c>
      <c r="AH1169" s="19">
        <f>ROUND((Z1169)*(1+'Data-CostAssumptions'!$G$3)^(AE1169-'Data-CostAssumptions'!$G$4),-3)</f>
        <v>0</v>
      </c>
    </row>
    <row r="1170" spans="1:34" ht="15" customHeight="1" x14ac:dyDescent="0.2">
      <c r="A1170" s="66">
        <v>4093592</v>
      </c>
      <c r="B1170" s="66" t="s">
        <v>1211</v>
      </c>
      <c r="C1170" s="66">
        <v>13052</v>
      </c>
      <c r="D1170" s="86" t="s">
        <v>1732</v>
      </c>
      <c r="E1170" s="73"/>
      <c r="F1170" s="73"/>
      <c r="G1170" s="20">
        <v>1171</v>
      </c>
      <c r="H1170" s="67" t="s">
        <v>1445</v>
      </c>
      <c r="I1170" s="67" t="str">
        <f t="shared" si="36"/>
        <v>SR 9/I-95 (N. of Oakland Park Bl to S. of Atlantic Bl)</v>
      </c>
      <c r="J1170" s="86" t="s">
        <v>300</v>
      </c>
      <c r="K1170" s="67" t="str">
        <f>VLOOKUP(J1170,'Data-ProjectTypes'!A$3:B$13,2,FALSE)</f>
        <v>Project</v>
      </c>
      <c r="L1170" s="87" t="s">
        <v>317</v>
      </c>
      <c r="M1170" s="67" t="s">
        <v>2989</v>
      </c>
      <c r="N1170" s="67" t="s">
        <v>2990</v>
      </c>
      <c r="O1170" s="86" t="s">
        <v>270</v>
      </c>
      <c r="P1170" s="87" t="s">
        <v>270</v>
      </c>
      <c r="Q1170" s="74"/>
      <c r="R1170" s="70"/>
      <c r="S1170" s="11"/>
      <c r="T1170" s="11"/>
      <c r="U1170" s="11"/>
      <c r="V1170" s="11"/>
      <c r="W1170" s="11"/>
      <c r="X1170" s="11"/>
      <c r="Z1170" s="71">
        <f>ROUND(R1170*'Data-CostAssumptions'!$C$8,-3)</f>
        <v>0</v>
      </c>
      <c r="AA1170" s="11">
        <f t="shared" si="37"/>
        <v>0</v>
      </c>
      <c r="AB1170" s="11">
        <v>2041</v>
      </c>
      <c r="AC1170" s="11">
        <v>2041</v>
      </c>
      <c r="AD1170" s="11">
        <v>2041</v>
      </c>
      <c r="AE1170" s="11">
        <v>2041</v>
      </c>
      <c r="AF1170" s="11">
        <v>0</v>
      </c>
      <c r="AG1170" s="19">
        <f>ROUND((Z1170*'Data-CostAssumptions'!$G$5)*(1+'Data-CostAssumptions'!$G$3)^(AC1170-'Data-CostAssumptions'!$G$4),-3)</f>
        <v>0</v>
      </c>
      <c r="AH1170" s="19">
        <f>ROUND((Z1170)*(1+'Data-CostAssumptions'!$G$3)^(AE1170-'Data-CostAssumptions'!$G$4),-3)</f>
        <v>0</v>
      </c>
    </row>
    <row r="1171" spans="1:34" ht="15" customHeight="1" x14ac:dyDescent="0.2">
      <c r="A1171" s="66">
        <v>4298042</v>
      </c>
      <c r="B1171" s="66" t="s">
        <v>1211</v>
      </c>
      <c r="C1171" s="66">
        <v>13053</v>
      </c>
      <c r="D1171" s="86" t="s">
        <v>1732</v>
      </c>
      <c r="E1171" s="73"/>
      <c r="F1171" s="73"/>
      <c r="G1171" s="20">
        <v>1172</v>
      </c>
      <c r="H1171" s="67" t="s">
        <v>1445</v>
      </c>
      <c r="I1171" s="67" t="str">
        <f t="shared" si="36"/>
        <v>SR 9/I-95 (S OF SR 842/BROWARD BV to N OF SR 848/STIRLING)</v>
      </c>
      <c r="J1171" s="86" t="s">
        <v>300</v>
      </c>
      <c r="K1171" s="67" t="str">
        <f>VLOOKUP(J1171,'Data-ProjectTypes'!A$3:B$13,2,FALSE)</f>
        <v>Project</v>
      </c>
      <c r="L1171" s="87" t="s">
        <v>317</v>
      </c>
      <c r="M1171" s="67" t="s">
        <v>2759</v>
      </c>
      <c r="N1171" s="67" t="s">
        <v>2758</v>
      </c>
      <c r="O1171" s="86" t="s">
        <v>270</v>
      </c>
      <c r="P1171" s="87" t="s">
        <v>270</v>
      </c>
      <c r="Q1171" s="74"/>
      <c r="R1171" s="70"/>
      <c r="S1171" s="11"/>
      <c r="T1171" s="11"/>
      <c r="U1171" s="11"/>
      <c r="V1171" s="11"/>
      <c r="W1171" s="11"/>
      <c r="X1171" s="11"/>
      <c r="Z1171" s="71">
        <f>ROUND(R1171*'Data-CostAssumptions'!$C$8,-3)</f>
        <v>0</v>
      </c>
      <c r="AA1171" s="11">
        <f t="shared" si="37"/>
        <v>0</v>
      </c>
      <c r="AB1171" s="11">
        <v>2041</v>
      </c>
      <c r="AC1171" s="11">
        <v>2041</v>
      </c>
      <c r="AD1171" s="11">
        <v>2041</v>
      </c>
      <c r="AE1171" s="11">
        <v>2041</v>
      </c>
      <c r="AF1171" s="11">
        <v>0</v>
      </c>
      <c r="AG1171" s="19">
        <f>ROUND((Z1171*'Data-CostAssumptions'!$G$5)*(1+'Data-CostAssumptions'!$G$3)^(AC1171-'Data-CostAssumptions'!$G$4),-3)</f>
        <v>0</v>
      </c>
      <c r="AH1171" s="19">
        <f>ROUND((Z1171)*(1+'Data-CostAssumptions'!$G$3)^(AE1171-'Data-CostAssumptions'!$G$4),-3)</f>
        <v>0</v>
      </c>
    </row>
    <row r="1172" spans="1:34" ht="15" customHeight="1" x14ac:dyDescent="0.2">
      <c r="A1172" s="66">
        <v>4298043</v>
      </c>
      <c r="B1172" s="66" t="s">
        <v>1211</v>
      </c>
      <c r="C1172" s="66">
        <v>13054</v>
      </c>
      <c r="D1172" s="86" t="s">
        <v>1732</v>
      </c>
      <c r="E1172" s="73"/>
      <c r="F1172" s="73"/>
      <c r="G1172" s="20">
        <v>1173</v>
      </c>
      <c r="H1172" s="67" t="s">
        <v>1445</v>
      </c>
      <c r="I1172" s="67" t="str">
        <f t="shared" si="36"/>
        <v>SR 9/I-95 (N OF SR 816/OAKLAND PK to S OF SR 842/BROWARD BV)</v>
      </c>
      <c r="J1172" s="86" t="s">
        <v>300</v>
      </c>
      <c r="K1172" s="67" t="str">
        <f>VLOOKUP(J1172,'Data-ProjectTypes'!A$3:B$13,2,FALSE)</f>
        <v>Project</v>
      </c>
      <c r="L1172" s="87" t="s">
        <v>317</v>
      </c>
      <c r="M1172" s="67" t="s">
        <v>2760</v>
      </c>
      <c r="N1172" s="67" t="s">
        <v>2759</v>
      </c>
      <c r="O1172" s="86" t="s">
        <v>270</v>
      </c>
      <c r="P1172" s="87" t="s">
        <v>270</v>
      </c>
      <c r="Q1172" s="74"/>
      <c r="R1172" s="70"/>
      <c r="S1172" s="11"/>
      <c r="T1172" s="11"/>
      <c r="U1172" s="11"/>
      <c r="V1172" s="11"/>
      <c r="W1172" s="11"/>
      <c r="X1172" s="11"/>
      <c r="Z1172" s="71">
        <f>ROUND(R1172*'Data-CostAssumptions'!$C$8,-3)</f>
        <v>0</v>
      </c>
      <c r="AA1172" s="11">
        <f t="shared" si="37"/>
        <v>0</v>
      </c>
      <c r="AB1172" s="11">
        <v>2041</v>
      </c>
      <c r="AC1172" s="11">
        <v>2041</v>
      </c>
      <c r="AD1172" s="11">
        <v>2041</v>
      </c>
      <c r="AE1172" s="11">
        <v>2041</v>
      </c>
      <c r="AF1172" s="11">
        <v>0</v>
      </c>
      <c r="AG1172" s="19">
        <f>ROUND((Z1172*'Data-CostAssumptions'!$G$5)*(1+'Data-CostAssumptions'!$G$3)^(AC1172-'Data-CostAssumptions'!$G$4),-3)</f>
        <v>0</v>
      </c>
      <c r="AH1172" s="19">
        <f>ROUND((Z1172)*(1+'Data-CostAssumptions'!$G$3)^(AE1172-'Data-CostAssumptions'!$G$4),-3)</f>
        <v>0</v>
      </c>
    </row>
    <row r="1173" spans="1:34" ht="15" customHeight="1" x14ac:dyDescent="0.2">
      <c r="A1173" s="66">
        <v>1107</v>
      </c>
      <c r="B1173" s="66" t="s">
        <v>1211</v>
      </c>
      <c r="C1173" s="66">
        <v>13056</v>
      </c>
      <c r="D1173" s="86" t="s">
        <v>1732</v>
      </c>
      <c r="E1173" s="73"/>
      <c r="F1173" s="73"/>
      <c r="G1173" s="20">
        <v>1174</v>
      </c>
      <c r="H1173" s="67" t="s">
        <v>2740</v>
      </c>
      <c r="I1173" s="67" t="str">
        <f t="shared" si="36"/>
        <v>SR 862/I-595 (I-75 to SR-7)</v>
      </c>
      <c r="J1173" s="86" t="s">
        <v>300</v>
      </c>
      <c r="K1173" s="67" t="str">
        <f>VLOOKUP(J1173,'Data-ProjectTypes'!A$3:B$13,2,FALSE)</f>
        <v>Project</v>
      </c>
      <c r="L1173" s="87" t="s">
        <v>317</v>
      </c>
      <c r="M1173" s="66" t="s">
        <v>31</v>
      </c>
      <c r="N1173" s="86" t="s">
        <v>905</v>
      </c>
      <c r="O1173" s="86" t="s">
        <v>270</v>
      </c>
      <c r="P1173" s="87" t="s">
        <v>270</v>
      </c>
      <c r="Q1173" s="74"/>
      <c r="R1173" s="70"/>
      <c r="S1173" s="11"/>
      <c r="T1173" s="11"/>
      <c r="U1173" s="11"/>
      <c r="V1173" s="11"/>
      <c r="W1173" s="11"/>
      <c r="X1173" s="11"/>
      <c r="Z1173" s="71">
        <f>ROUND(R1173*'Data-CostAssumptions'!$C$8,-3)</f>
        <v>0</v>
      </c>
      <c r="AA1173" s="11">
        <f t="shared" si="37"/>
        <v>0</v>
      </c>
      <c r="AB1173" s="11">
        <v>2041</v>
      </c>
      <c r="AC1173" s="11">
        <v>2041</v>
      </c>
      <c r="AD1173" s="11">
        <v>2041</v>
      </c>
      <c r="AE1173" s="11">
        <v>2041</v>
      </c>
      <c r="AF1173" s="11">
        <v>0</v>
      </c>
      <c r="AG1173" s="19">
        <f>ROUND((Z1173*'Data-CostAssumptions'!$G$5)*(1+'Data-CostAssumptions'!$G$3)^(AC1173-'Data-CostAssumptions'!$G$4),-3)</f>
        <v>0</v>
      </c>
      <c r="AH1173" s="19">
        <f>ROUND((Z1173)*(1+'Data-CostAssumptions'!$G$3)^(AE1173-'Data-CostAssumptions'!$G$4),-3)</f>
        <v>0</v>
      </c>
    </row>
    <row r="1174" spans="1:34" ht="15" customHeight="1" x14ac:dyDescent="0.2">
      <c r="A1174" s="66">
        <v>1428</v>
      </c>
      <c r="B1174" s="66" t="s">
        <v>1211</v>
      </c>
      <c r="C1174" s="66">
        <v>13057</v>
      </c>
      <c r="D1174" s="86" t="s">
        <v>1732</v>
      </c>
      <c r="E1174" s="73"/>
      <c r="F1174" s="73"/>
      <c r="G1174" s="20">
        <v>1175</v>
      </c>
      <c r="H1174" s="67" t="s">
        <v>2805</v>
      </c>
      <c r="I1174" s="67" t="str">
        <f t="shared" si="36"/>
        <v>SR 93/I-75 (@  SR-820/Pines Bl Ramps)</v>
      </c>
      <c r="J1174" s="86" t="s">
        <v>300</v>
      </c>
      <c r="K1174" s="67" t="str">
        <f>VLOOKUP(J1174,'Data-ProjectTypes'!A$3:B$13,2,FALSE)</f>
        <v>Project</v>
      </c>
      <c r="L1174" s="87" t="s">
        <v>894</v>
      </c>
      <c r="M1174" s="87" t="s">
        <v>2835</v>
      </c>
      <c r="N1174" s="66" t="s">
        <v>2933</v>
      </c>
      <c r="O1174" s="86" t="s">
        <v>270</v>
      </c>
      <c r="P1174" s="87" t="s">
        <v>270</v>
      </c>
      <c r="Q1174" s="74"/>
      <c r="R1174" s="70"/>
      <c r="S1174" s="11"/>
      <c r="T1174" s="11"/>
      <c r="U1174" s="11"/>
      <c r="V1174" s="11"/>
      <c r="W1174" s="11"/>
      <c r="X1174" s="11"/>
      <c r="Z1174" s="71">
        <f>ROUND(R1174*'Data-CostAssumptions'!$C$8,-3)</f>
        <v>0</v>
      </c>
      <c r="AA1174" s="11">
        <f t="shared" si="37"/>
        <v>0</v>
      </c>
      <c r="AB1174" s="11">
        <v>2041</v>
      </c>
      <c r="AC1174" s="11">
        <v>2041</v>
      </c>
      <c r="AD1174" s="11">
        <v>2041</v>
      </c>
      <c r="AE1174" s="11">
        <v>2041</v>
      </c>
      <c r="AF1174" s="11">
        <v>0</v>
      </c>
      <c r="AG1174" s="19">
        <f>ROUND((Z1174*'Data-CostAssumptions'!$G$5)*(1+'Data-CostAssumptions'!$G$3)^(AC1174-'Data-CostAssumptions'!$G$4),-3)</f>
        <v>0</v>
      </c>
      <c r="AH1174" s="19">
        <f>ROUND((Z1174)*(1+'Data-CostAssumptions'!$G$3)^(AE1174-'Data-CostAssumptions'!$G$4),-3)</f>
        <v>0</v>
      </c>
    </row>
    <row r="1175" spans="1:34" ht="15" customHeight="1" x14ac:dyDescent="0.2">
      <c r="A1175" s="66">
        <v>1608</v>
      </c>
      <c r="B1175" s="66" t="s">
        <v>1211</v>
      </c>
      <c r="C1175" s="66">
        <v>13058</v>
      </c>
      <c r="D1175" s="86" t="s">
        <v>1732</v>
      </c>
      <c r="E1175" s="73"/>
      <c r="F1175" s="73"/>
      <c r="G1175" s="20">
        <v>1176</v>
      </c>
      <c r="H1175" s="67" t="s">
        <v>1445</v>
      </c>
      <c r="I1175" s="67" t="str">
        <f t="shared" si="36"/>
        <v>SR 9/I-95 (@  Broward Bl)</v>
      </c>
      <c r="J1175" s="86" t="s">
        <v>300</v>
      </c>
      <c r="K1175" s="67" t="str">
        <f>VLOOKUP(J1175,'Data-ProjectTypes'!A$3:B$13,2,FALSE)</f>
        <v>Project</v>
      </c>
      <c r="L1175" s="87" t="s">
        <v>894</v>
      </c>
      <c r="M1175" s="66" t="s">
        <v>2835</v>
      </c>
      <c r="N1175" s="66" t="s">
        <v>1811</v>
      </c>
      <c r="O1175" s="86" t="s">
        <v>270</v>
      </c>
      <c r="P1175" s="87" t="s">
        <v>270</v>
      </c>
      <c r="Q1175" s="74"/>
      <c r="R1175" s="70"/>
      <c r="S1175" s="11"/>
      <c r="T1175" s="11"/>
      <c r="U1175" s="11"/>
      <c r="V1175" s="11"/>
      <c r="W1175" s="11"/>
      <c r="X1175" s="11"/>
      <c r="Z1175" s="71">
        <f>ROUND(R1175*'Data-CostAssumptions'!$C$8,-3)</f>
        <v>0</v>
      </c>
      <c r="AA1175" s="11">
        <f t="shared" si="37"/>
        <v>0</v>
      </c>
      <c r="AB1175" s="11">
        <v>2041</v>
      </c>
      <c r="AC1175" s="11">
        <v>2041</v>
      </c>
      <c r="AD1175" s="11">
        <v>2041</v>
      </c>
      <c r="AE1175" s="11">
        <v>2041</v>
      </c>
      <c r="AF1175" s="11">
        <v>0</v>
      </c>
      <c r="AG1175" s="19">
        <f>ROUND((Z1175*'Data-CostAssumptions'!$G$5)*(1+'Data-CostAssumptions'!$G$3)^(AC1175-'Data-CostAssumptions'!$G$4),-3)</f>
        <v>0</v>
      </c>
      <c r="AH1175" s="19">
        <f>ROUND((Z1175)*(1+'Data-CostAssumptions'!$G$3)^(AE1175-'Data-CostAssumptions'!$G$4),-3)</f>
        <v>0</v>
      </c>
    </row>
    <row r="1176" spans="1:34" ht="15" customHeight="1" x14ac:dyDescent="0.2">
      <c r="A1176" s="66">
        <v>1609</v>
      </c>
      <c r="B1176" s="66" t="s">
        <v>1211</v>
      </c>
      <c r="C1176" s="66">
        <v>13059</v>
      </c>
      <c r="D1176" s="86" t="s">
        <v>1732</v>
      </c>
      <c r="E1176" s="73"/>
      <c r="F1176" s="73"/>
      <c r="G1176" s="20">
        <v>1177</v>
      </c>
      <c r="H1176" s="67" t="s">
        <v>1445</v>
      </c>
      <c r="I1176" s="67" t="str">
        <f t="shared" si="36"/>
        <v>SR 9/I-95 (@  Hollywood Bl)</v>
      </c>
      <c r="J1176" s="86" t="s">
        <v>300</v>
      </c>
      <c r="K1176" s="67" t="str">
        <f>VLOOKUP(J1176,'Data-ProjectTypes'!A$3:B$13,2,FALSE)</f>
        <v>Project</v>
      </c>
      <c r="L1176" s="87" t="s">
        <v>894</v>
      </c>
      <c r="M1176" s="66" t="s">
        <v>2835</v>
      </c>
      <c r="N1176" s="66" t="s">
        <v>1820</v>
      </c>
      <c r="O1176" s="86" t="s">
        <v>270</v>
      </c>
      <c r="P1176" s="87" t="s">
        <v>270</v>
      </c>
      <c r="Q1176" s="74"/>
      <c r="R1176" s="70"/>
      <c r="S1176" s="11"/>
      <c r="T1176" s="11"/>
      <c r="U1176" s="11"/>
      <c r="V1176" s="11"/>
      <c r="W1176" s="11"/>
      <c r="X1176" s="11"/>
      <c r="Z1176" s="71">
        <f>ROUND(R1176*'Data-CostAssumptions'!$C$8,-3)</f>
        <v>0</v>
      </c>
      <c r="AA1176" s="11">
        <f t="shared" si="37"/>
        <v>0</v>
      </c>
      <c r="AB1176" s="11">
        <v>2041</v>
      </c>
      <c r="AC1176" s="11">
        <v>2041</v>
      </c>
      <c r="AD1176" s="11">
        <v>2041</v>
      </c>
      <c r="AE1176" s="11">
        <v>2041</v>
      </c>
      <c r="AF1176" s="11">
        <v>0</v>
      </c>
      <c r="AG1176" s="19">
        <f>ROUND((Z1176*'Data-CostAssumptions'!$G$5)*(1+'Data-CostAssumptions'!$G$3)^(AC1176-'Data-CostAssumptions'!$G$4),-3)</f>
        <v>0</v>
      </c>
      <c r="AH1176" s="19">
        <f>ROUND((Z1176)*(1+'Data-CostAssumptions'!$G$3)^(AE1176-'Data-CostAssumptions'!$G$4),-3)</f>
        <v>0</v>
      </c>
    </row>
    <row r="1177" spans="1:34" ht="15" customHeight="1" x14ac:dyDescent="0.2">
      <c r="A1177" s="66">
        <v>1610</v>
      </c>
      <c r="B1177" s="66" t="s">
        <v>1211</v>
      </c>
      <c r="C1177" s="66">
        <v>13060</v>
      </c>
      <c r="D1177" s="86" t="s">
        <v>1732</v>
      </c>
      <c r="E1177" s="73"/>
      <c r="F1177" s="73"/>
      <c r="G1177" s="20">
        <v>1178</v>
      </c>
      <c r="H1177" s="67" t="s">
        <v>1445</v>
      </c>
      <c r="I1177" s="67" t="str">
        <f t="shared" si="36"/>
        <v>SR 9/I-95 (@  Sunrise Bl)</v>
      </c>
      <c r="J1177" s="86" t="s">
        <v>300</v>
      </c>
      <c r="K1177" s="67" t="str">
        <f>VLOOKUP(J1177,'Data-ProjectTypes'!A$3:B$13,2,FALSE)</f>
        <v>Project</v>
      </c>
      <c r="L1177" s="87" t="s">
        <v>894</v>
      </c>
      <c r="M1177" s="66" t="s">
        <v>2835</v>
      </c>
      <c r="N1177" s="66" t="s">
        <v>1830</v>
      </c>
      <c r="O1177" s="86" t="s">
        <v>270</v>
      </c>
      <c r="P1177" s="87" t="s">
        <v>270</v>
      </c>
      <c r="Q1177" s="74"/>
      <c r="R1177" s="70"/>
      <c r="S1177" s="11"/>
      <c r="T1177" s="11"/>
      <c r="U1177" s="11"/>
      <c r="V1177" s="11"/>
      <c r="W1177" s="11"/>
      <c r="X1177" s="11"/>
      <c r="Z1177" s="71">
        <f>ROUND(R1177*'Data-CostAssumptions'!$C$8,-3)</f>
        <v>0</v>
      </c>
      <c r="AA1177" s="11">
        <f t="shared" si="37"/>
        <v>0</v>
      </c>
      <c r="AB1177" s="11">
        <v>2041</v>
      </c>
      <c r="AC1177" s="11">
        <v>2041</v>
      </c>
      <c r="AD1177" s="11">
        <v>2041</v>
      </c>
      <c r="AE1177" s="11">
        <v>2041</v>
      </c>
      <c r="AF1177" s="11">
        <v>0</v>
      </c>
      <c r="AG1177" s="19">
        <f>ROUND((Z1177*'Data-CostAssumptions'!$G$5)*(1+'Data-CostAssumptions'!$G$3)^(AC1177-'Data-CostAssumptions'!$G$4),-3)</f>
        <v>0</v>
      </c>
      <c r="AH1177" s="19">
        <f>ROUND((Z1177)*(1+'Data-CostAssumptions'!$G$3)^(AE1177-'Data-CostAssumptions'!$G$4),-3)</f>
        <v>0</v>
      </c>
    </row>
    <row r="1178" spans="1:34" ht="15" customHeight="1" x14ac:dyDescent="0.2">
      <c r="A1178" s="66">
        <v>1611</v>
      </c>
      <c r="B1178" s="66" t="s">
        <v>1211</v>
      </c>
      <c r="C1178" s="66">
        <v>13061</v>
      </c>
      <c r="D1178" s="86" t="s">
        <v>1732</v>
      </c>
      <c r="E1178" s="73"/>
      <c r="F1178" s="73"/>
      <c r="G1178" s="20">
        <v>1179</v>
      </c>
      <c r="H1178" s="67" t="s">
        <v>1445</v>
      </c>
      <c r="I1178" s="67" t="str">
        <f t="shared" si="36"/>
        <v>SR 9/I-95 (@  Stirling Bl)</v>
      </c>
      <c r="J1178" s="86" t="s">
        <v>300</v>
      </c>
      <c r="K1178" s="67" t="str">
        <f>VLOOKUP(J1178,'Data-ProjectTypes'!A$3:B$13,2,FALSE)</f>
        <v>Project</v>
      </c>
      <c r="L1178" s="87" t="s">
        <v>894</v>
      </c>
      <c r="M1178" s="66" t="s">
        <v>2835</v>
      </c>
      <c r="N1178" s="66" t="s">
        <v>2940</v>
      </c>
      <c r="O1178" s="86" t="s">
        <v>270</v>
      </c>
      <c r="P1178" s="87" t="s">
        <v>270</v>
      </c>
      <c r="Q1178" s="74"/>
      <c r="R1178" s="70"/>
      <c r="S1178" s="11"/>
      <c r="T1178" s="11"/>
      <c r="U1178" s="11"/>
      <c r="V1178" s="11"/>
      <c r="W1178" s="11"/>
      <c r="X1178" s="11"/>
      <c r="Z1178" s="71">
        <f>ROUND(R1178*'Data-CostAssumptions'!$C$8,-3)</f>
        <v>0</v>
      </c>
      <c r="AA1178" s="11">
        <f t="shared" si="37"/>
        <v>0</v>
      </c>
      <c r="AB1178" s="11">
        <v>2041</v>
      </c>
      <c r="AC1178" s="11">
        <v>2041</v>
      </c>
      <c r="AD1178" s="11">
        <v>2041</v>
      </c>
      <c r="AE1178" s="11">
        <v>2041</v>
      </c>
      <c r="AF1178" s="11">
        <v>0</v>
      </c>
      <c r="AG1178" s="19">
        <f>ROUND((Z1178*'Data-CostAssumptions'!$G$5)*(1+'Data-CostAssumptions'!$G$3)^(AC1178-'Data-CostAssumptions'!$G$4),-3)</f>
        <v>0</v>
      </c>
      <c r="AH1178" s="19">
        <f>ROUND((Z1178)*(1+'Data-CostAssumptions'!$G$3)^(AE1178-'Data-CostAssumptions'!$G$4),-3)</f>
        <v>0</v>
      </c>
    </row>
    <row r="1179" spans="1:34" ht="15" customHeight="1" x14ac:dyDescent="0.2">
      <c r="A1179" s="66">
        <v>1711</v>
      </c>
      <c r="B1179" s="66" t="s">
        <v>1211</v>
      </c>
      <c r="C1179" s="66">
        <v>13062</v>
      </c>
      <c r="D1179" s="86" t="s">
        <v>1732</v>
      </c>
      <c r="E1179" s="73"/>
      <c r="F1179" s="73"/>
      <c r="G1179" s="20">
        <v>1180</v>
      </c>
      <c r="H1179" s="67" t="s">
        <v>2805</v>
      </c>
      <c r="I1179" s="67" t="str">
        <f t="shared" si="36"/>
        <v>SR 93/I-75 (@  Miramar Pkwy Ramps)</v>
      </c>
      <c r="J1179" s="86" t="s">
        <v>300</v>
      </c>
      <c r="K1179" s="67" t="str">
        <f>VLOOKUP(J1179,'Data-ProjectTypes'!A$3:B$13,2,FALSE)</f>
        <v>Project</v>
      </c>
      <c r="L1179" s="87" t="s">
        <v>894</v>
      </c>
      <c r="M1179" s="87" t="s">
        <v>2835</v>
      </c>
      <c r="N1179" s="66" t="s">
        <v>2934</v>
      </c>
      <c r="O1179" s="86" t="s">
        <v>270</v>
      </c>
      <c r="P1179" s="87" t="s">
        <v>270</v>
      </c>
      <c r="Q1179" s="74"/>
      <c r="R1179" s="70"/>
      <c r="S1179" s="11"/>
      <c r="T1179" s="11"/>
      <c r="U1179" s="11"/>
      <c r="V1179" s="11"/>
      <c r="W1179" s="11"/>
      <c r="X1179" s="11"/>
      <c r="Z1179" s="71">
        <f>ROUND(R1179*'Data-CostAssumptions'!$C$8,-3)</f>
        <v>0</v>
      </c>
      <c r="AA1179" s="11">
        <f t="shared" si="37"/>
        <v>0</v>
      </c>
      <c r="AB1179" s="11">
        <v>2041</v>
      </c>
      <c r="AC1179" s="11">
        <v>2041</v>
      </c>
      <c r="AD1179" s="11">
        <v>2041</v>
      </c>
      <c r="AE1179" s="11">
        <v>2041</v>
      </c>
      <c r="AF1179" s="11">
        <v>0</v>
      </c>
      <c r="AG1179" s="19">
        <f>ROUND((Z1179*'Data-CostAssumptions'!$G$5)*(1+'Data-CostAssumptions'!$G$3)^(AC1179-'Data-CostAssumptions'!$G$4),-3)</f>
        <v>0</v>
      </c>
      <c r="AH1179" s="19">
        <f>ROUND((Z1179)*(1+'Data-CostAssumptions'!$G$3)^(AE1179-'Data-CostAssumptions'!$G$4),-3)</f>
        <v>0</v>
      </c>
    </row>
    <row r="1180" spans="1:34" ht="15" customHeight="1" x14ac:dyDescent="0.2">
      <c r="A1180" s="11" t="s">
        <v>912</v>
      </c>
      <c r="B1180" s="11" t="s">
        <v>1211</v>
      </c>
      <c r="C1180" s="11">
        <v>13067</v>
      </c>
      <c r="D1180" s="84" t="s">
        <v>1732</v>
      </c>
      <c r="E1180" s="14"/>
      <c r="F1180" s="14"/>
      <c r="G1180" s="20">
        <v>1181</v>
      </c>
      <c r="H1180" s="13" t="s">
        <v>2805</v>
      </c>
      <c r="I1180" s="13" t="str">
        <f t="shared" si="36"/>
        <v>SR 93/I-75 (@  Sheridan St)</v>
      </c>
      <c r="J1180" s="84" t="s">
        <v>300</v>
      </c>
      <c r="K1180" s="13" t="str">
        <f>VLOOKUP(J1180,'Data-ProjectTypes'!A$3:B$13,2,FALSE)</f>
        <v>Project</v>
      </c>
      <c r="L1180" s="85" t="s">
        <v>894</v>
      </c>
      <c r="M1180" s="85" t="s">
        <v>2835</v>
      </c>
      <c r="N1180" s="85" t="s">
        <v>1951</v>
      </c>
      <c r="O1180" s="84" t="s">
        <v>270</v>
      </c>
      <c r="P1180" s="85" t="s">
        <v>270</v>
      </c>
      <c r="Q1180" s="15"/>
      <c r="R1180" s="16">
        <v>34583000</v>
      </c>
      <c r="S1180" s="11"/>
      <c r="T1180" s="11"/>
      <c r="U1180" s="11"/>
      <c r="V1180" s="11"/>
      <c r="W1180" s="11"/>
      <c r="X1180" s="11"/>
      <c r="Z1180" s="18">
        <f>ROUND(R1180*'Data-CostAssumptions'!$C$8,-3)</f>
        <v>34583000</v>
      </c>
      <c r="AA1180" s="11">
        <f t="shared" si="37"/>
        <v>0</v>
      </c>
      <c r="AB1180" s="11">
        <v>2041</v>
      </c>
      <c r="AC1180" s="11">
        <v>2041</v>
      </c>
      <c r="AD1180" s="11">
        <v>2041</v>
      </c>
      <c r="AE1180" s="11">
        <v>2041</v>
      </c>
      <c r="AF1180" s="11">
        <v>0</v>
      </c>
      <c r="AG1180" s="19">
        <f>ROUND((Z1180*'Data-CostAssumptions'!$G$5)*(1+'Data-CostAssumptions'!$G$3)^(AC1180-'Data-CostAssumptions'!$G$4),-3)</f>
        <v>19507000</v>
      </c>
      <c r="AH1180" s="19">
        <f>ROUND((Z1180)*(1+'Data-CostAssumptions'!$G$3)^(AE1180-'Data-CostAssumptions'!$G$4),-3)</f>
        <v>88669000</v>
      </c>
    </row>
    <row r="1181" spans="1:34" ht="15" customHeight="1" x14ac:dyDescent="0.2">
      <c r="A1181" s="11" t="s">
        <v>916</v>
      </c>
      <c r="B1181" s="11" t="s">
        <v>1211</v>
      </c>
      <c r="C1181" s="11">
        <v>13068</v>
      </c>
      <c r="D1181" s="84" t="s">
        <v>1732</v>
      </c>
      <c r="E1181" s="14"/>
      <c r="F1181" s="14"/>
      <c r="G1181" s="20">
        <v>1182</v>
      </c>
      <c r="H1181" s="13" t="s">
        <v>2805</v>
      </c>
      <c r="I1181" s="13" t="str">
        <f t="shared" si="36"/>
        <v>SR 93/I-75 (@  Miramar Parkway)</v>
      </c>
      <c r="J1181" s="84" t="s">
        <v>300</v>
      </c>
      <c r="K1181" s="13" t="str">
        <f>VLOOKUP(J1181,'Data-ProjectTypes'!A$3:B$13,2,FALSE)</f>
        <v>Project</v>
      </c>
      <c r="L1181" s="85" t="s">
        <v>894</v>
      </c>
      <c r="M1181" s="85" t="s">
        <v>2835</v>
      </c>
      <c r="N1181" s="85" t="s">
        <v>39</v>
      </c>
      <c r="O1181" s="84" t="s">
        <v>270</v>
      </c>
      <c r="P1181" s="85" t="s">
        <v>270</v>
      </c>
      <c r="Q1181" s="15"/>
      <c r="R1181" s="16">
        <v>34583000</v>
      </c>
      <c r="S1181" s="11"/>
      <c r="T1181" s="11"/>
      <c r="U1181" s="11"/>
      <c r="V1181" s="11"/>
      <c r="W1181" s="11"/>
      <c r="X1181" s="11"/>
      <c r="Z1181" s="18">
        <f>ROUND(R1181*'Data-CostAssumptions'!$C$8,-3)</f>
        <v>34583000</v>
      </c>
      <c r="AA1181" s="11">
        <f t="shared" si="37"/>
        <v>0</v>
      </c>
      <c r="AB1181" s="11">
        <v>2041</v>
      </c>
      <c r="AC1181" s="11">
        <v>2041</v>
      </c>
      <c r="AD1181" s="11">
        <v>2041</v>
      </c>
      <c r="AE1181" s="11">
        <v>2041</v>
      </c>
      <c r="AF1181" s="11">
        <v>0</v>
      </c>
      <c r="AG1181" s="19">
        <f>ROUND((Z1181*'Data-CostAssumptions'!$G$5)*(1+'Data-CostAssumptions'!$G$3)^(AC1181-'Data-CostAssumptions'!$G$4),-3)</f>
        <v>19507000</v>
      </c>
      <c r="AH1181" s="19">
        <f>ROUND((Z1181)*(1+'Data-CostAssumptions'!$G$3)^(AE1181-'Data-CostAssumptions'!$G$4),-3)</f>
        <v>88669000</v>
      </c>
    </row>
    <row r="1182" spans="1:34" ht="15" customHeight="1" x14ac:dyDescent="0.2">
      <c r="A1182" s="11" t="s">
        <v>913</v>
      </c>
      <c r="B1182" s="11" t="s">
        <v>1211</v>
      </c>
      <c r="C1182" s="11">
        <v>13069</v>
      </c>
      <c r="D1182" s="84" t="s">
        <v>1732</v>
      </c>
      <c r="E1182" s="14"/>
      <c r="F1182" s="14"/>
      <c r="G1182" s="20">
        <v>1183</v>
      </c>
      <c r="H1182" s="13" t="s">
        <v>2805</v>
      </c>
      <c r="I1182" s="13" t="str">
        <f t="shared" si="36"/>
        <v>SR 93/I-75 (@  SR 820/Pines Bl)</v>
      </c>
      <c r="J1182" s="84" t="s">
        <v>300</v>
      </c>
      <c r="K1182" s="13" t="str">
        <f>VLOOKUP(J1182,'Data-ProjectTypes'!A$3:B$13,2,FALSE)</f>
        <v>Project</v>
      </c>
      <c r="L1182" s="85" t="s">
        <v>894</v>
      </c>
      <c r="M1182" s="85" t="s">
        <v>2835</v>
      </c>
      <c r="N1182" s="85" t="s">
        <v>2717</v>
      </c>
      <c r="O1182" s="84" t="s">
        <v>270</v>
      </c>
      <c r="P1182" s="85" t="s">
        <v>270</v>
      </c>
      <c r="Q1182" s="15"/>
      <c r="R1182" s="16">
        <v>34583000</v>
      </c>
      <c r="S1182" s="11"/>
      <c r="T1182" s="11"/>
      <c r="U1182" s="11"/>
      <c r="V1182" s="11"/>
      <c r="W1182" s="11"/>
      <c r="X1182" s="11"/>
      <c r="Z1182" s="18">
        <f>ROUND(R1182*'Data-CostAssumptions'!$C$8,-3)</f>
        <v>34583000</v>
      </c>
      <c r="AA1182" s="11">
        <f t="shared" si="37"/>
        <v>0</v>
      </c>
      <c r="AB1182" s="11">
        <v>2041</v>
      </c>
      <c r="AC1182" s="11">
        <v>2041</v>
      </c>
      <c r="AD1182" s="11">
        <v>2041</v>
      </c>
      <c r="AE1182" s="11">
        <v>2041</v>
      </c>
      <c r="AF1182" s="11">
        <v>0</v>
      </c>
      <c r="AG1182" s="19">
        <f>ROUND((Z1182*'Data-CostAssumptions'!$G$5)*(1+'Data-CostAssumptions'!$G$3)^(AC1182-'Data-CostAssumptions'!$G$4),-3)</f>
        <v>19507000</v>
      </c>
      <c r="AH1182" s="19">
        <f>ROUND((Z1182)*(1+'Data-CostAssumptions'!$G$3)^(AE1182-'Data-CostAssumptions'!$G$4),-3)</f>
        <v>88669000</v>
      </c>
    </row>
    <row r="1183" spans="1:34" ht="15" customHeight="1" x14ac:dyDescent="0.2">
      <c r="A1183" s="11" t="s">
        <v>914</v>
      </c>
      <c r="B1183" s="11" t="s">
        <v>1211</v>
      </c>
      <c r="C1183" s="11">
        <v>13070</v>
      </c>
      <c r="D1183" s="84" t="s">
        <v>1732</v>
      </c>
      <c r="E1183" s="14"/>
      <c r="F1183" s="14"/>
      <c r="G1183" s="20">
        <v>1184</v>
      </c>
      <c r="H1183" s="13" t="s">
        <v>2805</v>
      </c>
      <c r="I1183" s="13" t="str">
        <f t="shared" si="36"/>
        <v>SR 93/I-75 (@  Sawgrass Expressway)</v>
      </c>
      <c r="J1183" s="84" t="s">
        <v>300</v>
      </c>
      <c r="K1183" s="13" t="str">
        <f>VLOOKUP(J1183,'Data-ProjectTypes'!A$3:B$13,2,FALSE)</f>
        <v>Project</v>
      </c>
      <c r="L1183" s="85" t="s">
        <v>894</v>
      </c>
      <c r="M1183" s="85" t="s">
        <v>2835</v>
      </c>
      <c r="N1183" s="85" t="s">
        <v>72</v>
      </c>
      <c r="O1183" s="84" t="s">
        <v>270</v>
      </c>
      <c r="P1183" s="85" t="s">
        <v>270</v>
      </c>
      <c r="Q1183" s="15"/>
      <c r="R1183" s="16">
        <v>45988000</v>
      </c>
      <c r="S1183" s="11"/>
      <c r="T1183" s="11"/>
      <c r="U1183" s="11"/>
      <c r="V1183" s="11"/>
      <c r="W1183" s="11"/>
      <c r="X1183" s="11"/>
      <c r="Z1183" s="18">
        <f>ROUND(R1183*'Data-CostAssumptions'!$C$8,-3)</f>
        <v>45988000</v>
      </c>
      <c r="AA1183" s="11">
        <f t="shared" si="37"/>
        <v>0</v>
      </c>
      <c r="AB1183" s="11">
        <v>2041</v>
      </c>
      <c r="AC1183" s="11">
        <v>2041</v>
      </c>
      <c r="AD1183" s="11">
        <v>2041</v>
      </c>
      <c r="AE1183" s="11">
        <v>2041</v>
      </c>
      <c r="AF1183" s="11">
        <v>0</v>
      </c>
      <c r="AG1183" s="19">
        <f>ROUND((Z1183*'Data-CostAssumptions'!$G$5)*(1+'Data-CostAssumptions'!$G$3)^(AC1183-'Data-CostAssumptions'!$G$4),-3)</f>
        <v>25940000</v>
      </c>
      <c r="AH1183" s="19">
        <f>ROUND((Z1183)*(1+'Data-CostAssumptions'!$G$3)^(AE1183-'Data-CostAssumptions'!$G$4),-3)</f>
        <v>117911000</v>
      </c>
    </row>
    <row r="1184" spans="1:34" ht="15" customHeight="1" x14ac:dyDescent="0.2">
      <c r="A1184" s="11" t="s">
        <v>915</v>
      </c>
      <c r="B1184" s="11" t="s">
        <v>1211</v>
      </c>
      <c r="C1184" s="11">
        <v>13071</v>
      </c>
      <c r="D1184" s="84" t="s">
        <v>1732</v>
      </c>
      <c r="E1184" s="14"/>
      <c r="F1184" s="14"/>
      <c r="G1184" s="20">
        <v>1185</v>
      </c>
      <c r="H1184" s="13" t="s">
        <v>2805</v>
      </c>
      <c r="I1184" s="13" t="str">
        <f t="shared" si="36"/>
        <v>SR 93/I-75 (@  Griffin Rd)</v>
      </c>
      <c r="J1184" s="84" t="s">
        <v>300</v>
      </c>
      <c r="K1184" s="13" t="str">
        <f>VLOOKUP(J1184,'Data-ProjectTypes'!A$3:B$13,2,FALSE)</f>
        <v>Project</v>
      </c>
      <c r="L1184" s="85" t="s">
        <v>894</v>
      </c>
      <c r="M1184" s="85" t="s">
        <v>2835</v>
      </c>
      <c r="N1184" s="85" t="s">
        <v>1750</v>
      </c>
      <c r="O1184" s="84" t="s">
        <v>270</v>
      </c>
      <c r="P1184" s="85" t="s">
        <v>270</v>
      </c>
      <c r="Q1184" s="15"/>
      <c r="R1184" s="16">
        <v>34583000</v>
      </c>
      <c r="S1184" s="11"/>
      <c r="T1184" s="11"/>
      <c r="U1184" s="11"/>
      <c r="V1184" s="11"/>
      <c r="W1184" s="11"/>
      <c r="X1184" s="11"/>
      <c r="Z1184" s="18">
        <f>ROUND(R1184*'Data-CostAssumptions'!$C$8,-3)</f>
        <v>34583000</v>
      </c>
      <c r="AA1184" s="11">
        <f t="shared" si="37"/>
        <v>0</v>
      </c>
      <c r="AB1184" s="11">
        <v>2041</v>
      </c>
      <c r="AC1184" s="11">
        <v>2041</v>
      </c>
      <c r="AD1184" s="11">
        <v>2041</v>
      </c>
      <c r="AE1184" s="11">
        <v>2041</v>
      </c>
      <c r="AF1184" s="11">
        <v>0</v>
      </c>
      <c r="AG1184" s="19">
        <f>ROUND((Z1184*'Data-CostAssumptions'!$G$5)*(1+'Data-CostAssumptions'!$G$3)^(AC1184-'Data-CostAssumptions'!$G$4),-3)</f>
        <v>19507000</v>
      </c>
      <c r="AH1184" s="19">
        <f>ROUND((Z1184)*(1+'Data-CostAssumptions'!$G$3)^(AE1184-'Data-CostAssumptions'!$G$4),-3)</f>
        <v>88669000</v>
      </c>
    </row>
    <row r="1185" spans="1:34" ht="15" customHeight="1" x14ac:dyDescent="0.2">
      <c r="A1185" s="11" t="s">
        <v>1070</v>
      </c>
      <c r="B1185" s="11" t="s">
        <v>1211</v>
      </c>
      <c r="C1185" s="11">
        <v>13072</v>
      </c>
      <c r="D1185" s="84" t="s">
        <v>1732</v>
      </c>
      <c r="E1185" s="14"/>
      <c r="F1185" s="14"/>
      <c r="G1185" s="20">
        <v>1186</v>
      </c>
      <c r="H1185" s="13" t="s">
        <v>2731</v>
      </c>
      <c r="I1185" s="13" t="str">
        <f t="shared" si="36"/>
        <v>SR 25/US 27 (Miami-Dade/Broward County Line to I-75)</v>
      </c>
      <c r="J1185" s="84" t="s">
        <v>300</v>
      </c>
      <c r="K1185" s="13" t="str">
        <f>VLOOKUP(J1185,'Data-ProjectTypes'!A$3:B$13,2,FALSE)</f>
        <v>Project</v>
      </c>
      <c r="L1185" s="85" t="s">
        <v>900</v>
      </c>
      <c r="M1185" s="85" t="s">
        <v>37</v>
      </c>
      <c r="N1185" s="84" t="s">
        <v>31</v>
      </c>
      <c r="O1185" s="84" t="s">
        <v>270</v>
      </c>
      <c r="P1185" s="85" t="s">
        <v>270</v>
      </c>
      <c r="Q1185" s="15"/>
      <c r="R1185" s="16">
        <v>61785000</v>
      </c>
      <c r="S1185" s="11"/>
      <c r="T1185" s="11"/>
      <c r="U1185" s="11"/>
      <c r="V1185" s="11"/>
      <c r="W1185" s="11"/>
      <c r="X1185" s="11"/>
      <c r="Z1185" s="18">
        <f>ROUND(R1185*'Data-CostAssumptions'!$C$8,-3)</f>
        <v>61785000</v>
      </c>
      <c r="AA1185" s="11">
        <f t="shared" si="37"/>
        <v>0</v>
      </c>
      <c r="AB1185" s="11">
        <v>2041</v>
      </c>
      <c r="AC1185" s="11">
        <v>2041</v>
      </c>
      <c r="AD1185" s="11">
        <v>2041</v>
      </c>
      <c r="AE1185" s="11">
        <v>2041</v>
      </c>
      <c r="AF1185" s="11">
        <v>0</v>
      </c>
      <c r="AG1185" s="19">
        <f>ROUND((Z1185*'Data-CostAssumptions'!$G$5)*(1+'Data-CostAssumptions'!$G$3)^(AC1185-'Data-CostAssumptions'!$G$4),-3)</f>
        <v>34851000</v>
      </c>
      <c r="AH1185" s="19">
        <f>ROUND((Z1185)*(1+'Data-CostAssumptions'!$G$3)^(AE1185-'Data-CostAssumptions'!$G$4),-3)</f>
        <v>158414000</v>
      </c>
    </row>
    <row r="1186" spans="1:34" ht="15" customHeight="1" x14ac:dyDescent="0.2">
      <c r="A1186" s="11" t="s">
        <v>917</v>
      </c>
      <c r="B1186" s="11" t="s">
        <v>1211</v>
      </c>
      <c r="C1186" s="11">
        <v>13073</v>
      </c>
      <c r="D1186" s="84" t="s">
        <v>1732</v>
      </c>
      <c r="E1186" s="14"/>
      <c r="F1186" s="14"/>
      <c r="G1186" s="20">
        <v>1187</v>
      </c>
      <c r="H1186" s="13" t="s">
        <v>933</v>
      </c>
      <c r="I1186" s="13" t="str">
        <f t="shared" si="36"/>
        <v>Tri-Rail Station (Cypress Creek to I-95)</v>
      </c>
      <c r="J1186" s="84" t="s">
        <v>300</v>
      </c>
      <c r="K1186" s="13" t="str">
        <f>VLOOKUP(J1186,'Data-ProjectTypes'!A$3:B$13,2,FALSE)</f>
        <v>Project</v>
      </c>
      <c r="L1186" s="85" t="s">
        <v>932</v>
      </c>
      <c r="M1186" s="85" t="s">
        <v>2837</v>
      </c>
      <c r="N1186" s="84" t="s">
        <v>41</v>
      </c>
      <c r="O1186" s="84" t="s">
        <v>270</v>
      </c>
      <c r="P1186" s="85" t="s">
        <v>270</v>
      </c>
      <c r="Q1186" s="15"/>
      <c r="R1186" s="16">
        <v>20000000</v>
      </c>
      <c r="S1186" s="11"/>
      <c r="T1186" s="11"/>
      <c r="U1186" s="11"/>
      <c r="V1186" s="11"/>
      <c r="W1186" s="11"/>
      <c r="X1186" s="11"/>
      <c r="Z1186" s="18">
        <f>ROUND(R1186*'Data-CostAssumptions'!$C$8,-3)</f>
        <v>20000000</v>
      </c>
      <c r="AA1186" s="11">
        <f t="shared" si="37"/>
        <v>0</v>
      </c>
      <c r="AB1186" s="11">
        <v>2041</v>
      </c>
      <c r="AC1186" s="11">
        <v>2041</v>
      </c>
      <c r="AD1186" s="11">
        <v>2041</v>
      </c>
      <c r="AE1186" s="11">
        <v>2041</v>
      </c>
      <c r="AF1186" s="11">
        <v>0</v>
      </c>
      <c r="AG1186" s="19">
        <f>ROUND((Z1186*'Data-CostAssumptions'!$G$5)*(1+'Data-CostAssumptions'!$G$3)^(AC1186-'Data-CostAssumptions'!$G$4),-3)</f>
        <v>11281000</v>
      </c>
      <c r="AH1186" s="19">
        <f>ROUND((Z1186)*(1+'Data-CostAssumptions'!$G$3)^(AE1186-'Data-CostAssumptions'!$G$4),-3)</f>
        <v>51279000</v>
      </c>
    </row>
    <row r="1187" spans="1:34" ht="15" customHeight="1" x14ac:dyDescent="0.2">
      <c r="A1187" s="11" t="s">
        <v>918</v>
      </c>
      <c r="B1187" s="11" t="s">
        <v>1211</v>
      </c>
      <c r="C1187" s="11">
        <v>13074</v>
      </c>
      <c r="D1187" s="84" t="s">
        <v>1732</v>
      </c>
      <c r="E1187" s="14"/>
      <c r="F1187" s="14"/>
      <c r="G1187" s="20">
        <v>1188</v>
      </c>
      <c r="H1187" s="13" t="s">
        <v>933</v>
      </c>
      <c r="I1187" s="13" t="str">
        <f t="shared" si="36"/>
        <v>Tri-Rail Station (I-95 to Deerfield Beach/Amtrak)</v>
      </c>
      <c r="J1187" s="84" t="s">
        <v>300</v>
      </c>
      <c r="K1187" s="13" t="str">
        <f>VLOOKUP(J1187,'Data-ProjectTypes'!A$3:B$13,2,FALSE)</f>
        <v>Project</v>
      </c>
      <c r="L1187" s="85" t="s">
        <v>932</v>
      </c>
      <c r="M1187" s="85" t="s">
        <v>41</v>
      </c>
      <c r="N1187" s="84" t="s">
        <v>2839</v>
      </c>
      <c r="O1187" s="84" t="s">
        <v>270</v>
      </c>
      <c r="P1187" s="85" t="s">
        <v>270</v>
      </c>
      <c r="Q1187" s="15"/>
      <c r="R1187" s="16">
        <v>10000000</v>
      </c>
      <c r="S1187" s="11"/>
      <c r="T1187" s="11"/>
      <c r="U1187" s="11"/>
      <c r="V1187" s="11"/>
      <c r="W1187" s="11"/>
      <c r="X1187" s="11"/>
      <c r="Z1187" s="18">
        <f>ROUND(R1187*'Data-CostAssumptions'!$C$8,-3)</f>
        <v>10000000</v>
      </c>
      <c r="AA1187" s="11">
        <f t="shared" si="37"/>
        <v>0</v>
      </c>
      <c r="AB1187" s="11">
        <v>2041</v>
      </c>
      <c r="AC1187" s="11">
        <v>2041</v>
      </c>
      <c r="AD1187" s="11">
        <v>2041</v>
      </c>
      <c r="AE1187" s="11">
        <v>2041</v>
      </c>
      <c r="AF1187" s="11">
        <v>0</v>
      </c>
      <c r="AG1187" s="19">
        <f>ROUND((Z1187*'Data-CostAssumptions'!$G$5)*(1+'Data-CostAssumptions'!$G$3)^(AC1187-'Data-CostAssumptions'!$G$4),-3)</f>
        <v>5641000</v>
      </c>
      <c r="AH1187" s="19">
        <f>ROUND((Z1187)*(1+'Data-CostAssumptions'!$G$3)^(AE1187-'Data-CostAssumptions'!$G$4),-3)</f>
        <v>25639000</v>
      </c>
    </row>
    <row r="1188" spans="1:34" ht="15" customHeight="1" x14ac:dyDescent="0.2">
      <c r="A1188" s="11" t="s">
        <v>919</v>
      </c>
      <c r="B1188" s="11" t="s">
        <v>1211</v>
      </c>
      <c r="C1188" s="11">
        <v>13075</v>
      </c>
      <c r="D1188" s="84" t="s">
        <v>1732</v>
      </c>
      <c r="E1188" s="14"/>
      <c r="F1188" s="14"/>
      <c r="G1188" s="20">
        <v>1189</v>
      </c>
      <c r="H1188" s="13" t="s">
        <v>928</v>
      </c>
      <c r="I1188" s="13" t="str">
        <f t="shared" si="36"/>
        <v>FLL Airport (gate) northside entrance (I-95 to Northside FLL Airport delivery entrance)</v>
      </c>
      <c r="J1188" s="84" t="s">
        <v>300</v>
      </c>
      <c r="K1188" s="13" t="str">
        <f>VLOOKUP(J1188,'Data-ProjectTypes'!A$3:B$13,2,FALSE)</f>
        <v>Project</v>
      </c>
      <c r="L1188" s="85" t="s">
        <v>932</v>
      </c>
      <c r="M1188" s="85" t="s">
        <v>41</v>
      </c>
      <c r="N1188" s="84" t="s">
        <v>935</v>
      </c>
      <c r="O1188" s="84" t="s">
        <v>270</v>
      </c>
      <c r="P1188" s="85" t="s">
        <v>270</v>
      </c>
      <c r="Q1188" s="15"/>
      <c r="R1188" s="16">
        <v>5000000</v>
      </c>
      <c r="S1188" s="11"/>
      <c r="T1188" s="11"/>
      <c r="U1188" s="11"/>
      <c r="V1188" s="11"/>
      <c r="W1188" s="11"/>
      <c r="X1188" s="11"/>
      <c r="Z1188" s="18">
        <f>ROUND(R1188*'Data-CostAssumptions'!$C$8,-3)</f>
        <v>5000000</v>
      </c>
      <c r="AA1188" s="11">
        <f t="shared" si="37"/>
        <v>0</v>
      </c>
      <c r="AB1188" s="11">
        <v>2041</v>
      </c>
      <c r="AC1188" s="11">
        <v>2041</v>
      </c>
      <c r="AD1188" s="11">
        <v>2041</v>
      </c>
      <c r="AE1188" s="11">
        <v>2041</v>
      </c>
      <c r="AF1188" s="11">
        <v>0</v>
      </c>
      <c r="AG1188" s="19">
        <f>ROUND((Z1188*'Data-CostAssumptions'!$G$5)*(1+'Data-CostAssumptions'!$G$3)^(AC1188-'Data-CostAssumptions'!$G$4),-3)</f>
        <v>2820000</v>
      </c>
      <c r="AH1188" s="19">
        <f>ROUND((Z1188)*(1+'Data-CostAssumptions'!$G$3)^(AE1188-'Data-CostAssumptions'!$G$4),-3)</f>
        <v>12820000</v>
      </c>
    </row>
    <row r="1189" spans="1:34" ht="15" customHeight="1" x14ac:dyDescent="0.2">
      <c r="A1189" s="11" t="s">
        <v>920</v>
      </c>
      <c r="B1189" s="11" t="s">
        <v>1211</v>
      </c>
      <c r="C1189" s="11">
        <v>13076</v>
      </c>
      <c r="D1189" s="84" t="s">
        <v>1732</v>
      </c>
      <c r="E1189" s="14"/>
      <c r="F1189" s="14"/>
      <c r="G1189" s="20">
        <v>1190</v>
      </c>
      <c r="H1189" s="13" t="s">
        <v>929</v>
      </c>
      <c r="I1189" s="13" t="str">
        <f t="shared" si="36"/>
        <v>Ft Lauderdale Amtrak/Tri-Rail (Broward Bl at I-95 to Amtrak/Tri-Rail Station)</v>
      </c>
      <c r="J1189" s="84" t="s">
        <v>300</v>
      </c>
      <c r="K1189" s="13" t="str">
        <f>VLOOKUP(J1189,'Data-ProjectTypes'!A$3:B$13,2,FALSE)</f>
        <v>Project</v>
      </c>
      <c r="L1189" s="85" t="s">
        <v>894</v>
      </c>
      <c r="M1189" s="85" t="s">
        <v>2328</v>
      </c>
      <c r="N1189" s="84" t="s">
        <v>934</v>
      </c>
      <c r="O1189" s="84" t="s">
        <v>270</v>
      </c>
      <c r="P1189" s="85" t="s">
        <v>270</v>
      </c>
      <c r="Q1189" s="15"/>
      <c r="R1189" s="16">
        <v>10000000</v>
      </c>
      <c r="S1189" s="11"/>
      <c r="T1189" s="11"/>
      <c r="U1189" s="11"/>
      <c r="V1189" s="11"/>
      <c r="W1189" s="11"/>
      <c r="X1189" s="11"/>
      <c r="Z1189" s="18">
        <f>ROUND(R1189*'Data-CostAssumptions'!$C$8,-3)</f>
        <v>10000000</v>
      </c>
      <c r="AA1189" s="11">
        <f t="shared" si="37"/>
        <v>0</v>
      </c>
      <c r="AB1189" s="11">
        <v>2041</v>
      </c>
      <c r="AC1189" s="11">
        <v>2041</v>
      </c>
      <c r="AD1189" s="11">
        <v>2041</v>
      </c>
      <c r="AE1189" s="11">
        <v>2041</v>
      </c>
      <c r="AF1189" s="11">
        <v>0</v>
      </c>
      <c r="AG1189" s="19">
        <f>ROUND((Z1189*'Data-CostAssumptions'!$G$5)*(1+'Data-CostAssumptions'!$G$3)^(AC1189-'Data-CostAssumptions'!$G$4),-3)</f>
        <v>5641000</v>
      </c>
      <c r="AH1189" s="19">
        <f>ROUND((Z1189)*(1+'Data-CostAssumptions'!$G$3)^(AE1189-'Data-CostAssumptions'!$G$4),-3)</f>
        <v>25639000</v>
      </c>
    </row>
    <row r="1190" spans="1:34" ht="15" customHeight="1" x14ac:dyDescent="0.2">
      <c r="A1190" s="11" t="s">
        <v>921</v>
      </c>
      <c r="B1190" s="11" t="s">
        <v>1211</v>
      </c>
      <c r="C1190" s="11">
        <v>13077</v>
      </c>
      <c r="D1190" s="84" t="s">
        <v>1732</v>
      </c>
      <c r="E1190" s="14"/>
      <c r="F1190" s="14"/>
      <c r="G1190" s="20">
        <v>1191</v>
      </c>
      <c r="H1190" s="13" t="s">
        <v>930</v>
      </c>
      <c r="I1190" s="13" t="str">
        <f t="shared" si="36"/>
        <v>Ft Lauderdale Greyhound Bus Terminal (SR9/I-95 to Terminal)</v>
      </c>
      <c r="J1190" s="84" t="s">
        <v>300</v>
      </c>
      <c r="K1190" s="13" t="str">
        <f>VLOOKUP(J1190,'Data-ProjectTypes'!A$3:B$13,2,FALSE)</f>
        <v>Project</v>
      </c>
      <c r="L1190" s="85" t="s">
        <v>932</v>
      </c>
      <c r="M1190" s="85" t="s">
        <v>2857</v>
      </c>
      <c r="N1190" s="84" t="s">
        <v>936</v>
      </c>
      <c r="O1190" s="84" t="s">
        <v>270</v>
      </c>
      <c r="P1190" s="85" t="s">
        <v>270</v>
      </c>
      <c r="Q1190" s="15"/>
      <c r="R1190" s="16">
        <v>10000000</v>
      </c>
      <c r="S1190" s="11"/>
      <c r="T1190" s="11"/>
      <c r="U1190" s="11"/>
      <c r="V1190" s="11"/>
      <c r="W1190" s="11"/>
      <c r="X1190" s="38"/>
      <c r="Z1190" s="18">
        <f>ROUND(R1190*'Data-CostAssumptions'!$C$8,-3)</f>
        <v>10000000</v>
      </c>
      <c r="AA1190" s="11">
        <f t="shared" si="37"/>
        <v>0</v>
      </c>
      <c r="AB1190" s="11">
        <v>2041</v>
      </c>
      <c r="AC1190" s="11">
        <v>2041</v>
      </c>
      <c r="AD1190" s="11">
        <v>2041</v>
      </c>
      <c r="AE1190" s="11">
        <v>2041</v>
      </c>
      <c r="AF1190" s="11">
        <v>0</v>
      </c>
      <c r="AG1190" s="19">
        <f>ROUND((Z1190*'Data-CostAssumptions'!$G$5)*(1+'Data-CostAssumptions'!$G$3)^(AC1190-'Data-CostAssumptions'!$G$4),-3)</f>
        <v>5641000</v>
      </c>
      <c r="AH1190" s="19">
        <f>ROUND((Z1190)*(1+'Data-CostAssumptions'!$G$3)^(AE1190-'Data-CostAssumptions'!$G$4),-3)</f>
        <v>25639000</v>
      </c>
    </row>
    <row r="1191" spans="1:34" ht="15" customHeight="1" x14ac:dyDescent="0.2">
      <c r="A1191" s="11" t="s">
        <v>922</v>
      </c>
      <c r="B1191" s="11" t="s">
        <v>1211</v>
      </c>
      <c r="C1191" s="11">
        <v>13078</v>
      </c>
      <c r="D1191" s="84" t="s">
        <v>1732</v>
      </c>
      <c r="E1191" s="14"/>
      <c r="F1191" s="14"/>
      <c r="G1191" s="20">
        <v>1192</v>
      </c>
      <c r="H1191" s="13" t="s">
        <v>931</v>
      </c>
      <c r="I1191" s="13" t="str">
        <f t="shared" si="36"/>
        <v>Ft Lauderdale FEC Intermodal Terminal (SR9/I-95 to FEC Terminal)</v>
      </c>
      <c r="J1191" s="84" t="s">
        <v>300</v>
      </c>
      <c r="K1191" s="13" t="str">
        <f>VLOOKUP(J1191,'Data-ProjectTypes'!A$3:B$13,2,FALSE)</f>
        <v>Project</v>
      </c>
      <c r="L1191" s="85" t="s">
        <v>932</v>
      </c>
      <c r="M1191" s="85" t="s">
        <v>2857</v>
      </c>
      <c r="N1191" s="84" t="s">
        <v>937</v>
      </c>
      <c r="O1191" s="84" t="s">
        <v>270</v>
      </c>
      <c r="P1191" s="85" t="s">
        <v>270</v>
      </c>
      <c r="Q1191" s="15"/>
      <c r="R1191" s="16">
        <v>259000</v>
      </c>
      <c r="S1191" s="11"/>
      <c r="T1191" s="11"/>
      <c r="U1191" s="11"/>
      <c r="V1191" s="11"/>
      <c r="W1191" s="11"/>
      <c r="X1191" s="11"/>
      <c r="Z1191" s="18">
        <f>ROUND(R1191*'Data-CostAssumptions'!$C$8,-3)</f>
        <v>259000</v>
      </c>
      <c r="AA1191" s="11">
        <f t="shared" si="37"/>
        <v>0</v>
      </c>
      <c r="AB1191" s="11">
        <v>2041</v>
      </c>
      <c r="AC1191" s="11">
        <v>2041</v>
      </c>
      <c r="AD1191" s="11">
        <v>2041</v>
      </c>
      <c r="AE1191" s="11">
        <v>2041</v>
      </c>
      <c r="AF1191" s="11">
        <v>0</v>
      </c>
      <c r="AG1191" s="19">
        <f>ROUND((Z1191*'Data-CostAssumptions'!$G$5)*(1+'Data-CostAssumptions'!$G$3)^(AC1191-'Data-CostAssumptions'!$G$4),-3)</f>
        <v>146000</v>
      </c>
      <c r="AH1191" s="19">
        <f>ROUND((Z1191)*(1+'Data-CostAssumptions'!$G$3)^(AE1191-'Data-CostAssumptions'!$G$4),-3)</f>
        <v>664000</v>
      </c>
    </row>
    <row r="1192" spans="1:34" ht="15" customHeight="1" x14ac:dyDescent="0.2">
      <c r="A1192" s="11" t="s">
        <v>923</v>
      </c>
      <c r="B1192" s="11" t="s">
        <v>1211</v>
      </c>
      <c r="C1192" s="11">
        <v>13079</v>
      </c>
      <c r="D1192" s="84" t="s">
        <v>1732</v>
      </c>
      <c r="E1192" s="14"/>
      <c r="F1192" s="14"/>
      <c r="G1192" s="20">
        <v>1193</v>
      </c>
      <c r="H1192" s="13" t="s">
        <v>2814</v>
      </c>
      <c r="I1192" s="13" t="str">
        <f t="shared" si="36"/>
        <v>SR 820/Hollywood Amtrak/Tri-Rail Station (I-95 to Tri-Rail Station)</v>
      </c>
      <c r="J1192" s="84" t="s">
        <v>300</v>
      </c>
      <c r="K1192" s="13" t="str">
        <f>VLOOKUP(J1192,'Data-ProjectTypes'!A$3:B$13,2,FALSE)</f>
        <v>Project</v>
      </c>
      <c r="L1192" s="85" t="s">
        <v>932</v>
      </c>
      <c r="M1192" s="85" t="s">
        <v>41</v>
      </c>
      <c r="N1192" s="84" t="s">
        <v>933</v>
      </c>
      <c r="O1192" s="84" t="s">
        <v>270</v>
      </c>
      <c r="P1192" s="85" t="s">
        <v>270</v>
      </c>
      <c r="Q1192" s="15"/>
      <c r="R1192" s="16">
        <v>10000000</v>
      </c>
      <c r="S1192" s="11"/>
      <c r="T1192" s="11"/>
      <c r="U1192" s="11"/>
      <c r="V1192" s="11"/>
      <c r="W1192" s="11"/>
      <c r="X1192" s="11"/>
      <c r="Z1192" s="18">
        <f>ROUND(R1192*'Data-CostAssumptions'!$C$8,-3)</f>
        <v>10000000</v>
      </c>
      <c r="AA1192" s="11">
        <f t="shared" si="37"/>
        <v>0</v>
      </c>
      <c r="AB1192" s="11">
        <v>2041</v>
      </c>
      <c r="AC1192" s="11">
        <v>2041</v>
      </c>
      <c r="AD1192" s="11">
        <v>2041</v>
      </c>
      <c r="AE1192" s="11">
        <v>2041</v>
      </c>
      <c r="AF1192" s="11">
        <v>0</v>
      </c>
      <c r="AG1192" s="19">
        <f>ROUND((Z1192*'Data-CostAssumptions'!$G$5)*(1+'Data-CostAssumptions'!$G$3)^(AC1192-'Data-CostAssumptions'!$G$4),-3)</f>
        <v>5641000</v>
      </c>
      <c r="AH1192" s="19">
        <f>ROUND((Z1192)*(1+'Data-CostAssumptions'!$G$3)^(AE1192-'Data-CostAssumptions'!$G$4),-3)</f>
        <v>25639000</v>
      </c>
    </row>
    <row r="1193" spans="1:34" ht="15" customHeight="1" x14ac:dyDescent="0.2">
      <c r="A1193" s="11" t="s">
        <v>924</v>
      </c>
      <c r="B1193" s="11" t="s">
        <v>1211</v>
      </c>
      <c r="C1193" s="11">
        <v>13080</v>
      </c>
      <c r="D1193" s="84" t="s">
        <v>1732</v>
      </c>
      <c r="E1193" s="14"/>
      <c r="F1193" s="14"/>
      <c r="G1193" s="20">
        <v>1194</v>
      </c>
      <c r="H1193" s="13" t="s">
        <v>2742</v>
      </c>
      <c r="I1193" s="13" t="str">
        <f t="shared" si="36"/>
        <v>SR 862/I-595 EB Causeway (East of Turnpike East Bound to East of SR-7)</v>
      </c>
      <c r="J1193" s="84" t="s">
        <v>300</v>
      </c>
      <c r="K1193" s="13" t="str">
        <f>VLOOKUP(J1193,'Data-ProjectTypes'!A$3:B$13,2,FALSE)</f>
        <v>Project</v>
      </c>
      <c r="L1193" s="85" t="s">
        <v>932</v>
      </c>
      <c r="M1193" s="85" t="s">
        <v>940</v>
      </c>
      <c r="N1193" s="84" t="s">
        <v>938</v>
      </c>
      <c r="O1193" s="84" t="s">
        <v>270</v>
      </c>
      <c r="P1193" s="85" t="s">
        <v>270</v>
      </c>
      <c r="Q1193" s="15"/>
      <c r="R1193" s="16">
        <v>129662000</v>
      </c>
      <c r="S1193" s="11"/>
      <c r="T1193" s="11"/>
      <c r="U1193" s="11"/>
      <c r="V1193" s="11"/>
      <c r="W1193" s="11"/>
      <c r="X1193" s="11"/>
      <c r="Z1193" s="18">
        <f>ROUND(R1193*'Data-CostAssumptions'!$C$8,-3)</f>
        <v>129662000</v>
      </c>
      <c r="AA1193" s="11">
        <f t="shared" si="37"/>
        <v>0</v>
      </c>
      <c r="AB1193" s="11">
        <v>2041</v>
      </c>
      <c r="AC1193" s="11">
        <v>2041</v>
      </c>
      <c r="AD1193" s="11">
        <v>2041</v>
      </c>
      <c r="AE1193" s="11">
        <v>2041</v>
      </c>
      <c r="AF1193" s="11">
        <v>0</v>
      </c>
      <c r="AG1193" s="19">
        <f>ROUND((Z1193*'Data-CostAssumptions'!$G$5)*(1+'Data-CostAssumptions'!$G$3)^(AC1193-'Data-CostAssumptions'!$G$4),-3)</f>
        <v>73138000</v>
      </c>
      <c r="AH1193" s="19">
        <f>ROUND((Z1193)*(1+'Data-CostAssumptions'!$G$3)^(AE1193-'Data-CostAssumptions'!$G$4),-3)</f>
        <v>332447000</v>
      </c>
    </row>
    <row r="1194" spans="1:34" ht="15" customHeight="1" x14ac:dyDescent="0.2">
      <c r="A1194" s="11" t="s">
        <v>925</v>
      </c>
      <c r="B1194" s="11" t="s">
        <v>1211</v>
      </c>
      <c r="C1194" s="11">
        <v>13081</v>
      </c>
      <c r="D1194" s="84" t="s">
        <v>1732</v>
      </c>
      <c r="E1194" s="14"/>
      <c r="F1194" s="14"/>
      <c r="G1194" s="20">
        <v>1195</v>
      </c>
      <c r="H1194" s="13" t="s">
        <v>2743</v>
      </c>
      <c r="I1194" s="13" t="str">
        <f t="shared" si="36"/>
        <v>SR 862/I-595 ML Connection (I-595 Managed Lanes to I-95 Managed Lanes)</v>
      </c>
      <c r="J1194" s="84" t="s">
        <v>300</v>
      </c>
      <c r="K1194" s="13" t="str">
        <f>VLOOKUP(J1194,'Data-ProjectTypes'!A$3:B$13,2,FALSE)</f>
        <v>Project</v>
      </c>
      <c r="L1194" s="85" t="s">
        <v>894</v>
      </c>
      <c r="M1194" s="85" t="s">
        <v>939</v>
      </c>
      <c r="N1194" s="84" t="s">
        <v>112</v>
      </c>
      <c r="O1194" s="84" t="s">
        <v>270</v>
      </c>
      <c r="P1194" s="85" t="s">
        <v>270</v>
      </c>
      <c r="Q1194" s="15"/>
      <c r="R1194" s="16">
        <v>33459000</v>
      </c>
      <c r="S1194" s="11"/>
      <c r="T1194" s="11"/>
      <c r="U1194" s="11"/>
      <c r="V1194" s="11"/>
      <c r="W1194" s="11"/>
      <c r="X1194" s="11"/>
      <c r="Z1194" s="18">
        <f>ROUND(R1194*'Data-CostAssumptions'!$C$8,-3)</f>
        <v>33459000</v>
      </c>
      <c r="AA1194" s="11">
        <f t="shared" si="37"/>
        <v>0</v>
      </c>
      <c r="AB1194" s="11">
        <v>2041</v>
      </c>
      <c r="AC1194" s="11">
        <v>2041</v>
      </c>
      <c r="AD1194" s="11">
        <v>2041</v>
      </c>
      <c r="AE1194" s="11">
        <v>2041</v>
      </c>
      <c r="AF1194" s="11">
        <v>0</v>
      </c>
      <c r="AG1194" s="19">
        <f>ROUND((Z1194*'Data-CostAssumptions'!$G$5)*(1+'Data-CostAssumptions'!$G$3)^(AC1194-'Data-CostAssumptions'!$G$4),-3)</f>
        <v>18873000</v>
      </c>
      <c r="AH1194" s="19">
        <f>ROUND((Z1194)*(1+'Data-CostAssumptions'!$G$3)^(AE1194-'Data-CostAssumptions'!$G$4),-3)</f>
        <v>85787000</v>
      </c>
    </row>
    <row r="1195" spans="1:34" ht="15" customHeight="1" x14ac:dyDescent="0.2">
      <c r="A1195" s="11" t="s">
        <v>926</v>
      </c>
      <c r="B1195" s="11" t="s">
        <v>1211</v>
      </c>
      <c r="C1195" s="11">
        <v>13082</v>
      </c>
      <c r="D1195" s="84" t="s">
        <v>1732</v>
      </c>
      <c r="E1195" s="14"/>
      <c r="F1195" s="14"/>
      <c r="G1195" s="20">
        <v>1196</v>
      </c>
      <c r="H1195" s="13" t="s">
        <v>2744</v>
      </c>
      <c r="I1195" s="13" t="str">
        <f t="shared" si="36"/>
        <v>SR 862/I-595 WB Causeway (@  I-95/I-595 Interchange)</v>
      </c>
      <c r="J1195" s="84" t="s">
        <v>300</v>
      </c>
      <c r="K1195" s="13" t="str">
        <f>VLOOKUP(J1195,'Data-ProjectTypes'!A$3:B$13,2,FALSE)</f>
        <v>Project</v>
      </c>
      <c r="L1195" s="85" t="s">
        <v>894</v>
      </c>
      <c r="M1195" s="11" t="s">
        <v>2835</v>
      </c>
      <c r="N1195" s="85" t="s">
        <v>2939</v>
      </c>
      <c r="O1195" s="84" t="s">
        <v>270</v>
      </c>
      <c r="P1195" s="85" t="s">
        <v>270</v>
      </c>
      <c r="Q1195" s="15"/>
      <c r="R1195" s="16">
        <v>150000000</v>
      </c>
      <c r="S1195" s="11"/>
      <c r="T1195" s="11"/>
      <c r="U1195" s="11"/>
      <c r="V1195" s="11"/>
      <c r="W1195" s="11"/>
      <c r="X1195" s="11"/>
      <c r="Z1195" s="18">
        <f>ROUND(R1195*'Data-CostAssumptions'!$C$8,-3)</f>
        <v>150000000</v>
      </c>
      <c r="AA1195" s="11">
        <f t="shared" si="37"/>
        <v>0</v>
      </c>
      <c r="AB1195" s="11">
        <v>2041</v>
      </c>
      <c r="AC1195" s="11">
        <v>2041</v>
      </c>
      <c r="AD1195" s="11">
        <v>2041</v>
      </c>
      <c r="AE1195" s="11">
        <v>2041</v>
      </c>
      <c r="AF1195" s="11">
        <v>0</v>
      </c>
      <c r="AG1195" s="19">
        <f>ROUND((Z1195*'Data-CostAssumptions'!$G$5)*(1+'Data-CostAssumptions'!$G$3)^(AC1195-'Data-CostAssumptions'!$G$4),-3)</f>
        <v>84610000</v>
      </c>
      <c r="AH1195" s="19">
        <f>ROUND((Z1195)*(1+'Data-CostAssumptions'!$G$3)^(AE1195-'Data-CostAssumptions'!$G$4),-3)</f>
        <v>384592000</v>
      </c>
    </row>
    <row r="1196" spans="1:34" ht="15" customHeight="1" x14ac:dyDescent="0.2">
      <c r="A1196" s="11" t="s">
        <v>927</v>
      </c>
      <c r="B1196" s="11" t="s">
        <v>1211</v>
      </c>
      <c r="C1196" s="11">
        <v>13083</v>
      </c>
      <c r="D1196" s="84" t="s">
        <v>1732</v>
      </c>
      <c r="E1196" s="14"/>
      <c r="F1196" s="14"/>
      <c r="G1196" s="20">
        <v>1197</v>
      </c>
      <c r="H1196" s="13" t="s">
        <v>2805</v>
      </c>
      <c r="I1196" s="13" t="str">
        <f t="shared" si="36"/>
        <v>SR 93/I-75 (HEFT to I-595)</v>
      </c>
      <c r="J1196" s="84" t="s">
        <v>300</v>
      </c>
      <c r="K1196" s="13" t="str">
        <f>VLOOKUP(J1196,'Data-ProjectTypes'!A$3:B$13,2,FALSE)</f>
        <v>Project</v>
      </c>
      <c r="L1196" s="85" t="s">
        <v>1071</v>
      </c>
      <c r="M1196" s="85" t="s">
        <v>35</v>
      </c>
      <c r="N1196" s="84" t="s">
        <v>34</v>
      </c>
      <c r="O1196" s="84" t="s">
        <v>270</v>
      </c>
      <c r="P1196" s="85" t="s">
        <v>270</v>
      </c>
      <c r="Q1196" s="15"/>
      <c r="R1196" s="16">
        <v>280000000</v>
      </c>
      <c r="S1196" s="11"/>
      <c r="T1196" s="11"/>
      <c r="U1196" s="11"/>
      <c r="V1196" s="11"/>
      <c r="W1196" s="11"/>
      <c r="X1196" s="11"/>
      <c r="Z1196" s="18">
        <f>ROUND(R1196*'Data-CostAssumptions'!$C$8,-3)</f>
        <v>280000000</v>
      </c>
      <c r="AA1196" s="11">
        <f t="shared" si="37"/>
        <v>0</v>
      </c>
      <c r="AB1196" s="11">
        <v>2041</v>
      </c>
      <c r="AC1196" s="11">
        <v>2041</v>
      </c>
      <c r="AD1196" s="11">
        <v>2041</v>
      </c>
      <c r="AE1196" s="11">
        <v>2041</v>
      </c>
      <c r="AF1196" s="11">
        <v>0</v>
      </c>
      <c r="AG1196" s="19">
        <f>ROUND((Z1196*'Data-CostAssumptions'!$G$5)*(1+'Data-CostAssumptions'!$G$3)^(AC1196-'Data-CostAssumptions'!$G$4),-3)</f>
        <v>157939000</v>
      </c>
      <c r="AH1196" s="19">
        <f>ROUND((Z1196)*(1+'Data-CostAssumptions'!$G$3)^(AE1196-'Data-CostAssumptions'!$G$4),-3)</f>
        <v>717906000</v>
      </c>
    </row>
    <row r="1197" spans="1:34" ht="15" customHeight="1" x14ac:dyDescent="0.2">
      <c r="A1197" s="58" t="s">
        <v>942</v>
      </c>
      <c r="B1197" s="58" t="s">
        <v>1211</v>
      </c>
      <c r="C1197" s="58">
        <v>13084</v>
      </c>
      <c r="D1197" s="91" t="s">
        <v>1732</v>
      </c>
      <c r="E1197" s="92"/>
      <c r="F1197" s="92"/>
      <c r="G1197" s="20">
        <v>1198</v>
      </c>
      <c r="H1197" s="13" t="s">
        <v>1445</v>
      </c>
      <c r="I1197" s="13" t="str">
        <f t="shared" si="36"/>
        <v>SR 9/I-95 (Miami-Dade/Broward County Line to Broward/Palm Beach County Line)</v>
      </c>
      <c r="J1197" s="91" t="s">
        <v>300</v>
      </c>
      <c r="K1197" s="59" t="str">
        <f>VLOOKUP(J1197,'Data-ProjectTypes'!A$3:B$13,2,FALSE)</f>
        <v>Project</v>
      </c>
      <c r="L1197" s="93" t="s">
        <v>895</v>
      </c>
      <c r="M1197" s="93" t="s">
        <v>37</v>
      </c>
      <c r="N1197" s="91" t="s">
        <v>941</v>
      </c>
      <c r="O1197" s="91" t="s">
        <v>270</v>
      </c>
      <c r="P1197" s="93" t="s">
        <v>270</v>
      </c>
      <c r="Q1197" s="94"/>
      <c r="R1197" s="95">
        <v>1513420000</v>
      </c>
      <c r="S1197" s="58"/>
      <c r="T1197" s="58"/>
      <c r="U1197" s="58"/>
      <c r="V1197" s="58"/>
      <c r="W1197" s="58"/>
      <c r="X1197" s="58"/>
      <c r="Y1197" s="25"/>
      <c r="Z1197" s="18">
        <f>ROUND(R1197*'Data-CostAssumptions'!$C$8,-3)</f>
        <v>1513420000</v>
      </c>
      <c r="AA1197" s="11">
        <f t="shared" si="37"/>
        <v>0</v>
      </c>
      <c r="AB1197" s="11">
        <v>2041</v>
      </c>
      <c r="AC1197" s="11">
        <v>2041</v>
      </c>
      <c r="AD1197" s="11">
        <v>2041</v>
      </c>
      <c r="AE1197" s="11">
        <v>2041</v>
      </c>
      <c r="AF1197" s="11">
        <v>0</v>
      </c>
      <c r="AG1197" s="19">
        <f>ROUND((Z1197*'Data-CostAssumptions'!$G$5)*(1+'Data-CostAssumptions'!$G$3)^(AC1197-'Data-CostAssumptions'!$G$4),-3)</f>
        <v>853673000</v>
      </c>
      <c r="AH1197" s="19">
        <f>ROUND((Z1197)*(1+'Data-CostAssumptions'!$G$3)^(AE1197-'Data-CostAssumptions'!$G$4),-3)</f>
        <v>3880331000</v>
      </c>
    </row>
    <row r="1198" spans="1:34" ht="15" customHeight="1" x14ac:dyDescent="0.2">
      <c r="A1198" s="11" t="s">
        <v>979</v>
      </c>
      <c r="B1198" s="11" t="s">
        <v>1211</v>
      </c>
      <c r="C1198" s="11">
        <v>13085</v>
      </c>
      <c r="D1198" s="84" t="s">
        <v>1732</v>
      </c>
      <c r="E1198" s="14"/>
      <c r="F1198" s="14"/>
      <c r="G1198" s="20">
        <v>1199</v>
      </c>
      <c r="H1198" s="13" t="s">
        <v>2875</v>
      </c>
      <c r="I1198" s="13" t="str">
        <f t="shared" si="36"/>
        <v>PEV Connector//SR 84 (I-95 to Port Everglades)</v>
      </c>
      <c r="J1198" s="84" t="s">
        <v>300</v>
      </c>
      <c r="K1198" s="13" t="str">
        <f>VLOOKUP(J1198,'Data-ProjectTypes'!A$3:B$13,2,FALSE)</f>
        <v>Project</v>
      </c>
      <c r="L1198" s="85" t="s">
        <v>932</v>
      </c>
      <c r="M1198" s="85" t="s">
        <v>41</v>
      </c>
      <c r="N1198" s="84" t="s">
        <v>183</v>
      </c>
      <c r="O1198" s="84" t="s">
        <v>270</v>
      </c>
      <c r="P1198" s="85" t="s">
        <v>270</v>
      </c>
      <c r="Q1198" s="15"/>
      <c r="R1198" s="16">
        <v>20000000</v>
      </c>
      <c r="S1198" s="11"/>
      <c r="T1198" s="11"/>
      <c r="U1198" s="11"/>
      <c r="V1198" s="11"/>
      <c r="W1198" s="11"/>
      <c r="X1198" s="11"/>
      <c r="Z1198" s="18">
        <f>ROUND(R1198*'Data-CostAssumptions'!$C$8,-3)</f>
        <v>20000000</v>
      </c>
      <c r="AA1198" s="11">
        <f t="shared" si="37"/>
        <v>0</v>
      </c>
      <c r="AB1198" s="11">
        <v>2041</v>
      </c>
      <c r="AC1198" s="11">
        <v>2041</v>
      </c>
      <c r="AD1198" s="11">
        <v>2041</v>
      </c>
      <c r="AE1198" s="11">
        <v>2041</v>
      </c>
      <c r="AF1198" s="11">
        <v>0</v>
      </c>
      <c r="AG1198" s="19">
        <f>ROUND((Z1198*'Data-CostAssumptions'!$G$5)*(1+'Data-CostAssumptions'!$G$3)^(AC1198-'Data-CostAssumptions'!$G$4),-3)</f>
        <v>11281000</v>
      </c>
      <c r="AH1198" s="19">
        <f>ROUND((Z1198)*(1+'Data-CostAssumptions'!$G$3)^(AE1198-'Data-CostAssumptions'!$G$4),-3)</f>
        <v>51279000</v>
      </c>
    </row>
    <row r="1199" spans="1:34" ht="15" customHeight="1" x14ac:dyDescent="0.2">
      <c r="A1199" s="11" t="s">
        <v>943</v>
      </c>
      <c r="B1199" s="11" t="s">
        <v>1211</v>
      </c>
      <c r="C1199" s="11">
        <v>13085</v>
      </c>
      <c r="D1199" s="84" t="s">
        <v>1732</v>
      </c>
      <c r="E1199" s="14"/>
      <c r="F1199" s="14"/>
      <c r="G1199" s="20">
        <v>1200</v>
      </c>
      <c r="H1199" s="13" t="s">
        <v>2985</v>
      </c>
      <c r="I1199" s="13" t="str">
        <f t="shared" si="36"/>
        <v>Tri-Rail Station Pompano Beach (Tri-Rail Station to I-95)</v>
      </c>
      <c r="J1199" s="84" t="s">
        <v>300</v>
      </c>
      <c r="K1199" s="13" t="str">
        <f>VLOOKUP(J1199,'Data-ProjectTypes'!A$3:B$13,2,FALSE)</f>
        <v>Project</v>
      </c>
      <c r="L1199" s="85" t="s">
        <v>932</v>
      </c>
      <c r="M1199" s="85" t="s">
        <v>933</v>
      </c>
      <c r="N1199" s="84" t="s">
        <v>41</v>
      </c>
      <c r="O1199" s="84" t="s">
        <v>270</v>
      </c>
      <c r="P1199" s="85" t="s">
        <v>270</v>
      </c>
      <c r="Q1199" s="15"/>
      <c r="R1199" s="16">
        <v>10000000</v>
      </c>
      <c r="S1199" s="11"/>
      <c r="T1199" s="11"/>
      <c r="U1199" s="11"/>
      <c r="V1199" s="11"/>
      <c r="W1199" s="11"/>
      <c r="X1199" s="11"/>
      <c r="Z1199" s="18">
        <f>ROUND(R1199*'Data-CostAssumptions'!$C$8,-3)</f>
        <v>10000000</v>
      </c>
      <c r="AA1199" s="11">
        <f t="shared" si="37"/>
        <v>0</v>
      </c>
      <c r="AB1199" s="11">
        <v>2041</v>
      </c>
      <c r="AC1199" s="11">
        <v>2041</v>
      </c>
      <c r="AD1199" s="11">
        <v>2041</v>
      </c>
      <c r="AE1199" s="11">
        <v>2041</v>
      </c>
      <c r="AF1199" s="11">
        <v>0</v>
      </c>
      <c r="AG1199" s="19">
        <f>ROUND((Z1199*'Data-CostAssumptions'!$G$5)*(1+'Data-CostAssumptions'!$G$3)^(AC1199-'Data-CostAssumptions'!$G$4),-3)</f>
        <v>5641000</v>
      </c>
      <c r="AH1199" s="19">
        <f>ROUND((Z1199)*(1+'Data-CostAssumptions'!$G$3)^(AE1199-'Data-CostAssumptions'!$G$4),-3)</f>
        <v>25639000</v>
      </c>
    </row>
    <row r="1200" spans="1:34" ht="15" customHeight="1" x14ac:dyDescent="0.2">
      <c r="A1200" s="11" t="s">
        <v>944</v>
      </c>
      <c r="B1200" s="11" t="s">
        <v>1211</v>
      </c>
      <c r="C1200" s="11">
        <v>13086</v>
      </c>
      <c r="D1200" s="84" t="s">
        <v>1732</v>
      </c>
      <c r="E1200" s="14"/>
      <c r="F1200" s="14"/>
      <c r="G1200" s="20">
        <v>1201</v>
      </c>
      <c r="H1200" s="13" t="s">
        <v>2731</v>
      </c>
      <c r="I1200" s="13" t="str">
        <f t="shared" si="36"/>
        <v>SR 25/US 27 (at Pines Bl to )</v>
      </c>
      <c r="J1200" s="84" t="s">
        <v>300</v>
      </c>
      <c r="K1200" s="13" t="str">
        <f>VLOOKUP(J1200,'Data-ProjectTypes'!A$3:B$13,2,FALSE)</f>
        <v>Project</v>
      </c>
      <c r="L1200" s="85" t="s">
        <v>949</v>
      </c>
      <c r="M1200" s="85" t="s">
        <v>2334</v>
      </c>
      <c r="N1200" s="11"/>
      <c r="O1200" s="84" t="s">
        <v>270</v>
      </c>
      <c r="P1200" s="85" t="s">
        <v>270</v>
      </c>
      <c r="Q1200" s="15"/>
      <c r="R1200" s="16">
        <v>10000000</v>
      </c>
      <c r="S1200" s="11"/>
      <c r="T1200" s="11"/>
      <c r="U1200" s="11"/>
      <c r="V1200" s="11"/>
      <c r="W1200" s="11"/>
      <c r="X1200" s="11"/>
      <c r="Z1200" s="18">
        <f>ROUND(R1200*'Data-CostAssumptions'!$C$8,-3)</f>
        <v>10000000</v>
      </c>
      <c r="AA1200" s="11">
        <f t="shared" si="37"/>
        <v>0</v>
      </c>
      <c r="AB1200" s="11">
        <v>2041</v>
      </c>
      <c r="AC1200" s="11">
        <v>2041</v>
      </c>
      <c r="AD1200" s="11">
        <v>2041</v>
      </c>
      <c r="AE1200" s="11">
        <v>2041</v>
      </c>
      <c r="AF1200" s="11">
        <v>0</v>
      </c>
      <c r="AG1200" s="19">
        <f>ROUND((Z1200*'Data-CostAssumptions'!$G$5)*(1+'Data-CostAssumptions'!$G$3)^(AC1200-'Data-CostAssumptions'!$G$4),-3)</f>
        <v>5641000</v>
      </c>
      <c r="AH1200" s="19">
        <f>ROUND((Z1200)*(1+'Data-CostAssumptions'!$G$3)^(AE1200-'Data-CostAssumptions'!$G$4),-3)</f>
        <v>25639000</v>
      </c>
    </row>
    <row r="1201" spans="1:34" ht="15" customHeight="1" x14ac:dyDescent="0.2">
      <c r="A1201" s="11" t="s">
        <v>945</v>
      </c>
      <c r="B1201" s="11" t="s">
        <v>1211</v>
      </c>
      <c r="C1201" s="11">
        <v>13087</v>
      </c>
      <c r="D1201" s="84" t="s">
        <v>1732</v>
      </c>
      <c r="E1201" s="14"/>
      <c r="F1201" s="14"/>
      <c r="G1201" s="20">
        <v>1202</v>
      </c>
      <c r="H1201" s="13" t="s">
        <v>2731</v>
      </c>
      <c r="I1201" s="13" t="str">
        <f t="shared" si="36"/>
        <v>SR 25/US 27 (at Griffin Rd to )</v>
      </c>
      <c r="J1201" s="84" t="s">
        <v>300</v>
      </c>
      <c r="K1201" s="13" t="str">
        <f>VLOOKUP(J1201,'Data-ProjectTypes'!A$3:B$13,2,FALSE)</f>
        <v>Project</v>
      </c>
      <c r="L1201" s="85" t="s">
        <v>949</v>
      </c>
      <c r="M1201" s="85" t="s">
        <v>2419</v>
      </c>
      <c r="N1201" s="11"/>
      <c r="O1201" s="84" t="s">
        <v>270</v>
      </c>
      <c r="P1201" s="85" t="s">
        <v>270</v>
      </c>
      <c r="Q1201" s="15"/>
      <c r="R1201" s="16">
        <v>10000000</v>
      </c>
      <c r="S1201" s="11"/>
      <c r="T1201" s="11"/>
      <c r="U1201" s="11"/>
      <c r="V1201" s="11"/>
      <c r="W1201" s="11"/>
      <c r="X1201" s="11"/>
      <c r="Z1201" s="18">
        <f>ROUND(R1201*'Data-CostAssumptions'!$C$8,-3)</f>
        <v>10000000</v>
      </c>
      <c r="AA1201" s="11">
        <f t="shared" si="37"/>
        <v>0</v>
      </c>
      <c r="AB1201" s="11">
        <v>2041</v>
      </c>
      <c r="AC1201" s="11">
        <v>2041</v>
      </c>
      <c r="AD1201" s="11">
        <v>2041</v>
      </c>
      <c r="AE1201" s="11">
        <v>2041</v>
      </c>
      <c r="AF1201" s="11">
        <v>0</v>
      </c>
      <c r="AG1201" s="19">
        <f>ROUND((Z1201*'Data-CostAssumptions'!$G$5)*(1+'Data-CostAssumptions'!$G$3)^(AC1201-'Data-CostAssumptions'!$G$4),-3)</f>
        <v>5641000</v>
      </c>
      <c r="AH1201" s="19">
        <f>ROUND((Z1201)*(1+'Data-CostAssumptions'!$G$3)^(AE1201-'Data-CostAssumptions'!$G$4),-3)</f>
        <v>25639000</v>
      </c>
    </row>
    <row r="1202" spans="1:34" ht="15" customHeight="1" x14ac:dyDescent="0.2">
      <c r="A1202" s="11" t="s">
        <v>946</v>
      </c>
      <c r="B1202" s="11" t="s">
        <v>1211</v>
      </c>
      <c r="C1202" s="11">
        <v>13088</v>
      </c>
      <c r="D1202" s="84" t="s">
        <v>1732</v>
      </c>
      <c r="E1202" s="14"/>
      <c r="F1202" s="14"/>
      <c r="G1202" s="20">
        <v>1203</v>
      </c>
      <c r="H1202" s="13" t="s">
        <v>2731</v>
      </c>
      <c r="I1202" s="13" t="str">
        <f t="shared" si="36"/>
        <v>SR 25/US 27 (at Pembroke Rd to )</v>
      </c>
      <c r="J1202" s="84" t="s">
        <v>300</v>
      </c>
      <c r="K1202" s="13" t="str">
        <f>VLOOKUP(J1202,'Data-ProjectTypes'!A$3:B$13,2,FALSE)</f>
        <v>Project</v>
      </c>
      <c r="L1202" s="85" t="s">
        <v>949</v>
      </c>
      <c r="M1202" s="85" t="s">
        <v>2466</v>
      </c>
      <c r="N1202" s="11"/>
      <c r="O1202" s="84" t="s">
        <v>270</v>
      </c>
      <c r="P1202" s="85" t="s">
        <v>270</v>
      </c>
      <c r="Q1202" s="15"/>
      <c r="R1202" s="16">
        <v>10000000</v>
      </c>
      <c r="S1202" s="11"/>
      <c r="T1202" s="11"/>
      <c r="U1202" s="11"/>
      <c r="V1202" s="11"/>
      <c r="W1202" s="11"/>
      <c r="X1202" s="11"/>
      <c r="Z1202" s="18">
        <f>ROUND(R1202*'Data-CostAssumptions'!$C$8,-3)</f>
        <v>10000000</v>
      </c>
      <c r="AA1202" s="11">
        <f t="shared" si="37"/>
        <v>0</v>
      </c>
      <c r="AB1202" s="11">
        <v>2041</v>
      </c>
      <c r="AC1202" s="11">
        <v>2041</v>
      </c>
      <c r="AD1202" s="11">
        <v>2041</v>
      </c>
      <c r="AE1202" s="11">
        <v>2041</v>
      </c>
      <c r="AF1202" s="11">
        <v>0</v>
      </c>
      <c r="AG1202" s="19">
        <f>ROUND((Z1202*'Data-CostAssumptions'!$G$5)*(1+'Data-CostAssumptions'!$G$3)^(AC1202-'Data-CostAssumptions'!$G$4),-3)</f>
        <v>5641000</v>
      </c>
      <c r="AH1202" s="19">
        <f>ROUND((Z1202)*(1+'Data-CostAssumptions'!$G$3)^(AE1202-'Data-CostAssumptions'!$G$4),-3)</f>
        <v>25639000</v>
      </c>
    </row>
    <row r="1203" spans="1:34" ht="15" customHeight="1" x14ac:dyDescent="0.2">
      <c r="A1203" s="11" t="s">
        <v>947</v>
      </c>
      <c r="B1203" s="11" t="s">
        <v>1211</v>
      </c>
      <c r="C1203" s="11">
        <v>13089</v>
      </c>
      <c r="D1203" s="84" t="s">
        <v>1732</v>
      </c>
      <c r="E1203" s="14"/>
      <c r="F1203" s="14"/>
      <c r="G1203" s="20">
        <v>1204</v>
      </c>
      <c r="H1203" s="13" t="s">
        <v>2731</v>
      </c>
      <c r="I1203" s="13" t="str">
        <f t="shared" si="36"/>
        <v>SR 25/US 27 (at Stirling Rd to )</v>
      </c>
      <c r="J1203" s="84" t="s">
        <v>300</v>
      </c>
      <c r="K1203" s="13" t="str">
        <f>VLOOKUP(J1203,'Data-ProjectTypes'!A$3:B$13,2,FALSE)</f>
        <v>Project</v>
      </c>
      <c r="L1203" s="85" t="s">
        <v>949</v>
      </c>
      <c r="M1203" s="85" t="s">
        <v>2467</v>
      </c>
      <c r="N1203" s="11"/>
      <c r="O1203" s="84" t="s">
        <v>270</v>
      </c>
      <c r="P1203" s="85" t="s">
        <v>270</v>
      </c>
      <c r="Q1203" s="15"/>
      <c r="R1203" s="16">
        <v>10000000</v>
      </c>
      <c r="S1203" s="11"/>
      <c r="T1203" s="11"/>
      <c r="U1203" s="11"/>
      <c r="V1203" s="11"/>
      <c r="W1203" s="11"/>
      <c r="X1203" s="11"/>
      <c r="Z1203" s="18">
        <f>ROUND(R1203*'Data-CostAssumptions'!$C$8,-3)</f>
        <v>10000000</v>
      </c>
      <c r="AA1203" s="11">
        <f t="shared" si="37"/>
        <v>0</v>
      </c>
      <c r="AB1203" s="11">
        <v>2041</v>
      </c>
      <c r="AC1203" s="11">
        <v>2041</v>
      </c>
      <c r="AD1203" s="11">
        <v>2041</v>
      </c>
      <c r="AE1203" s="11">
        <v>2041</v>
      </c>
      <c r="AF1203" s="11">
        <v>0</v>
      </c>
      <c r="AG1203" s="19">
        <f>ROUND((Z1203*'Data-CostAssumptions'!$G$5)*(1+'Data-CostAssumptions'!$G$3)^(AC1203-'Data-CostAssumptions'!$G$4),-3)</f>
        <v>5641000</v>
      </c>
      <c r="AH1203" s="19">
        <f>ROUND((Z1203)*(1+'Data-CostAssumptions'!$G$3)^(AE1203-'Data-CostAssumptions'!$G$4),-3)</f>
        <v>25639000</v>
      </c>
    </row>
    <row r="1204" spans="1:34" ht="15" customHeight="1" x14ac:dyDescent="0.2">
      <c r="A1204" s="11" t="s">
        <v>948</v>
      </c>
      <c r="B1204" s="11" t="s">
        <v>1211</v>
      </c>
      <c r="C1204" s="11">
        <v>13090</v>
      </c>
      <c r="D1204" s="84" t="s">
        <v>1732</v>
      </c>
      <c r="E1204" s="14"/>
      <c r="F1204" s="14"/>
      <c r="G1204" s="20">
        <v>1205</v>
      </c>
      <c r="H1204" s="13" t="s">
        <v>2731</v>
      </c>
      <c r="I1204" s="13" t="str">
        <f t="shared" si="36"/>
        <v>SR 25/US 27 (at Sheridan St to )</v>
      </c>
      <c r="J1204" s="84" t="s">
        <v>300</v>
      </c>
      <c r="K1204" s="13" t="str">
        <f>VLOOKUP(J1204,'Data-ProjectTypes'!A$3:B$13,2,FALSE)</f>
        <v>Project</v>
      </c>
      <c r="L1204" s="85" t="s">
        <v>949</v>
      </c>
      <c r="M1204" s="85" t="s">
        <v>2492</v>
      </c>
      <c r="N1204" s="11"/>
      <c r="O1204" s="84" t="s">
        <v>270</v>
      </c>
      <c r="P1204" s="85" t="s">
        <v>270</v>
      </c>
      <c r="Q1204" s="15"/>
      <c r="R1204" s="16">
        <v>10000000</v>
      </c>
      <c r="S1204" s="11"/>
      <c r="T1204" s="11"/>
      <c r="U1204" s="11"/>
      <c r="V1204" s="11"/>
      <c r="W1204" s="11"/>
      <c r="X1204" s="11"/>
      <c r="Z1204" s="18">
        <f>ROUND(R1204*'Data-CostAssumptions'!$C$8,-3)</f>
        <v>10000000</v>
      </c>
      <c r="AA1204" s="11">
        <f t="shared" si="37"/>
        <v>0</v>
      </c>
      <c r="AB1204" s="11">
        <v>2041</v>
      </c>
      <c r="AC1204" s="11">
        <v>2041</v>
      </c>
      <c r="AD1204" s="11">
        <v>2041</v>
      </c>
      <c r="AE1204" s="11">
        <v>2041</v>
      </c>
      <c r="AF1204" s="11">
        <v>0</v>
      </c>
      <c r="AG1204" s="19">
        <f>ROUND((Z1204*'Data-CostAssumptions'!$G$5)*(1+'Data-CostAssumptions'!$G$3)^(AC1204-'Data-CostAssumptions'!$G$4),-3)</f>
        <v>5641000</v>
      </c>
      <c r="AH1204" s="19">
        <f>ROUND((Z1204)*(1+'Data-CostAssumptions'!$G$3)^(AE1204-'Data-CostAssumptions'!$G$4),-3)</f>
        <v>25639000</v>
      </c>
    </row>
    <row r="1205" spans="1:34" ht="15" customHeight="1" x14ac:dyDescent="0.2">
      <c r="A1205" s="11" t="s">
        <v>952</v>
      </c>
      <c r="B1205" s="11" t="s">
        <v>1211</v>
      </c>
      <c r="C1205" s="11">
        <v>13091</v>
      </c>
      <c r="D1205" s="84" t="s">
        <v>1732</v>
      </c>
      <c r="E1205" s="14"/>
      <c r="F1205" s="14"/>
      <c r="G1205" s="20">
        <v>1206</v>
      </c>
      <c r="H1205" s="13" t="s">
        <v>2851</v>
      </c>
      <c r="I1205" s="13" t="str">
        <f t="shared" si="36"/>
        <v>FLL Airport (Direct Airport Access to US 1)</v>
      </c>
      <c r="J1205" s="84" t="s">
        <v>300</v>
      </c>
      <c r="K1205" s="13" t="str">
        <f>VLOOKUP(J1205,'Data-ProjectTypes'!A$3:B$13,2,FALSE)</f>
        <v>Project</v>
      </c>
      <c r="L1205" s="85" t="s">
        <v>951</v>
      </c>
      <c r="M1205" s="85" t="s">
        <v>950</v>
      </c>
      <c r="N1205" s="11" t="s">
        <v>98</v>
      </c>
      <c r="O1205" s="84" t="s">
        <v>270</v>
      </c>
      <c r="P1205" s="85" t="s">
        <v>270</v>
      </c>
      <c r="Q1205" s="15"/>
      <c r="R1205" s="16">
        <v>10000000</v>
      </c>
      <c r="S1205" s="11"/>
      <c r="T1205" s="11"/>
      <c r="U1205" s="11"/>
      <c r="V1205" s="11"/>
      <c r="W1205" s="11"/>
      <c r="X1205" s="11"/>
      <c r="Z1205" s="18">
        <f>ROUND(R1205*'Data-CostAssumptions'!$C$8,-3)</f>
        <v>10000000</v>
      </c>
      <c r="AA1205" s="11">
        <f t="shared" si="37"/>
        <v>0</v>
      </c>
      <c r="AB1205" s="11">
        <v>2041</v>
      </c>
      <c r="AC1205" s="11">
        <v>2041</v>
      </c>
      <c r="AD1205" s="11">
        <v>2041</v>
      </c>
      <c r="AE1205" s="11">
        <v>2041</v>
      </c>
      <c r="AF1205" s="11">
        <v>0</v>
      </c>
      <c r="AG1205" s="19">
        <f>ROUND((Z1205*'Data-CostAssumptions'!$G$5)*(1+'Data-CostAssumptions'!$G$3)^(AC1205-'Data-CostAssumptions'!$G$4),-3)</f>
        <v>5641000</v>
      </c>
      <c r="AH1205" s="19">
        <f>ROUND((Z1205)*(1+'Data-CostAssumptions'!$G$3)^(AE1205-'Data-CostAssumptions'!$G$4),-3)</f>
        <v>25639000</v>
      </c>
    </row>
    <row r="1206" spans="1:34" ht="15" customHeight="1" x14ac:dyDescent="0.2">
      <c r="A1206" s="66">
        <v>2519381</v>
      </c>
      <c r="B1206" s="66" t="s">
        <v>1213</v>
      </c>
      <c r="C1206" s="66">
        <v>13031</v>
      </c>
      <c r="D1206" s="86" t="s">
        <v>1732</v>
      </c>
      <c r="E1206" s="73"/>
      <c r="F1206" s="73"/>
      <c r="G1206" s="20">
        <v>1207</v>
      </c>
      <c r="H1206" s="67" t="s">
        <v>2825</v>
      </c>
      <c r="I1206" s="67" t="str">
        <f t="shared" si="36"/>
        <v>SR 821/HEFT (@  SR 93/I-75 INTCHG (MP 39))</v>
      </c>
      <c r="J1206" s="86" t="s">
        <v>300</v>
      </c>
      <c r="K1206" s="67" t="str">
        <f>VLOOKUP(J1206,'Data-ProjectTypes'!A$3:B$13,2,FALSE)</f>
        <v>Project</v>
      </c>
      <c r="L1206" s="87" t="s">
        <v>894</v>
      </c>
      <c r="M1206" s="66" t="s">
        <v>2835</v>
      </c>
      <c r="N1206" s="67" t="s">
        <v>2942</v>
      </c>
      <c r="O1206" s="86" t="s">
        <v>270</v>
      </c>
      <c r="P1206" s="87" t="s">
        <v>270</v>
      </c>
      <c r="Q1206" s="74"/>
      <c r="R1206" s="70"/>
      <c r="S1206" s="11"/>
      <c r="T1206" s="11"/>
      <c r="U1206" s="11"/>
      <c r="V1206" s="11"/>
      <c r="W1206" s="11"/>
      <c r="X1206" s="11"/>
      <c r="Y1206" s="12" t="s">
        <v>2698</v>
      </c>
      <c r="Z1206" s="71">
        <f>ROUND(R1206*'Data-CostAssumptions'!$C$8,-3)</f>
        <v>0</v>
      </c>
      <c r="AA1206" s="11">
        <f t="shared" si="37"/>
        <v>0</v>
      </c>
      <c r="AB1206" s="11">
        <v>2041</v>
      </c>
      <c r="AC1206" s="11">
        <v>2041</v>
      </c>
      <c r="AD1206" s="11">
        <v>2041</v>
      </c>
      <c r="AE1206" s="11">
        <v>2041</v>
      </c>
      <c r="AF1206" s="11">
        <v>0</v>
      </c>
      <c r="AG1206" s="19">
        <f>ROUND((Z1206*'Data-CostAssumptions'!$G$5)*(1+'Data-CostAssumptions'!$G$3)^(AC1206-'Data-CostAssumptions'!$G$4),-3)</f>
        <v>0</v>
      </c>
      <c r="AH1206" s="19">
        <f>ROUND((Z1206)*(1+'Data-CostAssumptions'!$G$3)^(AE1206-'Data-CostAssumptions'!$G$4),-3)</f>
        <v>0</v>
      </c>
    </row>
    <row r="1207" spans="1:34" ht="15" customHeight="1" x14ac:dyDescent="0.2">
      <c r="A1207" s="66">
        <v>924</v>
      </c>
      <c r="B1207" s="66" t="s">
        <v>1213</v>
      </c>
      <c r="C1207" s="66">
        <v>13063</v>
      </c>
      <c r="D1207" s="86" t="s">
        <v>1732</v>
      </c>
      <c r="E1207" s="73"/>
      <c r="F1207" s="73"/>
      <c r="G1207" s="20">
        <v>1208</v>
      </c>
      <c r="H1207" s="67" t="s">
        <v>2741</v>
      </c>
      <c r="I1207" s="67" t="str">
        <f t="shared" si="36"/>
        <v>SR 862/I-595 Causeway (SR-7 to I-95)</v>
      </c>
      <c r="J1207" s="86" t="s">
        <v>300</v>
      </c>
      <c r="K1207" s="67" t="str">
        <f>VLOOKUP(J1207,'Data-ProjectTypes'!A$3:B$13,2,FALSE)</f>
        <v>Project</v>
      </c>
      <c r="L1207" s="87" t="s">
        <v>317</v>
      </c>
      <c r="M1207" s="66" t="s">
        <v>905</v>
      </c>
      <c r="N1207" s="86" t="s">
        <v>41</v>
      </c>
      <c r="O1207" s="86" t="s">
        <v>270</v>
      </c>
      <c r="P1207" s="87" t="s">
        <v>270</v>
      </c>
      <c r="Q1207" s="74"/>
      <c r="R1207" s="70"/>
      <c r="S1207" s="11"/>
      <c r="T1207" s="11"/>
      <c r="U1207" s="11"/>
      <c r="V1207" s="11"/>
      <c r="W1207" s="11"/>
      <c r="X1207" s="11"/>
      <c r="Z1207" s="71">
        <f>ROUND(R1207*'Data-CostAssumptions'!$C$8,-3)</f>
        <v>0</v>
      </c>
      <c r="AA1207" s="11">
        <f t="shared" si="37"/>
        <v>0</v>
      </c>
      <c r="AB1207" s="11">
        <v>2041</v>
      </c>
      <c r="AC1207" s="11">
        <v>2041</v>
      </c>
      <c r="AD1207" s="11">
        <v>2041</v>
      </c>
      <c r="AE1207" s="11">
        <v>2041</v>
      </c>
      <c r="AF1207" s="11">
        <v>0</v>
      </c>
      <c r="AG1207" s="19">
        <f>ROUND((Z1207*'Data-CostAssumptions'!$G$5)*(1+'Data-CostAssumptions'!$G$3)^(AC1207-'Data-CostAssumptions'!$G$4),-3)</f>
        <v>0</v>
      </c>
      <c r="AH1207" s="19">
        <f>ROUND((Z1207)*(1+'Data-CostAssumptions'!$G$3)^(AE1207-'Data-CostAssumptions'!$G$4),-3)</f>
        <v>0</v>
      </c>
    </row>
    <row r="1208" spans="1:34" ht="15" customHeight="1" x14ac:dyDescent="0.2">
      <c r="A1208" s="66">
        <v>4060991</v>
      </c>
      <c r="B1208" s="66" t="s">
        <v>1213</v>
      </c>
      <c r="C1208" s="66">
        <v>13037</v>
      </c>
      <c r="D1208" s="86" t="s">
        <v>1732</v>
      </c>
      <c r="E1208" s="73"/>
      <c r="F1208" s="73"/>
      <c r="G1208" s="20">
        <v>1209</v>
      </c>
      <c r="H1208" s="67" t="s">
        <v>2732</v>
      </c>
      <c r="I1208" s="67" t="str">
        <f t="shared" si="36"/>
        <v>SR 91/Florida's Turnpike (@  SR 820/Hollywood Bl (MP 49))</v>
      </c>
      <c r="J1208" s="86" t="s">
        <v>300</v>
      </c>
      <c r="K1208" s="67" t="str">
        <f>VLOOKUP(J1208,'Data-ProjectTypes'!A$3:B$13,2,FALSE)</f>
        <v>Project</v>
      </c>
      <c r="L1208" s="87" t="s">
        <v>894</v>
      </c>
      <c r="M1208" s="66" t="s">
        <v>2835</v>
      </c>
      <c r="N1208" s="66" t="s">
        <v>2943</v>
      </c>
      <c r="O1208" s="86" t="s">
        <v>270</v>
      </c>
      <c r="P1208" s="87" t="s">
        <v>270</v>
      </c>
      <c r="Q1208" s="74"/>
      <c r="R1208" s="70"/>
      <c r="S1208" s="11"/>
      <c r="T1208" s="11"/>
      <c r="U1208" s="11"/>
      <c r="V1208" s="11"/>
      <c r="W1208" s="11"/>
      <c r="X1208" s="11"/>
      <c r="Y1208" s="12" t="s">
        <v>3012</v>
      </c>
      <c r="Z1208" s="71">
        <f>ROUND(R1208*'Data-CostAssumptions'!$C$8,-3)</f>
        <v>0</v>
      </c>
      <c r="AA1208" s="11">
        <f t="shared" si="37"/>
        <v>0</v>
      </c>
      <c r="AB1208" s="11">
        <v>2041</v>
      </c>
      <c r="AC1208" s="11">
        <v>2041</v>
      </c>
      <c r="AD1208" s="11">
        <v>2041</v>
      </c>
      <c r="AE1208" s="11">
        <v>2041</v>
      </c>
      <c r="AF1208" s="11">
        <v>0</v>
      </c>
      <c r="AG1208" s="19">
        <f>ROUND((Z1208*'Data-CostAssumptions'!$G$5)*(1+'Data-CostAssumptions'!$G$3)^(AC1208-'Data-CostAssumptions'!$G$4),-3)</f>
        <v>0</v>
      </c>
      <c r="AH1208" s="19">
        <f>ROUND((Z1208)*(1+'Data-CostAssumptions'!$G$3)^(AE1208-'Data-CostAssumptions'!$G$4),-3)</f>
        <v>0</v>
      </c>
    </row>
    <row r="1209" spans="1:34" ht="15" customHeight="1" x14ac:dyDescent="0.2">
      <c r="A1209" s="66">
        <v>4061031</v>
      </c>
      <c r="B1209" s="66" t="s">
        <v>1213</v>
      </c>
      <c r="C1209" s="66">
        <v>13038</v>
      </c>
      <c r="D1209" s="86" t="s">
        <v>1732</v>
      </c>
      <c r="E1209" s="73"/>
      <c r="F1209" s="73"/>
      <c r="G1209" s="20">
        <v>1210</v>
      </c>
      <c r="H1209" s="67" t="s">
        <v>2732</v>
      </c>
      <c r="I1209" s="67" t="str">
        <f t="shared" si="36"/>
        <v>SR 91/Florida's Turnpike (@  SR 838/Sunrise Bl(MP 58))</v>
      </c>
      <c r="J1209" s="86" t="s">
        <v>300</v>
      </c>
      <c r="K1209" s="67" t="str">
        <f>VLOOKUP(J1209,'Data-ProjectTypes'!A$3:B$13,2,FALSE)</f>
        <v>Project</v>
      </c>
      <c r="L1209" s="87" t="s">
        <v>894</v>
      </c>
      <c r="M1209" s="66" t="s">
        <v>2835</v>
      </c>
      <c r="N1209" s="67" t="s">
        <v>2941</v>
      </c>
      <c r="O1209" s="86" t="s">
        <v>270</v>
      </c>
      <c r="P1209" s="87" t="s">
        <v>270</v>
      </c>
      <c r="Q1209" s="74"/>
      <c r="R1209" s="70"/>
      <c r="S1209" s="11"/>
      <c r="T1209" s="11"/>
      <c r="U1209" s="11"/>
      <c r="V1209" s="11"/>
      <c r="W1209" s="11"/>
      <c r="X1209" s="11"/>
      <c r="Y1209" s="12" t="s">
        <v>3012</v>
      </c>
      <c r="Z1209" s="71">
        <f>ROUND(R1209*'Data-CostAssumptions'!$C$8,-3)</f>
        <v>0</v>
      </c>
      <c r="AA1209" s="11">
        <f t="shared" si="37"/>
        <v>0</v>
      </c>
      <c r="AB1209" s="11">
        <v>2041</v>
      </c>
      <c r="AC1209" s="11">
        <v>2041</v>
      </c>
      <c r="AD1209" s="11">
        <v>2041</v>
      </c>
      <c r="AE1209" s="11">
        <v>2041</v>
      </c>
      <c r="AF1209" s="11">
        <v>0</v>
      </c>
      <c r="AG1209" s="19">
        <f>ROUND((Z1209*'Data-CostAssumptions'!$G$5)*(1+'Data-CostAssumptions'!$G$3)^(AC1209-'Data-CostAssumptions'!$G$4),-3)</f>
        <v>0</v>
      </c>
      <c r="AH1209" s="19">
        <f>ROUND((Z1209)*(1+'Data-CostAssumptions'!$G$3)^(AE1209-'Data-CostAssumptions'!$G$4),-3)</f>
        <v>0</v>
      </c>
    </row>
    <row r="1210" spans="1:34" ht="15" customHeight="1" x14ac:dyDescent="0.2">
      <c r="A1210" s="66">
        <v>4193381</v>
      </c>
      <c r="B1210" s="66" t="s">
        <v>1213</v>
      </c>
      <c r="C1210" s="66">
        <v>13040</v>
      </c>
      <c r="D1210" s="86" t="s">
        <v>1732</v>
      </c>
      <c r="E1210" s="73"/>
      <c r="F1210" s="73"/>
      <c r="G1210" s="20">
        <v>1211</v>
      </c>
      <c r="H1210" s="67" t="s">
        <v>2732</v>
      </c>
      <c r="I1210" s="67" t="str">
        <f t="shared" si="36"/>
        <v>SR 91/Florida's Turnpike (S. of Peters Rd (MP 55.9  - 56.4) to I-595)</v>
      </c>
      <c r="J1210" s="86" t="s">
        <v>300</v>
      </c>
      <c r="K1210" s="67" t="str">
        <f>VLOOKUP(J1210,'Data-ProjectTypes'!A$3:B$13,2,FALSE)</f>
        <v>Project</v>
      </c>
      <c r="L1210" s="87" t="s">
        <v>898</v>
      </c>
      <c r="M1210" s="66" t="s">
        <v>2730</v>
      </c>
      <c r="N1210" s="66" t="s">
        <v>34</v>
      </c>
      <c r="O1210" s="86" t="s">
        <v>270</v>
      </c>
      <c r="P1210" s="87" t="s">
        <v>270</v>
      </c>
      <c r="Q1210" s="74"/>
      <c r="R1210" s="70"/>
      <c r="S1210" s="11"/>
      <c r="T1210" s="11"/>
      <c r="U1210" s="11"/>
      <c r="V1210" s="11"/>
      <c r="W1210" s="11"/>
      <c r="X1210" s="11"/>
      <c r="Y1210" s="12" t="s">
        <v>3012</v>
      </c>
      <c r="Z1210" s="71">
        <f>ROUND(R1210*'Data-CostAssumptions'!$C$8,-3)</f>
        <v>0</v>
      </c>
      <c r="AA1210" s="11">
        <f t="shared" si="37"/>
        <v>0</v>
      </c>
      <c r="AB1210" s="11">
        <v>2041</v>
      </c>
      <c r="AC1210" s="11">
        <v>2041</v>
      </c>
      <c r="AD1210" s="11">
        <v>2041</v>
      </c>
      <c r="AE1210" s="11">
        <v>2041</v>
      </c>
      <c r="AF1210" s="11">
        <v>0</v>
      </c>
      <c r="AG1210" s="19">
        <f>ROUND((Z1210*'Data-CostAssumptions'!$G$5)*(1+'Data-CostAssumptions'!$G$3)^(AC1210-'Data-CostAssumptions'!$G$4),-3)</f>
        <v>0</v>
      </c>
      <c r="AH1210" s="19">
        <f>ROUND((Z1210)*(1+'Data-CostAssumptions'!$G$3)^(AE1210-'Data-CostAssumptions'!$G$4),-3)</f>
        <v>0</v>
      </c>
    </row>
    <row r="1211" spans="1:34" ht="15" customHeight="1" x14ac:dyDescent="0.2">
      <c r="A1211" s="66">
        <v>4060951</v>
      </c>
      <c r="B1211" s="66" t="s">
        <v>1213</v>
      </c>
      <c r="C1211" s="66">
        <v>13041</v>
      </c>
      <c r="D1211" s="86" t="s">
        <v>1732</v>
      </c>
      <c r="E1211" s="73"/>
      <c r="F1211" s="73"/>
      <c r="G1211" s="20">
        <v>1212</v>
      </c>
      <c r="H1211" s="67" t="s">
        <v>2732</v>
      </c>
      <c r="I1211" s="67" t="str">
        <f t="shared" si="36"/>
        <v>SR 91/Florida's Turnpike (SR 821/HEFT to N. of Johnson St)</v>
      </c>
      <c r="J1211" s="86" t="s">
        <v>300</v>
      </c>
      <c r="K1211" s="67" t="str">
        <f>VLOOKUP(J1211,'Data-ProjectTypes'!A$3:B$13,2,FALSE)</f>
        <v>Project</v>
      </c>
      <c r="L1211" s="87" t="s">
        <v>899</v>
      </c>
      <c r="M1211" s="67" t="s">
        <v>2825</v>
      </c>
      <c r="N1211" s="67" t="s">
        <v>2956</v>
      </c>
      <c r="O1211" s="86" t="s">
        <v>270</v>
      </c>
      <c r="P1211" s="87" t="s">
        <v>270</v>
      </c>
      <c r="Q1211" s="74"/>
      <c r="R1211" s="70"/>
      <c r="S1211" s="11"/>
      <c r="T1211" s="11"/>
      <c r="U1211" s="11"/>
      <c r="V1211" s="11"/>
      <c r="W1211" s="11"/>
      <c r="X1211" s="11"/>
      <c r="Y1211" s="12" t="s">
        <v>3012</v>
      </c>
      <c r="Z1211" s="71">
        <f>ROUND(R1211*'Data-CostAssumptions'!$C$8,-3)</f>
        <v>0</v>
      </c>
      <c r="AA1211" s="11">
        <f t="shared" si="37"/>
        <v>0</v>
      </c>
      <c r="AB1211" s="11">
        <v>2041</v>
      </c>
      <c r="AC1211" s="11">
        <v>2041</v>
      </c>
      <c r="AD1211" s="11">
        <v>2041</v>
      </c>
      <c r="AE1211" s="11">
        <v>2041</v>
      </c>
      <c r="AF1211" s="11">
        <v>0</v>
      </c>
      <c r="AG1211" s="19">
        <f>ROUND((Z1211*'Data-CostAssumptions'!$G$5)*(1+'Data-CostAssumptions'!$G$3)^(AC1211-'Data-CostAssumptions'!$G$4),-3)</f>
        <v>0</v>
      </c>
      <c r="AH1211" s="19">
        <f>ROUND((Z1211)*(1+'Data-CostAssumptions'!$G$3)^(AE1211-'Data-CostAssumptions'!$G$4),-3)</f>
        <v>0</v>
      </c>
    </row>
    <row r="1212" spans="1:34" ht="15" customHeight="1" x14ac:dyDescent="0.2">
      <c r="A1212" s="66">
        <v>4060954</v>
      </c>
      <c r="B1212" s="66" t="s">
        <v>1213</v>
      </c>
      <c r="C1212" s="66">
        <v>13042</v>
      </c>
      <c r="D1212" s="86" t="s">
        <v>1732</v>
      </c>
      <c r="E1212" s="73"/>
      <c r="F1212" s="73"/>
      <c r="G1212" s="20">
        <v>1213</v>
      </c>
      <c r="H1212" s="67" t="s">
        <v>2732</v>
      </c>
      <c r="I1212" s="67" t="str">
        <f t="shared" si="36"/>
        <v>SR 91/Florida's Turnpike (N. of Johnson St. to SR 811/Griffin Rd)</v>
      </c>
      <c r="J1212" s="86" t="s">
        <v>300</v>
      </c>
      <c r="K1212" s="67" t="str">
        <f>VLOOKUP(J1212,'Data-ProjectTypes'!A$3:B$13,2,FALSE)</f>
        <v>Project</v>
      </c>
      <c r="L1212" s="87" t="s">
        <v>899</v>
      </c>
      <c r="M1212" s="67" t="s">
        <v>2957</v>
      </c>
      <c r="N1212" s="67" t="s">
        <v>2955</v>
      </c>
      <c r="O1212" s="86" t="s">
        <v>270</v>
      </c>
      <c r="P1212" s="87" t="s">
        <v>270</v>
      </c>
      <c r="Q1212" s="74"/>
      <c r="R1212" s="70"/>
      <c r="S1212" s="11"/>
      <c r="T1212" s="11"/>
      <c r="U1212" s="11"/>
      <c r="V1212" s="11"/>
      <c r="W1212" s="11"/>
      <c r="X1212" s="11"/>
      <c r="Y1212" s="12" t="s">
        <v>3012</v>
      </c>
      <c r="Z1212" s="71">
        <f>ROUND(R1212*'Data-CostAssumptions'!$C$8,-3)</f>
        <v>0</v>
      </c>
      <c r="AA1212" s="11">
        <f t="shared" si="37"/>
        <v>0</v>
      </c>
      <c r="AB1212" s="11">
        <v>2041</v>
      </c>
      <c r="AC1212" s="11">
        <v>2041</v>
      </c>
      <c r="AD1212" s="11">
        <v>2041</v>
      </c>
      <c r="AE1212" s="11">
        <v>2041</v>
      </c>
      <c r="AF1212" s="11">
        <v>0</v>
      </c>
      <c r="AG1212" s="19">
        <f>ROUND((Z1212*'Data-CostAssumptions'!$G$5)*(1+'Data-CostAssumptions'!$G$3)^(AC1212-'Data-CostAssumptions'!$G$4),-3)</f>
        <v>0</v>
      </c>
      <c r="AH1212" s="19">
        <f>ROUND((Z1212)*(1+'Data-CostAssumptions'!$G$3)^(AE1212-'Data-CostAssumptions'!$G$4),-3)</f>
        <v>0</v>
      </c>
    </row>
    <row r="1213" spans="1:34" ht="15" customHeight="1" x14ac:dyDescent="0.2">
      <c r="A1213" s="11" t="s">
        <v>980</v>
      </c>
      <c r="B1213" s="11" t="s">
        <v>1211</v>
      </c>
      <c r="C1213" s="11">
        <v>13116</v>
      </c>
      <c r="D1213" s="84" t="s">
        <v>1732</v>
      </c>
      <c r="E1213" s="14"/>
      <c r="F1213" s="14"/>
      <c r="G1213" s="20">
        <v>1214</v>
      </c>
      <c r="H1213" s="13" t="s">
        <v>2877</v>
      </c>
      <c r="I1213" s="13" t="str">
        <f t="shared" si="36"/>
        <v>PEV ( to )</v>
      </c>
      <c r="J1213" s="84" t="s">
        <v>1200</v>
      </c>
      <c r="K1213" s="13" t="str">
        <f>VLOOKUP(J1213,'Data-ProjectTypes'!A$3:B$13,2,FALSE)</f>
        <v>Program</v>
      </c>
      <c r="L1213" s="85" t="s">
        <v>992</v>
      </c>
      <c r="M1213" s="11"/>
      <c r="N1213" s="11"/>
      <c r="O1213" s="84" t="s">
        <v>270</v>
      </c>
      <c r="P1213" s="85" t="s">
        <v>270</v>
      </c>
      <c r="Q1213" s="15"/>
      <c r="R1213" s="16">
        <v>4000000</v>
      </c>
      <c r="S1213" s="11"/>
      <c r="T1213" s="11"/>
      <c r="U1213" s="11"/>
      <c r="V1213" s="11"/>
      <c r="W1213" s="11"/>
      <c r="X1213" s="11"/>
      <c r="Z1213" s="18">
        <f>ROUND(R1213*'Data-CostAssumptions'!$C$3,-3)</f>
        <v>5536000</v>
      </c>
      <c r="AA1213" s="11">
        <f t="shared" si="37"/>
        <v>0</v>
      </c>
      <c r="AB1213" s="11">
        <v>2041</v>
      </c>
      <c r="AC1213" s="11">
        <v>2041</v>
      </c>
      <c r="AD1213" s="11">
        <v>2041</v>
      </c>
      <c r="AE1213" s="11">
        <v>2041</v>
      </c>
      <c r="AF1213" s="11">
        <v>0</v>
      </c>
      <c r="AG1213" s="19">
        <f>ROUND((Z1213*'Data-CostAssumptions'!$G$5)*(1+'Data-CostAssumptions'!$G$3)^(AC1213-'Data-CostAssumptions'!$G$4),-3)</f>
        <v>3123000</v>
      </c>
      <c r="AH1213" s="19">
        <f>ROUND((Z1213)*(1+'Data-CostAssumptions'!$G$3)^(AE1213-'Data-CostAssumptions'!$G$4),-3)</f>
        <v>14194000</v>
      </c>
    </row>
    <row r="1214" spans="1:34" ht="15" customHeight="1" x14ac:dyDescent="0.2">
      <c r="A1214" s="11" t="s">
        <v>981</v>
      </c>
      <c r="B1214" s="11" t="s">
        <v>1211</v>
      </c>
      <c r="C1214" s="11">
        <v>13117</v>
      </c>
      <c r="D1214" s="84" t="s">
        <v>1732</v>
      </c>
      <c r="E1214" s="14"/>
      <c r="F1214" s="14"/>
      <c r="G1214" s="20">
        <v>1215</v>
      </c>
      <c r="H1214" s="13" t="s">
        <v>2877</v>
      </c>
      <c r="I1214" s="13" t="str">
        <f t="shared" si="36"/>
        <v>PEV ( to )</v>
      </c>
      <c r="J1214" s="84" t="s">
        <v>1200</v>
      </c>
      <c r="K1214" s="13" t="str">
        <f>VLOOKUP(J1214,'Data-ProjectTypes'!A$3:B$13,2,FALSE)</f>
        <v>Program</v>
      </c>
      <c r="L1214" s="85" t="s">
        <v>993</v>
      </c>
      <c r="M1214" s="11"/>
      <c r="N1214" s="11"/>
      <c r="O1214" s="84" t="s">
        <v>270</v>
      </c>
      <c r="P1214" s="85" t="s">
        <v>270</v>
      </c>
      <c r="Q1214" s="15"/>
      <c r="R1214" s="16">
        <v>67080000</v>
      </c>
      <c r="S1214" s="11"/>
      <c r="T1214" s="11"/>
      <c r="U1214" s="11"/>
      <c r="V1214" s="11"/>
      <c r="W1214" s="11"/>
      <c r="X1214" s="11"/>
      <c r="Z1214" s="18">
        <f>ROUND(R1214*'Data-CostAssumptions'!$C$3,-3)</f>
        <v>92839000</v>
      </c>
      <c r="AA1214" s="11">
        <f t="shared" si="37"/>
        <v>0</v>
      </c>
      <c r="AB1214" s="11">
        <v>2041</v>
      </c>
      <c r="AC1214" s="11">
        <v>2041</v>
      </c>
      <c r="AD1214" s="11">
        <v>2041</v>
      </c>
      <c r="AE1214" s="11">
        <v>2041</v>
      </c>
      <c r="AF1214" s="11">
        <v>0</v>
      </c>
      <c r="AG1214" s="19">
        <f>ROUND((Z1214*'Data-CostAssumptions'!$G$5)*(1+'Data-CostAssumptions'!$G$3)^(AC1214-'Data-CostAssumptions'!$G$4),-3)</f>
        <v>52368000</v>
      </c>
      <c r="AH1214" s="19">
        <f>ROUND((Z1214)*(1+'Data-CostAssumptions'!$G$3)^(AE1214-'Data-CostAssumptions'!$G$4),-3)</f>
        <v>238034000</v>
      </c>
    </row>
    <row r="1215" spans="1:34" ht="15" customHeight="1" x14ac:dyDescent="0.2">
      <c r="A1215" s="11" t="s">
        <v>982</v>
      </c>
      <c r="B1215" s="11" t="s">
        <v>1211</v>
      </c>
      <c r="C1215" s="11">
        <v>13118</v>
      </c>
      <c r="D1215" s="84" t="s">
        <v>1732</v>
      </c>
      <c r="E1215" s="14"/>
      <c r="F1215" s="14"/>
      <c r="G1215" s="20">
        <v>1216</v>
      </c>
      <c r="H1215" s="13" t="s">
        <v>2877</v>
      </c>
      <c r="I1215" s="13" t="str">
        <f t="shared" si="36"/>
        <v>PEV ( to )</v>
      </c>
      <c r="J1215" s="84" t="s">
        <v>1200</v>
      </c>
      <c r="K1215" s="13" t="str">
        <f>VLOOKUP(J1215,'Data-ProjectTypes'!A$3:B$13,2,FALSE)</f>
        <v>Program</v>
      </c>
      <c r="L1215" s="85" t="s">
        <v>994</v>
      </c>
      <c r="M1215" s="11"/>
      <c r="N1215" s="11"/>
      <c r="O1215" s="84" t="s">
        <v>270</v>
      </c>
      <c r="P1215" s="85" t="s">
        <v>270</v>
      </c>
      <c r="Q1215" s="15"/>
      <c r="R1215" s="16">
        <v>42000000</v>
      </c>
      <c r="S1215" s="11"/>
      <c r="T1215" s="11"/>
      <c r="U1215" s="11"/>
      <c r="V1215" s="11"/>
      <c r="W1215" s="11"/>
      <c r="X1215" s="11"/>
      <c r="Z1215" s="18">
        <f>ROUND(R1215*'Data-CostAssumptions'!$C$3,-3)</f>
        <v>58128000</v>
      </c>
      <c r="AA1215" s="11">
        <f t="shared" si="37"/>
        <v>0</v>
      </c>
      <c r="AB1215" s="11">
        <v>2041</v>
      </c>
      <c r="AC1215" s="11">
        <v>2041</v>
      </c>
      <c r="AD1215" s="11">
        <v>2041</v>
      </c>
      <c r="AE1215" s="11">
        <v>2041</v>
      </c>
      <c r="AF1215" s="11">
        <v>0</v>
      </c>
      <c r="AG1215" s="19">
        <f>ROUND((Z1215*'Data-CostAssumptions'!$G$5)*(1+'Data-CostAssumptions'!$G$3)^(AC1215-'Data-CostAssumptions'!$G$4),-3)</f>
        <v>32788000</v>
      </c>
      <c r="AH1215" s="19">
        <f>ROUND((Z1215)*(1+'Data-CostAssumptions'!$G$3)^(AE1215-'Data-CostAssumptions'!$G$4),-3)</f>
        <v>149037000</v>
      </c>
    </row>
    <row r="1216" spans="1:34" ht="15" customHeight="1" x14ac:dyDescent="0.2">
      <c r="A1216" s="11" t="s">
        <v>983</v>
      </c>
      <c r="B1216" s="11" t="s">
        <v>1211</v>
      </c>
      <c r="C1216" s="11">
        <v>13119</v>
      </c>
      <c r="D1216" s="84" t="s">
        <v>1732</v>
      </c>
      <c r="E1216" s="14"/>
      <c r="F1216" s="14"/>
      <c r="G1216" s="20">
        <v>1217</v>
      </c>
      <c r="H1216" s="13" t="s">
        <v>2877</v>
      </c>
      <c r="I1216" s="13" t="str">
        <f t="shared" ref="I1216:I1279" si="38">IF(M1216="@",H1216&amp;" ("&amp;M1216&amp;"  "&amp;N1216&amp;")",H1216&amp;" ("&amp;M1216&amp;" to "&amp;N1216&amp;")")</f>
        <v>PEV ( to )</v>
      </c>
      <c r="J1216" s="84" t="s">
        <v>1200</v>
      </c>
      <c r="K1216" s="13" t="str">
        <f>VLOOKUP(J1216,'Data-ProjectTypes'!A$3:B$13,2,FALSE)</f>
        <v>Program</v>
      </c>
      <c r="L1216" s="85" t="s">
        <v>995</v>
      </c>
      <c r="M1216" s="11"/>
      <c r="N1216" s="11"/>
      <c r="O1216" s="84" t="s">
        <v>270</v>
      </c>
      <c r="P1216" s="85" t="s">
        <v>270</v>
      </c>
      <c r="Q1216" s="15"/>
      <c r="R1216" s="16">
        <v>11000000</v>
      </c>
      <c r="S1216" s="11"/>
      <c r="T1216" s="11"/>
      <c r="U1216" s="11"/>
      <c r="V1216" s="11"/>
      <c r="W1216" s="11"/>
      <c r="X1216" s="11"/>
      <c r="Z1216" s="18">
        <f>ROUND(R1216*'Data-CostAssumptions'!$C$3,-3)</f>
        <v>15224000</v>
      </c>
      <c r="AA1216" s="11">
        <f t="shared" si="37"/>
        <v>0</v>
      </c>
      <c r="AB1216" s="11">
        <v>2041</v>
      </c>
      <c r="AC1216" s="11">
        <v>2041</v>
      </c>
      <c r="AD1216" s="11">
        <v>2041</v>
      </c>
      <c r="AE1216" s="11">
        <v>2041</v>
      </c>
      <c r="AF1216" s="11">
        <v>0</v>
      </c>
      <c r="AG1216" s="19">
        <f>ROUND((Z1216*'Data-CostAssumptions'!$G$5)*(1+'Data-CostAssumptions'!$G$3)^(AC1216-'Data-CostAssumptions'!$G$4),-3)</f>
        <v>8587000</v>
      </c>
      <c r="AH1216" s="19">
        <f>ROUND((Z1216)*(1+'Data-CostAssumptions'!$G$3)^(AE1216-'Data-CostAssumptions'!$G$4),-3)</f>
        <v>39034000</v>
      </c>
    </row>
    <row r="1217" spans="1:34" ht="15" customHeight="1" x14ac:dyDescent="0.2">
      <c r="A1217" s="11" t="s">
        <v>984</v>
      </c>
      <c r="B1217" s="11" t="s">
        <v>1211</v>
      </c>
      <c r="C1217" s="11">
        <v>13120</v>
      </c>
      <c r="D1217" s="84" t="s">
        <v>1732</v>
      </c>
      <c r="E1217" s="14"/>
      <c r="F1217" s="14"/>
      <c r="G1217" s="20">
        <v>1218</v>
      </c>
      <c r="H1217" s="13" t="s">
        <v>2877</v>
      </c>
      <c r="I1217" s="13" t="str">
        <f t="shared" si="38"/>
        <v>PEV ( to )</v>
      </c>
      <c r="J1217" s="84" t="s">
        <v>1200</v>
      </c>
      <c r="K1217" s="13" t="str">
        <f>VLOOKUP(J1217,'Data-ProjectTypes'!A$3:B$13,2,FALSE)</f>
        <v>Program</v>
      </c>
      <c r="L1217" s="85" t="s">
        <v>996</v>
      </c>
      <c r="M1217" s="11"/>
      <c r="N1217" s="11"/>
      <c r="O1217" s="84" t="s">
        <v>270</v>
      </c>
      <c r="P1217" s="85" t="s">
        <v>270</v>
      </c>
      <c r="Q1217" s="15"/>
      <c r="R1217" s="16">
        <v>75000000</v>
      </c>
      <c r="S1217" s="11"/>
      <c r="T1217" s="11"/>
      <c r="U1217" s="11"/>
      <c r="V1217" s="11"/>
      <c r="W1217" s="11"/>
      <c r="X1217" s="11"/>
      <c r="Z1217" s="18">
        <f>ROUND(R1217*'Data-CostAssumptions'!$C$3,-3)</f>
        <v>103800000</v>
      </c>
      <c r="AA1217" s="11">
        <f t="shared" ref="AA1217:AA1280" si="39">IF(V1217="",IF(W1217="",0,1),1)</f>
        <v>0</v>
      </c>
      <c r="AB1217" s="11">
        <v>2041</v>
      </c>
      <c r="AC1217" s="11">
        <v>2041</v>
      </c>
      <c r="AD1217" s="11">
        <v>2041</v>
      </c>
      <c r="AE1217" s="11">
        <v>2041</v>
      </c>
      <c r="AF1217" s="11">
        <v>0</v>
      </c>
      <c r="AG1217" s="19">
        <f>ROUND((Z1217*'Data-CostAssumptions'!$G$5)*(1+'Data-CostAssumptions'!$G$3)^(AC1217-'Data-CostAssumptions'!$G$4),-3)</f>
        <v>58550000</v>
      </c>
      <c r="AH1217" s="19">
        <f>ROUND((Z1217)*(1+'Data-CostAssumptions'!$G$3)^(AE1217-'Data-CostAssumptions'!$G$4),-3)</f>
        <v>266138000</v>
      </c>
    </row>
    <row r="1218" spans="1:34" ht="15" customHeight="1" x14ac:dyDescent="0.2">
      <c r="A1218" s="11" t="s">
        <v>985</v>
      </c>
      <c r="B1218" s="11" t="s">
        <v>1211</v>
      </c>
      <c r="C1218" s="11">
        <v>13121</v>
      </c>
      <c r="D1218" s="84" t="s">
        <v>1732</v>
      </c>
      <c r="E1218" s="14"/>
      <c r="F1218" s="14"/>
      <c r="G1218" s="20">
        <v>1219</v>
      </c>
      <c r="H1218" s="13" t="s">
        <v>2877</v>
      </c>
      <c r="I1218" s="13" t="str">
        <f t="shared" si="38"/>
        <v>PEV ( to )</v>
      </c>
      <c r="J1218" s="84" t="s">
        <v>1200</v>
      </c>
      <c r="K1218" s="13" t="str">
        <f>VLOOKUP(J1218,'Data-ProjectTypes'!A$3:B$13,2,FALSE)</f>
        <v>Program</v>
      </c>
      <c r="L1218" s="85" t="s">
        <v>997</v>
      </c>
      <c r="M1218" s="11"/>
      <c r="N1218" s="11"/>
      <c r="O1218" s="84" t="s">
        <v>270</v>
      </c>
      <c r="P1218" s="85" t="s">
        <v>270</v>
      </c>
      <c r="Q1218" s="15"/>
      <c r="R1218" s="16">
        <v>20000000</v>
      </c>
      <c r="S1218" s="11"/>
      <c r="T1218" s="11"/>
      <c r="U1218" s="11"/>
      <c r="V1218" s="11"/>
      <c r="W1218" s="11"/>
      <c r="X1218" s="11"/>
      <c r="Z1218" s="18">
        <f>ROUND(R1218*'Data-CostAssumptions'!$C$3,-3)</f>
        <v>27680000</v>
      </c>
      <c r="AA1218" s="11">
        <f t="shared" si="39"/>
        <v>0</v>
      </c>
      <c r="AB1218" s="11">
        <v>2041</v>
      </c>
      <c r="AC1218" s="11">
        <v>2041</v>
      </c>
      <c r="AD1218" s="11">
        <v>2041</v>
      </c>
      <c r="AE1218" s="11">
        <v>2041</v>
      </c>
      <c r="AF1218" s="11">
        <v>0</v>
      </c>
      <c r="AG1218" s="19">
        <f>ROUND((Z1218*'Data-CostAssumptions'!$G$5)*(1+'Data-CostAssumptions'!$G$3)^(AC1218-'Data-CostAssumptions'!$G$4),-3)</f>
        <v>15613000</v>
      </c>
      <c r="AH1218" s="19">
        <f>ROUND((Z1218)*(1+'Data-CostAssumptions'!$G$3)^(AE1218-'Data-CostAssumptions'!$G$4),-3)</f>
        <v>70970000</v>
      </c>
    </row>
    <row r="1219" spans="1:34" ht="15" customHeight="1" x14ac:dyDescent="0.2">
      <c r="A1219" s="11" t="s">
        <v>986</v>
      </c>
      <c r="B1219" s="11" t="s">
        <v>1211</v>
      </c>
      <c r="C1219" s="11">
        <v>13122</v>
      </c>
      <c r="D1219" s="84" t="s">
        <v>1732</v>
      </c>
      <c r="E1219" s="14"/>
      <c r="F1219" s="14"/>
      <c r="G1219" s="20">
        <v>1220</v>
      </c>
      <c r="H1219" s="13" t="s">
        <v>2877</v>
      </c>
      <c r="I1219" s="13" t="str">
        <f t="shared" si="38"/>
        <v>PEV ( to )</v>
      </c>
      <c r="J1219" s="84" t="s">
        <v>1200</v>
      </c>
      <c r="K1219" s="13" t="str">
        <f>VLOOKUP(J1219,'Data-ProjectTypes'!A$3:B$13,2,FALSE)</f>
        <v>Program</v>
      </c>
      <c r="L1219" s="85" t="s">
        <v>998</v>
      </c>
      <c r="M1219" s="11"/>
      <c r="N1219" s="11"/>
      <c r="O1219" s="84" t="s">
        <v>270</v>
      </c>
      <c r="P1219" s="85" t="s">
        <v>270</v>
      </c>
      <c r="Q1219" s="15"/>
      <c r="R1219" s="16">
        <v>30000000</v>
      </c>
      <c r="S1219" s="11"/>
      <c r="T1219" s="11"/>
      <c r="U1219" s="11"/>
      <c r="V1219" s="11"/>
      <c r="W1219" s="11"/>
      <c r="X1219" s="11"/>
      <c r="Z1219" s="18">
        <f>ROUND(R1219*'Data-CostAssumptions'!$C$3,-3)</f>
        <v>41520000</v>
      </c>
      <c r="AA1219" s="11">
        <f t="shared" si="39"/>
        <v>0</v>
      </c>
      <c r="AB1219" s="11">
        <v>2041</v>
      </c>
      <c r="AC1219" s="11">
        <v>2041</v>
      </c>
      <c r="AD1219" s="11">
        <v>2041</v>
      </c>
      <c r="AE1219" s="11">
        <v>2041</v>
      </c>
      <c r="AF1219" s="11">
        <v>0</v>
      </c>
      <c r="AG1219" s="19">
        <f>ROUND((Z1219*'Data-CostAssumptions'!$G$5)*(1+'Data-CostAssumptions'!$G$3)^(AC1219-'Data-CostAssumptions'!$G$4),-3)</f>
        <v>23420000</v>
      </c>
      <c r="AH1219" s="19">
        <f>ROUND((Z1219)*(1+'Data-CostAssumptions'!$G$3)^(AE1219-'Data-CostAssumptions'!$G$4),-3)</f>
        <v>106455000</v>
      </c>
    </row>
    <row r="1220" spans="1:34" ht="15" customHeight="1" x14ac:dyDescent="0.2">
      <c r="A1220" s="11" t="s">
        <v>987</v>
      </c>
      <c r="B1220" s="11" t="s">
        <v>1211</v>
      </c>
      <c r="C1220" s="11">
        <v>13123</v>
      </c>
      <c r="D1220" s="84" t="s">
        <v>1732</v>
      </c>
      <c r="E1220" s="14"/>
      <c r="F1220" s="14"/>
      <c r="G1220" s="20">
        <v>1221</v>
      </c>
      <c r="H1220" s="13" t="s">
        <v>2877</v>
      </c>
      <c r="I1220" s="13" t="str">
        <f t="shared" si="38"/>
        <v>PEV ( to )</v>
      </c>
      <c r="J1220" s="84" t="s">
        <v>1200</v>
      </c>
      <c r="K1220" s="13" t="str">
        <f>VLOOKUP(J1220,'Data-ProjectTypes'!A$3:B$13,2,FALSE)</f>
        <v>Program</v>
      </c>
      <c r="L1220" s="85" t="s">
        <v>999</v>
      </c>
      <c r="M1220" s="11"/>
      <c r="N1220" s="11"/>
      <c r="O1220" s="84" t="s">
        <v>270</v>
      </c>
      <c r="P1220" s="85" t="s">
        <v>270</v>
      </c>
      <c r="Q1220" s="15"/>
      <c r="R1220" s="16">
        <v>23000000</v>
      </c>
      <c r="S1220" s="11"/>
      <c r="T1220" s="11"/>
      <c r="U1220" s="11"/>
      <c r="V1220" s="11"/>
      <c r="W1220" s="11"/>
      <c r="X1220" s="11"/>
      <c r="Z1220" s="18">
        <f>ROUND(R1220*'Data-CostAssumptions'!$C$3,-3)</f>
        <v>31832000</v>
      </c>
      <c r="AA1220" s="11">
        <f t="shared" si="39"/>
        <v>0</v>
      </c>
      <c r="AB1220" s="11">
        <v>2041</v>
      </c>
      <c r="AC1220" s="11">
        <v>2041</v>
      </c>
      <c r="AD1220" s="11">
        <v>2041</v>
      </c>
      <c r="AE1220" s="11">
        <v>2041</v>
      </c>
      <c r="AF1220" s="11">
        <v>0</v>
      </c>
      <c r="AG1220" s="19">
        <f>ROUND((Z1220*'Data-CostAssumptions'!$G$5)*(1+'Data-CostAssumptions'!$G$3)^(AC1220-'Data-CostAssumptions'!$G$4),-3)</f>
        <v>17955000</v>
      </c>
      <c r="AH1220" s="19">
        <f>ROUND((Z1220)*(1+'Data-CostAssumptions'!$G$3)^(AE1220-'Data-CostAssumptions'!$G$4),-3)</f>
        <v>81616000</v>
      </c>
    </row>
    <row r="1221" spans="1:34" ht="15" customHeight="1" x14ac:dyDescent="0.2">
      <c r="A1221" s="11" t="s">
        <v>988</v>
      </c>
      <c r="B1221" s="11" t="s">
        <v>1211</v>
      </c>
      <c r="C1221" s="11">
        <v>13124</v>
      </c>
      <c r="D1221" s="84" t="s">
        <v>1732</v>
      </c>
      <c r="E1221" s="14"/>
      <c r="F1221" s="14"/>
      <c r="G1221" s="20">
        <v>1222</v>
      </c>
      <c r="H1221" s="13" t="s">
        <v>2877</v>
      </c>
      <c r="I1221" s="13" t="str">
        <f t="shared" si="38"/>
        <v>PEV ( to )</v>
      </c>
      <c r="J1221" s="84" t="s">
        <v>1200</v>
      </c>
      <c r="K1221" s="13" t="str">
        <f>VLOOKUP(J1221,'Data-ProjectTypes'!A$3:B$13,2,FALSE)</f>
        <v>Program</v>
      </c>
      <c r="L1221" s="85" t="s">
        <v>1000</v>
      </c>
      <c r="M1221" s="11"/>
      <c r="N1221" s="11"/>
      <c r="O1221" s="84" t="s">
        <v>270</v>
      </c>
      <c r="P1221" s="85" t="s">
        <v>270</v>
      </c>
      <c r="Q1221" s="15"/>
      <c r="R1221" s="16">
        <v>12000000</v>
      </c>
      <c r="S1221" s="11"/>
      <c r="T1221" s="11"/>
      <c r="U1221" s="11"/>
      <c r="V1221" s="11"/>
      <c r="W1221" s="11"/>
      <c r="X1221" s="11"/>
      <c r="Z1221" s="18">
        <f>ROUND(R1221*'Data-CostAssumptions'!$C$3,-3)</f>
        <v>16608000</v>
      </c>
      <c r="AA1221" s="11">
        <f t="shared" si="39"/>
        <v>0</v>
      </c>
      <c r="AB1221" s="11">
        <v>2041</v>
      </c>
      <c r="AC1221" s="11">
        <v>2041</v>
      </c>
      <c r="AD1221" s="11">
        <v>2041</v>
      </c>
      <c r="AE1221" s="11">
        <v>2041</v>
      </c>
      <c r="AF1221" s="11">
        <v>0</v>
      </c>
      <c r="AG1221" s="19">
        <f>ROUND((Z1221*'Data-CostAssumptions'!$G$5)*(1+'Data-CostAssumptions'!$G$3)^(AC1221-'Data-CostAssumptions'!$G$4),-3)</f>
        <v>9368000</v>
      </c>
      <c r="AH1221" s="19">
        <f>ROUND((Z1221)*(1+'Data-CostAssumptions'!$G$3)^(AE1221-'Data-CostAssumptions'!$G$4),-3)</f>
        <v>42582000</v>
      </c>
    </row>
    <row r="1222" spans="1:34" ht="15" customHeight="1" x14ac:dyDescent="0.2">
      <c r="A1222" s="11" t="s">
        <v>989</v>
      </c>
      <c r="B1222" s="11" t="s">
        <v>1211</v>
      </c>
      <c r="C1222" s="11">
        <v>13125</v>
      </c>
      <c r="D1222" s="84" t="s">
        <v>1732</v>
      </c>
      <c r="E1222" s="14"/>
      <c r="F1222" s="14"/>
      <c r="G1222" s="20">
        <v>1223</v>
      </c>
      <c r="H1222" s="13" t="s">
        <v>2877</v>
      </c>
      <c r="I1222" s="13" t="str">
        <f t="shared" si="38"/>
        <v>PEV ( to )</v>
      </c>
      <c r="J1222" s="84" t="s">
        <v>1200</v>
      </c>
      <c r="K1222" s="13" t="str">
        <f>VLOOKUP(J1222,'Data-ProjectTypes'!A$3:B$13,2,FALSE)</f>
        <v>Program</v>
      </c>
      <c r="L1222" s="85" t="s">
        <v>1001</v>
      </c>
      <c r="M1222" s="11"/>
      <c r="N1222" s="11"/>
      <c r="O1222" s="84" t="s">
        <v>270</v>
      </c>
      <c r="P1222" s="85" t="s">
        <v>270</v>
      </c>
      <c r="Q1222" s="15"/>
      <c r="R1222" s="16">
        <v>35000000</v>
      </c>
      <c r="S1222" s="11"/>
      <c r="T1222" s="11"/>
      <c r="U1222" s="11"/>
      <c r="V1222" s="11"/>
      <c r="W1222" s="11"/>
      <c r="X1222" s="11"/>
      <c r="Z1222" s="18">
        <f>ROUND(R1222*'Data-CostAssumptions'!$C$3,-3)</f>
        <v>48440000</v>
      </c>
      <c r="AA1222" s="11">
        <f t="shared" si="39"/>
        <v>0</v>
      </c>
      <c r="AB1222" s="11">
        <v>2041</v>
      </c>
      <c r="AC1222" s="11">
        <v>2041</v>
      </c>
      <c r="AD1222" s="11">
        <v>2041</v>
      </c>
      <c r="AE1222" s="11">
        <v>2041</v>
      </c>
      <c r="AF1222" s="11">
        <v>0</v>
      </c>
      <c r="AG1222" s="19">
        <f>ROUND((Z1222*'Data-CostAssumptions'!$G$5)*(1+'Data-CostAssumptions'!$G$3)^(AC1222-'Data-CostAssumptions'!$G$4),-3)</f>
        <v>27323000</v>
      </c>
      <c r="AH1222" s="19">
        <f>ROUND((Z1222)*(1+'Data-CostAssumptions'!$G$3)^(AE1222-'Data-CostAssumptions'!$G$4),-3)</f>
        <v>124198000</v>
      </c>
    </row>
    <row r="1223" spans="1:34" ht="15" customHeight="1" x14ac:dyDescent="0.2">
      <c r="A1223" s="11" t="s">
        <v>990</v>
      </c>
      <c r="B1223" s="11" t="s">
        <v>1211</v>
      </c>
      <c r="C1223" s="11">
        <v>13126</v>
      </c>
      <c r="D1223" s="84" t="s">
        <v>1732</v>
      </c>
      <c r="E1223" s="14"/>
      <c r="F1223" s="14"/>
      <c r="G1223" s="20">
        <v>1224</v>
      </c>
      <c r="H1223" s="13" t="s">
        <v>2877</v>
      </c>
      <c r="I1223" s="13" t="str">
        <f t="shared" si="38"/>
        <v>PEV ( to )</v>
      </c>
      <c r="J1223" s="84" t="s">
        <v>1200</v>
      </c>
      <c r="K1223" s="13" t="str">
        <f>VLOOKUP(J1223,'Data-ProjectTypes'!A$3:B$13,2,FALSE)</f>
        <v>Program</v>
      </c>
      <c r="L1223" s="85" t="s">
        <v>1002</v>
      </c>
      <c r="M1223" s="11"/>
      <c r="N1223" s="11"/>
      <c r="O1223" s="84" t="s">
        <v>270</v>
      </c>
      <c r="P1223" s="85" t="s">
        <v>270</v>
      </c>
      <c r="Q1223" s="15"/>
      <c r="R1223" s="16">
        <v>55000000</v>
      </c>
      <c r="S1223" s="11"/>
      <c r="T1223" s="11"/>
      <c r="U1223" s="11"/>
      <c r="V1223" s="11"/>
      <c r="W1223" s="11"/>
      <c r="X1223" s="11"/>
      <c r="Z1223" s="18">
        <f>ROUND(R1223*'Data-CostAssumptions'!$C$3,-3)</f>
        <v>76120000</v>
      </c>
      <c r="AA1223" s="11">
        <f t="shared" si="39"/>
        <v>0</v>
      </c>
      <c r="AB1223" s="11">
        <v>2041</v>
      </c>
      <c r="AC1223" s="11">
        <v>2041</v>
      </c>
      <c r="AD1223" s="11">
        <v>2041</v>
      </c>
      <c r="AE1223" s="11">
        <v>2041</v>
      </c>
      <c r="AF1223" s="11">
        <v>0</v>
      </c>
      <c r="AG1223" s="19">
        <f>ROUND((Z1223*'Data-CostAssumptions'!$G$5)*(1+'Data-CostAssumptions'!$G$3)^(AC1223-'Data-CostAssumptions'!$G$4),-3)</f>
        <v>42937000</v>
      </c>
      <c r="AH1223" s="19">
        <f>ROUND((Z1223)*(1+'Data-CostAssumptions'!$G$3)^(AE1223-'Data-CostAssumptions'!$G$4),-3)</f>
        <v>195168000</v>
      </c>
    </row>
    <row r="1224" spans="1:34" ht="15" customHeight="1" x14ac:dyDescent="0.2">
      <c r="A1224" s="11" t="s">
        <v>991</v>
      </c>
      <c r="B1224" s="11" t="s">
        <v>1211</v>
      </c>
      <c r="C1224" s="11">
        <v>13127</v>
      </c>
      <c r="D1224" s="84" t="s">
        <v>1732</v>
      </c>
      <c r="E1224" s="14"/>
      <c r="F1224" s="14"/>
      <c r="G1224" s="20">
        <v>1225</v>
      </c>
      <c r="H1224" s="13" t="s">
        <v>2877</v>
      </c>
      <c r="I1224" s="13" t="str">
        <f t="shared" si="38"/>
        <v>PEV ( to )</v>
      </c>
      <c r="J1224" s="84" t="s">
        <v>1200</v>
      </c>
      <c r="K1224" s="13" t="str">
        <f>VLOOKUP(J1224,'Data-ProjectTypes'!A$3:B$13,2,FALSE)</f>
        <v>Program</v>
      </c>
      <c r="L1224" s="85" t="s">
        <v>1003</v>
      </c>
      <c r="M1224" s="11"/>
      <c r="N1224" s="11"/>
      <c r="O1224" s="84" t="s">
        <v>270</v>
      </c>
      <c r="P1224" s="85" t="s">
        <v>270</v>
      </c>
      <c r="Q1224" s="15"/>
      <c r="R1224" s="16">
        <v>5200000</v>
      </c>
      <c r="S1224" s="11"/>
      <c r="T1224" s="11"/>
      <c r="U1224" s="11"/>
      <c r="V1224" s="11"/>
      <c r="W1224" s="11"/>
      <c r="X1224" s="11"/>
      <c r="Z1224" s="18">
        <f>ROUND(R1224*'Data-CostAssumptions'!$C$3,-3)</f>
        <v>7197000</v>
      </c>
      <c r="AA1224" s="11">
        <f t="shared" si="39"/>
        <v>0</v>
      </c>
      <c r="AB1224" s="11">
        <v>2041</v>
      </c>
      <c r="AC1224" s="11">
        <v>2041</v>
      </c>
      <c r="AD1224" s="11">
        <v>2041</v>
      </c>
      <c r="AE1224" s="11">
        <v>2041</v>
      </c>
      <c r="AF1224" s="11">
        <v>0</v>
      </c>
      <c r="AG1224" s="19">
        <f>ROUND((Z1224*'Data-CostAssumptions'!$G$5)*(1+'Data-CostAssumptions'!$G$3)^(AC1224-'Data-CostAssumptions'!$G$4),-3)</f>
        <v>4060000</v>
      </c>
      <c r="AH1224" s="19">
        <f>ROUND((Z1224)*(1+'Data-CostAssumptions'!$G$3)^(AE1224-'Data-CostAssumptions'!$G$4),-3)</f>
        <v>18453000</v>
      </c>
    </row>
    <row r="1225" spans="1:34" ht="15" customHeight="1" x14ac:dyDescent="0.2">
      <c r="A1225" s="11" t="s">
        <v>1004</v>
      </c>
      <c r="B1225" s="11" t="s">
        <v>1211</v>
      </c>
      <c r="C1225" s="11">
        <v>13128</v>
      </c>
      <c r="D1225" s="84" t="s">
        <v>1732</v>
      </c>
      <c r="E1225" s="14"/>
      <c r="F1225" s="14"/>
      <c r="G1225" s="20">
        <v>1226</v>
      </c>
      <c r="H1225" s="13" t="s">
        <v>2877</v>
      </c>
      <c r="I1225" s="13" t="str">
        <f t="shared" si="38"/>
        <v>PEV ( to )</v>
      </c>
      <c r="J1225" s="84" t="s">
        <v>1200</v>
      </c>
      <c r="K1225" s="13" t="str">
        <f>VLOOKUP(J1225,'Data-ProjectTypes'!A$3:B$13,2,FALSE)</f>
        <v>Program</v>
      </c>
      <c r="L1225" s="85" t="s">
        <v>1022</v>
      </c>
      <c r="M1225" s="11"/>
      <c r="N1225" s="11"/>
      <c r="O1225" s="84" t="s">
        <v>270</v>
      </c>
      <c r="P1225" s="85" t="s">
        <v>270</v>
      </c>
      <c r="Q1225" s="15"/>
      <c r="R1225" s="16">
        <v>32000000</v>
      </c>
      <c r="S1225" s="11"/>
      <c r="T1225" s="11"/>
      <c r="U1225" s="11"/>
      <c r="V1225" s="11"/>
      <c r="W1225" s="11"/>
      <c r="X1225" s="11"/>
      <c r="Z1225" s="18">
        <f>ROUND(R1225*'Data-CostAssumptions'!$C$3,-3)</f>
        <v>44288000</v>
      </c>
      <c r="AA1225" s="11">
        <f t="shared" si="39"/>
        <v>0</v>
      </c>
      <c r="AB1225" s="11">
        <v>2041</v>
      </c>
      <c r="AC1225" s="11">
        <v>2041</v>
      </c>
      <c r="AD1225" s="11">
        <v>2041</v>
      </c>
      <c r="AE1225" s="11">
        <v>2041</v>
      </c>
      <c r="AF1225" s="11">
        <v>0</v>
      </c>
      <c r="AG1225" s="19">
        <f>ROUND((Z1225*'Data-CostAssumptions'!$G$5)*(1+'Data-CostAssumptions'!$G$3)^(AC1225-'Data-CostAssumptions'!$G$4),-3)</f>
        <v>24981000</v>
      </c>
      <c r="AH1225" s="19">
        <f>ROUND((Z1225)*(1+'Data-CostAssumptions'!$G$3)^(AE1225-'Data-CostAssumptions'!$G$4),-3)</f>
        <v>113552000</v>
      </c>
    </row>
    <row r="1226" spans="1:34" ht="15" customHeight="1" x14ac:dyDescent="0.2">
      <c r="A1226" s="11" t="s">
        <v>1005</v>
      </c>
      <c r="B1226" s="11" t="s">
        <v>1211</v>
      </c>
      <c r="C1226" s="11">
        <v>13129</v>
      </c>
      <c r="D1226" s="84" t="s">
        <v>1732</v>
      </c>
      <c r="E1226" s="14"/>
      <c r="F1226" s="14"/>
      <c r="G1226" s="20">
        <v>1227</v>
      </c>
      <c r="H1226" s="13" t="s">
        <v>2877</v>
      </c>
      <c r="I1226" s="13" t="str">
        <f t="shared" si="38"/>
        <v>PEV ( to )</v>
      </c>
      <c r="J1226" s="84" t="s">
        <v>1200</v>
      </c>
      <c r="K1226" s="13" t="str">
        <f>VLOOKUP(J1226,'Data-ProjectTypes'!A$3:B$13,2,FALSE)</f>
        <v>Program</v>
      </c>
      <c r="L1226" s="85" t="s">
        <v>1023</v>
      </c>
      <c r="M1226" s="11"/>
      <c r="N1226" s="11"/>
      <c r="O1226" s="84" t="s">
        <v>270</v>
      </c>
      <c r="P1226" s="85" t="s">
        <v>270</v>
      </c>
      <c r="Q1226" s="15"/>
      <c r="R1226" s="16">
        <v>24000000</v>
      </c>
      <c r="S1226" s="11"/>
      <c r="T1226" s="11"/>
      <c r="U1226" s="11"/>
      <c r="V1226" s="11"/>
      <c r="W1226" s="11"/>
      <c r="X1226" s="38"/>
      <c r="Z1226" s="18">
        <f>ROUND(R1226*'Data-CostAssumptions'!$C$3,-3)</f>
        <v>33216000</v>
      </c>
      <c r="AA1226" s="11">
        <f t="shared" si="39"/>
        <v>0</v>
      </c>
      <c r="AB1226" s="11">
        <v>2041</v>
      </c>
      <c r="AC1226" s="11">
        <v>2041</v>
      </c>
      <c r="AD1226" s="11">
        <v>2041</v>
      </c>
      <c r="AE1226" s="11">
        <v>2041</v>
      </c>
      <c r="AF1226" s="11">
        <v>0</v>
      </c>
      <c r="AG1226" s="19">
        <f>ROUND((Z1226*'Data-CostAssumptions'!$G$5)*(1+'Data-CostAssumptions'!$G$3)^(AC1226-'Data-CostAssumptions'!$G$4),-3)</f>
        <v>18736000</v>
      </c>
      <c r="AH1226" s="19">
        <f>ROUND((Z1226)*(1+'Data-CostAssumptions'!$G$3)^(AE1226-'Data-CostAssumptions'!$G$4),-3)</f>
        <v>85164000</v>
      </c>
    </row>
    <row r="1227" spans="1:34" ht="15" customHeight="1" x14ac:dyDescent="0.2">
      <c r="A1227" s="11" t="s">
        <v>1006</v>
      </c>
      <c r="B1227" s="11" t="s">
        <v>1211</v>
      </c>
      <c r="C1227" s="11">
        <v>13130</v>
      </c>
      <c r="D1227" s="84" t="s">
        <v>1732</v>
      </c>
      <c r="E1227" s="14"/>
      <c r="F1227" s="14"/>
      <c r="G1227" s="20">
        <v>1228</v>
      </c>
      <c r="H1227" s="13" t="s">
        <v>2877</v>
      </c>
      <c r="I1227" s="13" t="str">
        <f t="shared" si="38"/>
        <v>PEV ( to )</v>
      </c>
      <c r="J1227" s="84" t="s">
        <v>1200</v>
      </c>
      <c r="K1227" s="13" t="str">
        <f>VLOOKUP(J1227,'Data-ProjectTypes'!A$3:B$13,2,FALSE)</f>
        <v>Program</v>
      </c>
      <c r="L1227" s="85" t="s">
        <v>1024</v>
      </c>
      <c r="M1227" s="11"/>
      <c r="N1227" s="11"/>
      <c r="O1227" s="84" t="s">
        <v>270</v>
      </c>
      <c r="P1227" s="85" t="s">
        <v>270</v>
      </c>
      <c r="Q1227" s="15"/>
      <c r="R1227" s="16">
        <v>31000000</v>
      </c>
      <c r="S1227" s="11"/>
      <c r="T1227" s="11"/>
      <c r="U1227" s="11"/>
      <c r="V1227" s="11"/>
      <c r="W1227" s="11"/>
      <c r="X1227" s="11"/>
      <c r="Z1227" s="18">
        <f>ROUND(R1227*'Data-CostAssumptions'!$C$3,-3)</f>
        <v>42904000</v>
      </c>
      <c r="AA1227" s="11">
        <f t="shared" si="39"/>
        <v>0</v>
      </c>
      <c r="AB1227" s="11">
        <v>2041</v>
      </c>
      <c r="AC1227" s="11">
        <v>2041</v>
      </c>
      <c r="AD1227" s="11">
        <v>2041</v>
      </c>
      <c r="AE1227" s="11">
        <v>2041</v>
      </c>
      <c r="AF1227" s="11">
        <v>0</v>
      </c>
      <c r="AG1227" s="19">
        <f>ROUND((Z1227*'Data-CostAssumptions'!$G$5)*(1+'Data-CostAssumptions'!$G$3)^(AC1227-'Data-CostAssumptions'!$G$4),-3)</f>
        <v>24201000</v>
      </c>
      <c r="AH1227" s="19">
        <f>ROUND((Z1227)*(1+'Data-CostAssumptions'!$G$3)^(AE1227-'Data-CostAssumptions'!$G$4),-3)</f>
        <v>110004000</v>
      </c>
    </row>
    <row r="1228" spans="1:34" ht="15" customHeight="1" x14ac:dyDescent="0.2">
      <c r="A1228" s="11" t="s">
        <v>1007</v>
      </c>
      <c r="B1228" s="11" t="s">
        <v>1211</v>
      </c>
      <c r="C1228" s="11">
        <v>13131</v>
      </c>
      <c r="D1228" s="84" t="s">
        <v>1732</v>
      </c>
      <c r="E1228" s="14"/>
      <c r="F1228" s="14"/>
      <c r="G1228" s="20">
        <v>1229</v>
      </c>
      <c r="H1228" s="13" t="s">
        <v>2877</v>
      </c>
      <c r="I1228" s="13" t="str">
        <f t="shared" si="38"/>
        <v>PEV ( to )</v>
      </c>
      <c r="J1228" s="84" t="s">
        <v>1200</v>
      </c>
      <c r="K1228" s="13" t="str">
        <f>VLOOKUP(J1228,'Data-ProjectTypes'!A$3:B$13,2,FALSE)</f>
        <v>Program</v>
      </c>
      <c r="L1228" s="85" t="s">
        <v>1025</v>
      </c>
      <c r="M1228" s="11"/>
      <c r="N1228" s="11"/>
      <c r="O1228" s="84" t="s">
        <v>270</v>
      </c>
      <c r="P1228" s="85" t="s">
        <v>270</v>
      </c>
      <c r="Q1228" s="15"/>
      <c r="R1228" s="16">
        <v>28810000</v>
      </c>
      <c r="S1228" s="11"/>
      <c r="T1228" s="11"/>
      <c r="U1228" s="11"/>
      <c r="V1228" s="11"/>
      <c r="W1228" s="11"/>
      <c r="X1228" s="11"/>
      <c r="Z1228" s="18">
        <f>ROUND(R1228*'Data-CostAssumptions'!$C$3,-3)</f>
        <v>39873000</v>
      </c>
      <c r="AA1228" s="11">
        <f t="shared" si="39"/>
        <v>0</v>
      </c>
      <c r="AB1228" s="11">
        <v>2041</v>
      </c>
      <c r="AC1228" s="11">
        <v>2041</v>
      </c>
      <c r="AD1228" s="11">
        <v>2041</v>
      </c>
      <c r="AE1228" s="11">
        <v>2041</v>
      </c>
      <c r="AF1228" s="11">
        <v>0</v>
      </c>
      <c r="AG1228" s="19">
        <f>ROUND((Z1228*'Data-CostAssumptions'!$G$5)*(1+'Data-CostAssumptions'!$G$3)^(AC1228-'Data-CostAssumptions'!$G$4),-3)</f>
        <v>22491000</v>
      </c>
      <c r="AH1228" s="19">
        <f>ROUND((Z1228)*(1+'Data-CostAssumptions'!$G$3)^(AE1228-'Data-CostAssumptions'!$G$4),-3)</f>
        <v>102232000</v>
      </c>
    </row>
    <row r="1229" spans="1:34" ht="15" customHeight="1" x14ac:dyDescent="0.2">
      <c r="A1229" s="11" t="s">
        <v>1008</v>
      </c>
      <c r="B1229" s="11" t="s">
        <v>1211</v>
      </c>
      <c r="C1229" s="11">
        <v>13132</v>
      </c>
      <c r="D1229" s="84" t="s">
        <v>1732</v>
      </c>
      <c r="E1229" s="14"/>
      <c r="F1229" s="14"/>
      <c r="G1229" s="20">
        <v>1230</v>
      </c>
      <c r="H1229" s="13" t="s">
        <v>2877</v>
      </c>
      <c r="I1229" s="13" t="str">
        <f t="shared" si="38"/>
        <v>PEV ( to )</v>
      </c>
      <c r="J1229" s="84" t="s">
        <v>1200</v>
      </c>
      <c r="K1229" s="13" t="str">
        <f>VLOOKUP(J1229,'Data-ProjectTypes'!A$3:B$13,2,FALSE)</f>
        <v>Program</v>
      </c>
      <c r="L1229" s="85" t="s">
        <v>1026</v>
      </c>
      <c r="M1229" s="11"/>
      <c r="N1229" s="11"/>
      <c r="O1229" s="84" t="s">
        <v>270</v>
      </c>
      <c r="P1229" s="85" t="s">
        <v>270</v>
      </c>
      <c r="Q1229" s="15"/>
      <c r="R1229" s="16">
        <v>55000000</v>
      </c>
      <c r="S1229" s="11"/>
      <c r="T1229" s="11"/>
      <c r="U1229" s="11"/>
      <c r="V1229" s="11"/>
      <c r="W1229" s="11"/>
      <c r="X1229" s="11"/>
      <c r="Z1229" s="18">
        <f>ROUND(R1229*'Data-CostAssumptions'!$C$3,-3)</f>
        <v>76120000</v>
      </c>
      <c r="AA1229" s="11">
        <f t="shared" si="39"/>
        <v>0</v>
      </c>
      <c r="AB1229" s="11">
        <v>2041</v>
      </c>
      <c r="AC1229" s="11">
        <v>2041</v>
      </c>
      <c r="AD1229" s="11">
        <v>2041</v>
      </c>
      <c r="AE1229" s="11">
        <v>2041</v>
      </c>
      <c r="AF1229" s="11">
        <v>0</v>
      </c>
      <c r="AG1229" s="19">
        <f>ROUND((Z1229*'Data-CostAssumptions'!$G$5)*(1+'Data-CostAssumptions'!$G$3)^(AC1229-'Data-CostAssumptions'!$G$4),-3)</f>
        <v>42937000</v>
      </c>
      <c r="AH1229" s="19">
        <f>ROUND((Z1229)*(1+'Data-CostAssumptions'!$G$3)^(AE1229-'Data-CostAssumptions'!$G$4),-3)</f>
        <v>195168000</v>
      </c>
    </row>
    <row r="1230" spans="1:34" ht="15" customHeight="1" x14ac:dyDescent="0.2">
      <c r="A1230" s="11" t="s">
        <v>1009</v>
      </c>
      <c r="B1230" s="11" t="s">
        <v>1211</v>
      </c>
      <c r="C1230" s="11">
        <v>13133</v>
      </c>
      <c r="D1230" s="84" t="s">
        <v>1732</v>
      </c>
      <c r="E1230" s="14"/>
      <c r="F1230" s="14"/>
      <c r="G1230" s="20">
        <v>1231</v>
      </c>
      <c r="H1230" s="13" t="s">
        <v>2877</v>
      </c>
      <c r="I1230" s="13" t="str">
        <f t="shared" si="38"/>
        <v>PEV ( to )</v>
      </c>
      <c r="J1230" s="84" t="s">
        <v>1200</v>
      </c>
      <c r="K1230" s="13" t="str">
        <f>VLOOKUP(J1230,'Data-ProjectTypes'!A$3:B$13,2,FALSE)</f>
        <v>Program</v>
      </c>
      <c r="L1230" s="85" t="s">
        <v>1027</v>
      </c>
      <c r="M1230" s="11"/>
      <c r="N1230" s="11"/>
      <c r="O1230" s="84" t="s">
        <v>270</v>
      </c>
      <c r="P1230" s="85" t="s">
        <v>270</v>
      </c>
      <c r="Q1230" s="15"/>
      <c r="R1230" s="16">
        <v>300000000</v>
      </c>
      <c r="S1230" s="11"/>
      <c r="T1230" s="11"/>
      <c r="U1230" s="11"/>
      <c r="V1230" s="11"/>
      <c r="W1230" s="11"/>
      <c r="X1230" s="11"/>
      <c r="Z1230" s="18">
        <f>ROUND(R1230*'Data-CostAssumptions'!$C$3,-3)</f>
        <v>415200000</v>
      </c>
      <c r="AA1230" s="11">
        <f t="shared" si="39"/>
        <v>0</v>
      </c>
      <c r="AB1230" s="11">
        <v>2041</v>
      </c>
      <c r="AC1230" s="11">
        <v>2041</v>
      </c>
      <c r="AD1230" s="11">
        <v>2041</v>
      </c>
      <c r="AE1230" s="11">
        <v>2041</v>
      </c>
      <c r="AF1230" s="11">
        <v>0</v>
      </c>
      <c r="AG1230" s="19">
        <f>ROUND((Z1230*'Data-CostAssumptions'!$G$5)*(1+'Data-CostAssumptions'!$G$3)^(AC1230-'Data-CostAssumptions'!$G$4),-3)</f>
        <v>234201000</v>
      </c>
      <c r="AH1230" s="19">
        <f>ROUND((Z1230)*(1+'Data-CostAssumptions'!$G$3)^(AE1230-'Data-CostAssumptions'!$G$4),-3)</f>
        <v>1064551000</v>
      </c>
    </row>
    <row r="1231" spans="1:34" ht="15" customHeight="1" x14ac:dyDescent="0.2">
      <c r="A1231" s="11" t="s">
        <v>1010</v>
      </c>
      <c r="B1231" s="11" t="s">
        <v>1211</v>
      </c>
      <c r="C1231" s="11">
        <v>13134</v>
      </c>
      <c r="D1231" s="84" t="s">
        <v>1732</v>
      </c>
      <c r="E1231" s="14"/>
      <c r="F1231" s="14"/>
      <c r="G1231" s="20">
        <v>1232</v>
      </c>
      <c r="H1231" s="13" t="s">
        <v>2877</v>
      </c>
      <c r="I1231" s="13" t="str">
        <f t="shared" si="38"/>
        <v>PEV ( to )</v>
      </c>
      <c r="J1231" s="84" t="s">
        <v>1200</v>
      </c>
      <c r="K1231" s="13" t="str">
        <f>VLOOKUP(J1231,'Data-ProjectTypes'!A$3:B$13,2,FALSE)</f>
        <v>Program</v>
      </c>
      <c r="L1231" s="85" t="s">
        <v>1028</v>
      </c>
      <c r="M1231" s="11"/>
      <c r="N1231" s="11"/>
      <c r="O1231" s="84" t="s">
        <v>270</v>
      </c>
      <c r="P1231" s="85" t="s">
        <v>270</v>
      </c>
      <c r="Q1231" s="15"/>
      <c r="R1231" s="16">
        <v>25000000</v>
      </c>
      <c r="S1231" s="11"/>
      <c r="T1231" s="11"/>
      <c r="U1231" s="11"/>
      <c r="V1231" s="11"/>
      <c r="W1231" s="11"/>
      <c r="X1231" s="11"/>
      <c r="Z1231" s="18">
        <f>ROUND(R1231*'Data-CostAssumptions'!$C$3,-3)</f>
        <v>34600000</v>
      </c>
      <c r="AA1231" s="11">
        <f t="shared" si="39"/>
        <v>0</v>
      </c>
      <c r="AB1231" s="11">
        <v>2041</v>
      </c>
      <c r="AC1231" s="11">
        <v>2041</v>
      </c>
      <c r="AD1231" s="11">
        <v>2041</v>
      </c>
      <c r="AE1231" s="11">
        <v>2041</v>
      </c>
      <c r="AF1231" s="11">
        <v>0</v>
      </c>
      <c r="AG1231" s="19">
        <f>ROUND((Z1231*'Data-CostAssumptions'!$G$5)*(1+'Data-CostAssumptions'!$G$3)^(AC1231-'Data-CostAssumptions'!$G$4),-3)</f>
        <v>19517000</v>
      </c>
      <c r="AH1231" s="19">
        <f>ROUND((Z1231)*(1+'Data-CostAssumptions'!$G$3)^(AE1231-'Data-CostAssumptions'!$G$4),-3)</f>
        <v>88713000</v>
      </c>
    </row>
    <row r="1232" spans="1:34" ht="15" customHeight="1" x14ac:dyDescent="0.2">
      <c r="A1232" s="11" t="s">
        <v>1011</v>
      </c>
      <c r="B1232" s="11" t="s">
        <v>1211</v>
      </c>
      <c r="C1232" s="11">
        <v>13135</v>
      </c>
      <c r="D1232" s="84" t="s">
        <v>1732</v>
      </c>
      <c r="E1232" s="14"/>
      <c r="F1232" s="14"/>
      <c r="G1232" s="20">
        <v>1233</v>
      </c>
      <c r="H1232" s="13" t="s">
        <v>2877</v>
      </c>
      <c r="I1232" s="13" t="str">
        <f t="shared" si="38"/>
        <v>PEV ( to )</v>
      </c>
      <c r="J1232" s="84" t="s">
        <v>1200</v>
      </c>
      <c r="K1232" s="13" t="str">
        <f>VLOOKUP(J1232,'Data-ProjectTypes'!A$3:B$13,2,FALSE)</f>
        <v>Program</v>
      </c>
      <c r="L1232" s="85" t="s">
        <v>1029</v>
      </c>
      <c r="M1232" s="11"/>
      <c r="N1232" s="11"/>
      <c r="O1232" s="84" t="s">
        <v>270</v>
      </c>
      <c r="P1232" s="85" t="s">
        <v>270</v>
      </c>
      <c r="Q1232" s="15"/>
      <c r="R1232" s="16">
        <v>100000000</v>
      </c>
      <c r="S1232" s="11"/>
      <c r="T1232" s="11"/>
      <c r="U1232" s="11"/>
      <c r="V1232" s="11"/>
      <c r="W1232" s="11"/>
      <c r="X1232" s="11"/>
      <c r="Z1232" s="18">
        <f>ROUND(R1232*'Data-CostAssumptions'!$C$3,-3)</f>
        <v>138400000</v>
      </c>
      <c r="AA1232" s="11">
        <f t="shared" si="39"/>
        <v>0</v>
      </c>
      <c r="AB1232" s="11">
        <v>2041</v>
      </c>
      <c r="AC1232" s="11">
        <v>2041</v>
      </c>
      <c r="AD1232" s="11">
        <v>2041</v>
      </c>
      <c r="AE1232" s="11">
        <v>2041</v>
      </c>
      <c r="AF1232" s="11">
        <v>0</v>
      </c>
      <c r="AG1232" s="19">
        <f>ROUND((Z1232*'Data-CostAssumptions'!$G$5)*(1+'Data-CostAssumptions'!$G$3)^(AC1232-'Data-CostAssumptions'!$G$4),-3)</f>
        <v>78067000</v>
      </c>
      <c r="AH1232" s="19">
        <f>ROUND((Z1232)*(1+'Data-CostAssumptions'!$G$3)^(AE1232-'Data-CostAssumptions'!$G$4),-3)</f>
        <v>354850000</v>
      </c>
    </row>
    <row r="1233" spans="1:34" ht="15" customHeight="1" x14ac:dyDescent="0.2">
      <c r="A1233" s="11" t="s">
        <v>1012</v>
      </c>
      <c r="B1233" s="11" t="s">
        <v>1211</v>
      </c>
      <c r="C1233" s="11">
        <v>13136</v>
      </c>
      <c r="D1233" s="84" t="s">
        <v>1732</v>
      </c>
      <c r="E1233" s="14"/>
      <c r="F1233" s="14"/>
      <c r="G1233" s="20">
        <v>1234</v>
      </c>
      <c r="H1233" s="13" t="s">
        <v>2877</v>
      </c>
      <c r="I1233" s="13" t="str">
        <f t="shared" si="38"/>
        <v>PEV ( to )</v>
      </c>
      <c r="J1233" s="84" t="s">
        <v>1200</v>
      </c>
      <c r="K1233" s="13" t="str">
        <f>VLOOKUP(J1233,'Data-ProjectTypes'!A$3:B$13,2,FALSE)</f>
        <v>Program</v>
      </c>
      <c r="L1233" s="85" t="s">
        <v>1030</v>
      </c>
      <c r="M1233" s="11"/>
      <c r="N1233" s="11"/>
      <c r="O1233" s="84" t="s">
        <v>270</v>
      </c>
      <c r="P1233" s="85" t="s">
        <v>270</v>
      </c>
      <c r="Q1233" s="15"/>
      <c r="R1233" s="16">
        <v>22000000</v>
      </c>
      <c r="S1233" s="11"/>
      <c r="T1233" s="11"/>
      <c r="U1233" s="11"/>
      <c r="V1233" s="11"/>
      <c r="W1233" s="11"/>
      <c r="X1233" s="11"/>
      <c r="Z1233" s="18">
        <f>ROUND(R1233*'Data-CostAssumptions'!$C$3,-3)</f>
        <v>30448000</v>
      </c>
      <c r="AA1233" s="11">
        <f t="shared" si="39"/>
        <v>0</v>
      </c>
      <c r="AB1233" s="11">
        <v>2041</v>
      </c>
      <c r="AC1233" s="11">
        <v>2041</v>
      </c>
      <c r="AD1233" s="11">
        <v>2041</v>
      </c>
      <c r="AE1233" s="11">
        <v>2041</v>
      </c>
      <c r="AF1233" s="11">
        <v>0</v>
      </c>
      <c r="AG1233" s="19">
        <f>ROUND((Z1233*'Data-CostAssumptions'!$G$5)*(1+'Data-CostAssumptions'!$G$3)^(AC1233-'Data-CostAssumptions'!$G$4),-3)</f>
        <v>17175000</v>
      </c>
      <c r="AH1233" s="19">
        <f>ROUND((Z1233)*(1+'Data-CostAssumptions'!$G$3)^(AE1233-'Data-CostAssumptions'!$G$4),-3)</f>
        <v>78067000</v>
      </c>
    </row>
    <row r="1234" spans="1:34" ht="15" customHeight="1" x14ac:dyDescent="0.2">
      <c r="A1234" s="11" t="s">
        <v>1013</v>
      </c>
      <c r="B1234" s="11" t="s">
        <v>1211</v>
      </c>
      <c r="C1234" s="11">
        <v>13137</v>
      </c>
      <c r="D1234" s="84" t="s">
        <v>1732</v>
      </c>
      <c r="E1234" s="14"/>
      <c r="F1234" s="14"/>
      <c r="G1234" s="20">
        <v>1235</v>
      </c>
      <c r="H1234" s="13" t="s">
        <v>2877</v>
      </c>
      <c r="I1234" s="13" t="str">
        <f t="shared" si="38"/>
        <v>PEV ( to )</v>
      </c>
      <c r="J1234" s="84" t="s">
        <v>1200</v>
      </c>
      <c r="K1234" s="13" t="str">
        <f>VLOOKUP(J1234,'Data-ProjectTypes'!A$3:B$13,2,FALSE)</f>
        <v>Program</v>
      </c>
      <c r="L1234" s="85" t="s">
        <v>1031</v>
      </c>
      <c r="M1234" s="11"/>
      <c r="N1234" s="11"/>
      <c r="O1234" s="84" t="s">
        <v>270</v>
      </c>
      <c r="P1234" s="85" t="s">
        <v>270</v>
      </c>
      <c r="Q1234" s="15"/>
      <c r="R1234" s="16">
        <v>29000000</v>
      </c>
      <c r="S1234" s="11"/>
      <c r="T1234" s="11"/>
      <c r="U1234" s="11"/>
      <c r="V1234" s="11"/>
      <c r="W1234" s="11"/>
      <c r="X1234" s="11"/>
      <c r="Z1234" s="18">
        <f>ROUND(R1234*'Data-CostAssumptions'!$C$3,-3)</f>
        <v>40136000</v>
      </c>
      <c r="AA1234" s="11">
        <f t="shared" si="39"/>
        <v>0</v>
      </c>
      <c r="AB1234" s="11">
        <v>2041</v>
      </c>
      <c r="AC1234" s="11">
        <v>2041</v>
      </c>
      <c r="AD1234" s="11">
        <v>2041</v>
      </c>
      <c r="AE1234" s="11">
        <v>2041</v>
      </c>
      <c r="AF1234" s="11">
        <v>0</v>
      </c>
      <c r="AG1234" s="19">
        <f>ROUND((Z1234*'Data-CostAssumptions'!$G$5)*(1+'Data-CostAssumptions'!$G$3)^(AC1234-'Data-CostAssumptions'!$G$4),-3)</f>
        <v>22639000</v>
      </c>
      <c r="AH1234" s="19">
        <f>ROUND((Z1234)*(1+'Data-CostAssumptions'!$G$3)^(AE1234-'Data-CostAssumptions'!$G$4),-3)</f>
        <v>102907000</v>
      </c>
    </row>
    <row r="1235" spans="1:34" ht="15" customHeight="1" x14ac:dyDescent="0.2">
      <c r="A1235" s="11" t="s">
        <v>1014</v>
      </c>
      <c r="B1235" s="11" t="s">
        <v>1211</v>
      </c>
      <c r="C1235" s="11">
        <v>13138</v>
      </c>
      <c r="D1235" s="84" t="s">
        <v>1732</v>
      </c>
      <c r="E1235" s="14"/>
      <c r="F1235" s="14"/>
      <c r="G1235" s="20">
        <v>1236</v>
      </c>
      <c r="H1235" s="13" t="s">
        <v>2877</v>
      </c>
      <c r="I1235" s="13" t="str">
        <f t="shared" si="38"/>
        <v>PEV ( to )</v>
      </c>
      <c r="J1235" s="84" t="s">
        <v>1200</v>
      </c>
      <c r="K1235" s="13" t="str">
        <f>VLOOKUP(J1235,'Data-ProjectTypes'!A$3:B$13,2,FALSE)</f>
        <v>Program</v>
      </c>
      <c r="L1235" s="85" t="s">
        <v>1032</v>
      </c>
      <c r="M1235" s="11"/>
      <c r="N1235" s="11"/>
      <c r="O1235" s="84" t="s">
        <v>270</v>
      </c>
      <c r="P1235" s="85" t="s">
        <v>270</v>
      </c>
      <c r="Q1235" s="15"/>
      <c r="R1235" s="16">
        <v>8000000</v>
      </c>
      <c r="S1235" s="11"/>
      <c r="T1235" s="11"/>
      <c r="U1235" s="11"/>
      <c r="V1235" s="11"/>
      <c r="W1235" s="11"/>
      <c r="X1235" s="11"/>
      <c r="Z1235" s="18">
        <f>ROUND(R1235*'Data-CostAssumptions'!$C$3,-3)</f>
        <v>11072000</v>
      </c>
      <c r="AA1235" s="11">
        <f t="shared" si="39"/>
        <v>0</v>
      </c>
      <c r="AB1235" s="11">
        <v>2041</v>
      </c>
      <c r="AC1235" s="11">
        <v>2041</v>
      </c>
      <c r="AD1235" s="11">
        <v>2041</v>
      </c>
      <c r="AE1235" s="11">
        <v>2041</v>
      </c>
      <c r="AF1235" s="11">
        <v>0</v>
      </c>
      <c r="AG1235" s="19">
        <f>ROUND((Z1235*'Data-CostAssumptions'!$G$5)*(1+'Data-CostAssumptions'!$G$3)^(AC1235-'Data-CostAssumptions'!$G$4),-3)</f>
        <v>6245000</v>
      </c>
      <c r="AH1235" s="19">
        <f>ROUND((Z1235)*(1+'Data-CostAssumptions'!$G$3)^(AE1235-'Data-CostAssumptions'!$G$4),-3)</f>
        <v>28388000</v>
      </c>
    </row>
    <row r="1236" spans="1:34" ht="15" customHeight="1" x14ac:dyDescent="0.2">
      <c r="A1236" s="11" t="s">
        <v>1015</v>
      </c>
      <c r="B1236" s="11" t="s">
        <v>1211</v>
      </c>
      <c r="C1236" s="11">
        <v>13139</v>
      </c>
      <c r="D1236" s="84" t="s">
        <v>1732</v>
      </c>
      <c r="E1236" s="14"/>
      <c r="F1236" s="14"/>
      <c r="G1236" s="20">
        <v>1237</v>
      </c>
      <c r="H1236" s="13" t="s">
        <v>2877</v>
      </c>
      <c r="I1236" s="13" t="str">
        <f t="shared" si="38"/>
        <v>PEV ( to )</v>
      </c>
      <c r="J1236" s="84" t="s">
        <v>1200</v>
      </c>
      <c r="K1236" s="13" t="str">
        <f>VLOOKUP(J1236,'Data-ProjectTypes'!A$3:B$13,2,FALSE)</f>
        <v>Program</v>
      </c>
      <c r="L1236" s="85" t="s">
        <v>1033</v>
      </c>
      <c r="M1236" s="11"/>
      <c r="N1236" s="11"/>
      <c r="O1236" s="84" t="s">
        <v>270</v>
      </c>
      <c r="P1236" s="85" t="s">
        <v>270</v>
      </c>
      <c r="Q1236" s="15"/>
      <c r="R1236" s="16">
        <v>27000000</v>
      </c>
      <c r="S1236" s="11"/>
      <c r="T1236" s="11"/>
      <c r="U1236" s="11"/>
      <c r="V1236" s="11"/>
      <c r="W1236" s="11"/>
      <c r="X1236" s="11"/>
      <c r="Z1236" s="18">
        <f>ROUND(R1236*'Data-CostAssumptions'!$C$3,-3)</f>
        <v>37368000</v>
      </c>
      <c r="AA1236" s="11">
        <f t="shared" si="39"/>
        <v>0</v>
      </c>
      <c r="AB1236" s="11">
        <v>2041</v>
      </c>
      <c r="AC1236" s="11">
        <v>2041</v>
      </c>
      <c r="AD1236" s="11">
        <v>2041</v>
      </c>
      <c r="AE1236" s="11">
        <v>2041</v>
      </c>
      <c r="AF1236" s="11">
        <v>0</v>
      </c>
      <c r="AG1236" s="19">
        <f>ROUND((Z1236*'Data-CostAssumptions'!$G$5)*(1+'Data-CostAssumptions'!$G$3)^(AC1236-'Data-CostAssumptions'!$G$4),-3)</f>
        <v>21078000</v>
      </c>
      <c r="AH1236" s="19">
        <f>ROUND((Z1236)*(1+'Data-CostAssumptions'!$G$3)^(AE1236-'Data-CostAssumptions'!$G$4),-3)</f>
        <v>95810000</v>
      </c>
    </row>
    <row r="1237" spans="1:34" ht="15" customHeight="1" x14ac:dyDescent="0.2">
      <c r="A1237" s="11" t="s">
        <v>1016</v>
      </c>
      <c r="B1237" s="11" t="s">
        <v>1213</v>
      </c>
      <c r="C1237" s="11">
        <v>13140</v>
      </c>
      <c r="D1237" s="84" t="s">
        <v>1732</v>
      </c>
      <c r="E1237" s="14"/>
      <c r="F1237" s="14"/>
      <c r="G1237" s="20">
        <v>1238</v>
      </c>
      <c r="H1237" s="13" t="s">
        <v>2877</v>
      </c>
      <c r="I1237" s="13" t="str">
        <f t="shared" si="38"/>
        <v>PEV ( to )</v>
      </c>
      <c r="J1237" s="84" t="s">
        <v>1200</v>
      </c>
      <c r="K1237" s="13" t="str">
        <f>VLOOKUP(J1237,'Data-ProjectTypes'!A$3:B$13,2,FALSE)</f>
        <v>Program</v>
      </c>
      <c r="L1237" s="85" t="s">
        <v>1034</v>
      </c>
      <c r="M1237" s="11"/>
      <c r="N1237" s="11"/>
      <c r="O1237" s="84" t="s">
        <v>270</v>
      </c>
      <c r="P1237" s="85" t="s">
        <v>270</v>
      </c>
      <c r="Q1237" s="15"/>
      <c r="R1237" s="16">
        <v>1377000000</v>
      </c>
      <c r="S1237" s="11"/>
      <c r="T1237" s="11"/>
      <c r="U1237" s="11"/>
      <c r="V1237" s="11"/>
      <c r="W1237" s="11"/>
      <c r="X1237" s="11"/>
      <c r="Z1237" s="18">
        <f>ROUND(R1237*'Data-CostAssumptions'!$C$3,-3)</f>
        <v>1905768000</v>
      </c>
      <c r="AA1237" s="11">
        <f t="shared" si="39"/>
        <v>0</v>
      </c>
      <c r="AB1237" s="11">
        <v>2041</v>
      </c>
      <c r="AC1237" s="11">
        <v>2041</v>
      </c>
      <c r="AD1237" s="11">
        <v>2041</v>
      </c>
      <c r="AE1237" s="11">
        <v>2041</v>
      </c>
      <c r="AF1237" s="11">
        <v>0</v>
      </c>
      <c r="AG1237" s="19">
        <f>ROUND((Z1237*'Data-CostAssumptions'!$G$5)*(1+'Data-CostAssumptions'!$G$3)^(AC1237-'Data-CostAssumptions'!$G$4),-3)</f>
        <v>1074984000</v>
      </c>
      <c r="AH1237" s="19">
        <f>ROUND((Z1237)*(1+'Data-CostAssumptions'!$G$3)^(AE1237-'Data-CostAssumptions'!$G$4),-3)</f>
        <v>4886291000</v>
      </c>
    </row>
    <row r="1238" spans="1:34" ht="15" customHeight="1" x14ac:dyDescent="0.2">
      <c r="A1238" s="11" t="s">
        <v>1017</v>
      </c>
      <c r="B1238" s="11" t="s">
        <v>1211</v>
      </c>
      <c r="C1238" s="11">
        <v>13141</v>
      </c>
      <c r="D1238" s="84" t="s">
        <v>1732</v>
      </c>
      <c r="E1238" s="14"/>
      <c r="F1238" s="14"/>
      <c r="G1238" s="20">
        <v>1239</v>
      </c>
      <c r="H1238" s="13" t="s">
        <v>2877</v>
      </c>
      <c r="I1238" s="13" t="str">
        <f t="shared" si="38"/>
        <v>PEV ( to )</v>
      </c>
      <c r="J1238" s="84" t="s">
        <v>1200</v>
      </c>
      <c r="K1238" s="13" t="str">
        <f>VLOOKUP(J1238,'Data-ProjectTypes'!A$3:B$13,2,FALSE)</f>
        <v>Program</v>
      </c>
      <c r="L1238" s="85" t="s">
        <v>1035</v>
      </c>
      <c r="M1238" s="11"/>
      <c r="N1238" s="11"/>
      <c r="O1238" s="84" t="s">
        <v>270</v>
      </c>
      <c r="P1238" s="85" t="s">
        <v>270</v>
      </c>
      <c r="Q1238" s="15"/>
      <c r="R1238" s="16">
        <v>22000000</v>
      </c>
      <c r="S1238" s="11"/>
      <c r="T1238" s="11"/>
      <c r="U1238" s="11"/>
      <c r="V1238" s="11"/>
      <c r="W1238" s="11"/>
      <c r="X1238" s="11"/>
      <c r="Z1238" s="18">
        <f>ROUND(R1238*'Data-CostAssumptions'!$C$3,-3)</f>
        <v>30448000</v>
      </c>
      <c r="AA1238" s="11">
        <f t="shared" si="39"/>
        <v>0</v>
      </c>
      <c r="AB1238" s="11">
        <v>2041</v>
      </c>
      <c r="AC1238" s="11">
        <v>2041</v>
      </c>
      <c r="AD1238" s="11">
        <v>2041</v>
      </c>
      <c r="AE1238" s="11">
        <v>2041</v>
      </c>
      <c r="AF1238" s="11">
        <v>0</v>
      </c>
      <c r="AG1238" s="19">
        <f>ROUND((Z1238*'Data-CostAssumptions'!$G$5)*(1+'Data-CostAssumptions'!$G$3)^(AC1238-'Data-CostAssumptions'!$G$4),-3)</f>
        <v>17175000</v>
      </c>
      <c r="AH1238" s="19">
        <f>ROUND((Z1238)*(1+'Data-CostAssumptions'!$G$3)^(AE1238-'Data-CostAssumptions'!$G$4),-3)</f>
        <v>78067000</v>
      </c>
    </row>
    <row r="1239" spans="1:34" ht="15" customHeight="1" x14ac:dyDescent="0.2">
      <c r="A1239" s="11" t="s">
        <v>1018</v>
      </c>
      <c r="B1239" s="11" t="s">
        <v>1211</v>
      </c>
      <c r="C1239" s="11">
        <v>13142</v>
      </c>
      <c r="D1239" s="84" t="s">
        <v>1732</v>
      </c>
      <c r="E1239" s="14"/>
      <c r="F1239" s="14"/>
      <c r="G1239" s="20">
        <v>1240</v>
      </c>
      <c r="H1239" s="13" t="s">
        <v>2877</v>
      </c>
      <c r="I1239" s="13" t="str">
        <f t="shared" si="38"/>
        <v>PEV ( to )</v>
      </c>
      <c r="J1239" s="84" t="s">
        <v>1200</v>
      </c>
      <c r="K1239" s="13" t="str">
        <f>VLOOKUP(J1239,'Data-ProjectTypes'!A$3:B$13,2,FALSE)</f>
        <v>Program</v>
      </c>
      <c r="L1239" s="85" t="s">
        <v>1036</v>
      </c>
      <c r="M1239" s="11"/>
      <c r="N1239" s="11"/>
      <c r="O1239" s="84" t="s">
        <v>270</v>
      </c>
      <c r="P1239" s="85" t="s">
        <v>270</v>
      </c>
      <c r="Q1239" s="15"/>
      <c r="R1239" s="16">
        <v>71000000</v>
      </c>
      <c r="S1239" s="11"/>
      <c r="T1239" s="11"/>
      <c r="U1239" s="11"/>
      <c r="V1239" s="11"/>
      <c r="W1239" s="11"/>
      <c r="X1239" s="11"/>
      <c r="Z1239" s="18">
        <f>ROUND(R1239*'Data-CostAssumptions'!$C$3,-3)</f>
        <v>98264000</v>
      </c>
      <c r="AA1239" s="11">
        <f t="shared" si="39"/>
        <v>0</v>
      </c>
      <c r="AB1239" s="11">
        <v>2041</v>
      </c>
      <c r="AC1239" s="11">
        <v>2041</v>
      </c>
      <c r="AD1239" s="11">
        <v>2041</v>
      </c>
      <c r="AE1239" s="11">
        <v>2041</v>
      </c>
      <c r="AF1239" s="11">
        <v>0</v>
      </c>
      <c r="AG1239" s="19">
        <f>ROUND((Z1239*'Data-CostAssumptions'!$G$5)*(1+'Data-CostAssumptions'!$G$3)^(AC1239-'Data-CostAssumptions'!$G$4),-3)</f>
        <v>55428000</v>
      </c>
      <c r="AH1239" s="19">
        <f>ROUND((Z1239)*(1+'Data-CostAssumptions'!$G$3)^(AE1239-'Data-CostAssumptions'!$G$4),-3)</f>
        <v>251944000</v>
      </c>
    </row>
    <row r="1240" spans="1:34" ht="15" customHeight="1" x14ac:dyDescent="0.2">
      <c r="A1240" s="11" t="s">
        <v>1019</v>
      </c>
      <c r="B1240" s="11" t="s">
        <v>1211</v>
      </c>
      <c r="C1240" s="11">
        <v>13143</v>
      </c>
      <c r="D1240" s="84" t="s">
        <v>1732</v>
      </c>
      <c r="E1240" s="14"/>
      <c r="F1240" s="14"/>
      <c r="G1240" s="20">
        <v>1241</v>
      </c>
      <c r="H1240" s="13" t="s">
        <v>2877</v>
      </c>
      <c r="I1240" s="13" t="str">
        <f t="shared" si="38"/>
        <v>PEV ( to )</v>
      </c>
      <c r="J1240" s="84" t="s">
        <v>1200</v>
      </c>
      <c r="K1240" s="13" t="str">
        <f>VLOOKUP(J1240,'Data-ProjectTypes'!A$3:B$13,2,FALSE)</f>
        <v>Program</v>
      </c>
      <c r="L1240" s="85" t="s">
        <v>1038</v>
      </c>
      <c r="M1240" s="11"/>
      <c r="N1240" s="11"/>
      <c r="O1240" s="84" t="s">
        <v>270</v>
      </c>
      <c r="P1240" s="85" t="s">
        <v>270</v>
      </c>
      <c r="Q1240" s="15"/>
      <c r="R1240" s="16">
        <v>48000000</v>
      </c>
      <c r="S1240" s="11"/>
      <c r="T1240" s="11"/>
      <c r="U1240" s="11"/>
      <c r="V1240" s="11"/>
      <c r="W1240" s="11"/>
      <c r="X1240" s="11"/>
      <c r="Z1240" s="18">
        <f>ROUND(R1240*'Data-CostAssumptions'!$C$3,-3)</f>
        <v>66432000</v>
      </c>
      <c r="AA1240" s="11">
        <f t="shared" si="39"/>
        <v>0</v>
      </c>
      <c r="AB1240" s="11">
        <v>2041</v>
      </c>
      <c r="AC1240" s="11">
        <v>2041</v>
      </c>
      <c r="AD1240" s="11">
        <v>2041</v>
      </c>
      <c r="AE1240" s="11">
        <v>2041</v>
      </c>
      <c r="AF1240" s="11">
        <v>0</v>
      </c>
      <c r="AG1240" s="19">
        <f>ROUND((Z1240*'Data-CostAssumptions'!$G$5)*(1+'Data-CostAssumptions'!$G$3)^(AC1240-'Data-CostAssumptions'!$G$4),-3)</f>
        <v>37472000</v>
      </c>
      <c r="AH1240" s="19">
        <f>ROUND((Z1240)*(1+'Data-CostAssumptions'!$G$3)^(AE1240-'Data-CostAssumptions'!$G$4),-3)</f>
        <v>170328000</v>
      </c>
    </row>
    <row r="1241" spans="1:34" ht="15" customHeight="1" x14ac:dyDescent="0.2">
      <c r="A1241" s="11" t="s">
        <v>1020</v>
      </c>
      <c r="B1241" s="11" t="s">
        <v>1211</v>
      </c>
      <c r="C1241" s="11">
        <v>13144</v>
      </c>
      <c r="D1241" s="84" t="s">
        <v>1732</v>
      </c>
      <c r="E1241" s="14"/>
      <c r="F1241" s="14"/>
      <c r="G1241" s="20">
        <v>1242</v>
      </c>
      <c r="H1241" s="13" t="s">
        <v>2877</v>
      </c>
      <c r="I1241" s="13" t="str">
        <f t="shared" si="38"/>
        <v>PEV ( to )</v>
      </c>
      <c r="J1241" s="84" t="s">
        <v>1200</v>
      </c>
      <c r="K1241" s="13" t="str">
        <f>VLOOKUP(J1241,'Data-ProjectTypes'!A$3:B$13,2,FALSE)</f>
        <v>Program</v>
      </c>
      <c r="L1241" s="85" t="s">
        <v>1037</v>
      </c>
      <c r="M1241" s="11"/>
      <c r="N1241" s="11"/>
      <c r="O1241" s="84" t="s">
        <v>270</v>
      </c>
      <c r="P1241" s="85" t="s">
        <v>270</v>
      </c>
      <c r="Q1241" s="15"/>
      <c r="R1241" s="16">
        <v>85000000</v>
      </c>
      <c r="S1241" s="11"/>
      <c r="T1241" s="11"/>
      <c r="U1241" s="11"/>
      <c r="V1241" s="11"/>
      <c r="W1241" s="11"/>
      <c r="X1241" s="11"/>
      <c r="Z1241" s="18">
        <f>ROUND(R1241*'Data-CostAssumptions'!$C$3,-3)</f>
        <v>117640000</v>
      </c>
      <c r="AA1241" s="11">
        <f t="shared" si="39"/>
        <v>0</v>
      </c>
      <c r="AB1241" s="11">
        <v>2041</v>
      </c>
      <c r="AC1241" s="11">
        <v>2041</v>
      </c>
      <c r="AD1241" s="11">
        <v>2041</v>
      </c>
      <c r="AE1241" s="11">
        <v>2041</v>
      </c>
      <c r="AF1241" s="11">
        <v>0</v>
      </c>
      <c r="AG1241" s="19">
        <f>ROUND((Z1241*'Data-CostAssumptions'!$G$5)*(1+'Data-CostAssumptions'!$G$3)^(AC1241-'Data-CostAssumptions'!$G$4),-3)</f>
        <v>66357000</v>
      </c>
      <c r="AH1241" s="19">
        <f>ROUND((Z1241)*(1+'Data-CostAssumptions'!$G$3)^(AE1241-'Data-CostAssumptions'!$G$4),-3)</f>
        <v>301623000</v>
      </c>
    </row>
    <row r="1242" spans="1:34" ht="15" customHeight="1" x14ac:dyDescent="0.2">
      <c r="A1242" s="11" t="s">
        <v>1021</v>
      </c>
      <c r="B1242" s="11" t="s">
        <v>1211</v>
      </c>
      <c r="C1242" s="11">
        <v>13145</v>
      </c>
      <c r="D1242" s="84" t="s">
        <v>1732</v>
      </c>
      <c r="E1242" s="14"/>
      <c r="F1242" s="14"/>
      <c r="G1242" s="20">
        <v>1243</v>
      </c>
      <c r="H1242" s="13" t="s">
        <v>2877</v>
      </c>
      <c r="I1242" s="13" t="str">
        <f t="shared" si="38"/>
        <v>PEV ( to )</v>
      </c>
      <c r="J1242" s="84" t="s">
        <v>1200</v>
      </c>
      <c r="K1242" s="13" t="str">
        <f>VLOOKUP(J1242,'Data-ProjectTypes'!A$3:B$13,2,FALSE)</f>
        <v>Program</v>
      </c>
      <c r="L1242" s="85" t="s">
        <v>1023</v>
      </c>
      <c r="M1242" s="11"/>
      <c r="N1242" s="11"/>
      <c r="O1242" s="84" t="s">
        <v>270</v>
      </c>
      <c r="P1242" s="85" t="s">
        <v>270</v>
      </c>
      <c r="Q1242" s="15"/>
      <c r="R1242" s="16">
        <v>24000000</v>
      </c>
      <c r="S1242" s="11"/>
      <c r="T1242" s="11"/>
      <c r="U1242" s="11"/>
      <c r="V1242" s="11"/>
      <c r="W1242" s="11"/>
      <c r="X1242" s="11"/>
      <c r="Z1242" s="18">
        <f>ROUND(R1242*'Data-CostAssumptions'!$C$3,-3)</f>
        <v>33216000</v>
      </c>
      <c r="AA1242" s="11">
        <f t="shared" si="39"/>
        <v>0</v>
      </c>
      <c r="AB1242" s="11">
        <v>2041</v>
      </c>
      <c r="AC1242" s="11">
        <v>2041</v>
      </c>
      <c r="AD1242" s="11">
        <v>2041</v>
      </c>
      <c r="AE1242" s="11">
        <v>2041</v>
      </c>
      <c r="AF1242" s="11">
        <v>0</v>
      </c>
      <c r="AG1242" s="19">
        <f>ROUND((Z1242*'Data-CostAssumptions'!$G$5)*(1+'Data-CostAssumptions'!$G$3)^(AC1242-'Data-CostAssumptions'!$G$4),-3)</f>
        <v>18736000</v>
      </c>
      <c r="AH1242" s="19">
        <f>ROUND((Z1242)*(1+'Data-CostAssumptions'!$G$3)^(AE1242-'Data-CostAssumptions'!$G$4),-3)</f>
        <v>85164000</v>
      </c>
    </row>
    <row r="1243" spans="1:34" ht="15" customHeight="1" x14ac:dyDescent="0.2">
      <c r="A1243" s="11" t="s">
        <v>1039</v>
      </c>
      <c r="B1243" s="11" t="s">
        <v>1211</v>
      </c>
      <c r="C1243" s="11">
        <v>13146</v>
      </c>
      <c r="D1243" s="84" t="s">
        <v>1732</v>
      </c>
      <c r="E1243" s="14"/>
      <c r="F1243" s="14"/>
      <c r="G1243" s="20">
        <v>1244</v>
      </c>
      <c r="H1243" s="13" t="s">
        <v>1043</v>
      </c>
      <c r="I1243" s="13" t="str">
        <f t="shared" si="38"/>
        <v>Broward County Transit Hub (@  FEC/Broward Bl)</v>
      </c>
      <c r="J1243" s="84" t="s">
        <v>347</v>
      </c>
      <c r="K1243" s="13" t="str">
        <f>VLOOKUP(J1243,'Data-ProjectTypes'!A$3:B$13,2,FALSE)</f>
        <v>Project</v>
      </c>
      <c r="L1243" s="85" t="s">
        <v>1044</v>
      </c>
      <c r="M1243" s="96" t="s">
        <v>2835</v>
      </c>
      <c r="N1243" s="11" t="s">
        <v>3005</v>
      </c>
      <c r="O1243" s="84" t="s">
        <v>270</v>
      </c>
      <c r="P1243" s="85" t="s">
        <v>270</v>
      </c>
      <c r="Q1243" s="15"/>
      <c r="R1243" s="16">
        <v>10000000</v>
      </c>
      <c r="S1243" s="11"/>
      <c r="T1243" s="11"/>
      <c r="U1243" s="11"/>
      <c r="V1243" s="11"/>
      <c r="W1243" s="11"/>
      <c r="X1243" s="11"/>
      <c r="Z1243" s="18">
        <f>ROUND(R1243*'Data-CostAssumptions'!$C$3,-3)</f>
        <v>13840000</v>
      </c>
      <c r="AA1243" s="11">
        <f t="shared" si="39"/>
        <v>0</v>
      </c>
      <c r="AB1243" s="11">
        <v>2041</v>
      </c>
      <c r="AC1243" s="11">
        <v>2041</v>
      </c>
      <c r="AD1243" s="11">
        <v>2041</v>
      </c>
      <c r="AE1243" s="11">
        <v>2041</v>
      </c>
      <c r="AF1243" s="11">
        <v>0</v>
      </c>
      <c r="AG1243" s="19">
        <f>ROUND((Z1243*'Data-CostAssumptions'!$G$5)*(1+'Data-CostAssumptions'!$G$3)^(AC1243-'Data-CostAssumptions'!$G$4),-3)</f>
        <v>7807000</v>
      </c>
      <c r="AH1243" s="19">
        <f>ROUND((Z1243)*(1+'Data-CostAssumptions'!$G$3)^(AE1243-'Data-CostAssumptions'!$G$4),-3)</f>
        <v>35485000</v>
      </c>
    </row>
    <row r="1244" spans="1:34" ht="15" customHeight="1" x14ac:dyDescent="0.2">
      <c r="A1244" s="11" t="s">
        <v>1049</v>
      </c>
      <c r="B1244" s="11" t="s">
        <v>1211</v>
      </c>
      <c r="C1244" s="11">
        <v>13151</v>
      </c>
      <c r="D1244" s="84" t="s">
        <v>1732</v>
      </c>
      <c r="E1244" s="14"/>
      <c r="F1244" s="14"/>
      <c r="G1244" s="20">
        <v>1245</v>
      </c>
      <c r="H1244" s="13" t="s">
        <v>1214</v>
      </c>
      <c r="I1244" s="13" t="str">
        <f t="shared" si="38"/>
        <v>Central Broward East-West Transit (Sawgrass Mills Mall to Downtown &amp; Fort Lauderdale Int'l Airport)</v>
      </c>
      <c r="J1244" s="84" t="s">
        <v>347</v>
      </c>
      <c r="K1244" s="13" t="str">
        <f>VLOOKUP(J1244,'Data-ProjectTypes'!A$3:B$13,2,FALSE)</f>
        <v>Project</v>
      </c>
      <c r="L1244" s="85" t="s">
        <v>1054</v>
      </c>
      <c r="M1244" s="11" t="s">
        <v>865</v>
      </c>
      <c r="N1244" s="84" t="s">
        <v>1051</v>
      </c>
      <c r="O1244" s="84" t="s">
        <v>270</v>
      </c>
      <c r="P1244" s="85" t="s">
        <v>270</v>
      </c>
      <c r="Q1244" s="15"/>
      <c r="R1244" s="16">
        <v>1230545000</v>
      </c>
      <c r="S1244" s="11"/>
      <c r="T1244" s="11"/>
      <c r="U1244" s="11"/>
      <c r="V1244" s="11"/>
      <c r="W1244" s="11"/>
      <c r="X1244" s="11"/>
      <c r="Z1244" s="18">
        <f>ROUND(R1244*'Data-CostAssumptions'!$C$3,-3)</f>
        <v>1703074000</v>
      </c>
      <c r="AA1244" s="11">
        <f t="shared" si="39"/>
        <v>0</v>
      </c>
      <c r="AB1244" s="11">
        <v>2041</v>
      </c>
      <c r="AC1244" s="11">
        <v>2041</v>
      </c>
      <c r="AD1244" s="11">
        <v>2041</v>
      </c>
      <c r="AE1244" s="11">
        <v>2041</v>
      </c>
      <c r="AF1244" s="11">
        <v>0</v>
      </c>
      <c r="AG1244" s="19">
        <f>ROUND((Z1244*'Data-CostAssumptions'!$G$5)*(1+'Data-CostAssumptions'!$G$3)^(AC1244-'Data-CostAssumptions'!$G$4),-3)</f>
        <v>960651000</v>
      </c>
      <c r="AH1244" s="19">
        <f>ROUND((Z1244)*(1+'Data-CostAssumptions'!$G$3)^(AE1244-'Data-CostAssumptions'!$G$4),-3)</f>
        <v>4366594000</v>
      </c>
    </row>
    <row r="1245" spans="1:34" ht="15" customHeight="1" x14ac:dyDescent="0.2">
      <c r="A1245" s="11" t="s">
        <v>1040</v>
      </c>
      <c r="B1245" s="11" t="s">
        <v>1211</v>
      </c>
      <c r="C1245" s="11">
        <v>13147</v>
      </c>
      <c r="D1245" s="84" t="s">
        <v>1732</v>
      </c>
      <c r="E1245" s="14"/>
      <c r="F1245" s="14"/>
      <c r="G1245" s="20">
        <v>1246</v>
      </c>
      <c r="H1245" s="13" t="s">
        <v>1046</v>
      </c>
      <c r="I1245" s="13" t="str">
        <f t="shared" si="38"/>
        <v>Coral Springs Gateway Hub (at University Dr / Sample Rd to )</v>
      </c>
      <c r="J1245" s="84" t="s">
        <v>347</v>
      </c>
      <c r="K1245" s="13" t="str">
        <f>VLOOKUP(J1245,'Data-ProjectTypes'!A$3:B$13,2,FALSE)</f>
        <v>Project</v>
      </c>
      <c r="L1245" s="85" t="s">
        <v>1044</v>
      </c>
      <c r="M1245" s="11" t="s">
        <v>2650</v>
      </c>
      <c r="N1245" s="11"/>
      <c r="O1245" s="84" t="s">
        <v>270</v>
      </c>
      <c r="P1245" s="85" t="s">
        <v>270</v>
      </c>
      <c r="Q1245" s="15"/>
      <c r="R1245" s="16">
        <v>10000000</v>
      </c>
      <c r="S1245" s="11"/>
      <c r="T1245" s="11"/>
      <c r="U1245" s="11"/>
      <c r="V1245" s="11"/>
      <c r="W1245" s="11"/>
      <c r="X1245" s="11"/>
      <c r="Z1245" s="18">
        <f>ROUND(R1245*'Data-CostAssumptions'!$C$3,-3)</f>
        <v>13840000</v>
      </c>
      <c r="AA1245" s="11">
        <f t="shared" si="39"/>
        <v>0</v>
      </c>
      <c r="AB1245" s="11">
        <v>2041</v>
      </c>
      <c r="AC1245" s="11">
        <v>2041</v>
      </c>
      <c r="AD1245" s="11">
        <v>2041</v>
      </c>
      <c r="AE1245" s="11">
        <v>2041</v>
      </c>
      <c r="AF1245" s="11">
        <v>0</v>
      </c>
      <c r="AG1245" s="19">
        <f>ROUND((Z1245*'Data-CostAssumptions'!$G$5)*(1+'Data-CostAssumptions'!$G$3)^(AC1245-'Data-CostAssumptions'!$G$4),-3)</f>
        <v>7807000</v>
      </c>
      <c r="AH1245" s="19">
        <f>ROUND((Z1245)*(1+'Data-CostAssumptions'!$G$3)^(AE1245-'Data-CostAssumptions'!$G$4),-3)</f>
        <v>35485000</v>
      </c>
    </row>
    <row r="1246" spans="1:34" ht="15" customHeight="1" x14ac:dyDescent="0.2">
      <c r="A1246" s="11" t="s">
        <v>958</v>
      </c>
      <c r="B1246" s="11" t="s">
        <v>1211</v>
      </c>
      <c r="C1246" s="11">
        <v>13096</v>
      </c>
      <c r="D1246" s="84" t="s">
        <v>1732</v>
      </c>
      <c r="E1246" s="14"/>
      <c r="F1246" s="14"/>
      <c r="G1246" s="20">
        <v>1247</v>
      </c>
      <c r="H1246" s="13" t="s">
        <v>2975</v>
      </c>
      <c r="I1246" s="13" t="str">
        <f t="shared" si="38"/>
        <v>FEC Railroad Grade Sep. (@  Sample Rd / SR-834)</v>
      </c>
      <c r="J1246" s="84" t="s">
        <v>347</v>
      </c>
      <c r="K1246" s="13" t="str">
        <f>VLOOKUP(J1246,'Data-ProjectTypes'!A$3:B$13,2,FALSE)</f>
        <v>Project</v>
      </c>
      <c r="L1246" s="96" t="s">
        <v>965</v>
      </c>
      <c r="M1246" s="96" t="s">
        <v>2835</v>
      </c>
      <c r="N1246" s="85" t="s">
        <v>2976</v>
      </c>
      <c r="O1246" s="84" t="s">
        <v>270</v>
      </c>
      <c r="P1246" s="85" t="s">
        <v>270</v>
      </c>
      <c r="Q1246" s="15"/>
      <c r="R1246" s="16">
        <v>30000000</v>
      </c>
      <c r="S1246" s="11"/>
      <c r="T1246" s="11"/>
      <c r="U1246" s="11"/>
      <c r="V1246" s="11"/>
      <c r="W1246" s="11"/>
      <c r="X1246" s="38"/>
      <c r="Z1246" s="18">
        <f>ROUND(R1246*'Data-CostAssumptions'!$C$3,-3)</f>
        <v>41520000</v>
      </c>
      <c r="AA1246" s="11">
        <f t="shared" si="39"/>
        <v>0</v>
      </c>
      <c r="AB1246" s="11">
        <v>2041</v>
      </c>
      <c r="AC1246" s="11">
        <v>2041</v>
      </c>
      <c r="AD1246" s="11">
        <v>2041</v>
      </c>
      <c r="AE1246" s="11">
        <v>2041</v>
      </c>
      <c r="AF1246" s="11">
        <v>0</v>
      </c>
      <c r="AG1246" s="19">
        <f>ROUND((Z1246*'Data-CostAssumptions'!$G$5)*(1+'Data-CostAssumptions'!$G$3)^(AC1246-'Data-CostAssumptions'!$G$4),-3)</f>
        <v>23420000</v>
      </c>
      <c r="AH1246" s="19">
        <f>ROUND((Z1246)*(1+'Data-CostAssumptions'!$G$3)^(AE1246-'Data-CostAssumptions'!$G$4),-3)</f>
        <v>106455000</v>
      </c>
    </row>
    <row r="1247" spans="1:34" ht="15" customHeight="1" x14ac:dyDescent="0.2">
      <c r="A1247" s="11" t="s">
        <v>959</v>
      </c>
      <c r="B1247" s="11" t="s">
        <v>1211</v>
      </c>
      <c r="C1247" s="11">
        <v>13097</v>
      </c>
      <c r="D1247" s="84" t="s">
        <v>1732</v>
      </c>
      <c r="E1247" s="14"/>
      <c r="F1247" s="14"/>
      <c r="G1247" s="20">
        <v>1248</v>
      </c>
      <c r="H1247" s="13" t="s">
        <v>2975</v>
      </c>
      <c r="I1247" s="13" t="str">
        <f t="shared" si="38"/>
        <v>FEC Railroad Grade Sep. (@  Commercial Bl/SR-870)</v>
      </c>
      <c r="J1247" s="84" t="s">
        <v>347</v>
      </c>
      <c r="K1247" s="13" t="str">
        <f>VLOOKUP(J1247,'Data-ProjectTypes'!A$3:B$13,2,FALSE)</f>
        <v>Project</v>
      </c>
      <c r="L1247" s="96" t="s">
        <v>965</v>
      </c>
      <c r="M1247" s="85" t="s">
        <v>2835</v>
      </c>
      <c r="N1247" s="85" t="s">
        <v>2896</v>
      </c>
      <c r="O1247" s="84" t="s">
        <v>270</v>
      </c>
      <c r="P1247" s="85" t="s">
        <v>270</v>
      </c>
      <c r="Q1247" s="15"/>
      <c r="R1247" s="16">
        <v>30000000</v>
      </c>
      <c r="S1247" s="11"/>
      <c r="T1247" s="11"/>
      <c r="U1247" s="11"/>
      <c r="V1247" s="11"/>
      <c r="W1247" s="11"/>
      <c r="X1247" s="11"/>
      <c r="Z1247" s="18">
        <f>ROUND(R1247*'Data-CostAssumptions'!$C$3,-3)</f>
        <v>41520000</v>
      </c>
      <c r="AA1247" s="11">
        <f t="shared" si="39"/>
        <v>0</v>
      </c>
      <c r="AB1247" s="11">
        <v>2041</v>
      </c>
      <c r="AC1247" s="11">
        <v>2041</v>
      </c>
      <c r="AD1247" s="11">
        <v>2041</v>
      </c>
      <c r="AE1247" s="11">
        <v>2041</v>
      </c>
      <c r="AF1247" s="11">
        <v>0</v>
      </c>
      <c r="AG1247" s="19">
        <f>ROUND((Z1247*'Data-CostAssumptions'!$G$5)*(1+'Data-CostAssumptions'!$G$3)^(AC1247-'Data-CostAssumptions'!$G$4),-3)</f>
        <v>23420000</v>
      </c>
      <c r="AH1247" s="19">
        <f>ROUND((Z1247)*(1+'Data-CostAssumptions'!$G$3)^(AE1247-'Data-CostAssumptions'!$G$4),-3)</f>
        <v>106455000</v>
      </c>
    </row>
    <row r="1248" spans="1:34" ht="15" customHeight="1" x14ac:dyDescent="0.2">
      <c r="A1248" s="11" t="s">
        <v>960</v>
      </c>
      <c r="B1248" s="11" t="s">
        <v>1211</v>
      </c>
      <c r="C1248" s="11">
        <v>13098</v>
      </c>
      <c r="D1248" s="84" t="s">
        <v>1732</v>
      </c>
      <c r="E1248" s="14"/>
      <c r="F1248" s="14"/>
      <c r="G1248" s="20">
        <v>1249</v>
      </c>
      <c r="H1248" s="13" t="s">
        <v>2975</v>
      </c>
      <c r="I1248" s="13" t="str">
        <f t="shared" si="38"/>
        <v>FEC Railroad Grade Sep. (@  Oakland Park Bl/SR-816)</v>
      </c>
      <c r="J1248" s="84" t="s">
        <v>347</v>
      </c>
      <c r="K1248" s="13" t="str">
        <f>VLOOKUP(J1248,'Data-ProjectTypes'!A$3:B$13,2,FALSE)</f>
        <v>Project</v>
      </c>
      <c r="L1248" s="96" t="s">
        <v>965</v>
      </c>
      <c r="M1248" s="85" t="s">
        <v>2835</v>
      </c>
      <c r="N1248" s="85" t="s">
        <v>2897</v>
      </c>
      <c r="O1248" s="84" t="s">
        <v>270</v>
      </c>
      <c r="P1248" s="85" t="s">
        <v>270</v>
      </c>
      <c r="Q1248" s="15"/>
      <c r="R1248" s="16">
        <v>30000000</v>
      </c>
      <c r="S1248" s="11"/>
      <c r="T1248" s="11"/>
      <c r="U1248" s="11"/>
      <c r="V1248" s="11"/>
      <c r="W1248" s="11"/>
      <c r="X1248" s="38"/>
      <c r="Z1248" s="18">
        <f>ROUND(R1248*'Data-CostAssumptions'!$C$3,-3)</f>
        <v>41520000</v>
      </c>
      <c r="AA1248" s="11">
        <f t="shared" si="39"/>
        <v>0</v>
      </c>
      <c r="AB1248" s="11">
        <v>2041</v>
      </c>
      <c r="AC1248" s="11">
        <v>2041</v>
      </c>
      <c r="AD1248" s="11">
        <v>2041</v>
      </c>
      <c r="AE1248" s="11">
        <v>2041</v>
      </c>
      <c r="AF1248" s="11">
        <v>0</v>
      </c>
      <c r="AG1248" s="19">
        <f>ROUND((Z1248*'Data-CostAssumptions'!$G$5)*(1+'Data-CostAssumptions'!$G$3)^(AC1248-'Data-CostAssumptions'!$G$4),-3)</f>
        <v>23420000</v>
      </c>
      <c r="AH1248" s="19">
        <f>ROUND((Z1248)*(1+'Data-CostAssumptions'!$G$3)^(AE1248-'Data-CostAssumptions'!$G$4),-3)</f>
        <v>106455000</v>
      </c>
    </row>
    <row r="1249" spans="1:34" ht="15" customHeight="1" x14ac:dyDescent="0.2">
      <c r="A1249" s="11" t="s">
        <v>961</v>
      </c>
      <c r="B1249" s="11" t="s">
        <v>1211</v>
      </c>
      <c r="C1249" s="11">
        <v>13099</v>
      </c>
      <c r="D1249" s="84" t="s">
        <v>1732</v>
      </c>
      <c r="E1249" s="14"/>
      <c r="F1249" s="14"/>
      <c r="G1249" s="20">
        <v>1250</v>
      </c>
      <c r="H1249" s="13" t="s">
        <v>2975</v>
      </c>
      <c r="I1249" s="13" t="str">
        <f t="shared" si="38"/>
        <v>FEC Railroad Grade Sep. (@  Sunrise Bl/SR-838)</v>
      </c>
      <c r="J1249" s="84" t="s">
        <v>347</v>
      </c>
      <c r="K1249" s="13" t="str">
        <f>VLOOKUP(J1249,'Data-ProjectTypes'!A$3:B$13,2,FALSE)</f>
        <v>Project</v>
      </c>
      <c r="L1249" s="96" t="s">
        <v>965</v>
      </c>
      <c r="M1249" s="85" t="s">
        <v>2835</v>
      </c>
      <c r="N1249" s="85" t="s">
        <v>2977</v>
      </c>
      <c r="O1249" s="84" t="s">
        <v>270</v>
      </c>
      <c r="P1249" s="85" t="s">
        <v>270</v>
      </c>
      <c r="Q1249" s="15"/>
      <c r="R1249" s="16">
        <v>30000000</v>
      </c>
      <c r="S1249" s="11"/>
      <c r="T1249" s="11"/>
      <c r="U1249" s="11"/>
      <c r="V1249" s="11"/>
      <c r="W1249" s="11"/>
      <c r="X1249" s="11"/>
      <c r="Z1249" s="18">
        <f>ROUND(R1249*'Data-CostAssumptions'!$C$3,-3)</f>
        <v>41520000</v>
      </c>
      <c r="AA1249" s="11">
        <f t="shared" si="39"/>
        <v>0</v>
      </c>
      <c r="AB1249" s="11">
        <v>2041</v>
      </c>
      <c r="AC1249" s="11">
        <v>2041</v>
      </c>
      <c r="AD1249" s="11">
        <v>2041</v>
      </c>
      <c r="AE1249" s="11">
        <v>2041</v>
      </c>
      <c r="AF1249" s="11">
        <v>0</v>
      </c>
      <c r="AG1249" s="19">
        <f>ROUND((Z1249*'Data-CostAssumptions'!$G$5)*(1+'Data-CostAssumptions'!$G$3)^(AC1249-'Data-CostAssumptions'!$G$4),-3)</f>
        <v>23420000</v>
      </c>
      <c r="AH1249" s="19">
        <f>ROUND((Z1249)*(1+'Data-CostAssumptions'!$G$3)^(AE1249-'Data-CostAssumptions'!$G$4),-3)</f>
        <v>106455000</v>
      </c>
    </row>
    <row r="1250" spans="1:34" ht="15" customHeight="1" x14ac:dyDescent="0.2">
      <c r="A1250" s="11" t="s">
        <v>962</v>
      </c>
      <c r="B1250" s="11" t="s">
        <v>1211</v>
      </c>
      <c r="C1250" s="11">
        <v>13100</v>
      </c>
      <c r="D1250" s="84" t="s">
        <v>1732</v>
      </c>
      <c r="E1250" s="14"/>
      <c r="F1250" s="14"/>
      <c r="G1250" s="20">
        <v>1251</v>
      </c>
      <c r="H1250" s="13" t="s">
        <v>2975</v>
      </c>
      <c r="I1250" s="13" t="str">
        <f t="shared" si="38"/>
        <v>FEC Railroad Grade Sep. (@  W Broward Bl/SR-842)</v>
      </c>
      <c r="J1250" s="84" t="s">
        <v>347</v>
      </c>
      <c r="K1250" s="13" t="str">
        <f>VLOOKUP(J1250,'Data-ProjectTypes'!A$3:B$13,2,FALSE)</f>
        <v>Project</v>
      </c>
      <c r="L1250" s="96" t="s">
        <v>965</v>
      </c>
      <c r="M1250" s="85" t="s">
        <v>2835</v>
      </c>
      <c r="N1250" s="85" t="s">
        <v>2978</v>
      </c>
      <c r="O1250" s="84" t="s">
        <v>270</v>
      </c>
      <c r="P1250" s="85" t="s">
        <v>270</v>
      </c>
      <c r="Q1250" s="15"/>
      <c r="R1250" s="16">
        <v>30000000</v>
      </c>
      <c r="S1250" s="11"/>
      <c r="T1250" s="11"/>
      <c r="U1250" s="11"/>
      <c r="V1250" s="11"/>
      <c r="W1250" s="11"/>
      <c r="X1250" s="11"/>
      <c r="Z1250" s="18">
        <f>ROUND(R1250*'Data-CostAssumptions'!$C$3,-3)</f>
        <v>41520000</v>
      </c>
      <c r="AA1250" s="11">
        <f t="shared" si="39"/>
        <v>0</v>
      </c>
      <c r="AB1250" s="11">
        <v>2041</v>
      </c>
      <c r="AC1250" s="11">
        <v>2041</v>
      </c>
      <c r="AD1250" s="11">
        <v>2041</v>
      </c>
      <c r="AE1250" s="11">
        <v>2041</v>
      </c>
      <c r="AF1250" s="11">
        <v>0</v>
      </c>
      <c r="AG1250" s="19">
        <f>ROUND((Z1250*'Data-CostAssumptions'!$G$5)*(1+'Data-CostAssumptions'!$G$3)^(AC1250-'Data-CostAssumptions'!$G$4),-3)</f>
        <v>23420000</v>
      </c>
      <c r="AH1250" s="19">
        <f>ROUND((Z1250)*(1+'Data-CostAssumptions'!$G$3)^(AE1250-'Data-CostAssumptions'!$G$4),-3)</f>
        <v>106455000</v>
      </c>
    </row>
    <row r="1251" spans="1:34" ht="15" customHeight="1" x14ac:dyDescent="0.2">
      <c r="A1251" s="11" t="s">
        <v>963</v>
      </c>
      <c r="B1251" s="11" t="s">
        <v>1211</v>
      </c>
      <c r="C1251" s="11">
        <v>13101</v>
      </c>
      <c r="D1251" s="84" t="s">
        <v>1732</v>
      </c>
      <c r="E1251" s="14"/>
      <c r="F1251" s="14"/>
      <c r="G1251" s="20">
        <v>1252</v>
      </c>
      <c r="H1251" s="13" t="s">
        <v>2975</v>
      </c>
      <c r="I1251" s="13" t="str">
        <f t="shared" si="38"/>
        <v>FEC Railroad Grade Sep. (@  SW 24th St/SR-84)</v>
      </c>
      <c r="J1251" s="84" t="s">
        <v>347</v>
      </c>
      <c r="K1251" s="13" t="str">
        <f>VLOOKUP(J1251,'Data-ProjectTypes'!A$3:B$13,2,FALSE)</f>
        <v>Project</v>
      </c>
      <c r="L1251" s="96" t="s">
        <v>965</v>
      </c>
      <c r="M1251" s="85" t="s">
        <v>2835</v>
      </c>
      <c r="N1251" s="85" t="s">
        <v>2979</v>
      </c>
      <c r="O1251" s="84" t="s">
        <v>270</v>
      </c>
      <c r="P1251" s="85" t="s">
        <v>270</v>
      </c>
      <c r="Q1251" s="15"/>
      <c r="R1251" s="16">
        <v>30000000</v>
      </c>
      <c r="S1251" s="11"/>
      <c r="T1251" s="11"/>
      <c r="U1251" s="11"/>
      <c r="V1251" s="11"/>
      <c r="W1251" s="11"/>
      <c r="X1251" s="38"/>
      <c r="Z1251" s="18">
        <f>ROUND(R1251*'Data-CostAssumptions'!$C$3,-3)</f>
        <v>41520000</v>
      </c>
      <c r="AA1251" s="11">
        <f t="shared" si="39"/>
        <v>0</v>
      </c>
      <c r="AB1251" s="11">
        <v>2041</v>
      </c>
      <c r="AC1251" s="11">
        <v>2041</v>
      </c>
      <c r="AD1251" s="11">
        <v>2041</v>
      </c>
      <c r="AE1251" s="11">
        <v>2041</v>
      </c>
      <c r="AF1251" s="11">
        <v>0</v>
      </c>
      <c r="AG1251" s="19">
        <f>ROUND((Z1251*'Data-CostAssumptions'!$G$5)*(1+'Data-CostAssumptions'!$G$3)^(AC1251-'Data-CostAssumptions'!$G$4),-3)</f>
        <v>23420000</v>
      </c>
      <c r="AH1251" s="19">
        <f>ROUND((Z1251)*(1+'Data-CostAssumptions'!$G$3)^(AE1251-'Data-CostAssumptions'!$G$4),-3)</f>
        <v>106455000</v>
      </c>
    </row>
    <row r="1252" spans="1:34" ht="15" customHeight="1" x14ac:dyDescent="0.2">
      <c r="A1252" s="11" t="s">
        <v>964</v>
      </c>
      <c r="B1252" s="11" t="s">
        <v>1211</v>
      </c>
      <c r="C1252" s="11">
        <v>13102</v>
      </c>
      <c r="D1252" s="84" t="s">
        <v>1732</v>
      </c>
      <c r="E1252" s="14"/>
      <c r="F1252" s="14"/>
      <c r="G1252" s="20">
        <v>1253</v>
      </c>
      <c r="H1252" s="13" t="s">
        <v>2975</v>
      </c>
      <c r="I1252" s="13" t="str">
        <f t="shared" si="38"/>
        <v>FEC Railroad Grade Sep. (@  Hallandale Beach Bl/SR-858)</v>
      </c>
      <c r="J1252" s="84" t="s">
        <v>347</v>
      </c>
      <c r="K1252" s="13" t="str">
        <f>VLOOKUP(J1252,'Data-ProjectTypes'!A$3:B$13,2,FALSE)</f>
        <v>Project</v>
      </c>
      <c r="L1252" s="96" t="s">
        <v>965</v>
      </c>
      <c r="M1252" s="85" t="s">
        <v>2835</v>
      </c>
      <c r="N1252" s="85" t="s">
        <v>2980</v>
      </c>
      <c r="O1252" s="84" t="s">
        <v>270</v>
      </c>
      <c r="P1252" s="85" t="s">
        <v>270</v>
      </c>
      <c r="Q1252" s="15"/>
      <c r="R1252" s="16">
        <v>30000000</v>
      </c>
      <c r="S1252" s="11"/>
      <c r="T1252" s="11"/>
      <c r="U1252" s="11"/>
      <c r="V1252" s="11"/>
      <c r="W1252" s="11"/>
      <c r="X1252" s="38"/>
      <c r="Z1252" s="18">
        <f>ROUND(R1252*'Data-CostAssumptions'!$C$3,-3)</f>
        <v>41520000</v>
      </c>
      <c r="AA1252" s="11">
        <f t="shared" si="39"/>
        <v>0</v>
      </c>
      <c r="AB1252" s="11">
        <v>2041</v>
      </c>
      <c r="AC1252" s="11">
        <v>2041</v>
      </c>
      <c r="AD1252" s="11">
        <v>2041</v>
      </c>
      <c r="AE1252" s="11">
        <v>2041</v>
      </c>
      <c r="AF1252" s="11">
        <v>0</v>
      </c>
      <c r="AG1252" s="19">
        <f>ROUND((Z1252*'Data-CostAssumptions'!$G$5)*(1+'Data-CostAssumptions'!$G$3)^(AC1252-'Data-CostAssumptions'!$G$4),-3)</f>
        <v>23420000</v>
      </c>
      <c r="AH1252" s="19">
        <f>ROUND((Z1252)*(1+'Data-CostAssumptions'!$G$3)^(AE1252-'Data-CostAssumptions'!$G$4),-3)</f>
        <v>106455000</v>
      </c>
    </row>
    <row r="1253" spans="1:34" ht="15" customHeight="1" x14ac:dyDescent="0.2">
      <c r="A1253" s="11" t="s">
        <v>1064</v>
      </c>
      <c r="B1253" s="11" t="s">
        <v>1213</v>
      </c>
      <c r="C1253" s="11">
        <v>13156</v>
      </c>
      <c r="D1253" s="84" t="s">
        <v>1732</v>
      </c>
      <c r="E1253" s="14"/>
      <c r="F1253" s="14"/>
      <c r="G1253" s="20">
        <v>1254</v>
      </c>
      <c r="H1253" s="13" t="s">
        <v>2983</v>
      </c>
      <c r="I1253" s="13" t="str">
        <f t="shared" si="38"/>
        <v>FEC Railroad Amtrak Svc. (Miami to Jacksonville)</v>
      </c>
      <c r="J1253" s="84" t="s">
        <v>347</v>
      </c>
      <c r="K1253" s="13" t="str">
        <f>VLOOKUP(J1253,'Data-ProjectTypes'!A$3:B$13,2,FALSE)</f>
        <v>Project</v>
      </c>
      <c r="L1253" s="85" t="s">
        <v>1065</v>
      </c>
      <c r="M1253" s="85" t="s">
        <v>2981</v>
      </c>
      <c r="N1253" s="85" t="s">
        <v>2982</v>
      </c>
      <c r="O1253" s="84" t="s">
        <v>270</v>
      </c>
      <c r="P1253" s="85" t="s">
        <v>270</v>
      </c>
      <c r="Q1253" s="15"/>
      <c r="R1253" s="16">
        <v>150150000</v>
      </c>
      <c r="S1253" s="11"/>
      <c r="T1253" s="11"/>
      <c r="U1253" s="11"/>
      <c r="V1253" s="11"/>
      <c r="W1253" s="11"/>
      <c r="X1253" s="11"/>
      <c r="Y1253" s="12" t="s">
        <v>1210</v>
      </c>
      <c r="Z1253" s="18">
        <f>ROUND(R1253*'Data-CostAssumptions'!$C$3,-3)</f>
        <v>207808000</v>
      </c>
      <c r="AA1253" s="11">
        <f t="shared" si="39"/>
        <v>0</v>
      </c>
      <c r="AB1253" s="11">
        <v>2041</v>
      </c>
      <c r="AC1253" s="11">
        <v>2041</v>
      </c>
      <c r="AD1253" s="11">
        <v>2041</v>
      </c>
      <c r="AE1253" s="11">
        <v>2041</v>
      </c>
      <c r="AF1253" s="11">
        <v>0</v>
      </c>
      <c r="AG1253" s="19">
        <f>ROUND((Z1253*'Data-CostAssumptions'!$G$5)*(1+'Data-CostAssumptions'!$G$3)^(AC1253-'Data-CostAssumptions'!$G$4),-3)</f>
        <v>117218000</v>
      </c>
      <c r="AH1253" s="19">
        <f>ROUND((Z1253)*(1+'Data-CostAssumptions'!$G$3)^(AE1253-'Data-CostAssumptions'!$G$4),-3)</f>
        <v>532809000</v>
      </c>
    </row>
    <row r="1254" spans="1:34" ht="15" customHeight="1" x14ac:dyDescent="0.2">
      <c r="A1254" s="11" t="s">
        <v>1041</v>
      </c>
      <c r="B1254" s="11" t="s">
        <v>1211</v>
      </c>
      <c r="C1254" s="11">
        <v>13148</v>
      </c>
      <c r="D1254" s="84" t="s">
        <v>1732</v>
      </c>
      <c r="E1254" s="14"/>
      <c r="F1254" s="14"/>
      <c r="G1254" s="20">
        <v>1255</v>
      </c>
      <c r="H1254" s="13" t="s">
        <v>2851</v>
      </c>
      <c r="I1254" s="13" t="str">
        <f t="shared" si="38"/>
        <v>FLL Airport (at US-1 / Ft Lauderdale International Airport to )</v>
      </c>
      <c r="J1254" s="84" t="s">
        <v>347</v>
      </c>
      <c r="K1254" s="13" t="str">
        <f>VLOOKUP(J1254,'Data-ProjectTypes'!A$3:B$13,2,FALSE)</f>
        <v>Project</v>
      </c>
      <c r="L1254" s="85" t="s">
        <v>2822</v>
      </c>
      <c r="M1254" s="11" t="s">
        <v>1045</v>
      </c>
      <c r="N1254" s="11"/>
      <c r="O1254" s="84" t="s">
        <v>270</v>
      </c>
      <c r="P1254" s="85" t="s">
        <v>270</v>
      </c>
      <c r="Q1254" s="15"/>
      <c r="R1254" s="16">
        <v>10000000</v>
      </c>
      <c r="S1254" s="11"/>
      <c r="T1254" s="11"/>
      <c r="U1254" s="11"/>
      <c r="V1254" s="11"/>
      <c r="W1254" s="11"/>
      <c r="X1254" s="11"/>
      <c r="Z1254" s="18">
        <f>ROUND(R1254*'Data-CostAssumptions'!$C$3,-3)</f>
        <v>13840000</v>
      </c>
      <c r="AA1254" s="11">
        <f t="shared" si="39"/>
        <v>0</v>
      </c>
      <c r="AB1254" s="11">
        <v>2041</v>
      </c>
      <c r="AC1254" s="11">
        <v>2041</v>
      </c>
      <c r="AD1254" s="11">
        <v>2041</v>
      </c>
      <c r="AE1254" s="11">
        <v>2041</v>
      </c>
      <c r="AF1254" s="11">
        <v>0</v>
      </c>
      <c r="AG1254" s="19">
        <f>ROUND((Z1254*'Data-CostAssumptions'!$G$5)*(1+'Data-CostAssumptions'!$G$3)^(AC1254-'Data-CostAssumptions'!$G$4),-3)</f>
        <v>7807000</v>
      </c>
      <c r="AH1254" s="19">
        <f>ROUND((Z1254)*(1+'Data-CostAssumptions'!$G$3)^(AE1254-'Data-CostAssumptions'!$G$4),-3)</f>
        <v>35485000</v>
      </c>
    </row>
    <row r="1255" spans="1:34" ht="15" customHeight="1" x14ac:dyDescent="0.2">
      <c r="A1255" s="66">
        <v>4335111</v>
      </c>
      <c r="B1255" s="66" t="s">
        <v>1211</v>
      </c>
      <c r="C1255" s="66">
        <v>13055</v>
      </c>
      <c r="D1255" s="86" t="s">
        <v>1732</v>
      </c>
      <c r="E1255" s="73"/>
      <c r="F1255" s="73"/>
      <c r="G1255" s="20">
        <v>1256</v>
      </c>
      <c r="H1255" s="67" t="s">
        <v>3010</v>
      </c>
      <c r="I1255" s="67" t="str">
        <f t="shared" si="38"/>
        <v>NE 203 ST &amp; NE 215ST INTERSECTION IMPROVMTS (SR5/US 1 to W. Dixie Hwy)</v>
      </c>
      <c r="J1255" s="86" t="s">
        <v>347</v>
      </c>
      <c r="K1255" s="67" t="str">
        <f>VLOOKUP(J1255,'Data-ProjectTypes'!A$3:B$13,2,FALSE)</f>
        <v>Project</v>
      </c>
      <c r="L1255" s="87" t="s">
        <v>904</v>
      </c>
      <c r="M1255" s="66" t="s">
        <v>2812</v>
      </c>
      <c r="N1255" s="66" t="s">
        <v>3011</v>
      </c>
      <c r="O1255" s="86" t="s">
        <v>270</v>
      </c>
      <c r="P1255" s="87" t="s">
        <v>270</v>
      </c>
      <c r="Q1255" s="74"/>
      <c r="R1255" s="70"/>
      <c r="S1255" s="11"/>
      <c r="T1255" s="11"/>
      <c r="U1255" s="11"/>
      <c r="V1255" s="11"/>
      <c r="W1255" s="11"/>
      <c r="X1255" s="11"/>
      <c r="Z1255" s="71">
        <f>ROUND(R1255*'Data-CostAssumptions'!$C$3,-3)</f>
        <v>0</v>
      </c>
      <c r="AA1255" s="11">
        <f t="shared" si="39"/>
        <v>0</v>
      </c>
      <c r="AB1255" s="11">
        <v>2041</v>
      </c>
      <c r="AC1255" s="11">
        <v>2041</v>
      </c>
      <c r="AD1255" s="11">
        <v>2041</v>
      </c>
      <c r="AE1255" s="11">
        <v>2041</v>
      </c>
      <c r="AF1255" s="11">
        <v>0</v>
      </c>
      <c r="AG1255" s="19">
        <f>ROUND((Z1255*'Data-CostAssumptions'!$G$5)*(1+'Data-CostAssumptions'!$G$3)^(AC1255-'Data-CostAssumptions'!$G$4),-3)</f>
        <v>0</v>
      </c>
      <c r="AH1255" s="19">
        <f>ROUND((Z1255)*(1+'Data-CostAssumptions'!$G$3)^(AE1255-'Data-CostAssumptions'!$G$4),-3)</f>
        <v>0</v>
      </c>
    </row>
    <row r="1256" spans="1:34" ht="15" customHeight="1" x14ac:dyDescent="0.2">
      <c r="A1256" s="11" t="s">
        <v>1042</v>
      </c>
      <c r="B1256" s="11" t="s">
        <v>1211</v>
      </c>
      <c r="C1256" s="11">
        <v>13149</v>
      </c>
      <c r="D1256" s="84" t="s">
        <v>1732</v>
      </c>
      <c r="E1256" s="14"/>
      <c r="F1256" s="14"/>
      <c r="G1256" s="20">
        <v>1257</v>
      </c>
      <c r="H1256" s="13" t="s">
        <v>1047</v>
      </c>
      <c r="I1256" s="13" t="str">
        <f t="shared" si="38"/>
        <v>Sawgrass Mall (@  Sawgrass Mills)</v>
      </c>
      <c r="J1256" s="84" t="s">
        <v>347</v>
      </c>
      <c r="K1256" s="13" t="str">
        <f>VLOOKUP(J1256,'Data-ProjectTypes'!A$3:B$13,2,FALSE)</f>
        <v>Project</v>
      </c>
      <c r="L1256" s="85" t="s">
        <v>1044</v>
      </c>
      <c r="M1256" s="97" t="s">
        <v>2835</v>
      </c>
      <c r="N1256" s="97" t="s">
        <v>411</v>
      </c>
      <c r="O1256" s="84" t="s">
        <v>270</v>
      </c>
      <c r="P1256" s="85" t="s">
        <v>270</v>
      </c>
      <c r="Q1256" s="15"/>
      <c r="R1256" s="16">
        <v>10000000</v>
      </c>
      <c r="S1256" s="11"/>
      <c r="T1256" s="11"/>
      <c r="U1256" s="11"/>
      <c r="V1256" s="11"/>
      <c r="W1256" s="11"/>
      <c r="X1256" s="11"/>
      <c r="Z1256" s="18">
        <f>ROUND(R1256*'Data-CostAssumptions'!$C$3,-3)</f>
        <v>13840000</v>
      </c>
      <c r="AA1256" s="11">
        <f t="shared" si="39"/>
        <v>0</v>
      </c>
      <c r="AB1256" s="11">
        <v>2041</v>
      </c>
      <c r="AC1256" s="11">
        <v>2041</v>
      </c>
      <c r="AD1256" s="11">
        <v>2041</v>
      </c>
      <c r="AE1256" s="11">
        <v>2041</v>
      </c>
      <c r="AF1256" s="11">
        <v>0</v>
      </c>
      <c r="AG1256" s="19">
        <f>ROUND((Z1256*'Data-CostAssumptions'!$G$5)*(1+'Data-CostAssumptions'!$G$3)^(AC1256-'Data-CostAssumptions'!$G$4),-3)</f>
        <v>7807000</v>
      </c>
      <c r="AH1256" s="19">
        <f>ROUND((Z1256)*(1+'Data-CostAssumptions'!$G$3)^(AE1256-'Data-CostAssumptions'!$G$4),-3)</f>
        <v>35485000</v>
      </c>
    </row>
    <row r="1257" spans="1:34" ht="15" customHeight="1" x14ac:dyDescent="0.2">
      <c r="A1257" s="66">
        <v>4170315</v>
      </c>
      <c r="B1257" s="66" t="s">
        <v>1211</v>
      </c>
      <c r="C1257" s="66">
        <v>13044</v>
      </c>
      <c r="D1257" s="86" t="s">
        <v>1732</v>
      </c>
      <c r="E1257" s="73"/>
      <c r="F1257" s="73"/>
      <c r="G1257" s="20">
        <v>1258</v>
      </c>
      <c r="H1257" s="67" t="s">
        <v>1066</v>
      </c>
      <c r="I1257" s="67" t="str">
        <f t="shared" si="38"/>
        <v>Tri-Rail Coastal Link (Miami to Pompano Beach)</v>
      </c>
      <c r="J1257" s="86" t="s">
        <v>347</v>
      </c>
      <c r="K1257" s="67" t="str">
        <f>VLOOKUP(J1257,'Data-ProjectTypes'!A$3:B$13,2,FALSE)</f>
        <v>Project</v>
      </c>
      <c r="L1257" s="87" t="s">
        <v>901</v>
      </c>
      <c r="M1257" s="66" t="s">
        <v>2981</v>
      </c>
      <c r="N1257" s="86" t="s">
        <v>275</v>
      </c>
      <c r="O1257" s="86" t="s">
        <v>270</v>
      </c>
      <c r="P1257" s="87" t="s">
        <v>270</v>
      </c>
      <c r="Q1257" s="74"/>
      <c r="R1257" s="70"/>
      <c r="S1257" s="11"/>
      <c r="T1257" s="11"/>
      <c r="U1257" s="11"/>
      <c r="V1257" s="11"/>
      <c r="W1257" s="11"/>
      <c r="X1257" s="11"/>
      <c r="Z1257" s="71">
        <f>ROUND(R1257*'Data-CostAssumptions'!$C$3,-3)</f>
        <v>0</v>
      </c>
      <c r="AA1257" s="11">
        <f t="shared" si="39"/>
        <v>0</v>
      </c>
      <c r="AB1257" s="11">
        <v>2041</v>
      </c>
      <c r="AC1257" s="11">
        <v>2041</v>
      </c>
      <c r="AD1257" s="11">
        <v>2041</v>
      </c>
      <c r="AE1257" s="11">
        <v>2041</v>
      </c>
      <c r="AF1257" s="11">
        <v>0</v>
      </c>
      <c r="AG1257" s="19">
        <f>ROUND((Z1257*'Data-CostAssumptions'!$G$5)*(1+'Data-CostAssumptions'!$G$3)^(AC1257-'Data-CostAssumptions'!$G$4),-3)</f>
        <v>0</v>
      </c>
      <c r="AH1257" s="19">
        <f>ROUND((Z1257)*(1+'Data-CostAssumptions'!$G$3)^(AE1257-'Data-CostAssumptions'!$G$4),-3)</f>
        <v>0</v>
      </c>
    </row>
    <row r="1258" spans="1:34" ht="15" customHeight="1" x14ac:dyDescent="0.2">
      <c r="A1258" s="66">
        <v>4170316</v>
      </c>
      <c r="B1258" s="66" t="s">
        <v>1211</v>
      </c>
      <c r="C1258" s="66">
        <v>13045</v>
      </c>
      <c r="D1258" s="86" t="s">
        <v>1732</v>
      </c>
      <c r="E1258" s="73"/>
      <c r="F1258" s="73"/>
      <c r="G1258" s="20">
        <v>1259</v>
      </c>
      <c r="H1258" s="67" t="s">
        <v>1066</v>
      </c>
      <c r="I1258" s="67" t="str">
        <f t="shared" si="38"/>
        <v>Tri-Rail Coastal Link (Pompano Beach to West Palm Beach)</v>
      </c>
      <c r="J1258" s="86" t="s">
        <v>347</v>
      </c>
      <c r="K1258" s="67" t="str">
        <f>VLOOKUP(J1258,'Data-ProjectTypes'!A$3:B$13,2,FALSE)</f>
        <v>Project</v>
      </c>
      <c r="L1258" s="87" t="s">
        <v>901</v>
      </c>
      <c r="M1258" s="66" t="s">
        <v>275</v>
      </c>
      <c r="N1258" s="86" t="s">
        <v>2984</v>
      </c>
      <c r="O1258" s="86" t="s">
        <v>270</v>
      </c>
      <c r="P1258" s="87" t="s">
        <v>270</v>
      </c>
      <c r="Q1258" s="74"/>
      <c r="R1258" s="70"/>
      <c r="S1258" s="11"/>
      <c r="T1258" s="11"/>
      <c r="U1258" s="11"/>
      <c r="V1258" s="11"/>
      <c r="W1258" s="11"/>
      <c r="X1258" s="11"/>
      <c r="Z1258" s="71">
        <f>ROUND(R1258*'Data-CostAssumptions'!$C$3,-3)</f>
        <v>0</v>
      </c>
      <c r="AA1258" s="11">
        <f t="shared" si="39"/>
        <v>0</v>
      </c>
      <c r="AB1258" s="11">
        <v>2041</v>
      </c>
      <c r="AC1258" s="11">
        <v>2041</v>
      </c>
      <c r="AD1258" s="11">
        <v>2041</v>
      </c>
      <c r="AE1258" s="11">
        <v>2041</v>
      </c>
      <c r="AF1258" s="11">
        <v>0</v>
      </c>
      <c r="AG1258" s="19">
        <f>ROUND((Z1258*'Data-CostAssumptions'!$G$5)*(1+'Data-CostAssumptions'!$G$3)^(AC1258-'Data-CostAssumptions'!$G$4),-3)</f>
        <v>0</v>
      </c>
      <c r="AH1258" s="19">
        <f>ROUND((Z1258)*(1+'Data-CostAssumptions'!$G$3)^(AE1258-'Data-CostAssumptions'!$G$4),-3)</f>
        <v>0</v>
      </c>
    </row>
    <row r="1259" spans="1:34" ht="15" customHeight="1" x14ac:dyDescent="0.2">
      <c r="A1259" s="66">
        <v>4294871</v>
      </c>
      <c r="B1259" s="66" t="s">
        <v>1211</v>
      </c>
      <c r="C1259" s="66">
        <v>13046</v>
      </c>
      <c r="D1259" s="86" t="s">
        <v>1732</v>
      </c>
      <c r="E1259" s="73"/>
      <c r="F1259" s="73"/>
      <c r="G1259" s="20">
        <v>1260</v>
      </c>
      <c r="H1259" s="67" t="s">
        <v>383</v>
      </c>
      <c r="I1259" s="67" t="str">
        <f t="shared" si="38"/>
        <v>Tri-Rail (Hialeah Mkt Station to MIC)</v>
      </c>
      <c r="J1259" s="86" t="s">
        <v>347</v>
      </c>
      <c r="K1259" s="67" t="str">
        <f>VLOOKUP(J1259,'Data-ProjectTypes'!A$3:B$13,2,FALSE)</f>
        <v>Project</v>
      </c>
      <c r="L1259" s="87" t="s">
        <v>902</v>
      </c>
      <c r="M1259" s="66" t="s">
        <v>2986</v>
      </c>
      <c r="N1259" s="86" t="s">
        <v>2987</v>
      </c>
      <c r="O1259" s="86" t="s">
        <v>270</v>
      </c>
      <c r="P1259" s="87" t="s">
        <v>270</v>
      </c>
      <c r="Q1259" s="74"/>
      <c r="R1259" s="70"/>
      <c r="S1259" s="11"/>
      <c r="T1259" s="11"/>
      <c r="U1259" s="11"/>
      <c r="V1259" s="11"/>
      <c r="W1259" s="11"/>
      <c r="X1259" s="11"/>
      <c r="Z1259" s="71">
        <f>ROUND(R1259*'Data-CostAssumptions'!$C$3,-3)</f>
        <v>0</v>
      </c>
      <c r="AA1259" s="11">
        <f t="shared" si="39"/>
        <v>0</v>
      </c>
      <c r="AB1259" s="11">
        <v>2041</v>
      </c>
      <c r="AC1259" s="11">
        <v>2041</v>
      </c>
      <c r="AD1259" s="11">
        <v>2041</v>
      </c>
      <c r="AE1259" s="11">
        <v>2041</v>
      </c>
      <c r="AF1259" s="11">
        <v>0</v>
      </c>
      <c r="AG1259" s="19">
        <f>ROUND((Z1259*'Data-CostAssumptions'!$G$5)*(1+'Data-CostAssumptions'!$G$3)^(AC1259-'Data-CostAssumptions'!$G$4),-3)</f>
        <v>0</v>
      </c>
      <c r="AH1259" s="19">
        <f>ROUND((Z1259)*(1+'Data-CostAssumptions'!$G$3)^(AE1259-'Data-CostAssumptions'!$G$4),-3)</f>
        <v>0</v>
      </c>
    </row>
    <row r="1260" spans="1:34" ht="15" customHeight="1" x14ac:dyDescent="0.2">
      <c r="A1260" s="66">
        <v>4297671</v>
      </c>
      <c r="B1260" s="66" t="s">
        <v>1211</v>
      </c>
      <c r="C1260" s="66">
        <v>13047</v>
      </c>
      <c r="D1260" s="86" t="s">
        <v>1732</v>
      </c>
      <c r="E1260" s="73"/>
      <c r="F1260" s="73"/>
      <c r="G1260" s="20">
        <v>1261</v>
      </c>
      <c r="H1260" s="67" t="s">
        <v>2988</v>
      </c>
      <c r="I1260" s="67" t="str">
        <f t="shared" si="38"/>
        <v>Tri-Rail Maintenance Facility ( to )</v>
      </c>
      <c r="J1260" s="86" t="s">
        <v>347</v>
      </c>
      <c r="K1260" s="67" t="str">
        <f>VLOOKUP(J1260,'Data-ProjectTypes'!A$3:B$13,2,FALSE)</f>
        <v>Project</v>
      </c>
      <c r="L1260" s="87" t="s">
        <v>903</v>
      </c>
      <c r="M1260" s="66"/>
      <c r="N1260" s="66"/>
      <c r="O1260" s="86" t="s">
        <v>270</v>
      </c>
      <c r="P1260" s="87" t="s">
        <v>270</v>
      </c>
      <c r="Q1260" s="74"/>
      <c r="R1260" s="70"/>
      <c r="S1260" s="11"/>
      <c r="T1260" s="11"/>
      <c r="U1260" s="11"/>
      <c r="V1260" s="11"/>
      <c r="W1260" s="11"/>
      <c r="X1260" s="11"/>
      <c r="Z1260" s="71">
        <f>ROUND(R1260*'Data-CostAssumptions'!$C$3,-3)</f>
        <v>0</v>
      </c>
      <c r="AA1260" s="11">
        <f t="shared" si="39"/>
        <v>0</v>
      </c>
      <c r="AB1260" s="11">
        <v>2041</v>
      </c>
      <c r="AC1260" s="11">
        <v>2041</v>
      </c>
      <c r="AD1260" s="11">
        <v>2041</v>
      </c>
      <c r="AE1260" s="11">
        <v>2041</v>
      </c>
      <c r="AF1260" s="11">
        <v>0</v>
      </c>
      <c r="AG1260" s="19">
        <f>ROUND((Z1260*'Data-CostAssumptions'!$G$5)*(1+'Data-CostAssumptions'!$G$3)^(AC1260-'Data-CostAssumptions'!$G$4),-3)</f>
        <v>0</v>
      </c>
      <c r="AH1260" s="19">
        <f>ROUND((Z1260)*(1+'Data-CostAssumptions'!$G$3)^(AE1260-'Data-CostAssumptions'!$G$4),-3)</f>
        <v>0</v>
      </c>
    </row>
    <row r="1261" spans="1:34" ht="15" customHeight="1" x14ac:dyDescent="0.2">
      <c r="A1261" s="11" t="s">
        <v>966</v>
      </c>
      <c r="B1261" s="11" t="s">
        <v>1211</v>
      </c>
      <c r="C1261" s="11">
        <v>13103</v>
      </c>
      <c r="D1261" s="84" t="s">
        <v>1732</v>
      </c>
      <c r="E1261" s="14"/>
      <c r="F1261" s="14"/>
      <c r="G1261" s="20">
        <v>1262</v>
      </c>
      <c r="H1261" s="13" t="s">
        <v>956</v>
      </c>
      <c r="I1261" s="13" t="str">
        <f t="shared" si="38"/>
        <v>South Florida Rail Corridor (@  Hillsboro Bl/SR-810)</v>
      </c>
      <c r="J1261" s="84" t="s">
        <v>347</v>
      </c>
      <c r="K1261" s="13" t="str">
        <f>VLOOKUP(J1261,'Data-ProjectTypes'!A$3:B$13,2,FALSE)</f>
        <v>Project</v>
      </c>
      <c r="L1261" s="85" t="s">
        <v>965</v>
      </c>
      <c r="M1261" s="96" t="s">
        <v>2835</v>
      </c>
      <c r="N1261" s="85" t="s">
        <v>2891</v>
      </c>
      <c r="O1261" s="84" t="s">
        <v>270</v>
      </c>
      <c r="P1261" s="85" t="s">
        <v>270</v>
      </c>
      <c r="Q1261" s="15"/>
      <c r="R1261" s="16">
        <v>30000000</v>
      </c>
      <c r="S1261" s="11"/>
      <c r="T1261" s="11"/>
      <c r="U1261" s="11"/>
      <c r="V1261" s="11"/>
      <c r="W1261" s="11"/>
      <c r="X1261" s="11"/>
      <c r="Z1261" s="18">
        <f>ROUND(R1261*'Data-CostAssumptions'!$C$4,-3)</f>
        <v>30000000</v>
      </c>
      <c r="AA1261" s="11">
        <f t="shared" si="39"/>
        <v>0</v>
      </c>
      <c r="AB1261" s="11">
        <v>2041</v>
      </c>
      <c r="AC1261" s="11">
        <v>2041</v>
      </c>
      <c r="AD1261" s="11">
        <v>2041</v>
      </c>
      <c r="AE1261" s="11">
        <v>2041</v>
      </c>
      <c r="AF1261" s="11">
        <v>0</v>
      </c>
      <c r="AG1261" s="19">
        <f>ROUND((Z1261*'Data-CostAssumptions'!$G$5)*(1+'Data-CostAssumptions'!$G$3)^(AC1261-'Data-CostAssumptions'!$G$4),-3)</f>
        <v>16922000</v>
      </c>
      <c r="AH1261" s="19">
        <f>ROUND((Z1261)*(1+'Data-CostAssumptions'!$G$3)^(AE1261-'Data-CostAssumptions'!$G$4),-3)</f>
        <v>76918000</v>
      </c>
    </row>
    <row r="1262" spans="1:34" ht="15" customHeight="1" x14ac:dyDescent="0.2">
      <c r="A1262" s="11" t="s">
        <v>967</v>
      </c>
      <c r="B1262" s="11" t="s">
        <v>1211</v>
      </c>
      <c r="C1262" s="11">
        <v>13104</v>
      </c>
      <c r="D1262" s="84" t="s">
        <v>1732</v>
      </c>
      <c r="E1262" s="14"/>
      <c r="F1262" s="14"/>
      <c r="G1262" s="20">
        <v>1263</v>
      </c>
      <c r="H1262" s="13" t="s">
        <v>956</v>
      </c>
      <c r="I1262" s="13" t="str">
        <f t="shared" si="38"/>
        <v>South Florida Rail Corridor (@  NW 36th St/Sample Rd/SR-834)</v>
      </c>
      <c r="J1262" s="84" t="s">
        <v>347</v>
      </c>
      <c r="K1262" s="13" t="str">
        <f>VLOOKUP(J1262,'Data-ProjectTypes'!A$3:B$13,2,FALSE)</f>
        <v>Project</v>
      </c>
      <c r="L1262" s="85" t="s">
        <v>965</v>
      </c>
      <c r="M1262" s="96" t="s">
        <v>2835</v>
      </c>
      <c r="N1262" s="85" t="s">
        <v>2892</v>
      </c>
      <c r="O1262" s="84" t="s">
        <v>270</v>
      </c>
      <c r="P1262" s="85" t="s">
        <v>270</v>
      </c>
      <c r="Q1262" s="15"/>
      <c r="R1262" s="16">
        <v>30000000</v>
      </c>
      <c r="S1262" s="11"/>
      <c r="T1262" s="11"/>
      <c r="U1262" s="11"/>
      <c r="V1262" s="11"/>
      <c r="W1262" s="11"/>
      <c r="X1262" s="11"/>
      <c r="Z1262" s="18">
        <f>ROUND(R1262*'Data-CostAssumptions'!$C$4,-3)</f>
        <v>30000000</v>
      </c>
      <c r="AA1262" s="11">
        <f t="shared" si="39"/>
        <v>0</v>
      </c>
      <c r="AB1262" s="11">
        <v>2041</v>
      </c>
      <c r="AC1262" s="11">
        <v>2041</v>
      </c>
      <c r="AD1262" s="11">
        <v>2041</v>
      </c>
      <c r="AE1262" s="11">
        <v>2041</v>
      </c>
      <c r="AF1262" s="11">
        <v>0</v>
      </c>
      <c r="AG1262" s="19">
        <f>ROUND((Z1262*'Data-CostAssumptions'!$G$5)*(1+'Data-CostAssumptions'!$G$3)^(AC1262-'Data-CostAssumptions'!$G$4),-3)</f>
        <v>16922000</v>
      </c>
      <c r="AH1262" s="19">
        <f>ROUND((Z1262)*(1+'Data-CostAssumptions'!$G$3)^(AE1262-'Data-CostAssumptions'!$G$4),-3)</f>
        <v>76918000</v>
      </c>
    </row>
    <row r="1263" spans="1:34" ht="15" customHeight="1" x14ac:dyDescent="0.2">
      <c r="A1263" s="11" t="s">
        <v>968</v>
      </c>
      <c r="B1263" s="11" t="s">
        <v>1211</v>
      </c>
      <c r="C1263" s="11">
        <v>13105</v>
      </c>
      <c r="D1263" s="84" t="s">
        <v>1732</v>
      </c>
      <c r="E1263" s="14"/>
      <c r="F1263" s="14"/>
      <c r="G1263" s="20">
        <v>1264</v>
      </c>
      <c r="H1263" s="13" t="s">
        <v>956</v>
      </c>
      <c r="I1263" s="13" t="str">
        <f t="shared" si="38"/>
        <v>South Florida Rail Corridor (@  Copens Rd)</v>
      </c>
      <c r="J1263" s="84" t="s">
        <v>347</v>
      </c>
      <c r="K1263" s="13" t="str">
        <f>VLOOKUP(J1263,'Data-ProjectTypes'!A$3:B$13,2,FALSE)</f>
        <v>Project</v>
      </c>
      <c r="L1263" s="85" t="s">
        <v>965</v>
      </c>
      <c r="M1263" s="96" t="s">
        <v>2835</v>
      </c>
      <c r="N1263" s="85" t="s">
        <v>2893</v>
      </c>
      <c r="O1263" s="84" t="s">
        <v>270</v>
      </c>
      <c r="P1263" s="85" t="s">
        <v>270</v>
      </c>
      <c r="Q1263" s="15"/>
      <c r="R1263" s="16">
        <v>30000000</v>
      </c>
      <c r="S1263" s="11"/>
      <c r="T1263" s="11"/>
      <c r="U1263" s="11"/>
      <c r="V1263" s="11"/>
      <c r="W1263" s="11"/>
      <c r="X1263" s="11"/>
      <c r="Z1263" s="18">
        <f>ROUND(R1263*'Data-CostAssumptions'!$C$4,-3)</f>
        <v>30000000</v>
      </c>
      <c r="AA1263" s="11">
        <f t="shared" si="39"/>
        <v>0</v>
      </c>
      <c r="AB1263" s="11">
        <v>2041</v>
      </c>
      <c r="AC1263" s="11">
        <v>2041</v>
      </c>
      <c r="AD1263" s="11">
        <v>2041</v>
      </c>
      <c r="AE1263" s="11">
        <v>2041</v>
      </c>
      <c r="AF1263" s="11">
        <v>0</v>
      </c>
      <c r="AG1263" s="19">
        <f>ROUND((Z1263*'Data-CostAssumptions'!$G$5)*(1+'Data-CostAssumptions'!$G$3)^(AC1263-'Data-CostAssumptions'!$G$4),-3)</f>
        <v>16922000</v>
      </c>
      <c r="AH1263" s="19">
        <f>ROUND((Z1263)*(1+'Data-CostAssumptions'!$G$3)^(AE1263-'Data-CostAssumptions'!$G$4),-3)</f>
        <v>76918000</v>
      </c>
    </row>
    <row r="1264" spans="1:34" ht="15" customHeight="1" x14ac:dyDescent="0.2">
      <c r="A1264" s="11" t="s">
        <v>969</v>
      </c>
      <c r="B1264" s="11" t="s">
        <v>1211</v>
      </c>
      <c r="C1264" s="11">
        <v>13106</v>
      </c>
      <c r="D1264" s="84" t="s">
        <v>1732</v>
      </c>
      <c r="E1264" s="14"/>
      <c r="F1264" s="14"/>
      <c r="G1264" s="20">
        <v>1265</v>
      </c>
      <c r="H1264" s="13" t="s">
        <v>956</v>
      </c>
      <c r="I1264" s="13" t="str">
        <f t="shared" si="38"/>
        <v>South Florida Rail Corridor (@  Atlantic Bl/SR-814)</v>
      </c>
      <c r="J1264" s="84" t="s">
        <v>347</v>
      </c>
      <c r="K1264" s="13" t="str">
        <f>VLOOKUP(J1264,'Data-ProjectTypes'!A$3:B$13,2,FALSE)</f>
        <v>Project</v>
      </c>
      <c r="L1264" s="85" t="s">
        <v>965</v>
      </c>
      <c r="M1264" s="96" t="s">
        <v>2835</v>
      </c>
      <c r="N1264" s="85" t="s">
        <v>2894</v>
      </c>
      <c r="O1264" s="84" t="s">
        <v>270</v>
      </c>
      <c r="P1264" s="85" t="s">
        <v>270</v>
      </c>
      <c r="Q1264" s="15"/>
      <c r="R1264" s="16">
        <v>30000000</v>
      </c>
      <c r="S1264" s="11"/>
      <c r="T1264" s="11"/>
      <c r="U1264" s="11"/>
      <c r="V1264" s="11"/>
      <c r="W1264" s="11"/>
      <c r="X1264" s="11"/>
      <c r="Z1264" s="18">
        <f>ROUND(R1264*'Data-CostAssumptions'!$C$4,-3)</f>
        <v>30000000</v>
      </c>
      <c r="AA1264" s="11">
        <f t="shared" si="39"/>
        <v>0</v>
      </c>
      <c r="AB1264" s="11">
        <v>2041</v>
      </c>
      <c r="AC1264" s="11">
        <v>2041</v>
      </c>
      <c r="AD1264" s="11">
        <v>2041</v>
      </c>
      <c r="AE1264" s="11">
        <v>2041</v>
      </c>
      <c r="AF1264" s="11">
        <v>0</v>
      </c>
      <c r="AG1264" s="19">
        <f>ROUND((Z1264*'Data-CostAssumptions'!$G$5)*(1+'Data-CostAssumptions'!$G$3)^(AC1264-'Data-CostAssumptions'!$G$4),-3)</f>
        <v>16922000</v>
      </c>
      <c r="AH1264" s="19">
        <f>ROUND((Z1264)*(1+'Data-CostAssumptions'!$G$3)^(AE1264-'Data-CostAssumptions'!$G$4),-3)</f>
        <v>76918000</v>
      </c>
    </row>
    <row r="1265" spans="1:39" ht="15" customHeight="1" x14ac:dyDescent="0.2">
      <c r="A1265" s="11" t="s">
        <v>970</v>
      </c>
      <c r="B1265" s="11" t="s">
        <v>1211</v>
      </c>
      <c r="C1265" s="11">
        <v>13107</v>
      </c>
      <c r="D1265" s="84" t="s">
        <v>1732</v>
      </c>
      <c r="E1265" s="14"/>
      <c r="F1265" s="14"/>
      <c r="G1265" s="20">
        <v>1266</v>
      </c>
      <c r="H1265" s="13" t="s">
        <v>956</v>
      </c>
      <c r="I1265" s="13" t="str">
        <f t="shared" si="38"/>
        <v>South Florida Rail Corridor (@  NW 62nd/Cypress Creek)</v>
      </c>
      <c r="J1265" s="84" t="s">
        <v>347</v>
      </c>
      <c r="K1265" s="13" t="str">
        <f>VLOOKUP(J1265,'Data-ProjectTypes'!A$3:B$13,2,FALSE)</f>
        <v>Project</v>
      </c>
      <c r="L1265" s="85" t="s">
        <v>965</v>
      </c>
      <c r="M1265" s="96" t="s">
        <v>2835</v>
      </c>
      <c r="N1265" s="85" t="s">
        <v>2895</v>
      </c>
      <c r="O1265" s="84" t="s">
        <v>270</v>
      </c>
      <c r="P1265" s="85" t="s">
        <v>270</v>
      </c>
      <c r="Q1265" s="15"/>
      <c r="R1265" s="16">
        <v>30000000</v>
      </c>
      <c r="S1265" s="11"/>
      <c r="T1265" s="11"/>
      <c r="U1265" s="11"/>
      <c r="V1265" s="11"/>
      <c r="W1265" s="11"/>
      <c r="X1265" s="11"/>
      <c r="Z1265" s="18">
        <f>ROUND(R1265*'Data-CostAssumptions'!$C$4,-3)</f>
        <v>30000000</v>
      </c>
      <c r="AA1265" s="11">
        <f t="shared" si="39"/>
        <v>0</v>
      </c>
      <c r="AB1265" s="11">
        <v>2041</v>
      </c>
      <c r="AC1265" s="11">
        <v>2041</v>
      </c>
      <c r="AD1265" s="11">
        <v>2041</v>
      </c>
      <c r="AE1265" s="11">
        <v>2041</v>
      </c>
      <c r="AF1265" s="11">
        <v>0</v>
      </c>
      <c r="AG1265" s="19">
        <f>ROUND((Z1265*'Data-CostAssumptions'!$G$5)*(1+'Data-CostAssumptions'!$G$3)^(AC1265-'Data-CostAssumptions'!$G$4),-3)</f>
        <v>16922000</v>
      </c>
      <c r="AH1265" s="19">
        <f>ROUND((Z1265)*(1+'Data-CostAssumptions'!$G$3)^(AE1265-'Data-CostAssumptions'!$G$4),-3)</f>
        <v>76918000</v>
      </c>
    </row>
    <row r="1266" spans="1:39" ht="15" customHeight="1" x14ac:dyDescent="0.2">
      <c r="A1266" s="11" t="s">
        <v>971</v>
      </c>
      <c r="B1266" s="11" t="s">
        <v>1211</v>
      </c>
      <c r="C1266" s="11">
        <v>13108</v>
      </c>
      <c r="D1266" s="84" t="s">
        <v>1732</v>
      </c>
      <c r="E1266" s="14"/>
      <c r="F1266" s="14"/>
      <c r="G1266" s="20">
        <v>1267</v>
      </c>
      <c r="H1266" s="13" t="s">
        <v>956</v>
      </c>
      <c r="I1266" s="13" t="str">
        <f t="shared" si="38"/>
        <v>South Florida Rail Corridor (@  Commercial Bl/SR-870)</v>
      </c>
      <c r="J1266" s="84" t="s">
        <v>347</v>
      </c>
      <c r="K1266" s="13" t="str">
        <f>VLOOKUP(J1266,'Data-ProjectTypes'!A$3:B$13,2,FALSE)</f>
        <v>Project</v>
      </c>
      <c r="L1266" s="85" t="s">
        <v>965</v>
      </c>
      <c r="M1266" s="96" t="s">
        <v>2835</v>
      </c>
      <c r="N1266" s="85" t="s">
        <v>2896</v>
      </c>
      <c r="O1266" s="84" t="s">
        <v>270</v>
      </c>
      <c r="P1266" s="85" t="s">
        <v>270</v>
      </c>
      <c r="Q1266" s="15"/>
      <c r="R1266" s="16">
        <v>30000000</v>
      </c>
      <c r="S1266" s="11"/>
      <c r="T1266" s="11"/>
      <c r="U1266" s="11"/>
      <c r="V1266" s="11"/>
      <c r="W1266" s="11"/>
      <c r="X1266" s="38"/>
      <c r="Z1266" s="18">
        <f>ROUND(R1266*'Data-CostAssumptions'!$C$4,-3)</f>
        <v>30000000</v>
      </c>
      <c r="AA1266" s="11">
        <f t="shared" si="39"/>
        <v>0</v>
      </c>
      <c r="AB1266" s="11">
        <v>2041</v>
      </c>
      <c r="AC1266" s="11">
        <v>2041</v>
      </c>
      <c r="AD1266" s="11">
        <v>2041</v>
      </c>
      <c r="AE1266" s="11">
        <v>2041</v>
      </c>
      <c r="AF1266" s="11">
        <v>0</v>
      </c>
      <c r="AG1266" s="19">
        <f>ROUND((Z1266*'Data-CostAssumptions'!$G$5)*(1+'Data-CostAssumptions'!$G$3)^(AC1266-'Data-CostAssumptions'!$G$4),-3)</f>
        <v>16922000</v>
      </c>
      <c r="AH1266" s="19">
        <f>ROUND((Z1266)*(1+'Data-CostAssumptions'!$G$3)^(AE1266-'Data-CostAssumptions'!$G$4),-3)</f>
        <v>76918000</v>
      </c>
    </row>
    <row r="1267" spans="1:39" ht="15" customHeight="1" x14ac:dyDescent="0.2">
      <c r="A1267" s="11" t="s">
        <v>972</v>
      </c>
      <c r="B1267" s="11" t="s">
        <v>1211</v>
      </c>
      <c r="C1267" s="11">
        <v>13109</v>
      </c>
      <c r="D1267" s="84" t="s">
        <v>1732</v>
      </c>
      <c r="E1267" s="14"/>
      <c r="F1267" s="14"/>
      <c r="G1267" s="20">
        <v>1268</v>
      </c>
      <c r="H1267" s="13" t="s">
        <v>956</v>
      </c>
      <c r="I1267" s="13" t="str">
        <f t="shared" si="38"/>
        <v>South Florida Rail Corridor (@  Oakland Park Bl/SR-816)</v>
      </c>
      <c r="J1267" s="84" t="s">
        <v>347</v>
      </c>
      <c r="K1267" s="13" t="str">
        <f>VLOOKUP(J1267,'Data-ProjectTypes'!A$3:B$13,2,FALSE)</f>
        <v>Project</v>
      </c>
      <c r="L1267" s="85" t="s">
        <v>965</v>
      </c>
      <c r="M1267" s="96" t="s">
        <v>2835</v>
      </c>
      <c r="N1267" s="85" t="s">
        <v>2897</v>
      </c>
      <c r="O1267" s="84" t="s">
        <v>270</v>
      </c>
      <c r="P1267" s="85" t="s">
        <v>270</v>
      </c>
      <c r="Q1267" s="15"/>
      <c r="R1267" s="16">
        <v>30000000</v>
      </c>
      <c r="S1267" s="11"/>
      <c r="T1267" s="11"/>
      <c r="U1267" s="11"/>
      <c r="V1267" s="11"/>
      <c r="W1267" s="11"/>
      <c r="X1267" s="11"/>
      <c r="Z1267" s="18">
        <f>ROUND(R1267*'Data-CostAssumptions'!$C$4,-3)</f>
        <v>30000000</v>
      </c>
      <c r="AA1267" s="11">
        <f t="shared" si="39"/>
        <v>0</v>
      </c>
      <c r="AB1267" s="11">
        <v>2041</v>
      </c>
      <c r="AC1267" s="11">
        <v>2041</v>
      </c>
      <c r="AD1267" s="11">
        <v>2041</v>
      </c>
      <c r="AE1267" s="11">
        <v>2041</v>
      </c>
      <c r="AF1267" s="11">
        <v>0</v>
      </c>
      <c r="AG1267" s="19">
        <f>ROUND((Z1267*'Data-CostAssumptions'!$G$5)*(1+'Data-CostAssumptions'!$G$3)^(AC1267-'Data-CostAssumptions'!$G$4),-3)</f>
        <v>16922000</v>
      </c>
      <c r="AH1267" s="19">
        <f>ROUND((Z1267)*(1+'Data-CostAssumptions'!$G$3)^(AE1267-'Data-CostAssumptions'!$G$4),-3)</f>
        <v>76918000</v>
      </c>
    </row>
    <row r="1268" spans="1:39" s="83" customFormat="1" ht="15" customHeight="1" x14ac:dyDescent="0.2">
      <c r="A1268" s="11" t="s">
        <v>973</v>
      </c>
      <c r="B1268" s="11" t="s">
        <v>1211</v>
      </c>
      <c r="C1268" s="11">
        <v>13110</v>
      </c>
      <c r="D1268" s="84" t="s">
        <v>1732</v>
      </c>
      <c r="E1268" s="14"/>
      <c r="F1268" s="14"/>
      <c r="G1268" s="20">
        <v>1269</v>
      </c>
      <c r="H1268" s="13" t="s">
        <v>956</v>
      </c>
      <c r="I1268" s="13" t="str">
        <f t="shared" si="38"/>
        <v>South Florida Rail Corridor (@  New Griffin Rd/SR-818)</v>
      </c>
      <c r="J1268" s="84" t="s">
        <v>347</v>
      </c>
      <c r="K1268" s="13" t="str">
        <f>VLOOKUP(J1268,'Data-ProjectTypes'!A$3:B$13,2,FALSE)</f>
        <v>Project</v>
      </c>
      <c r="L1268" s="85" t="s">
        <v>965</v>
      </c>
      <c r="M1268" s="96" t="s">
        <v>2835</v>
      </c>
      <c r="N1268" s="85" t="s">
        <v>2898</v>
      </c>
      <c r="O1268" s="84" t="s">
        <v>270</v>
      </c>
      <c r="P1268" s="85" t="s">
        <v>270</v>
      </c>
      <c r="Q1268" s="15"/>
      <c r="R1268" s="16">
        <v>30000000</v>
      </c>
      <c r="S1268" s="11"/>
      <c r="T1268" s="11"/>
      <c r="U1268" s="11"/>
      <c r="V1268" s="11"/>
      <c r="W1268" s="11"/>
      <c r="X1268" s="11"/>
      <c r="Y1268" s="12"/>
      <c r="Z1268" s="18">
        <f>ROUND(R1268*'Data-CostAssumptions'!$C$4,-3)</f>
        <v>30000000</v>
      </c>
      <c r="AA1268" s="11">
        <f t="shared" si="39"/>
        <v>0</v>
      </c>
      <c r="AB1268" s="11">
        <v>2041</v>
      </c>
      <c r="AC1268" s="11">
        <v>2041</v>
      </c>
      <c r="AD1268" s="11">
        <v>2041</v>
      </c>
      <c r="AE1268" s="11">
        <v>2041</v>
      </c>
      <c r="AF1268" s="11">
        <v>0</v>
      </c>
      <c r="AG1268" s="19">
        <f>ROUND((Z1268*'Data-CostAssumptions'!$G$5)*(1+'Data-CostAssumptions'!$G$3)^(AC1268-'Data-CostAssumptions'!$G$4),-3)</f>
        <v>16922000</v>
      </c>
      <c r="AH1268" s="19">
        <f>ROUND((Z1268)*(1+'Data-CostAssumptions'!$G$3)^(AE1268-'Data-CostAssumptions'!$G$4),-3)</f>
        <v>76918000</v>
      </c>
      <c r="AI1268" s="12"/>
      <c r="AJ1268" s="12"/>
      <c r="AK1268" s="12"/>
      <c r="AL1268" s="12"/>
      <c r="AM1268" s="12"/>
    </row>
    <row r="1269" spans="1:39" ht="15" customHeight="1" x14ac:dyDescent="0.2">
      <c r="A1269" s="11" t="s">
        <v>974</v>
      </c>
      <c r="B1269" s="11" t="s">
        <v>1211</v>
      </c>
      <c r="C1269" s="11">
        <v>13111</v>
      </c>
      <c r="D1269" s="84" t="s">
        <v>1732</v>
      </c>
      <c r="E1269" s="14"/>
      <c r="F1269" s="14"/>
      <c r="G1269" s="20">
        <v>1270</v>
      </c>
      <c r="H1269" s="13" t="s">
        <v>956</v>
      </c>
      <c r="I1269" s="13" t="str">
        <f t="shared" si="38"/>
        <v>South Florida Rail Corridor (@  Stirling Rd/SR-848)</v>
      </c>
      <c r="J1269" s="84" t="s">
        <v>347</v>
      </c>
      <c r="K1269" s="13" t="str">
        <f>VLOOKUP(J1269,'Data-ProjectTypes'!A$3:B$13,2,FALSE)</f>
        <v>Project</v>
      </c>
      <c r="L1269" s="85" t="s">
        <v>965</v>
      </c>
      <c r="M1269" s="96" t="s">
        <v>2835</v>
      </c>
      <c r="N1269" s="85" t="s">
        <v>2899</v>
      </c>
      <c r="O1269" s="84" t="s">
        <v>270</v>
      </c>
      <c r="P1269" s="85" t="s">
        <v>270</v>
      </c>
      <c r="Q1269" s="15"/>
      <c r="R1269" s="16">
        <v>30000000</v>
      </c>
      <c r="S1269" s="11"/>
      <c r="T1269" s="11"/>
      <c r="U1269" s="11"/>
      <c r="V1269" s="11"/>
      <c r="W1269" s="11"/>
      <c r="X1269" s="11"/>
      <c r="Z1269" s="18">
        <f>ROUND(R1269*'Data-CostAssumptions'!$C$4,-3)</f>
        <v>30000000</v>
      </c>
      <c r="AA1269" s="11">
        <f t="shared" si="39"/>
        <v>0</v>
      </c>
      <c r="AB1269" s="11">
        <v>2041</v>
      </c>
      <c r="AC1269" s="11">
        <v>2041</v>
      </c>
      <c r="AD1269" s="11">
        <v>2041</v>
      </c>
      <c r="AE1269" s="11">
        <v>2041</v>
      </c>
      <c r="AF1269" s="11">
        <v>0</v>
      </c>
      <c r="AG1269" s="19">
        <f>ROUND((Z1269*'Data-CostAssumptions'!$G$5)*(1+'Data-CostAssumptions'!$G$3)^(AC1269-'Data-CostAssumptions'!$G$4),-3)</f>
        <v>16922000</v>
      </c>
      <c r="AH1269" s="19">
        <f>ROUND((Z1269)*(1+'Data-CostAssumptions'!$G$3)^(AE1269-'Data-CostAssumptions'!$G$4),-3)</f>
        <v>76918000</v>
      </c>
    </row>
    <row r="1270" spans="1:39" ht="15" customHeight="1" x14ac:dyDescent="0.2">
      <c r="A1270" s="11" t="s">
        <v>975</v>
      </c>
      <c r="B1270" s="11" t="s">
        <v>1211</v>
      </c>
      <c r="C1270" s="11">
        <v>13112</v>
      </c>
      <c r="D1270" s="84" t="s">
        <v>1732</v>
      </c>
      <c r="E1270" s="14"/>
      <c r="F1270" s="14"/>
      <c r="G1270" s="20">
        <v>1271</v>
      </c>
      <c r="H1270" s="13" t="s">
        <v>956</v>
      </c>
      <c r="I1270" s="13" t="str">
        <f t="shared" si="38"/>
        <v>South Florida Rail Corridor (@  Hollywood Bl/SR-820)</v>
      </c>
      <c r="J1270" s="84" t="s">
        <v>347</v>
      </c>
      <c r="K1270" s="13" t="str">
        <f>VLOOKUP(J1270,'Data-ProjectTypes'!A$3:B$13,2,FALSE)</f>
        <v>Project</v>
      </c>
      <c r="L1270" s="85" t="s">
        <v>965</v>
      </c>
      <c r="M1270" s="96" t="s">
        <v>2835</v>
      </c>
      <c r="N1270" s="85" t="s">
        <v>2900</v>
      </c>
      <c r="O1270" s="84" t="s">
        <v>270</v>
      </c>
      <c r="P1270" s="85" t="s">
        <v>270</v>
      </c>
      <c r="Q1270" s="15"/>
      <c r="R1270" s="16">
        <v>30000000</v>
      </c>
      <c r="S1270" s="11"/>
      <c r="T1270" s="11"/>
      <c r="U1270" s="11"/>
      <c r="V1270" s="11"/>
      <c r="W1270" s="11"/>
      <c r="X1270" s="11"/>
      <c r="Z1270" s="18">
        <f>ROUND(R1270*'Data-CostAssumptions'!$C$4,-3)</f>
        <v>30000000</v>
      </c>
      <c r="AA1270" s="11">
        <f t="shared" si="39"/>
        <v>0</v>
      </c>
      <c r="AB1270" s="11">
        <v>2041</v>
      </c>
      <c r="AC1270" s="11">
        <v>2041</v>
      </c>
      <c r="AD1270" s="11">
        <v>2041</v>
      </c>
      <c r="AE1270" s="11">
        <v>2041</v>
      </c>
      <c r="AF1270" s="11">
        <v>0</v>
      </c>
      <c r="AG1270" s="19">
        <f>ROUND((Z1270*'Data-CostAssumptions'!$G$5)*(1+'Data-CostAssumptions'!$G$3)^(AC1270-'Data-CostAssumptions'!$G$4),-3)</f>
        <v>16922000</v>
      </c>
      <c r="AH1270" s="19">
        <f>ROUND((Z1270)*(1+'Data-CostAssumptions'!$G$3)^(AE1270-'Data-CostAssumptions'!$G$4),-3)</f>
        <v>76918000</v>
      </c>
    </row>
    <row r="1271" spans="1:39" ht="15" customHeight="1" x14ac:dyDescent="0.2">
      <c r="A1271" s="11" t="s">
        <v>976</v>
      </c>
      <c r="B1271" s="11" t="s">
        <v>1211</v>
      </c>
      <c r="C1271" s="11">
        <v>13113</v>
      </c>
      <c r="D1271" s="84" t="s">
        <v>1732</v>
      </c>
      <c r="E1271" s="14"/>
      <c r="F1271" s="14"/>
      <c r="G1271" s="20">
        <v>1272</v>
      </c>
      <c r="H1271" s="13" t="s">
        <v>956</v>
      </c>
      <c r="I1271" s="13" t="str">
        <f t="shared" si="38"/>
        <v>South Florida Rail Corridor (@  Pembroke Rd/SR-824)</v>
      </c>
      <c r="J1271" s="84" t="s">
        <v>347</v>
      </c>
      <c r="K1271" s="13" t="str">
        <f>VLOOKUP(J1271,'Data-ProjectTypes'!A$3:B$13,2,FALSE)</f>
        <v>Project</v>
      </c>
      <c r="L1271" s="85" t="s">
        <v>965</v>
      </c>
      <c r="M1271" s="96" t="s">
        <v>2835</v>
      </c>
      <c r="N1271" s="85" t="s">
        <v>2901</v>
      </c>
      <c r="O1271" s="84" t="s">
        <v>270</v>
      </c>
      <c r="P1271" s="85" t="s">
        <v>270</v>
      </c>
      <c r="Q1271" s="15"/>
      <c r="R1271" s="16">
        <v>30000000</v>
      </c>
      <c r="S1271" s="11"/>
      <c r="T1271" s="11"/>
      <c r="U1271" s="11"/>
      <c r="V1271" s="11"/>
      <c r="W1271" s="11"/>
      <c r="X1271" s="11"/>
      <c r="Z1271" s="18">
        <f>ROUND(R1271*'Data-CostAssumptions'!$C$4,-3)</f>
        <v>30000000</v>
      </c>
      <c r="AA1271" s="11">
        <f t="shared" si="39"/>
        <v>0</v>
      </c>
      <c r="AB1271" s="11">
        <v>2041</v>
      </c>
      <c r="AC1271" s="11">
        <v>2041</v>
      </c>
      <c r="AD1271" s="11">
        <v>2041</v>
      </c>
      <c r="AE1271" s="11">
        <v>2041</v>
      </c>
      <c r="AF1271" s="11">
        <v>0</v>
      </c>
      <c r="AG1271" s="19">
        <f>ROUND((Z1271*'Data-CostAssumptions'!$G$5)*(1+'Data-CostAssumptions'!$G$3)^(AC1271-'Data-CostAssumptions'!$G$4),-3)</f>
        <v>16922000</v>
      </c>
      <c r="AH1271" s="19">
        <f>ROUND((Z1271)*(1+'Data-CostAssumptions'!$G$3)^(AE1271-'Data-CostAssumptions'!$G$4),-3)</f>
        <v>76918000</v>
      </c>
    </row>
    <row r="1272" spans="1:39" ht="15" customHeight="1" x14ac:dyDescent="0.2">
      <c r="A1272" s="11" t="s">
        <v>977</v>
      </c>
      <c r="B1272" s="11" t="s">
        <v>1211</v>
      </c>
      <c r="C1272" s="11">
        <v>13114</v>
      </c>
      <c r="D1272" s="84" t="s">
        <v>1732</v>
      </c>
      <c r="E1272" s="14"/>
      <c r="F1272" s="14"/>
      <c r="G1272" s="20">
        <v>1273</v>
      </c>
      <c r="H1272" s="13" t="s">
        <v>956</v>
      </c>
      <c r="I1272" s="13" t="str">
        <f t="shared" si="38"/>
        <v>South Florida Rail Corridor (@  Hallandale Beach/SR-858)</v>
      </c>
      <c r="J1272" s="84" t="s">
        <v>347</v>
      </c>
      <c r="K1272" s="13" t="str">
        <f>VLOOKUP(J1272,'Data-ProjectTypes'!A$3:B$13,2,FALSE)</f>
        <v>Project</v>
      </c>
      <c r="L1272" s="85" t="s">
        <v>965</v>
      </c>
      <c r="M1272" s="96" t="s">
        <v>2835</v>
      </c>
      <c r="N1272" s="85" t="s">
        <v>2902</v>
      </c>
      <c r="O1272" s="84" t="s">
        <v>270</v>
      </c>
      <c r="P1272" s="85" t="s">
        <v>270</v>
      </c>
      <c r="Q1272" s="15"/>
      <c r="R1272" s="16">
        <v>30000000</v>
      </c>
      <c r="S1272" s="11"/>
      <c r="T1272" s="11"/>
      <c r="U1272" s="11"/>
      <c r="V1272" s="11"/>
      <c r="W1272" s="11"/>
      <c r="X1272" s="11"/>
      <c r="Z1272" s="18">
        <f>ROUND(R1272*'Data-CostAssumptions'!$C$4,-3)</f>
        <v>30000000</v>
      </c>
      <c r="AA1272" s="11">
        <f t="shared" si="39"/>
        <v>0</v>
      </c>
      <c r="AB1272" s="11">
        <v>2041</v>
      </c>
      <c r="AC1272" s="11">
        <v>2041</v>
      </c>
      <c r="AD1272" s="11">
        <v>2041</v>
      </c>
      <c r="AE1272" s="11">
        <v>2041</v>
      </c>
      <c r="AF1272" s="11">
        <v>0</v>
      </c>
      <c r="AG1272" s="19">
        <f>ROUND((Z1272*'Data-CostAssumptions'!$G$5)*(1+'Data-CostAssumptions'!$G$3)^(AC1272-'Data-CostAssumptions'!$G$4),-3)</f>
        <v>16922000</v>
      </c>
      <c r="AH1272" s="19">
        <f>ROUND((Z1272)*(1+'Data-CostAssumptions'!$G$3)^(AE1272-'Data-CostAssumptions'!$G$4),-3)</f>
        <v>76918000</v>
      </c>
    </row>
    <row r="1273" spans="1:39" ht="15" customHeight="1" x14ac:dyDescent="0.2">
      <c r="A1273" s="11" t="s">
        <v>978</v>
      </c>
      <c r="B1273" s="11" t="s">
        <v>1211</v>
      </c>
      <c r="C1273" s="11">
        <v>13115</v>
      </c>
      <c r="D1273" s="84" t="s">
        <v>1732</v>
      </c>
      <c r="E1273" s="14"/>
      <c r="F1273" s="14"/>
      <c r="G1273" s="20">
        <v>1274</v>
      </c>
      <c r="H1273" s="13" t="s">
        <v>956</v>
      </c>
      <c r="I1273" s="13" t="str">
        <f t="shared" si="38"/>
        <v>South Florida Rail Corridor (Multiple Arterial Rdways From Broward Bl to Palm Beach County Line to )</v>
      </c>
      <c r="J1273" s="84" t="s">
        <v>347</v>
      </c>
      <c r="K1273" s="13" t="str">
        <f>VLOOKUP(J1273,'Data-ProjectTypes'!A$3:B$13,2,FALSE)</f>
        <v>Project</v>
      </c>
      <c r="L1273" s="85" t="s">
        <v>965</v>
      </c>
      <c r="M1273" s="85" t="s">
        <v>2453</v>
      </c>
      <c r="N1273" s="11"/>
      <c r="O1273" s="84" t="s">
        <v>270</v>
      </c>
      <c r="P1273" s="85" t="s">
        <v>270</v>
      </c>
      <c r="Q1273" s="15"/>
      <c r="R1273" s="16">
        <v>252000000</v>
      </c>
      <c r="S1273" s="11"/>
      <c r="T1273" s="11"/>
      <c r="U1273" s="11"/>
      <c r="V1273" s="11"/>
      <c r="W1273" s="11"/>
      <c r="X1273" s="11"/>
      <c r="Z1273" s="18">
        <f>ROUND(R1273*'Data-CostAssumptions'!$C$4,-3)</f>
        <v>252000000</v>
      </c>
      <c r="AA1273" s="11">
        <f t="shared" si="39"/>
        <v>0</v>
      </c>
      <c r="AB1273" s="11">
        <v>2041</v>
      </c>
      <c r="AC1273" s="11">
        <v>2041</v>
      </c>
      <c r="AD1273" s="11">
        <v>2041</v>
      </c>
      <c r="AE1273" s="11">
        <v>2041</v>
      </c>
      <c r="AF1273" s="11">
        <v>0</v>
      </c>
      <c r="AG1273" s="19">
        <f>ROUND((Z1273*'Data-CostAssumptions'!$G$5)*(1+'Data-CostAssumptions'!$G$3)^(AC1273-'Data-CostAssumptions'!$G$4),-3)</f>
        <v>142145000</v>
      </c>
      <c r="AH1273" s="19">
        <f>ROUND((Z1273)*(1+'Data-CostAssumptions'!$G$3)^(AE1273-'Data-CostAssumptions'!$G$4),-3)</f>
        <v>646115000</v>
      </c>
    </row>
    <row r="1274" spans="1:39" ht="15" customHeight="1" x14ac:dyDescent="0.2">
      <c r="A1274" s="81" t="s">
        <v>1055</v>
      </c>
      <c r="B1274" s="81" t="s">
        <v>1211</v>
      </c>
      <c r="C1274" s="81">
        <v>13153</v>
      </c>
      <c r="D1274" s="98" t="s">
        <v>1732</v>
      </c>
      <c r="E1274" s="99"/>
      <c r="F1274" s="99"/>
      <c r="G1274" s="20">
        <v>1275</v>
      </c>
      <c r="H1274" s="13" t="s">
        <v>2786</v>
      </c>
      <c r="I1274" s="13" t="str">
        <f t="shared" si="38"/>
        <v>SR 820/Hollywood-Pines Bl/I-95 Transitway (I-75 to Downtown Miami)</v>
      </c>
      <c r="J1274" s="98" t="s">
        <v>347</v>
      </c>
      <c r="K1274" s="78" t="str">
        <f>VLOOKUP(J1274,'Data-ProjectTypes'!A$3:B$13,2,FALSE)</f>
        <v>Project</v>
      </c>
      <c r="L1274" s="100" t="s">
        <v>1059</v>
      </c>
      <c r="M1274" s="100" t="s">
        <v>31</v>
      </c>
      <c r="N1274" s="98" t="s">
        <v>1061</v>
      </c>
      <c r="O1274" s="98" t="s">
        <v>270</v>
      </c>
      <c r="P1274" s="100" t="s">
        <v>270</v>
      </c>
      <c r="Q1274" s="101"/>
      <c r="R1274" s="102">
        <v>125000000</v>
      </c>
      <c r="S1274" s="81"/>
      <c r="T1274" s="81"/>
      <c r="U1274" s="81"/>
      <c r="V1274" s="81"/>
      <c r="W1274" s="81"/>
      <c r="X1274" s="81"/>
      <c r="Y1274" s="27" t="s">
        <v>1734</v>
      </c>
      <c r="Z1274" s="18">
        <f>ROUND(R1274*'Data-CostAssumptions'!$C$8,-3)</f>
        <v>125000000</v>
      </c>
      <c r="AA1274" s="11">
        <f t="shared" si="39"/>
        <v>0</v>
      </c>
      <c r="AB1274" s="11">
        <v>2041</v>
      </c>
      <c r="AC1274" s="11">
        <v>2041</v>
      </c>
      <c r="AD1274" s="11">
        <v>2041</v>
      </c>
      <c r="AE1274" s="11">
        <v>2041</v>
      </c>
      <c r="AF1274" s="11">
        <v>0</v>
      </c>
      <c r="AG1274" s="19">
        <f>ROUND((Z1274*'Data-CostAssumptions'!$G$5)*(1+'Data-CostAssumptions'!$G$3)^(AC1274-'Data-CostAssumptions'!$G$4),-3)</f>
        <v>70509000</v>
      </c>
      <c r="AH1274" s="19">
        <f>ROUND((Z1274)*(1+'Data-CostAssumptions'!$G$3)^(AE1274-'Data-CostAssumptions'!$G$4),-3)</f>
        <v>320494000</v>
      </c>
    </row>
    <row r="1275" spans="1:39" ht="15" customHeight="1" x14ac:dyDescent="0.2">
      <c r="A1275" s="11" t="s">
        <v>1050</v>
      </c>
      <c r="B1275" s="11" t="s">
        <v>1211</v>
      </c>
      <c r="C1275" s="11">
        <v>13152</v>
      </c>
      <c r="D1275" s="84" t="s">
        <v>1732</v>
      </c>
      <c r="E1275" s="14"/>
      <c r="F1275" s="14"/>
      <c r="G1275" s="20">
        <v>1276</v>
      </c>
      <c r="H1275" s="13" t="s">
        <v>2805</v>
      </c>
      <c r="I1275" s="13" t="str">
        <f t="shared" si="38"/>
        <v>SR 93/I-75 (Sawgrass Mills Mall to Homestead Extension Florida Turnpike)</v>
      </c>
      <c r="J1275" s="84" t="s">
        <v>347</v>
      </c>
      <c r="K1275" s="13" t="str">
        <f>VLOOKUP(J1275,'Data-ProjectTypes'!A$3:B$13,2,FALSE)</f>
        <v>Project</v>
      </c>
      <c r="L1275" s="85" t="s">
        <v>1053</v>
      </c>
      <c r="M1275" s="11" t="s">
        <v>865</v>
      </c>
      <c r="N1275" s="84" t="s">
        <v>1052</v>
      </c>
      <c r="O1275" s="84" t="s">
        <v>270</v>
      </c>
      <c r="P1275" s="85" t="s">
        <v>270</v>
      </c>
      <c r="Q1275" s="15"/>
      <c r="R1275" s="16">
        <v>98549000</v>
      </c>
      <c r="S1275" s="11"/>
      <c r="T1275" s="11"/>
      <c r="U1275" s="11"/>
      <c r="V1275" s="11"/>
      <c r="W1275" s="11"/>
      <c r="X1275" s="11"/>
      <c r="Z1275" s="18">
        <f>ROUND(R1275*'Data-CostAssumptions'!$C$8,-3)</f>
        <v>98549000</v>
      </c>
      <c r="AA1275" s="11">
        <f t="shared" si="39"/>
        <v>0</v>
      </c>
      <c r="AB1275" s="11">
        <v>2041</v>
      </c>
      <c r="AC1275" s="11">
        <v>2041</v>
      </c>
      <c r="AD1275" s="11">
        <v>2041</v>
      </c>
      <c r="AE1275" s="11">
        <v>2041</v>
      </c>
      <c r="AF1275" s="11">
        <v>0</v>
      </c>
      <c r="AG1275" s="19">
        <f>ROUND((Z1275*'Data-CostAssumptions'!$G$5)*(1+'Data-CostAssumptions'!$G$3)^(AC1275-'Data-CostAssumptions'!$G$4),-3)</f>
        <v>55588000</v>
      </c>
      <c r="AH1275" s="19">
        <f>ROUND((Z1275)*(1+'Data-CostAssumptions'!$G$3)^(AE1275-'Data-CostAssumptions'!$G$4),-3)</f>
        <v>252675000</v>
      </c>
    </row>
    <row r="1276" spans="1:39" ht="15" customHeight="1" x14ac:dyDescent="0.2">
      <c r="A1276" s="11" t="s">
        <v>1057</v>
      </c>
      <c r="B1276" s="11" t="s">
        <v>1211</v>
      </c>
      <c r="C1276" s="11">
        <v>13155</v>
      </c>
      <c r="D1276" s="84" t="s">
        <v>1732</v>
      </c>
      <c r="E1276" s="14"/>
      <c r="F1276" s="14"/>
      <c r="G1276" s="20">
        <v>1277</v>
      </c>
      <c r="H1276" s="13" t="s">
        <v>2812</v>
      </c>
      <c r="I1276" s="13" t="str">
        <f t="shared" si="38"/>
        <v>SR5/US 1 (Broward County Transit Hub to Aventura Mall Hub)</v>
      </c>
      <c r="J1276" s="84" t="s">
        <v>347</v>
      </c>
      <c r="K1276" s="13" t="str">
        <f>VLOOKUP(J1276,'Data-ProjectTypes'!A$3:B$13,2,FALSE)</f>
        <v>Project</v>
      </c>
      <c r="L1276" s="85" t="s">
        <v>1059</v>
      </c>
      <c r="M1276" s="85" t="s">
        <v>1043</v>
      </c>
      <c r="N1276" s="84" t="s">
        <v>1063</v>
      </c>
      <c r="O1276" s="84" t="s">
        <v>270</v>
      </c>
      <c r="P1276" s="85" t="s">
        <v>270</v>
      </c>
      <c r="Q1276" s="15"/>
      <c r="R1276" s="16">
        <v>10000000</v>
      </c>
      <c r="S1276" s="11"/>
      <c r="T1276" s="11"/>
      <c r="U1276" s="11"/>
      <c r="V1276" s="11"/>
      <c r="W1276" s="11"/>
      <c r="X1276" s="11"/>
      <c r="Z1276" s="18">
        <f>ROUND(R1276*'Data-CostAssumptions'!$C$8,-3)</f>
        <v>10000000</v>
      </c>
      <c r="AA1276" s="11">
        <f t="shared" si="39"/>
        <v>0</v>
      </c>
      <c r="AB1276" s="11">
        <v>2041</v>
      </c>
      <c r="AC1276" s="11">
        <v>2041</v>
      </c>
      <c r="AD1276" s="11">
        <v>2041</v>
      </c>
      <c r="AE1276" s="11">
        <v>2041</v>
      </c>
      <c r="AF1276" s="11">
        <v>0</v>
      </c>
      <c r="AG1276" s="19">
        <f>ROUND((Z1276*'Data-CostAssumptions'!$G$5)*(1+'Data-CostAssumptions'!$G$3)^(AC1276-'Data-CostAssumptions'!$G$4),-3)</f>
        <v>5641000</v>
      </c>
      <c r="AH1276" s="19">
        <f>ROUND((Z1276)*(1+'Data-CostAssumptions'!$G$3)^(AE1276-'Data-CostAssumptions'!$G$4),-3)</f>
        <v>25639000</v>
      </c>
    </row>
    <row r="1277" spans="1:39" ht="15" customHeight="1" x14ac:dyDescent="0.2">
      <c r="A1277" s="11" t="s">
        <v>1056</v>
      </c>
      <c r="B1277" s="11" t="s">
        <v>1213</v>
      </c>
      <c r="C1277" s="11">
        <v>13154</v>
      </c>
      <c r="D1277" s="84" t="s">
        <v>1732</v>
      </c>
      <c r="E1277" s="14"/>
      <c r="F1277" s="14"/>
      <c r="G1277" s="20">
        <v>1278</v>
      </c>
      <c r="H1277" s="13" t="s">
        <v>1058</v>
      </c>
      <c r="I1277" s="13" t="str">
        <f t="shared" si="38"/>
        <v>Support Hub to Hub (Port Everglades to Fort Lauderdale International Airport)</v>
      </c>
      <c r="J1277" s="84" t="s">
        <v>347</v>
      </c>
      <c r="K1277" s="13" t="str">
        <f>VLOOKUP(J1277,'Data-ProjectTypes'!A$3:B$13,2,FALSE)</f>
        <v>Project</v>
      </c>
      <c r="L1277" s="85" t="s">
        <v>1060</v>
      </c>
      <c r="M1277" s="85" t="s">
        <v>183</v>
      </c>
      <c r="N1277" s="84" t="s">
        <v>1062</v>
      </c>
      <c r="O1277" s="84" t="s">
        <v>270</v>
      </c>
      <c r="P1277" s="85" t="s">
        <v>270</v>
      </c>
      <c r="Q1277" s="15"/>
      <c r="R1277" s="16">
        <v>839880000</v>
      </c>
      <c r="S1277" s="11"/>
      <c r="T1277" s="11"/>
      <c r="U1277" s="11"/>
      <c r="V1277" s="11"/>
      <c r="W1277" s="11"/>
      <c r="X1277" s="11"/>
      <c r="Y1277" s="12" t="s">
        <v>1210</v>
      </c>
      <c r="Z1277" s="18">
        <f>ROUND(R1277*'Data-CostAssumptions'!$C$8,-3)</f>
        <v>839880000</v>
      </c>
      <c r="AA1277" s="11">
        <f t="shared" si="39"/>
        <v>0</v>
      </c>
      <c r="AB1277" s="11">
        <v>2041</v>
      </c>
      <c r="AC1277" s="11">
        <v>2041</v>
      </c>
      <c r="AD1277" s="11">
        <v>2041</v>
      </c>
      <c r="AE1277" s="11">
        <v>2041</v>
      </c>
      <c r="AF1277" s="11">
        <v>0</v>
      </c>
      <c r="AG1277" s="19">
        <f>ROUND((Z1277*'Data-CostAssumptions'!$G$5)*(1+'Data-CostAssumptions'!$G$3)^(AC1277-'Data-CostAssumptions'!$G$4),-3)</f>
        <v>473750000</v>
      </c>
      <c r="AH1277" s="19">
        <f>ROUND((Z1277)*(1+'Data-CostAssumptions'!$G$3)^(AE1277-'Data-CostAssumptions'!$G$4),-3)</f>
        <v>2153409000</v>
      </c>
    </row>
    <row r="1278" spans="1:39" ht="15" customHeight="1" x14ac:dyDescent="0.2">
      <c r="A1278" s="11" t="s">
        <v>953</v>
      </c>
      <c r="B1278" s="11" t="s">
        <v>1211</v>
      </c>
      <c r="C1278" s="11">
        <v>13092</v>
      </c>
      <c r="D1278" s="84" t="s">
        <v>1732</v>
      </c>
      <c r="E1278" s="14"/>
      <c r="F1278" s="14"/>
      <c r="G1278" s="20">
        <v>1279</v>
      </c>
      <c r="H1278" s="13" t="s">
        <v>933</v>
      </c>
      <c r="I1278" s="13" t="str">
        <f t="shared" si="38"/>
        <v>Tri-Rail Station (@  Deerfield Beach Tri-Rail Station)</v>
      </c>
      <c r="J1278" s="84" t="s">
        <v>347</v>
      </c>
      <c r="K1278" s="13" t="str">
        <f>VLOOKUP(J1278,'Data-ProjectTypes'!A$3:B$13,2,FALSE)</f>
        <v>Project</v>
      </c>
      <c r="L1278" s="85" t="s">
        <v>957</v>
      </c>
      <c r="M1278" s="96" t="s">
        <v>2835</v>
      </c>
      <c r="N1278" s="85" t="s">
        <v>227</v>
      </c>
      <c r="O1278" s="84" t="s">
        <v>270</v>
      </c>
      <c r="P1278" s="85" t="s">
        <v>270</v>
      </c>
      <c r="Q1278" s="15"/>
      <c r="R1278" s="16">
        <v>19369000</v>
      </c>
      <c r="S1278" s="11"/>
      <c r="T1278" s="11"/>
      <c r="U1278" s="11"/>
      <c r="V1278" s="11"/>
      <c r="W1278" s="11"/>
      <c r="X1278" s="11"/>
      <c r="Z1278" s="18">
        <f>ROUND(R1278*'Data-CostAssumptions'!$C$8,-3)</f>
        <v>19369000</v>
      </c>
      <c r="AA1278" s="11">
        <f t="shared" si="39"/>
        <v>0</v>
      </c>
      <c r="AB1278" s="11">
        <v>2041</v>
      </c>
      <c r="AC1278" s="11">
        <v>2041</v>
      </c>
      <c r="AD1278" s="11">
        <v>2041</v>
      </c>
      <c r="AE1278" s="11">
        <v>2041</v>
      </c>
      <c r="AF1278" s="11">
        <v>0</v>
      </c>
      <c r="AG1278" s="19">
        <f>ROUND((Z1278*'Data-CostAssumptions'!$G$5)*(1+'Data-CostAssumptions'!$G$3)^(AC1278-'Data-CostAssumptions'!$G$4),-3)</f>
        <v>10925000</v>
      </c>
      <c r="AH1278" s="19">
        <f>ROUND((Z1278)*(1+'Data-CostAssumptions'!$G$3)^(AE1278-'Data-CostAssumptions'!$G$4),-3)</f>
        <v>49661000</v>
      </c>
    </row>
    <row r="1279" spans="1:39" ht="15" customHeight="1" x14ac:dyDescent="0.2">
      <c r="A1279" s="11" t="s">
        <v>954</v>
      </c>
      <c r="B1279" s="11" t="s">
        <v>1211</v>
      </c>
      <c r="C1279" s="11">
        <v>13093</v>
      </c>
      <c r="D1279" s="84" t="s">
        <v>1732</v>
      </c>
      <c r="E1279" s="14"/>
      <c r="F1279" s="14"/>
      <c r="G1279" s="20">
        <v>1280</v>
      </c>
      <c r="H1279" s="13" t="s">
        <v>933</v>
      </c>
      <c r="I1279" s="13" t="str">
        <f t="shared" si="38"/>
        <v>Tri-Rail Station (@  Hollywood Tri-Rail Station)</v>
      </c>
      <c r="J1279" s="84" t="s">
        <v>347</v>
      </c>
      <c r="K1279" s="13" t="str">
        <f>VLOOKUP(J1279,'Data-ProjectTypes'!A$3:B$13,2,FALSE)</f>
        <v>Project</v>
      </c>
      <c r="L1279" s="85" t="s">
        <v>957</v>
      </c>
      <c r="M1279" s="96" t="s">
        <v>2835</v>
      </c>
      <c r="N1279" s="85" t="s">
        <v>2889</v>
      </c>
      <c r="O1279" s="84" t="s">
        <v>270</v>
      </c>
      <c r="P1279" s="85" t="s">
        <v>270</v>
      </c>
      <c r="Q1279" s="15"/>
      <c r="R1279" s="16">
        <v>19145000</v>
      </c>
      <c r="S1279" s="11"/>
      <c r="T1279" s="11"/>
      <c r="U1279" s="11"/>
      <c r="V1279" s="11"/>
      <c r="W1279" s="11"/>
      <c r="X1279" s="11"/>
      <c r="Z1279" s="18">
        <f>ROUND(R1279*'Data-CostAssumptions'!$C$8,-3)</f>
        <v>19145000</v>
      </c>
      <c r="AA1279" s="11">
        <f t="shared" si="39"/>
        <v>0</v>
      </c>
      <c r="AB1279" s="11">
        <v>2041</v>
      </c>
      <c r="AC1279" s="11">
        <v>2041</v>
      </c>
      <c r="AD1279" s="11">
        <v>2041</v>
      </c>
      <c r="AE1279" s="11">
        <v>2041</v>
      </c>
      <c r="AF1279" s="11">
        <v>0</v>
      </c>
      <c r="AG1279" s="19">
        <f>ROUND((Z1279*'Data-CostAssumptions'!$G$5)*(1+'Data-CostAssumptions'!$G$3)^(AC1279-'Data-CostAssumptions'!$G$4),-3)</f>
        <v>10799000</v>
      </c>
      <c r="AH1279" s="19">
        <f>ROUND((Z1279)*(1+'Data-CostAssumptions'!$G$3)^(AE1279-'Data-CostAssumptions'!$G$4),-3)</f>
        <v>49087000</v>
      </c>
    </row>
    <row r="1280" spans="1:39" ht="15" customHeight="1" x14ac:dyDescent="0.2">
      <c r="A1280" s="11" t="s">
        <v>955</v>
      </c>
      <c r="B1280" s="11" t="s">
        <v>1211</v>
      </c>
      <c r="C1280" s="11">
        <v>13094</v>
      </c>
      <c r="D1280" s="84" t="s">
        <v>1732</v>
      </c>
      <c r="E1280" s="14"/>
      <c r="F1280" s="14"/>
      <c r="G1280" s="20">
        <v>1281</v>
      </c>
      <c r="H1280" s="13" t="s">
        <v>933</v>
      </c>
      <c r="I1280" s="13" t="str">
        <f t="shared" ref="I1280:I1341" si="40">IF(M1280="@",H1280&amp;" ("&amp;M1280&amp;"  "&amp;N1280&amp;")",H1280&amp;" ("&amp;M1280&amp;" to "&amp;N1280&amp;")")</f>
        <v>Tri-Rail Station (@  Pompano Beach Tr-Rail Station)</v>
      </c>
      <c r="J1280" s="84" t="s">
        <v>347</v>
      </c>
      <c r="K1280" s="13" t="str">
        <f>VLOOKUP(J1280,'Data-ProjectTypes'!A$3:B$13,2,FALSE)</f>
        <v>Project</v>
      </c>
      <c r="L1280" s="85" t="s">
        <v>957</v>
      </c>
      <c r="M1280" s="96" t="s">
        <v>2835</v>
      </c>
      <c r="N1280" s="85" t="s">
        <v>2890</v>
      </c>
      <c r="O1280" s="84" t="s">
        <v>270</v>
      </c>
      <c r="P1280" s="85" t="s">
        <v>270</v>
      </c>
      <c r="Q1280" s="15"/>
      <c r="R1280" s="16">
        <v>7899000</v>
      </c>
      <c r="S1280" s="11"/>
      <c r="T1280" s="11"/>
      <c r="U1280" s="11"/>
      <c r="V1280" s="11"/>
      <c r="W1280" s="11"/>
      <c r="X1280" s="11"/>
      <c r="Z1280" s="18">
        <f>ROUND(R1280*'Data-CostAssumptions'!$C$8,-3)</f>
        <v>7899000</v>
      </c>
      <c r="AA1280" s="11">
        <f t="shared" si="39"/>
        <v>0</v>
      </c>
      <c r="AB1280" s="11">
        <v>2041</v>
      </c>
      <c r="AC1280" s="11">
        <v>2041</v>
      </c>
      <c r="AD1280" s="11">
        <v>2041</v>
      </c>
      <c r="AE1280" s="11">
        <v>2041</v>
      </c>
      <c r="AF1280" s="11">
        <v>0</v>
      </c>
      <c r="AG1280" s="19">
        <f>ROUND((Z1280*'Data-CostAssumptions'!$G$5)*(1+'Data-CostAssumptions'!$G$3)^(AC1280-'Data-CostAssumptions'!$G$4),-3)</f>
        <v>4456000</v>
      </c>
      <c r="AH1280" s="19">
        <f>ROUND((Z1280)*(1+'Data-CostAssumptions'!$G$3)^(AE1280-'Data-CostAssumptions'!$G$4),-3)</f>
        <v>20253000</v>
      </c>
    </row>
    <row r="1281" spans="1:34" ht="15" customHeight="1" x14ac:dyDescent="0.2">
      <c r="A1281" s="11" t="s">
        <v>1048</v>
      </c>
      <c r="B1281" s="11" t="s">
        <v>1211</v>
      </c>
      <c r="C1281" s="11">
        <v>13150</v>
      </c>
      <c r="D1281" s="84" t="s">
        <v>1732</v>
      </c>
      <c r="E1281" s="14"/>
      <c r="F1281" s="14"/>
      <c r="G1281" s="20">
        <v>1283</v>
      </c>
      <c r="H1281" s="13" t="s">
        <v>2998</v>
      </c>
      <c r="I1281" s="13" t="str">
        <f t="shared" si="40"/>
        <v>Wave Streetcar Connector  (Griffin Rd Tri-Rail Station to Broward County Transit Hub)</v>
      </c>
      <c r="J1281" s="84" t="s">
        <v>347</v>
      </c>
      <c r="K1281" s="13" t="str">
        <f>VLOOKUP(J1281,'Data-ProjectTypes'!A$3:B$13,2,FALSE)</f>
        <v>Project</v>
      </c>
      <c r="L1281" s="85" t="s">
        <v>2849</v>
      </c>
      <c r="M1281" s="85" t="s">
        <v>2411</v>
      </c>
      <c r="N1281" s="84" t="s">
        <v>1043</v>
      </c>
      <c r="O1281" s="84" t="s">
        <v>270</v>
      </c>
      <c r="P1281" s="85" t="s">
        <v>270</v>
      </c>
      <c r="Q1281" s="15"/>
      <c r="R1281" s="16">
        <v>150000000</v>
      </c>
      <c r="S1281" s="11"/>
      <c r="T1281" s="11"/>
      <c r="U1281" s="11"/>
      <c r="V1281" s="11"/>
      <c r="W1281" s="11"/>
      <c r="X1281" s="11"/>
      <c r="Z1281" s="18">
        <f>ROUND(R1281*'Data-CostAssumptions'!$C$16,-3)</f>
        <v>150000000</v>
      </c>
      <c r="AA1281" s="11">
        <f t="shared" ref="AA1281:AA1342" si="41">IF(V1281="",IF(W1281="",0,1),1)</f>
        <v>0</v>
      </c>
      <c r="AB1281" s="11">
        <v>2010</v>
      </c>
      <c r="AC1281" s="11">
        <v>2011</v>
      </c>
      <c r="AD1281" s="11">
        <v>2015</v>
      </c>
      <c r="AE1281" s="11">
        <v>2015</v>
      </c>
      <c r="AF1281" s="11">
        <v>0</v>
      </c>
      <c r="AG1281" s="19">
        <f>ROUND((Z1281*'Data-CostAssumptions'!$G$5)*(1+'Data-CostAssumptions'!$G$3)^(AC1281-'Data-CostAssumptions'!$G$4),-3)</f>
        <v>31946000</v>
      </c>
      <c r="AH1281" s="19">
        <f>ROUND((Z1281)*(1+'Data-CostAssumptions'!$G$3)^(AE1281-'Data-CostAssumptions'!$G$4),-3)</f>
        <v>165345000</v>
      </c>
    </row>
    <row r="1282" spans="1:34" ht="15" customHeight="1" x14ac:dyDescent="0.2">
      <c r="A1282" s="11" t="s">
        <v>1072</v>
      </c>
      <c r="B1282" s="11" t="s">
        <v>1211</v>
      </c>
      <c r="C1282" s="11">
        <v>13500</v>
      </c>
      <c r="D1282" s="84" t="s">
        <v>1733</v>
      </c>
      <c r="E1282" s="14"/>
      <c r="F1282" s="14"/>
      <c r="G1282" s="20">
        <v>1284</v>
      </c>
      <c r="H1282" s="13" t="s">
        <v>2732</v>
      </c>
      <c r="I1282" s="13" t="str">
        <f t="shared" si="40"/>
        <v>SR 91/Florida's Turnpike (MP59 / N. of Sunrise Bl. (NB) to MP66 / N. of Atlantic Bl. (NB))</v>
      </c>
      <c r="J1282" s="84" t="s">
        <v>300</v>
      </c>
      <c r="K1282" s="13" t="str">
        <f>VLOOKUP(J1282,'Data-ProjectTypes'!A$3:B$13,2,FALSE)</f>
        <v>Project</v>
      </c>
      <c r="L1282" s="85" t="s">
        <v>1074</v>
      </c>
      <c r="M1282" s="11" t="s">
        <v>2946</v>
      </c>
      <c r="N1282" s="11" t="s">
        <v>2949</v>
      </c>
      <c r="O1282" s="84" t="s">
        <v>1102</v>
      </c>
      <c r="P1282" s="84" t="s">
        <v>1102</v>
      </c>
      <c r="Q1282" s="15">
        <v>7</v>
      </c>
      <c r="R1282" s="16">
        <v>27000000</v>
      </c>
      <c r="S1282" s="11"/>
      <c r="T1282" s="11"/>
      <c r="U1282" s="11"/>
      <c r="V1282" s="11"/>
      <c r="W1282" s="11"/>
      <c r="X1282" s="11"/>
      <c r="Y1282" s="103"/>
      <c r="Z1282" s="18">
        <f>ROUND(R1282*'Data-CostAssumptions'!$C$8,-3)</f>
        <v>27000000</v>
      </c>
      <c r="AA1282" s="11">
        <f t="shared" si="41"/>
        <v>0</v>
      </c>
      <c r="AB1282" s="11">
        <v>2041</v>
      </c>
      <c r="AC1282" s="11">
        <v>2041</v>
      </c>
      <c r="AD1282" s="11">
        <v>2041</v>
      </c>
      <c r="AE1282" s="11">
        <v>2041</v>
      </c>
      <c r="AF1282" s="11">
        <v>0</v>
      </c>
      <c r="AG1282" s="19">
        <f>ROUND((Z1282*'Data-CostAssumptions'!$G$5)*(1+'Data-CostAssumptions'!$G$3)^(AC1282-'Data-CostAssumptions'!$G$4),-3)</f>
        <v>15230000</v>
      </c>
      <c r="AH1282" s="19">
        <f>ROUND((Z1282)*(1+'Data-CostAssumptions'!$G$3)^(AE1282-'Data-CostAssumptions'!$G$4),-3)</f>
        <v>69227000</v>
      </c>
    </row>
    <row r="1283" spans="1:34" ht="15" customHeight="1" x14ac:dyDescent="0.2">
      <c r="A1283" s="11" t="s">
        <v>1073</v>
      </c>
      <c r="B1283" s="11" t="s">
        <v>1211</v>
      </c>
      <c r="C1283" s="11">
        <v>13501</v>
      </c>
      <c r="D1283" s="84" t="s">
        <v>1733</v>
      </c>
      <c r="E1283" s="14"/>
      <c r="F1283" s="14"/>
      <c r="G1283" s="20">
        <v>1285</v>
      </c>
      <c r="H1283" s="13" t="s">
        <v>2732</v>
      </c>
      <c r="I1283" s="13" t="str">
        <f t="shared" si="40"/>
        <v>SR 91/Florida's Turnpike (MP51 / N. of Johnson St to 53 / Griffin Rd)</v>
      </c>
      <c r="J1283" s="84" t="s">
        <v>300</v>
      </c>
      <c r="K1283" s="13" t="str">
        <f>VLOOKUP(J1283,'Data-ProjectTypes'!A$3:B$13,2,FALSE)</f>
        <v>Project</v>
      </c>
      <c r="L1283" s="85" t="s">
        <v>1075</v>
      </c>
      <c r="M1283" s="85" t="s">
        <v>2947</v>
      </c>
      <c r="N1283" s="84" t="s">
        <v>2462</v>
      </c>
      <c r="O1283" s="84" t="s">
        <v>1102</v>
      </c>
      <c r="P1283" s="84" t="s">
        <v>1102</v>
      </c>
      <c r="Q1283" s="15">
        <v>2</v>
      </c>
      <c r="R1283" s="16">
        <v>94500000</v>
      </c>
      <c r="S1283" s="11"/>
      <c r="T1283" s="11"/>
      <c r="U1283" s="11"/>
      <c r="V1283" s="11"/>
      <c r="W1283" s="11"/>
      <c r="X1283" s="11"/>
      <c r="Z1283" s="18">
        <f>ROUND(R1283*'Data-CostAssumptions'!$C$8,-3)</f>
        <v>94500000</v>
      </c>
      <c r="AA1283" s="11">
        <f t="shared" si="41"/>
        <v>0</v>
      </c>
      <c r="AB1283" s="11">
        <v>2041</v>
      </c>
      <c r="AC1283" s="11">
        <v>2041</v>
      </c>
      <c r="AD1283" s="11">
        <v>2041</v>
      </c>
      <c r="AE1283" s="11">
        <v>2041</v>
      </c>
      <c r="AF1283" s="11">
        <v>0</v>
      </c>
      <c r="AG1283" s="19">
        <f>ROUND((Z1283*'Data-CostAssumptions'!$G$5)*(1+'Data-CostAssumptions'!$G$3)^(AC1283-'Data-CostAssumptions'!$G$4),-3)</f>
        <v>53304000</v>
      </c>
      <c r="AH1283" s="19">
        <f>ROUND((Z1283)*(1+'Data-CostAssumptions'!$G$3)^(AE1283-'Data-CostAssumptions'!$G$4),-3)</f>
        <v>242293000</v>
      </c>
    </row>
    <row r="1284" spans="1:34" ht="15" customHeight="1" x14ac:dyDescent="0.2">
      <c r="A1284" s="11" t="s">
        <v>1076</v>
      </c>
      <c r="B1284" s="11" t="s">
        <v>1211</v>
      </c>
      <c r="C1284" s="11">
        <v>13502</v>
      </c>
      <c r="D1284" s="84" t="s">
        <v>1733</v>
      </c>
      <c r="E1284" s="14"/>
      <c r="F1284" s="14"/>
      <c r="G1284" s="20">
        <v>1286</v>
      </c>
      <c r="H1284" s="13" t="s">
        <v>2732</v>
      </c>
      <c r="I1284" s="13" t="str">
        <f t="shared" si="40"/>
        <v>SR 91/Florida's Turnpike (MP47 / HEFT to 51 / N. of Johnson St)</v>
      </c>
      <c r="J1284" s="84" t="s">
        <v>300</v>
      </c>
      <c r="K1284" s="13" t="str">
        <f>VLOOKUP(J1284,'Data-ProjectTypes'!A$3:B$13,2,FALSE)</f>
        <v>Project</v>
      </c>
      <c r="L1284" s="85" t="s">
        <v>1075</v>
      </c>
      <c r="M1284" s="85" t="s">
        <v>2948</v>
      </c>
      <c r="N1284" s="84" t="s">
        <v>2588</v>
      </c>
      <c r="O1284" s="84" t="s">
        <v>1102</v>
      </c>
      <c r="P1284" s="84" t="s">
        <v>1102</v>
      </c>
      <c r="Q1284" s="15">
        <v>4</v>
      </c>
      <c r="R1284" s="16">
        <v>51500000</v>
      </c>
      <c r="S1284" s="11"/>
      <c r="T1284" s="11"/>
      <c r="U1284" s="11"/>
      <c r="V1284" s="11"/>
      <c r="W1284" s="11"/>
      <c r="X1284" s="11"/>
      <c r="Y1284" s="12" t="s">
        <v>3006</v>
      </c>
      <c r="Z1284" s="18">
        <f>ROUND(R1284*'Data-CostAssumptions'!$C$8,-3)</f>
        <v>51500000</v>
      </c>
      <c r="AA1284" s="11">
        <f t="shared" si="41"/>
        <v>0</v>
      </c>
      <c r="AB1284" s="11">
        <v>2041</v>
      </c>
      <c r="AC1284" s="11">
        <v>2041</v>
      </c>
      <c r="AD1284" s="11">
        <v>2041</v>
      </c>
      <c r="AE1284" s="11">
        <v>2041</v>
      </c>
      <c r="AF1284" s="11">
        <v>0</v>
      </c>
      <c r="AG1284" s="19">
        <f>ROUND((Z1284*'Data-CostAssumptions'!$G$5)*(1+'Data-CostAssumptions'!$G$3)^(AC1284-'Data-CostAssumptions'!$G$4),-3)</f>
        <v>29050000</v>
      </c>
      <c r="AH1284" s="19">
        <f>ROUND((Z1284)*(1+'Data-CostAssumptions'!$G$3)^(AE1284-'Data-CostAssumptions'!$G$4),-3)</f>
        <v>132043000</v>
      </c>
    </row>
    <row r="1285" spans="1:34" ht="15" customHeight="1" x14ac:dyDescent="0.2">
      <c r="A1285" s="11" t="s">
        <v>1077</v>
      </c>
      <c r="B1285" s="11" t="s">
        <v>1211</v>
      </c>
      <c r="C1285" s="11">
        <v>13503</v>
      </c>
      <c r="D1285" s="84" t="s">
        <v>1733</v>
      </c>
      <c r="E1285" s="14"/>
      <c r="F1285" s="14"/>
      <c r="G1285" s="20">
        <v>1287</v>
      </c>
      <c r="H1285" s="13" t="s">
        <v>2732</v>
      </c>
      <c r="I1285" s="13" t="str">
        <f t="shared" si="40"/>
        <v>SR 91/Florida's Turnpike (MP 53/I-595 to MP 54/I-595)</v>
      </c>
      <c r="J1285" s="84" t="s">
        <v>300</v>
      </c>
      <c r="K1285" s="13" t="str">
        <f>VLOOKUP(J1285,'Data-ProjectTypes'!A$3:B$13,2,FALSE)</f>
        <v>Project</v>
      </c>
      <c r="L1285" s="85" t="s">
        <v>1078</v>
      </c>
      <c r="M1285" s="11" t="s">
        <v>2944</v>
      </c>
      <c r="N1285" s="11" t="s">
        <v>2945</v>
      </c>
      <c r="O1285" s="84" t="s">
        <v>1102</v>
      </c>
      <c r="P1285" s="84" t="s">
        <v>1102</v>
      </c>
      <c r="Q1285" s="15">
        <v>1</v>
      </c>
      <c r="R1285" s="16">
        <v>158000000</v>
      </c>
      <c r="S1285" s="11"/>
      <c r="T1285" s="11"/>
      <c r="U1285" s="11"/>
      <c r="V1285" s="11"/>
      <c r="W1285" s="11"/>
      <c r="X1285" s="11"/>
      <c r="Z1285" s="18">
        <f>ROUND(R1285*'Data-CostAssumptions'!$C$8,-3)</f>
        <v>158000000</v>
      </c>
      <c r="AA1285" s="11">
        <f t="shared" si="41"/>
        <v>0</v>
      </c>
      <c r="AB1285" s="11">
        <v>2041</v>
      </c>
      <c r="AC1285" s="11">
        <v>2041</v>
      </c>
      <c r="AD1285" s="11">
        <v>2041</v>
      </c>
      <c r="AE1285" s="11">
        <v>2041</v>
      </c>
      <c r="AF1285" s="11">
        <v>0</v>
      </c>
      <c r="AG1285" s="19">
        <f>ROUND((Z1285*'Data-CostAssumptions'!$G$5)*(1+'Data-CostAssumptions'!$G$3)^(AC1285-'Data-CostAssumptions'!$G$4),-3)</f>
        <v>89123000</v>
      </c>
      <c r="AH1285" s="19">
        <f>ROUND((Z1285)*(1+'Data-CostAssumptions'!$G$3)^(AE1285-'Data-CostAssumptions'!$G$4),-3)</f>
        <v>405104000</v>
      </c>
    </row>
    <row r="1286" spans="1:34" ht="15" customHeight="1" x14ac:dyDescent="0.2">
      <c r="A1286" s="11" t="s">
        <v>1080</v>
      </c>
      <c r="B1286" s="11" t="s">
        <v>1211</v>
      </c>
      <c r="C1286" s="11">
        <v>13505</v>
      </c>
      <c r="D1286" s="84" t="s">
        <v>1733</v>
      </c>
      <c r="E1286" s="14"/>
      <c r="F1286" s="14"/>
      <c r="G1286" s="20">
        <v>1289</v>
      </c>
      <c r="H1286" s="13" t="s">
        <v>2732</v>
      </c>
      <c r="I1286" s="13" t="str">
        <f t="shared" si="40"/>
        <v>SR 91/Florida's Turnpike (@  MP49 / Hollywood Bl.)</v>
      </c>
      <c r="J1286" s="84" t="s">
        <v>300</v>
      </c>
      <c r="K1286" s="13" t="str">
        <f>VLOOKUP(J1286,'Data-ProjectTypes'!A$3:B$13,2,FALSE)</f>
        <v>Project</v>
      </c>
      <c r="L1286" s="85" t="s">
        <v>1081</v>
      </c>
      <c r="M1286" s="11" t="s">
        <v>2835</v>
      </c>
      <c r="N1286" s="11" t="s">
        <v>2932</v>
      </c>
      <c r="O1286" s="84" t="s">
        <v>1102</v>
      </c>
      <c r="P1286" s="84" t="s">
        <v>1102</v>
      </c>
      <c r="Q1286" s="15">
        <v>0.5</v>
      </c>
      <c r="R1286" s="16">
        <v>77300000</v>
      </c>
      <c r="S1286" s="11"/>
      <c r="T1286" s="11"/>
      <c r="U1286" s="11"/>
      <c r="V1286" s="11"/>
      <c r="W1286" s="11"/>
      <c r="X1286" s="11"/>
      <c r="Z1286" s="18">
        <f>ROUND(R1286*'Data-CostAssumptions'!$C$8,-3)</f>
        <v>77300000</v>
      </c>
      <c r="AA1286" s="11">
        <f t="shared" si="41"/>
        <v>0</v>
      </c>
      <c r="AB1286" s="11">
        <v>2041</v>
      </c>
      <c r="AC1286" s="11">
        <v>2041</v>
      </c>
      <c r="AD1286" s="11">
        <v>2041</v>
      </c>
      <c r="AE1286" s="11">
        <v>2041</v>
      </c>
      <c r="AF1286" s="11">
        <v>0</v>
      </c>
      <c r="AG1286" s="19">
        <f>ROUND((Z1286*'Data-CostAssumptions'!$G$5)*(1+'Data-CostAssumptions'!$G$3)^(AC1286-'Data-CostAssumptions'!$G$4),-3)</f>
        <v>43603000</v>
      </c>
      <c r="AH1286" s="19">
        <f>ROUND((Z1286)*(1+'Data-CostAssumptions'!$G$3)^(AE1286-'Data-CostAssumptions'!$G$4),-3)</f>
        <v>198193000</v>
      </c>
    </row>
    <row r="1287" spans="1:34" ht="15" customHeight="1" x14ac:dyDescent="0.2">
      <c r="A1287" s="11" t="s">
        <v>1079</v>
      </c>
      <c r="B1287" s="11" t="s">
        <v>1211</v>
      </c>
      <c r="C1287" s="11">
        <v>13506</v>
      </c>
      <c r="D1287" s="84" t="s">
        <v>1733</v>
      </c>
      <c r="E1287" s="14"/>
      <c r="F1287" s="14"/>
      <c r="G1287" s="20">
        <v>1290</v>
      </c>
      <c r="H1287" s="13" t="s">
        <v>2732</v>
      </c>
      <c r="I1287" s="13" t="str">
        <f t="shared" si="40"/>
        <v>SR 91/Florida's Turnpike (@  MP47 / HEFT @ Mainline)</v>
      </c>
      <c r="J1287" s="84" t="s">
        <v>300</v>
      </c>
      <c r="K1287" s="13" t="str">
        <f>VLOOKUP(J1287,'Data-ProjectTypes'!A$3:B$13,2,FALSE)</f>
        <v>Project</v>
      </c>
      <c r="L1287" s="85" t="s">
        <v>1082</v>
      </c>
      <c r="M1287" s="11" t="s">
        <v>2835</v>
      </c>
      <c r="N1287" s="11" t="s">
        <v>2950</v>
      </c>
      <c r="O1287" s="84" t="s">
        <v>1102</v>
      </c>
      <c r="P1287" s="84" t="s">
        <v>1102</v>
      </c>
      <c r="Q1287" s="15">
        <v>0.5</v>
      </c>
      <c r="R1287" s="23">
        <v>25000000</v>
      </c>
      <c r="S1287" s="11"/>
      <c r="T1287" s="12" t="s">
        <v>3007</v>
      </c>
      <c r="U1287" s="11"/>
      <c r="V1287" s="11"/>
      <c r="W1287" s="11"/>
      <c r="X1287" s="11"/>
      <c r="Z1287" s="18">
        <f>ROUND(R1287*'Data-CostAssumptions'!$C$8,-3)</f>
        <v>25000000</v>
      </c>
      <c r="AA1287" s="11">
        <f t="shared" si="41"/>
        <v>0</v>
      </c>
      <c r="AB1287" s="11">
        <v>2041</v>
      </c>
      <c r="AC1287" s="11">
        <v>2041</v>
      </c>
      <c r="AD1287" s="11">
        <v>2041</v>
      </c>
      <c r="AE1287" s="11">
        <v>2041</v>
      </c>
      <c r="AF1287" s="11">
        <v>0</v>
      </c>
      <c r="AG1287" s="19">
        <f>ROUND((Z1287*'Data-CostAssumptions'!$G$5)*(1+'Data-CostAssumptions'!$G$3)^(AC1287-'Data-CostAssumptions'!$G$4),-3)</f>
        <v>14102000</v>
      </c>
      <c r="AH1287" s="19">
        <f>ROUND((Z1287)*(1+'Data-CostAssumptions'!$G$3)^(AE1287-'Data-CostAssumptions'!$G$4),-3)</f>
        <v>64099000</v>
      </c>
    </row>
    <row r="1288" spans="1:34" ht="15" customHeight="1" x14ac:dyDescent="0.2">
      <c r="A1288" s="11" t="s">
        <v>1083</v>
      </c>
      <c r="B1288" s="11" t="s">
        <v>1211</v>
      </c>
      <c r="C1288" s="11">
        <v>13507</v>
      </c>
      <c r="D1288" s="84" t="s">
        <v>1733</v>
      </c>
      <c r="E1288" s="14"/>
      <c r="F1288" s="14"/>
      <c r="G1288" s="20">
        <v>1291</v>
      </c>
      <c r="H1288" s="13" t="s">
        <v>2732</v>
      </c>
      <c r="I1288" s="13" t="str">
        <f t="shared" si="40"/>
        <v>SR 91/Florida's Turnpike (54-86 / Turnpike Mainline - 0-20  / Sawgrass Expressway to )</v>
      </c>
      <c r="J1288" s="84" t="s">
        <v>300</v>
      </c>
      <c r="K1288" s="13" t="str">
        <f>VLOOKUP(J1288,'Data-ProjectTypes'!A$3:B$13,2,FALSE)</f>
        <v>Project</v>
      </c>
      <c r="L1288" s="85" t="s">
        <v>1084</v>
      </c>
      <c r="M1288" s="11" t="s">
        <v>1085</v>
      </c>
      <c r="N1288" s="11"/>
      <c r="O1288" s="84" t="s">
        <v>1102</v>
      </c>
      <c r="P1288" s="84" t="s">
        <v>1102</v>
      </c>
      <c r="Q1288" s="15">
        <v>32</v>
      </c>
      <c r="R1288" s="16">
        <v>70100000</v>
      </c>
      <c r="S1288" s="11"/>
      <c r="T1288" s="11"/>
      <c r="U1288" s="11"/>
      <c r="V1288" s="11"/>
      <c r="W1288" s="11"/>
      <c r="X1288" s="11"/>
      <c r="Z1288" s="18">
        <f>ROUND(R1288*'Data-CostAssumptions'!$C$8,-3)</f>
        <v>70100000</v>
      </c>
      <c r="AA1288" s="11">
        <f t="shared" si="41"/>
        <v>0</v>
      </c>
      <c r="AB1288" s="11">
        <v>2041</v>
      </c>
      <c r="AC1288" s="11">
        <v>2041</v>
      </c>
      <c r="AD1288" s="11">
        <v>2041</v>
      </c>
      <c r="AE1288" s="11">
        <v>2041</v>
      </c>
      <c r="AF1288" s="11">
        <v>0</v>
      </c>
      <c r="AG1288" s="19">
        <f>ROUND((Z1288*'Data-CostAssumptions'!$G$5)*(1+'Data-CostAssumptions'!$G$3)^(AC1288-'Data-CostAssumptions'!$G$4),-3)</f>
        <v>39541000</v>
      </c>
      <c r="AH1288" s="19">
        <f>ROUND((Z1288)*(1+'Data-CostAssumptions'!$G$3)^(AE1288-'Data-CostAssumptions'!$G$4),-3)</f>
        <v>179733000</v>
      </c>
    </row>
    <row r="1289" spans="1:34" ht="15" customHeight="1" x14ac:dyDescent="0.2">
      <c r="A1289" s="11" t="s">
        <v>1079</v>
      </c>
      <c r="B1289" s="11" t="s">
        <v>1211</v>
      </c>
      <c r="C1289" s="11">
        <v>13508</v>
      </c>
      <c r="D1289" s="84" t="s">
        <v>1733</v>
      </c>
      <c r="E1289" s="14"/>
      <c r="F1289" s="14"/>
      <c r="G1289" s="20">
        <v>1292</v>
      </c>
      <c r="H1289" s="13" t="s">
        <v>2732</v>
      </c>
      <c r="I1289" s="13" t="str">
        <f t="shared" si="40"/>
        <v>SR 91/Florida's Turnpike (OX - 53 / Turnpike, Golden Glades to Griffin Rd. - All Plazas to )</v>
      </c>
      <c r="J1289" s="84" t="s">
        <v>300</v>
      </c>
      <c r="K1289" s="13" t="str">
        <f>VLOOKUP(J1289,'Data-ProjectTypes'!A$3:B$13,2,FALSE)</f>
        <v>Project</v>
      </c>
      <c r="L1289" s="85" t="s">
        <v>1086</v>
      </c>
      <c r="M1289" s="11" t="s">
        <v>1087</v>
      </c>
      <c r="N1289" s="11"/>
      <c r="O1289" s="84" t="s">
        <v>1102</v>
      </c>
      <c r="P1289" s="84" t="s">
        <v>1102</v>
      </c>
      <c r="Q1289" s="15">
        <v>33</v>
      </c>
      <c r="R1289" s="16">
        <v>27100000</v>
      </c>
      <c r="S1289" s="11"/>
      <c r="T1289" s="11"/>
      <c r="U1289" s="11"/>
      <c r="V1289" s="11"/>
      <c r="W1289" s="11"/>
      <c r="X1289" s="11"/>
      <c r="Z1289" s="18">
        <f>ROUND(R1289*'Data-CostAssumptions'!$C$8,-3)</f>
        <v>27100000</v>
      </c>
      <c r="AA1289" s="11">
        <f t="shared" si="41"/>
        <v>0</v>
      </c>
      <c r="AB1289" s="11">
        <v>2041</v>
      </c>
      <c r="AC1289" s="11">
        <v>2041</v>
      </c>
      <c r="AD1289" s="11">
        <v>2041</v>
      </c>
      <c r="AE1289" s="11">
        <v>2041</v>
      </c>
      <c r="AF1289" s="11">
        <v>0</v>
      </c>
      <c r="AG1289" s="19">
        <f>ROUND((Z1289*'Data-CostAssumptions'!$G$5)*(1+'Data-CostAssumptions'!$G$3)^(AC1289-'Data-CostAssumptions'!$G$4),-3)</f>
        <v>15286000</v>
      </c>
      <c r="AH1289" s="19">
        <f>ROUND((Z1289)*(1+'Data-CostAssumptions'!$G$3)^(AE1289-'Data-CostAssumptions'!$G$4),-3)</f>
        <v>69483000</v>
      </c>
    </row>
    <row r="1290" spans="1:34" ht="15" customHeight="1" x14ac:dyDescent="0.2">
      <c r="A1290" s="11" t="s">
        <v>1088</v>
      </c>
      <c r="B1290" s="11" t="s">
        <v>1211</v>
      </c>
      <c r="C1290" s="11">
        <v>13509</v>
      </c>
      <c r="D1290" s="84" t="s">
        <v>1733</v>
      </c>
      <c r="E1290" s="14"/>
      <c r="F1290" s="14"/>
      <c r="G1290" s="20">
        <v>1293</v>
      </c>
      <c r="H1290" s="13" t="s">
        <v>2732</v>
      </c>
      <c r="I1290" s="13" t="str">
        <f t="shared" si="40"/>
        <v>SR 91/Florida's Turnpike (26-47 / HEFT, from S.R. 836 to Turnpike Mainline - All Plazas to )</v>
      </c>
      <c r="J1290" s="84" t="s">
        <v>300</v>
      </c>
      <c r="K1290" s="13" t="str">
        <f>VLOOKUP(J1290,'Data-ProjectTypes'!A$3:B$13,2,FALSE)</f>
        <v>Project</v>
      </c>
      <c r="L1290" s="85" t="s">
        <v>1089</v>
      </c>
      <c r="M1290" s="11" t="s">
        <v>1090</v>
      </c>
      <c r="N1290" s="11"/>
      <c r="O1290" s="84" t="s">
        <v>1102</v>
      </c>
      <c r="P1290" s="84" t="s">
        <v>1102</v>
      </c>
      <c r="Q1290" s="15">
        <v>21</v>
      </c>
      <c r="R1290" s="16">
        <v>24900000</v>
      </c>
      <c r="S1290" s="11"/>
      <c r="T1290" s="11"/>
      <c r="U1290" s="11"/>
      <c r="V1290" s="11"/>
      <c r="W1290" s="11"/>
      <c r="X1290" s="11"/>
      <c r="Z1290" s="18">
        <f>ROUND(R1290*'Data-CostAssumptions'!$C$8,-3)</f>
        <v>24900000</v>
      </c>
      <c r="AA1290" s="11">
        <f t="shared" si="41"/>
        <v>0</v>
      </c>
      <c r="AB1290" s="11">
        <v>2041</v>
      </c>
      <c r="AC1290" s="11">
        <v>2041</v>
      </c>
      <c r="AD1290" s="11">
        <v>2041</v>
      </c>
      <c r="AE1290" s="11">
        <v>2041</v>
      </c>
      <c r="AF1290" s="11">
        <v>0</v>
      </c>
      <c r="AG1290" s="19">
        <f>ROUND((Z1290*'Data-CostAssumptions'!$G$5)*(1+'Data-CostAssumptions'!$G$3)^(AC1290-'Data-CostAssumptions'!$G$4),-3)</f>
        <v>14045000</v>
      </c>
      <c r="AH1290" s="19">
        <f>ROUND((Z1290)*(1+'Data-CostAssumptions'!$G$3)^(AE1290-'Data-CostAssumptions'!$G$4),-3)</f>
        <v>63842000</v>
      </c>
    </row>
    <row r="1291" spans="1:34" ht="15" customHeight="1" x14ac:dyDescent="0.2">
      <c r="A1291" s="11" t="s">
        <v>1091</v>
      </c>
      <c r="B1291" s="11" t="s">
        <v>1211</v>
      </c>
      <c r="C1291" s="11">
        <v>13510</v>
      </c>
      <c r="D1291" s="84" t="s">
        <v>1733</v>
      </c>
      <c r="E1291" s="14"/>
      <c r="F1291" s="14"/>
      <c r="G1291" s="20">
        <v>1294</v>
      </c>
      <c r="H1291" s="13" t="s">
        <v>2732</v>
      </c>
      <c r="I1291" s="13" t="str">
        <f t="shared" si="40"/>
        <v>SR 91/Florida's Turnpike (71 / Sawgrass Expwy to 73 / Palm Bch. Co. Line)</v>
      </c>
      <c r="J1291" s="84" t="s">
        <v>300</v>
      </c>
      <c r="K1291" s="13" t="str">
        <f>VLOOKUP(J1291,'Data-ProjectTypes'!A$3:B$13,2,FALSE)</f>
        <v>Project</v>
      </c>
      <c r="L1291" s="85" t="s">
        <v>1075</v>
      </c>
      <c r="M1291" s="11" t="s">
        <v>1093</v>
      </c>
      <c r="N1291" s="11" t="s">
        <v>1092</v>
      </c>
      <c r="O1291" s="84" t="s">
        <v>1102</v>
      </c>
      <c r="P1291" s="84" t="s">
        <v>1102</v>
      </c>
      <c r="Q1291" s="15">
        <v>2</v>
      </c>
      <c r="R1291" s="23">
        <f>+Q1291*12875000</f>
        <v>25750000</v>
      </c>
      <c r="S1291" s="11"/>
      <c r="T1291" s="11"/>
      <c r="U1291" s="11"/>
      <c r="V1291" s="11"/>
      <c r="W1291" s="11"/>
      <c r="X1291" s="11"/>
      <c r="Y1291" s="12" t="s">
        <v>3006</v>
      </c>
      <c r="Z1291" s="18">
        <f>ROUND(R1291*'Data-CostAssumptions'!$C$8,-3)</f>
        <v>25750000</v>
      </c>
      <c r="AA1291" s="11">
        <f t="shared" si="41"/>
        <v>0</v>
      </c>
      <c r="AB1291" s="11">
        <v>2041</v>
      </c>
      <c r="AC1291" s="11">
        <v>2041</v>
      </c>
      <c r="AD1291" s="11">
        <v>2041</v>
      </c>
      <c r="AE1291" s="11">
        <v>2041</v>
      </c>
      <c r="AF1291" s="11">
        <v>0</v>
      </c>
      <c r="AG1291" s="19">
        <f>ROUND((Z1291*'Data-CostAssumptions'!$G$5)*(1+'Data-CostAssumptions'!$G$3)^(AC1291-'Data-CostAssumptions'!$G$4),-3)</f>
        <v>14525000</v>
      </c>
      <c r="AH1291" s="19">
        <f>ROUND((Z1291)*(1+'Data-CostAssumptions'!$G$3)^(AE1291-'Data-CostAssumptions'!$G$4),-3)</f>
        <v>66022000</v>
      </c>
    </row>
    <row r="1292" spans="1:34" ht="15" customHeight="1" x14ac:dyDescent="0.2">
      <c r="A1292" s="11" t="s">
        <v>1094</v>
      </c>
      <c r="B1292" s="11" t="s">
        <v>1211</v>
      </c>
      <c r="C1292" s="11">
        <v>13511</v>
      </c>
      <c r="D1292" s="84" t="s">
        <v>1733</v>
      </c>
      <c r="E1292" s="14"/>
      <c r="F1292" s="14"/>
      <c r="G1292" s="20">
        <v>1295</v>
      </c>
      <c r="H1292" s="13" t="s">
        <v>2732</v>
      </c>
      <c r="I1292" s="13" t="str">
        <f t="shared" si="40"/>
        <v>SR 91/Florida's Turnpike (66 / N. of Atlantic Bl. to 71 / Sawgrass Expwy)</v>
      </c>
      <c r="J1292" s="84" t="s">
        <v>300</v>
      </c>
      <c r="K1292" s="13" t="str">
        <f>VLOOKUP(J1292,'Data-ProjectTypes'!A$3:B$13,2,FALSE)</f>
        <v>Project</v>
      </c>
      <c r="L1292" s="85" t="s">
        <v>1075</v>
      </c>
      <c r="M1292" s="11" t="s">
        <v>2320</v>
      </c>
      <c r="N1292" s="11" t="s">
        <v>1093</v>
      </c>
      <c r="O1292" s="84" t="s">
        <v>1102</v>
      </c>
      <c r="P1292" s="84" t="s">
        <v>1102</v>
      </c>
      <c r="Q1292" s="15">
        <v>5</v>
      </c>
      <c r="R1292" s="23">
        <f>+Q1292*12875000</f>
        <v>64375000</v>
      </c>
      <c r="S1292" s="11"/>
      <c r="T1292" s="11"/>
      <c r="U1292" s="11"/>
      <c r="V1292" s="11"/>
      <c r="W1292" s="11"/>
      <c r="X1292" s="11"/>
      <c r="Y1292" s="12" t="s">
        <v>3006</v>
      </c>
      <c r="Z1292" s="18">
        <f>ROUND(R1292*'Data-CostAssumptions'!$C$8,-3)</f>
        <v>64375000</v>
      </c>
      <c r="AA1292" s="11">
        <f t="shared" si="41"/>
        <v>0</v>
      </c>
      <c r="AB1292" s="11">
        <v>2041</v>
      </c>
      <c r="AC1292" s="11">
        <v>2041</v>
      </c>
      <c r="AD1292" s="11">
        <v>2041</v>
      </c>
      <c r="AE1292" s="11">
        <v>2041</v>
      </c>
      <c r="AF1292" s="11">
        <v>0</v>
      </c>
      <c r="AG1292" s="19">
        <f>ROUND((Z1292*'Data-CostAssumptions'!$G$5)*(1+'Data-CostAssumptions'!$G$3)^(AC1292-'Data-CostAssumptions'!$G$4),-3)</f>
        <v>36312000</v>
      </c>
      <c r="AH1292" s="19">
        <f>ROUND((Z1292)*(1+'Data-CostAssumptions'!$G$3)^(AE1292-'Data-CostAssumptions'!$G$4),-3)</f>
        <v>165054000</v>
      </c>
    </row>
    <row r="1293" spans="1:34" ht="15" customHeight="1" x14ac:dyDescent="0.2">
      <c r="A1293" s="11" t="s">
        <v>1095</v>
      </c>
      <c r="B1293" s="11" t="s">
        <v>1211</v>
      </c>
      <c r="C1293" s="11">
        <v>13512</v>
      </c>
      <c r="D1293" s="84" t="s">
        <v>1733</v>
      </c>
      <c r="E1293" s="14"/>
      <c r="F1293" s="14"/>
      <c r="G1293" s="20">
        <v>1296</v>
      </c>
      <c r="H1293" s="13" t="s">
        <v>2732</v>
      </c>
      <c r="I1293" s="13" t="str">
        <f t="shared" si="40"/>
        <v>SR 91/Florida's Turnpike (39 / Interstate 75 to 45 / E. of NW 57th Av)</v>
      </c>
      <c r="J1293" s="84" t="s">
        <v>300</v>
      </c>
      <c r="K1293" s="13" t="str">
        <f>VLOOKUP(J1293,'Data-ProjectTypes'!A$3:B$13,2,FALSE)</f>
        <v>Project</v>
      </c>
      <c r="L1293" s="85" t="s">
        <v>1096</v>
      </c>
      <c r="M1293" s="11" t="s">
        <v>1097</v>
      </c>
      <c r="N1293" s="11" t="s">
        <v>2273</v>
      </c>
      <c r="O1293" s="84" t="s">
        <v>1102</v>
      </c>
      <c r="P1293" s="84" t="s">
        <v>1102</v>
      </c>
      <c r="Q1293" s="15">
        <v>6</v>
      </c>
      <c r="R1293" s="23">
        <f>+Q1293*12875000</f>
        <v>77250000</v>
      </c>
      <c r="S1293" s="11"/>
      <c r="T1293" s="11"/>
      <c r="U1293" s="11"/>
      <c r="V1293" s="11"/>
      <c r="W1293" s="11"/>
      <c r="X1293" s="11"/>
      <c r="Y1293" s="12" t="s">
        <v>3006</v>
      </c>
      <c r="Z1293" s="18">
        <f>ROUND(R1293*'Data-CostAssumptions'!$C$8,-3)</f>
        <v>77250000</v>
      </c>
      <c r="AA1293" s="11">
        <f t="shared" si="41"/>
        <v>0</v>
      </c>
      <c r="AB1293" s="11">
        <v>2041</v>
      </c>
      <c r="AC1293" s="11">
        <v>2041</v>
      </c>
      <c r="AD1293" s="11">
        <v>2041</v>
      </c>
      <c r="AE1293" s="11">
        <v>2041</v>
      </c>
      <c r="AF1293" s="11">
        <v>0</v>
      </c>
      <c r="AG1293" s="19">
        <f>ROUND((Z1293*'Data-CostAssumptions'!$G$5)*(1+'Data-CostAssumptions'!$G$3)^(AC1293-'Data-CostAssumptions'!$G$4),-3)</f>
        <v>43574000</v>
      </c>
      <c r="AH1293" s="19">
        <f>ROUND((Z1293)*(1+'Data-CostAssumptions'!$G$3)^(AE1293-'Data-CostAssumptions'!$G$4),-3)</f>
        <v>198065000</v>
      </c>
    </row>
    <row r="1294" spans="1:34" ht="15" customHeight="1" x14ac:dyDescent="0.2">
      <c r="A1294" s="11"/>
      <c r="B1294" s="11" t="s">
        <v>1211</v>
      </c>
      <c r="C1294" s="11">
        <v>13513</v>
      </c>
      <c r="D1294" s="84" t="s">
        <v>1733</v>
      </c>
      <c r="E1294" s="14"/>
      <c r="F1294" s="14"/>
      <c r="G1294" s="20">
        <v>1297</v>
      </c>
      <c r="H1294" s="13" t="s">
        <v>2732</v>
      </c>
      <c r="I1294" s="13" t="str">
        <f t="shared" si="40"/>
        <v>SR 91/Florida's Turnpike (@  71 / Sawgrass Expwy)</v>
      </c>
      <c r="J1294" s="84" t="s">
        <v>300</v>
      </c>
      <c r="K1294" s="13" t="str">
        <f>VLOOKUP(J1294,'Data-ProjectTypes'!A$3:B$13,2,FALSE)</f>
        <v>Project</v>
      </c>
      <c r="L1294" s="85" t="s">
        <v>1098</v>
      </c>
      <c r="M1294" s="11" t="s">
        <v>2835</v>
      </c>
      <c r="N1294" s="11" t="s">
        <v>1093</v>
      </c>
      <c r="O1294" s="84" t="s">
        <v>1102</v>
      </c>
      <c r="P1294" s="84" t="s">
        <v>1102</v>
      </c>
      <c r="Q1294" s="15">
        <v>0.5</v>
      </c>
      <c r="R1294" s="23">
        <v>25000000</v>
      </c>
      <c r="S1294" s="11"/>
      <c r="T1294" s="12" t="s">
        <v>3007</v>
      </c>
      <c r="U1294" s="11"/>
      <c r="V1294" s="11"/>
      <c r="W1294" s="11"/>
      <c r="X1294" s="11"/>
      <c r="Y1294" s="12" t="s">
        <v>3007</v>
      </c>
      <c r="Z1294" s="18">
        <f>ROUND(R1294*'Data-CostAssumptions'!$C$8,-3)</f>
        <v>25000000</v>
      </c>
      <c r="AA1294" s="11">
        <f t="shared" si="41"/>
        <v>0</v>
      </c>
      <c r="AB1294" s="11">
        <v>2041</v>
      </c>
      <c r="AC1294" s="11">
        <v>2041</v>
      </c>
      <c r="AD1294" s="11">
        <v>2041</v>
      </c>
      <c r="AE1294" s="11">
        <v>2041</v>
      </c>
      <c r="AF1294" s="11">
        <v>0</v>
      </c>
      <c r="AG1294" s="19">
        <f>ROUND((Z1294*'Data-CostAssumptions'!$G$5)*(1+'Data-CostAssumptions'!$G$3)^(AC1294-'Data-CostAssumptions'!$G$4),-3)</f>
        <v>14102000</v>
      </c>
      <c r="AH1294" s="19">
        <f>ROUND((Z1294)*(1+'Data-CostAssumptions'!$G$3)^(AE1294-'Data-CostAssumptions'!$G$4),-3)</f>
        <v>64099000</v>
      </c>
    </row>
    <row r="1295" spans="1:34" ht="15" customHeight="1" x14ac:dyDescent="0.2">
      <c r="A1295" s="11"/>
      <c r="B1295" s="11" t="s">
        <v>1211</v>
      </c>
      <c r="C1295" s="11">
        <v>13514</v>
      </c>
      <c r="D1295" s="84" t="s">
        <v>1733</v>
      </c>
      <c r="E1295" s="14"/>
      <c r="F1295" s="14"/>
      <c r="G1295" s="20">
        <v>1298</v>
      </c>
      <c r="H1295" s="13" t="s">
        <v>2732</v>
      </c>
      <c r="I1295" s="13" t="str">
        <f t="shared" si="40"/>
        <v>SR 91/Florida's Turnpike (@  62 / Commercial Bl.)</v>
      </c>
      <c r="J1295" s="84" t="s">
        <v>300</v>
      </c>
      <c r="K1295" s="13" t="str">
        <f>VLOOKUP(J1295,'Data-ProjectTypes'!A$3:B$13,2,FALSE)</f>
        <v>Project</v>
      </c>
      <c r="L1295" s="85" t="s">
        <v>1101</v>
      </c>
      <c r="M1295" s="11" t="s">
        <v>2835</v>
      </c>
      <c r="N1295" s="11" t="s">
        <v>2321</v>
      </c>
      <c r="O1295" s="84" t="s">
        <v>1102</v>
      </c>
      <c r="P1295" s="84" t="s">
        <v>1102</v>
      </c>
      <c r="Q1295" s="15">
        <v>0.5</v>
      </c>
      <c r="R1295" s="23">
        <v>50000000</v>
      </c>
      <c r="S1295" s="11"/>
      <c r="T1295" s="11"/>
      <c r="U1295" s="11"/>
      <c r="V1295" s="11"/>
      <c r="W1295" s="11"/>
      <c r="X1295" s="11"/>
      <c r="Y1295" s="12" t="s">
        <v>3008</v>
      </c>
      <c r="Z1295" s="18">
        <f>ROUND(R1295*'Data-CostAssumptions'!$C$8,-3)</f>
        <v>50000000</v>
      </c>
      <c r="AA1295" s="11">
        <f t="shared" si="41"/>
        <v>0</v>
      </c>
      <c r="AB1295" s="11">
        <v>2041</v>
      </c>
      <c r="AC1295" s="11">
        <v>2041</v>
      </c>
      <c r="AD1295" s="11">
        <v>2041</v>
      </c>
      <c r="AE1295" s="11">
        <v>2041</v>
      </c>
      <c r="AF1295" s="11">
        <v>0</v>
      </c>
      <c r="AG1295" s="19">
        <f>ROUND((Z1295*'Data-CostAssumptions'!$G$5)*(1+'Data-CostAssumptions'!$G$3)^(AC1295-'Data-CostAssumptions'!$G$4),-3)</f>
        <v>28203000</v>
      </c>
      <c r="AH1295" s="19">
        <f>ROUND((Z1295)*(1+'Data-CostAssumptions'!$G$3)^(AE1295-'Data-CostAssumptions'!$G$4),-3)</f>
        <v>128197000</v>
      </c>
    </row>
    <row r="1296" spans="1:34" ht="15" customHeight="1" x14ac:dyDescent="0.2">
      <c r="A1296" s="11" t="s">
        <v>1100</v>
      </c>
      <c r="B1296" s="11" t="s">
        <v>1211</v>
      </c>
      <c r="C1296" s="11">
        <v>13515</v>
      </c>
      <c r="D1296" s="84" t="s">
        <v>1733</v>
      </c>
      <c r="E1296" s="14"/>
      <c r="F1296" s="14"/>
      <c r="G1296" s="20">
        <v>1299</v>
      </c>
      <c r="H1296" s="13" t="s">
        <v>2732</v>
      </c>
      <c r="I1296" s="13" t="str">
        <f t="shared" si="40"/>
        <v>SR 91/Florida's Turnpike (@  58 / Sunrise Bl.)</v>
      </c>
      <c r="J1296" s="84" t="s">
        <v>300</v>
      </c>
      <c r="K1296" s="13" t="str">
        <f>VLOOKUP(J1296,'Data-ProjectTypes'!A$3:B$13,2,FALSE)</f>
        <v>Project</v>
      </c>
      <c r="L1296" s="85" t="s">
        <v>1099</v>
      </c>
      <c r="M1296" s="11" t="s">
        <v>2835</v>
      </c>
      <c r="N1296" s="11" t="s">
        <v>2322</v>
      </c>
      <c r="O1296" s="84" t="s">
        <v>1102</v>
      </c>
      <c r="P1296" s="84" t="s">
        <v>1102</v>
      </c>
      <c r="Q1296" s="15">
        <v>0.5</v>
      </c>
      <c r="R1296" s="23">
        <v>25000000</v>
      </c>
      <c r="S1296" s="11"/>
      <c r="T1296" s="12" t="s">
        <v>3007</v>
      </c>
      <c r="U1296" s="11"/>
      <c r="V1296" s="11"/>
      <c r="W1296" s="11"/>
      <c r="X1296" s="11"/>
      <c r="Y1296" s="12" t="s">
        <v>3007</v>
      </c>
      <c r="Z1296" s="18">
        <f>ROUND(R1296*'Data-CostAssumptions'!$C$8,-3)</f>
        <v>25000000</v>
      </c>
      <c r="AA1296" s="11">
        <f t="shared" si="41"/>
        <v>0</v>
      </c>
      <c r="AB1296" s="11">
        <v>2041</v>
      </c>
      <c r="AC1296" s="11">
        <v>2041</v>
      </c>
      <c r="AD1296" s="11">
        <v>2041</v>
      </c>
      <c r="AE1296" s="11">
        <v>2041</v>
      </c>
      <c r="AF1296" s="11">
        <v>0</v>
      </c>
      <c r="AG1296" s="19">
        <f>ROUND((Z1296*'Data-CostAssumptions'!$G$5)*(1+'Data-CostAssumptions'!$G$3)^(AC1296-'Data-CostAssumptions'!$G$4),-3)</f>
        <v>14102000</v>
      </c>
      <c r="AH1296" s="19">
        <f>ROUND((Z1296)*(1+'Data-CostAssumptions'!$G$3)^(AE1296-'Data-CostAssumptions'!$G$4),-3)</f>
        <v>64099000</v>
      </c>
    </row>
    <row r="1297" spans="1:34" ht="15" customHeight="1" x14ac:dyDescent="0.2">
      <c r="A1297" s="11"/>
      <c r="B1297" s="11" t="s">
        <v>1211</v>
      </c>
      <c r="C1297" s="11">
        <v>13516</v>
      </c>
      <c r="D1297" s="84" t="s">
        <v>1733</v>
      </c>
      <c r="E1297" s="14"/>
      <c r="F1297" s="14"/>
      <c r="G1297" s="20">
        <v>1300</v>
      </c>
      <c r="H1297" s="13" t="s">
        <v>2732</v>
      </c>
      <c r="I1297" s="13" t="str">
        <f t="shared" si="40"/>
        <v>SR 91/Florida's Turnpike (@  1A / Sunrise Bl.)</v>
      </c>
      <c r="J1297" s="84" t="s">
        <v>300</v>
      </c>
      <c r="K1297" s="13" t="str">
        <f>VLOOKUP(J1297,'Data-ProjectTypes'!A$3:B$13,2,FALSE)</f>
        <v>Project</v>
      </c>
      <c r="L1297" s="85" t="s">
        <v>1098</v>
      </c>
      <c r="M1297" s="11" t="s">
        <v>2835</v>
      </c>
      <c r="N1297" s="11" t="s">
        <v>2323</v>
      </c>
      <c r="O1297" s="84" t="s">
        <v>1102</v>
      </c>
      <c r="P1297" s="84" t="s">
        <v>1102</v>
      </c>
      <c r="Q1297" s="15">
        <v>0.5</v>
      </c>
      <c r="R1297" s="23">
        <v>25000000</v>
      </c>
      <c r="S1297" s="11"/>
      <c r="T1297" s="11"/>
      <c r="U1297" s="11"/>
      <c r="V1297" s="11"/>
      <c r="W1297" s="11"/>
      <c r="X1297" s="11"/>
      <c r="Y1297" s="12" t="s">
        <v>3007</v>
      </c>
      <c r="Z1297" s="18">
        <f>ROUND(R1297*'Data-CostAssumptions'!$C$8,-3)</f>
        <v>25000000</v>
      </c>
      <c r="AA1297" s="11">
        <f t="shared" si="41"/>
        <v>0</v>
      </c>
      <c r="AB1297" s="11">
        <v>2041</v>
      </c>
      <c r="AC1297" s="11">
        <v>2041</v>
      </c>
      <c r="AD1297" s="11">
        <v>2041</v>
      </c>
      <c r="AE1297" s="11">
        <v>2041</v>
      </c>
      <c r="AF1297" s="11">
        <v>0</v>
      </c>
      <c r="AG1297" s="19">
        <f>ROUND((Z1297*'Data-CostAssumptions'!$G$5)*(1+'Data-CostAssumptions'!$G$3)^(AC1297-'Data-CostAssumptions'!$G$4),-3)</f>
        <v>14102000</v>
      </c>
      <c r="AH1297" s="19">
        <f>ROUND((Z1297)*(1+'Data-CostAssumptions'!$G$3)^(AE1297-'Data-CostAssumptions'!$G$4),-3)</f>
        <v>64099000</v>
      </c>
    </row>
    <row r="1298" spans="1:34" ht="15" customHeight="1" x14ac:dyDescent="0.2">
      <c r="B1298" s="11" t="s">
        <v>1211</v>
      </c>
      <c r="D1298" s="84" t="s">
        <v>276</v>
      </c>
      <c r="E1298" s="104">
        <v>504</v>
      </c>
      <c r="G1298" s="20">
        <v>1301</v>
      </c>
      <c r="H1298" s="13" t="s">
        <v>2923</v>
      </c>
      <c r="I1298" s="13" t="str">
        <f t="shared" si="40"/>
        <v>FLL ACUTE ANGLE TAXIWAY K (WEST END OF RUNWAY 8/26 to KILO)</v>
      </c>
      <c r="J1298" s="12" t="s">
        <v>1199</v>
      </c>
      <c r="K1298" s="13" t="str">
        <f>VLOOKUP(J1298,'Data-ProjectTypes'!A$3:B$13,2,FALSE)</f>
        <v>Program</v>
      </c>
      <c r="L1298" s="12" t="s">
        <v>1653</v>
      </c>
      <c r="M1298" s="105" t="s">
        <v>2826</v>
      </c>
      <c r="N1298" s="12" t="s">
        <v>2827</v>
      </c>
      <c r="R1298" s="23">
        <v>1706250</v>
      </c>
      <c r="Z1298" s="18">
        <f>ROUND(R1298*'Data-CostAssumptions'!$C$3,-3)</f>
        <v>2361000</v>
      </c>
      <c r="AA1298" s="11">
        <f t="shared" si="41"/>
        <v>0</v>
      </c>
      <c r="AB1298" s="11">
        <v>2041</v>
      </c>
      <c r="AC1298" s="11">
        <v>2041</v>
      </c>
      <c r="AD1298" s="11">
        <v>2041</v>
      </c>
      <c r="AE1298" s="11">
        <v>2041</v>
      </c>
      <c r="AF1298" s="11">
        <v>0</v>
      </c>
      <c r="AG1298" s="19">
        <f>ROUND((Z1298*'Data-CostAssumptions'!$G$5)*(1+'Data-CostAssumptions'!$G$3)^(AC1298-'Data-CostAssumptions'!$G$4),-3)</f>
        <v>1332000</v>
      </c>
      <c r="AH1298" s="19">
        <f>ROUND((Z1298)*(1+'Data-CostAssumptions'!$G$3)^(AE1298-'Data-CostAssumptions'!$G$4),-3)</f>
        <v>6053000</v>
      </c>
    </row>
    <row r="1299" spans="1:34" ht="15" customHeight="1" x14ac:dyDescent="0.2">
      <c r="B1299" s="11" t="s">
        <v>1211</v>
      </c>
      <c r="D1299" s="84" t="s">
        <v>276</v>
      </c>
      <c r="E1299" s="104">
        <v>501</v>
      </c>
      <c r="G1299" s="20">
        <v>1302</v>
      </c>
      <c r="H1299" s="13" t="s">
        <v>2924</v>
      </c>
      <c r="I1299" s="13" t="str">
        <f t="shared" si="40"/>
        <v>FLL ACUTE ANGLE TAXIWAYS N &amp; D (EAST END OF RUNWAY 8/26 to November &amp; Delta)</v>
      </c>
      <c r="J1299" s="12" t="s">
        <v>1199</v>
      </c>
      <c r="K1299" s="13" t="str">
        <f>VLOOKUP(J1299,'Data-ProjectTypes'!A$3:B$13,2,FALSE)</f>
        <v>Program</v>
      </c>
      <c r="L1299" s="12" t="s">
        <v>1650</v>
      </c>
      <c r="M1299" s="105" t="s">
        <v>2829</v>
      </c>
      <c r="N1299" s="12" t="s">
        <v>2828</v>
      </c>
      <c r="R1299" s="23">
        <v>2995000</v>
      </c>
      <c r="Z1299" s="18">
        <f>ROUND(R1299*'Data-CostAssumptions'!$C$3,-3)</f>
        <v>4145000</v>
      </c>
      <c r="AA1299" s="11">
        <f t="shared" si="41"/>
        <v>0</v>
      </c>
      <c r="AB1299" s="11">
        <v>2041</v>
      </c>
      <c r="AC1299" s="11">
        <v>2041</v>
      </c>
      <c r="AD1299" s="11">
        <v>2041</v>
      </c>
      <c r="AE1299" s="11">
        <v>2041</v>
      </c>
      <c r="AF1299" s="11">
        <v>0</v>
      </c>
      <c r="AG1299" s="19">
        <f>ROUND((Z1299*'Data-CostAssumptions'!$G$5)*(1+'Data-CostAssumptions'!$G$3)^(AC1299-'Data-CostAssumptions'!$G$4),-3)</f>
        <v>2338000</v>
      </c>
      <c r="AH1299" s="19">
        <f>ROUND((Z1299)*(1+'Data-CostAssumptions'!$G$3)^(AE1299-'Data-CostAssumptions'!$G$4),-3)</f>
        <v>10628000</v>
      </c>
    </row>
    <row r="1300" spans="1:34" ht="15" customHeight="1" x14ac:dyDescent="0.2">
      <c r="B1300" s="11" t="s">
        <v>1211</v>
      </c>
      <c r="D1300" s="84" t="s">
        <v>276</v>
      </c>
      <c r="E1300" s="104">
        <v>506</v>
      </c>
      <c r="G1300" s="20">
        <v>1303</v>
      </c>
      <c r="H1300" s="13" t="s">
        <v>2867</v>
      </c>
      <c r="I1300" s="13" t="str">
        <f t="shared" si="40"/>
        <v>FLL MID-FIELD TAXIWAY EXTENSION AND RUNUP AREA ( to )</v>
      </c>
      <c r="J1300" s="12" t="s">
        <v>1199</v>
      </c>
      <c r="K1300" s="13" t="str">
        <f>VLOOKUP(J1300,'Data-ProjectTypes'!A$3:B$13,2,FALSE)</f>
        <v>Program</v>
      </c>
      <c r="L1300" s="12" t="s">
        <v>1655</v>
      </c>
      <c r="R1300" s="23">
        <v>601550</v>
      </c>
      <c r="Z1300" s="18">
        <f>ROUND(R1300*'Data-CostAssumptions'!$C$3,-3)</f>
        <v>833000</v>
      </c>
      <c r="AA1300" s="11">
        <f t="shared" si="41"/>
        <v>0</v>
      </c>
      <c r="AB1300" s="11">
        <v>2041</v>
      </c>
      <c r="AC1300" s="11">
        <v>2041</v>
      </c>
      <c r="AD1300" s="11">
        <v>2041</v>
      </c>
      <c r="AE1300" s="11">
        <v>2041</v>
      </c>
      <c r="AF1300" s="11">
        <v>0</v>
      </c>
      <c r="AG1300" s="19">
        <f>ROUND((Z1300*'Data-CostAssumptions'!$G$5)*(1+'Data-CostAssumptions'!$G$3)^(AC1300-'Data-CostAssumptions'!$G$4),-3)</f>
        <v>470000</v>
      </c>
      <c r="AH1300" s="19">
        <f>ROUND((Z1300)*(1+'Data-CostAssumptions'!$G$3)^(AE1300-'Data-CostAssumptions'!$G$4),-3)</f>
        <v>2136000</v>
      </c>
    </row>
    <row r="1301" spans="1:34" ht="15" customHeight="1" x14ac:dyDescent="0.2">
      <c r="B1301" s="11" t="s">
        <v>1211</v>
      </c>
      <c r="D1301" s="84" t="s">
        <v>276</v>
      </c>
      <c r="E1301" s="104">
        <v>508</v>
      </c>
      <c r="G1301" s="20">
        <v>1304</v>
      </c>
      <c r="H1301" s="13" t="s">
        <v>2882</v>
      </c>
      <c r="I1301" s="13" t="str">
        <f t="shared" si="40"/>
        <v>FLL RELOCATION OF TAXIWAY G - PHASE II ( to )</v>
      </c>
      <c r="J1301" s="12" t="s">
        <v>1199</v>
      </c>
      <c r="K1301" s="13" t="str">
        <f>VLOOKUP(J1301,'Data-ProjectTypes'!A$3:B$13,2,FALSE)</f>
        <v>Program</v>
      </c>
      <c r="L1301" s="12" t="s">
        <v>1657</v>
      </c>
      <c r="R1301" s="23">
        <v>2500000</v>
      </c>
      <c r="Z1301" s="18">
        <f>ROUND(R1301*'Data-CostAssumptions'!$C$3,-3)</f>
        <v>3460000</v>
      </c>
      <c r="AA1301" s="11">
        <f t="shared" si="41"/>
        <v>0</v>
      </c>
      <c r="AB1301" s="11">
        <v>2041</v>
      </c>
      <c r="AC1301" s="11">
        <v>2041</v>
      </c>
      <c r="AD1301" s="11">
        <v>2041</v>
      </c>
      <c r="AE1301" s="11">
        <v>2041</v>
      </c>
      <c r="AF1301" s="11">
        <v>0</v>
      </c>
      <c r="AG1301" s="19">
        <f>ROUND((Z1301*'Data-CostAssumptions'!$G$5)*(1+'Data-CostAssumptions'!$G$3)^(AC1301-'Data-CostAssumptions'!$G$4),-3)</f>
        <v>1952000</v>
      </c>
      <c r="AH1301" s="19">
        <f>ROUND((Z1301)*(1+'Data-CostAssumptions'!$G$3)^(AE1301-'Data-CostAssumptions'!$G$4),-3)</f>
        <v>8871000</v>
      </c>
    </row>
    <row r="1302" spans="1:34" ht="15" customHeight="1" x14ac:dyDescent="0.2">
      <c r="B1302" s="11" t="s">
        <v>1211</v>
      </c>
      <c r="D1302" s="84" t="s">
        <v>276</v>
      </c>
      <c r="E1302" s="104">
        <v>511</v>
      </c>
      <c r="G1302" s="20">
        <v>1305</v>
      </c>
      <c r="H1302" s="13" t="s">
        <v>2885</v>
      </c>
      <c r="I1302" s="13" t="str">
        <f t="shared" si="40"/>
        <v>FLL RUNWAY 13 HOLDING PAD ( to )</v>
      </c>
      <c r="J1302" s="12" t="s">
        <v>1199</v>
      </c>
      <c r="K1302" s="13" t="str">
        <f>VLOOKUP(J1302,'Data-ProjectTypes'!A$3:B$13,2,FALSE)</f>
        <v>Program</v>
      </c>
      <c r="L1302" s="12" t="s">
        <v>1660</v>
      </c>
      <c r="R1302" s="23">
        <v>720000</v>
      </c>
      <c r="Z1302" s="18">
        <f>ROUND(R1302*'Data-CostAssumptions'!$C$3,-3)</f>
        <v>996000</v>
      </c>
      <c r="AA1302" s="11">
        <f t="shared" si="41"/>
        <v>0</v>
      </c>
      <c r="AB1302" s="11">
        <v>2041</v>
      </c>
      <c r="AC1302" s="11">
        <v>2041</v>
      </c>
      <c r="AD1302" s="11">
        <v>2041</v>
      </c>
      <c r="AE1302" s="11">
        <v>2041</v>
      </c>
      <c r="AF1302" s="11">
        <v>0</v>
      </c>
      <c r="AG1302" s="19">
        <f>ROUND((Z1302*'Data-CostAssumptions'!$G$5)*(1+'Data-CostAssumptions'!$G$3)^(AC1302-'Data-CostAssumptions'!$G$4),-3)</f>
        <v>562000</v>
      </c>
      <c r="AH1302" s="19">
        <f>ROUND((Z1302)*(1+'Data-CostAssumptions'!$G$3)^(AE1302-'Data-CostAssumptions'!$G$4),-3)</f>
        <v>2554000</v>
      </c>
    </row>
    <row r="1303" spans="1:34" ht="15" customHeight="1" x14ac:dyDescent="0.2">
      <c r="B1303" s="11" t="s">
        <v>1211</v>
      </c>
      <c r="D1303" s="84" t="s">
        <v>276</v>
      </c>
      <c r="E1303" s="104">
        <v>509</v>
      </c>
      <c r="G1303" s="20">
        <v>1306</v>
      </c>
      <c r="H1303" s="13" t="s">
        <v>2886</v>
      </c>
      <c r="I1303" s="13" t="str">
        <f t="shared" si="40"/>
        <v>FLL RUNWAY 26 &amp; 31 BYPASS ( to )</v>
      </c>
      <c r="J1303" s="12" t="s">
        <v>1199</v>
      </c>
      <c r="K1303" s="13" t="str">
        <f>VLOOKUP(J1303,'Data-ProjectTypes'!A$3:B$13,2,FALSE)</f>
        <v>Program</v>
      </c>
      <c r="L1303" s="12" t="s">
        <v>1658</v>
      </c>
      <c r="R1303" s="23">
        <v>950000</v>
      </c>
      <c r="Z1303" s="18">
        <f>ROUND(R1303*'Data-CostAssumptions'!$C$3,-3)</f>
        <v>1315000</v>
      </c>
      <c r="AA1303" s="11">
        <f t="shared" si="41"/>
        <v>0</v>
      </c>
      <c r="AB1303" s="11">
        <v>2041</v>
      </c>
      <c r="AC1303" s="11">
        <v>2041</v>
      </c>
      <c r="AD1303" s="11">
        <v>2041</v>
      </c>
      <c r="AE1303" s="11">
        <v>2041</v>
      </c>
      <c r="AF1303" s="11">
        <v>0</v>
      </c>
      <c r="AG1303" s="19">
        <f>ROUND((Z1303*'Data-CostAssumptions'!$G$5)*(1+'Data-CostAssumptions'!$G$3)^(AC1303-'Data-CostAssumptions'!$G$4),-3)</f>
        <v>742000</v>
      </c>
      <c r="AH1303" s="19">
        <f>ROUND((Z1303)*(1+'Data-CostAssumptions'!$G$3)^(AE1303-'Data-CostAssumptions'!$G$4),-3)</f>
        <v>3372000</v>
      </c>
    </row>
    <row r="1304" spans="1:34" ht="15" customHeight="1" x14ac:dyDescent="0.2">
      <c r="B1304" s="11" t="s">
        <v>1211</v>
      </c>
      <c r="D1304" s="84" t="s">
        <v>276</v>
      </c>
      <c r="E1304" s="104">
        <v>512</v>
      </c>
      <c r="G1304" s="20">
        <v>1307</v>
      </c>
      <c r="H1304" s="13" t="s">
        <v>2887</v>
      </c>
      <c r="I1304" s="13" t="str">
        <f t="shared" si="40"/>
        <v>FLL RUNWAY 8/26 REHABILITATION ( to )</v>
      </c>
      <c r="J1304" s="12" t="s">
        <v>1199</v>
      </c>
      <c r="K1304" s="13" t="str">
        <f>VLOOKUP(J1304,'Data-ProjectTypes'!A$3:B$13,2,FALSE)</f>
        <v>Program</v>
      </c>
      <c r="L1304" s="12" t="s">
        <v>1661</v>
      </c>
      <c r="R1304" s="23">
        <v>801330</v>
      </c>
      <c r="Z1304" s="18">
        <f>ROUND(R1304*'Data-CostAssumptions'!$C$3,-3)</f>
        <v>1109000</v>
      </c>
      <c r="AA1304" s="11">
        <f t="shared" si="41"/>
        <v>0</v>
      </c>
      <c r="AB1304" s="11">
        <v>2041</v>
      </c>
      <c r="AC1304" s="11">
        <v>2041</v>
      </c>
      <c r="AD1304" s="11">
        <v>2041</v>
      </c>
      <c r="AE1304" s="11">
        <v>2041</v>
      </c>
      <c r="AF1304" s="11">
        <v>0</v>
      </c>
      <c r="AG1304" s="19">
        <f>ROUND((Z1304*'Data-CostAssumptions'!$G$5)*(1+'Data-CostAssumptions'!$G$3)^(AC1304-'Data-CostAssumptions'!$G$4),-3)</f>
        <v>626000</v>
      </c>
      <c r="AH1304" s="19">
        <f>ROUND((Z1304)*(1+'Data-CostAssumptions'!$G$3)^(AE1304-'Data-CostAssumptions'!$G$4),-3)</f>
        <v>2843000</v>
      </c>
    </row>
    <row r="1305" spans="1:34" ht="15" customHeight="1" x14ac:dyDescent="0.2">
      <c r="B1305" s="11" t="s">
        <v>1211</v>
      </c>
      <c r="D1305" s="84" t="s">
        <v>276</v>
      </c>
      <c r="E1305" s="104">
        <v>503</v>
      </c>
      <c r="G1305" s="20">
        <v>1308</v>
      </c>
      <c r="H1305" s="13" t="s">
        <v>2903</v>
      </c>
      <c r="I1305" s="13" t="str">
        <f t="shared" si="40"/>
        <v>FLL South Perimeter Loop Rd ( to )</v>
      </c>
      <c r="J1305" s="12" t="s">
        <v>1199</v>
      </c>
      <c r="K1305" s="13" t="str">
        <f>VLOOKUP(J1305,'Data-ProjectTypes'!A$3:B$13,2,FALSE)</f>
        <v>Program</v>
      </c>
      <c r="L1305" s="12" t="s">
        <v>1652</v>
      </c>
      <c r="R1305" s="23">
        <v>500000</v>
      </c>
      <c r="Z1305" s="18">
        <f>ROUND(R1305*'Data-CostAssumptions'!$C$3,-3)</f>
        <v>692000</v>
      </c>
      <c r="AA1305" s="11">
        <f t="shared" si="41"/>
        <v>0</v>
      </c>
      <c r="AB1305" s="11">
        <v>2041</v>
      </c>
      <c r="AC1305" s="11">
        <v>2041</v>
      </c>
      <c r="AD1305" s="11">
        <v>2041</v>
      </c>
      <c r="AE1305" s="11">
        <v>2041</v>
      </c>
      <c r="AF1305" s="11">
        <v>0</v>
      </c>
      <c r="AG1305" s="19">
        <f>ROUND((Z1305*'Data-CostAssumptions'!$G$5)*(1+'Data-CostAssumptions'!$G$3)^(AC1305-'Data-CostAssumptions'!$G$4),-3)</f>
        <v>390000</v>
      </c>
      <c r="AH1305" s="19">
        <f>ROUND((Z1305)*(1+'Data-CostAssumptions'!$G$3)^(AE1305-'Data-CostAssumptions'!$G$4),-3)</f>
        <v>1774000</v>
      </c>
    </row>
    <row r="1306" spans="1:34" ht="15" customHeight="1" x14ac:dyDescent="0.2">
      <c r="B1306" s="11" t="s">
        <v>1211</v>
      </c>
      <c r="D1306" s="84" t="s">
        <v>276</v>
      </c>
      <c r="E1306" s="104">
        <v>513</v>
      </c>
      <c r="G1306" s="20">
        <v>1309</v>
      </c>
      <c r="H1306" s="13" t="s">
        <v>1573</v>
      </c>
      <c r="I1306" s="13" t="str">
        <f t="shared" si="40"/>
        <v>TAXIWAY E REHABILITATION ( to )</v>
      </c>
      <c r="J1306" s="12" t="s">
        <v>1199</v>
      </c>
      <c r="K1306" s="13" t="str">
        <f>VLOOKUP(J1306,'Data-ProjectTypes'!A$3:B$13,2,FALSE)</f>
        <v>Program</v>
      </c>
      <c r="L1306" s="12" t="s">
        <v>1662</v>
      </c>
      <c r="R1306" s="23">
        <v>4000000</v>
      </c>
      <c r="Z1306" s="18">
        <f>ROUND(R1306*'Data-CostAssumptions'!$C$8,-3)</f>
        <v>4000000</v>
      </c>
      <c r="AA1306" s="11">
        <f t="shared" si="41"/>
        <v>0</v>
      </c>
      <c r="AB1306" s="11">
        <v>2041</v>
      </c>
      <c r="AC1306" s="11">
        <v>2041</v>
      </c>
      <c r="AD1306" s="11">
        <v>2041</v>
      </c>
      <c r="AE1306" s="11">
        <v>2041</v>
      </c>
      <c r="AF1306" s="11">
        <v>0</v>
      </c>
      <c r="AG1306" s="19">
        <f>ROUND((Z1306*'Data-CostAssumptions'!$G$5)*(1+'Data-CostAssumptions'!$G$3)^(AC1306-'Data-CostAssumptions'!$G$4),-3)</f>
        <v>2256000</v>
      </c>
      <c r="AH1306" s="19">
        <f>ROUND((Z1306)*(1+'Data-CostAssumptions'!$G$3)^(AE1306-'Data-CostAssumptions'!$G$4),-3)</f>
        <v>10256000</v>
      </c>
    </row>
    <row r="1307" spans="1:34" ht="15" customHeight="1" x14ac:dyDescent="0.2">
      <c r="B1307" s="11" t="s">
        <v>1211</v>
      </c>
      <c r="D1307" s="84" t="s">
        <v>276</v>
      </c>
      <c r="E1307" s="104">
        <v>505</v>
      </c>
      <c r="G1307" s="20">
        <v>1310</v>
      </c>
      <c r="H1307" s="13" t="s">
        <v>1571</v>
      </c>
      <c r="I1307" s="13" t="str">
        <f t="shared" si="40"/>
        <v>TAXIWAY ECHO EXTENSION ( to )</v>
      </c>
      <c r="J1307" s="12" t="s">
        <v>1199</v>
      </c>
      <c r="K1307" s="13" t="str">
        <f>VLOOKUP(J1307,'Data-ProjectTypes'!A$3:B$13,2,FALSE)</f>
        <v>Program</v>
      </c>
      <c r="L1307" s="12" t="s">
        <v>1654</v>
      </c>
      <c r="R1307" s="23">
        <v>2950000</v>
      </c>
      <c r="Z1307" s="18">
        <f>ROUND(R1307*'Data-CostAssumptions'!$C$8,-3)</f>
        <v>2950000</v>
      </c>
      <c r="AA1307" s="11">
        <f t="shared" si="41"/>
        <v>0</v>
      </c>
      <c r="AB1307" s="11">
        <v>2041</v>
      </c>
      <c r="AC1307" s="11">
        <v>2041</v>
      </c>
      <c r="AD1307" s="11">
        <v>2041</v>
      </c>
      <c r="AE1307" s="11">
        <v>2041</v>
      </c>
      <c r="AF1307" s="11">
        <v>0</v>
      </c>
      <c r="AG1307" s="19">
        <f>ROUND((Z1307*'Data-CostAssumptions'!$G$5)*(1+'Data-CostAssumptions'!$G$3)^(AC1307-'Data-CostAssumptions'!$G$4),-3)</f>
        <v>1664000</v>
      </c>
      <c r="AH1307" s="19">
        <f>ROUND((Z1307)*(1+'Data-CostAssumptions'!$G$3)^(AE1307-'Data-CostAssumptions'!$G$4),-3)</f>
        <v>7564000</v>
      </c>
    </row>
    <row r="1308" spans="1:34" ht="15" customHeight="1" x14ac:dyDescent="0.2">
      <c r="B1308" s="11" t="s">
        <v>1211</v>
      </c>
      <c r="D1308" s="84" t="s">
        <v>276</v>
      </c>
      <c r="E1308" s="104">
        <v>514</v>
      </c>
      <c r="G1308" s="20">
        <v>1311</v>
      </c>
      <c r="H1308" s="13" t="s">
        <v>1574</v>
      </c>
      <c r="I1308" s="13" t="str">
        <f t="shared" si="40"/>
        <v>TAXIWAY F PAVEMENT REHABILITATION ( to )</v>
      </c>
      <c r="J1308" s="12" t="s">
        <v>1199</v>
      </c>
      <c r="K1308" s="13" t="str">
        <f>VLOOKUP(J1308,'Data-ProjectTypes'!A$3:B$13,2,FALSE)</f>
        <v>Program</v>
      </c>
      <c r="L1308" s="12" t="s">
        <v>1663</v>
      </c>
      <c r="R1308" s="23">
        <v>5750000</v>
      </c>
      <c r="Z1308" s="18">
        <f>ROUND(R1308*'Data-CostAssumptions'!$C$8,-3)</f>
        <v>5750000</v>
      </c>
      <c r="AA1308" s="11">
        <f t="shared" si="41"/>
        <v>0</v>
      </c>
      <c r="AB1308" s="11">
        <v>2041</v>
      </c>
      <c r="AC1308" s="11">
        <v>2041</v>
      </c>
      <c r="AD1308" s="11">
        <v>2041</v>
      </c>
      <c r="AE1308" s="11">
        <v>2041</v>
      </c>
      <c r="AF1308" s="11">
        <v>0</v>
      </c>
      <c r="AG1308" s="19">
        <f>ROUND((Z1308*'Data-CostAssumptions'!$G$5)*(1+'Data-CostAssumptions'!$G$3)^(AC1308-'Data-CostAssumptions'!$G$4),-3)</f>
        <v>3243000</v>
      </c>
      <c r="AH1308" s="19">
        <f>ROUND((Z1308)*(1+'Data-CostAssumptions'!$G$3)^(AE1308-'Data-CostAssumptions'!$G$4),-3)</f>
        <v>14743000</v>
      </c>
    </row>
    <row r="1309" spans="1:34" ht="15" customHeight="1" x14ac:dyDescent="0.2">
      <c r="B1309" s="11" t="s">
        <v>1211</v>
      </c>
      <c r="D1309" s="84" t="s">
        <v>276</v>
      </c>
      <c r="E1309" s="104">
        <v>515</v>
      </c>
      <c r="G1309" s="20">
        <v>1312</v>
      </c>
      <c r="H1309" s="13" t="s">
        <v>1575</v>
      </c>
      <c r="I1309" s="13" t="str">
        <f t="shared" si="40"/>
        <v>TAXIWAY G PAVEMENT REHABILITATION ( to )</v>
      </c>
      <c r="J1309" s="12" t="s">
        <v>1199</v>
      </c>
      <c r="K1309" s="13" t="str">
        <f>VLOOKUP(J1309,'Data-ProjectTypes'!A$3:B$13,2,FALSE)</f>
        <v>Program</v>
      </c>
      <c r="L1309" s="12" t="s">
        <v>1662</v>
      </c>
      <c r="R1309" s="23">
        <v>2494270</v>
      </c>
      <c r="Z1309" s="18">
        <f>ROUND(R1309*'Data-CostAssumptions'!$C$8,-3)</f>
        <v>2494000</v>
      </c>
      <c r="AA1309" s="11">
        <f t="shared" si="41"/>
        <v>0</v>
      </c>
      <c r="AB1309" s="11">
        <v>2041</v>
      </c>
      <c r="AC1309" s="11">
        <v>2041</v>
      </c>
      <c r="AD1309" s="11">
        <v>2041</v>
      </c>
      <c r="AE1309" s="11">
        <v>2041</v>
      </c>
      <c r="AF1309" s="11">
        <v>0</v>
      </c>
      <c r="AG1309" s="19">
        <f>ROUND((Z1309*'Data-CostAssumptions'!$G$5)*(1+'Data-CostAssumptions'!$G$3)^(AC1309-'Data-CostAssumptions'!$G$4),-3)</f>
        <v>1407000</v>
      </c>
      <c r="AH1309" s="19">
        <f>ROUND((Z1309)*(1+'Data-CostAssumptions'!$G$3)^(AE1309-'Data-CostAssumptions'!$G$4),-3)</f>
        <v>6394000</v>
      </c>
    </row>
    <row r="1310" spans="1:34" ht="15" customHeight="1" x14ac:dyDescent="0.2">
      <c r="B1310" s="11" t="s">
        <v>1211</v>
      </c>
      <c r="D1310" s="84" t="s">
        <v>276</v>
      </c>
      <c r="E1310" s="104">
        <v>516</v>
      </c>
      <c r="G1310" s="20">
        <v>1313</v>
      </c>
      <c r="H1310" s="13" t="s">
        <v>1576</v>
      </c>
      <c r="I1310" s="13" t="str">
        <f t="shared" si="40"/>
        <v>TAXIWAY H PAVEMENT REHABIITATION ( to )</v>
      </c>
      <c r="J1310" s="12" t="s">
        <v>1199</v>
      </c>
      <c r="K1310" s="13" t="str">
        <f>VLOOKUP(J1310,'Data-ProjectTypes'!A$3:B$13,2,FALSE)</f>
        <v>Program</v>
      </c>
      <c r="L1310" s="12" t="s">
        <v>1662</v>
      </c>
      <c r="R1310" s="23">
        <v>401390</v>
      </c>
      <c r="Z1310" s="18">
        <f>ROUND(R1310*'Data-CostAssumptions'!$C$8,-3)</f>
        <v>401000</v>
      </c>
      <c r="AA1310" s="11">
        <f t="shared" si="41"/>
        <v>0</v>
      </c>
      <c r="AB1310" s="11">
        <v>2041</v>
      </c>
      <c r="AC1310" s="11">
        <v>2041</v>
      </c>
      <c r="AD1310" s="11">
        <v>2041</v>
      </c>
      <c r="AE1310" s="11">
        <v>2041</v>
      </c>
      <c r="AF1310" s="11">
        <v>0</v>
      </c>
      <c r="AG1310" s="19">
        <f>ROUND((Z1310*'Data-CostAssumptions'!$G$5)*(1+'Data-CostAssumptions'!$G$3)^(AC1310-'Data-CostAssumptions'!$G$4),-3)</f>
        <v>226000</v>
      </c>
      <c r="AH1310" s="19">
        <f>ROUND((Z1310)*(1+'Data-CostAssumptions'!$G$3)^(AE1310-'Data-CostAssumptions'!$G$4),-3)</f>
        <v>1028000</v>
      </c>
    </row>
    <row r="1311" spans="1:34" ht="15" customHeight="1" x14ac:dyDescent="0.2">
      <c r="B1311" s="11" t="s">
        <v>1211</v>
      </c>
      <c r="D1311" s="84" t="s">
        <v>276</v>
      </c>
      <c r="E1311" s="104">
        <v>517</v>
      </c>
      <c r="G1311" s="20">
        <v>1314</v>
      </c>
      <c r="H1311" s="13" t="s">
        <v>1577</v>
      </c>
      <c r="I1311" s="13" t="str">
        <f t="shared" si="40"/>
        <v>TAXIWAY L REHABILITATION ( to )</v>
      </c>
      <c r="J1311" s="12" t="s">
        <v>1199</v>
      </c>
      <c r="K1311" s="13" t="str">
        <f>VLOOKUP(J1311,'Data-ProjectTypes'!A$3:B$13,2,FALSE)</f>
        <v>Program</v>
      </c>
      <c r="L1311" s="12" t="s">
        <v>1662</v>
      </c>
      <c r="R1311" s="23">
        <v>630810</v>
      </c>
      <c r="Z1311" s="18">
        <f>ROUND(R1311*'Data-CostAssumptions'!$C$8,-3)</f>
        <v>631000</v>
      </c>
      <c r="AA1311" s="11">
        <f t="shared" si="41"/>
        <v>0</v>
      </c>
      <c r="AB1311" s="11">
        <v>2041</v>
      </c>
      <c r="AC1311" s="11">
        <v>2041</v>
      </c>
      <c r="AD1311" s="11">
        <v>2041</v>
      </c>
      <c r="AE1311" s="11">
        <v>2041</v>
      </c>
      <c r="AF1311" s="11">
        <v>0</v>
      </c>
      <c r="AG1311" s="19">
        <f>ROUND((Z1311*'Data-CostAssumptions'!$G$5)*(1+'Data-CostAssumptions'!$G$3)^(AC1311-'Data-CostAssumptions'!$G$4),-3)</f>
        <v>356000</v>
      </c>
      <c r="AH1311" s="19">
        <f>ROUND((Z1311)*(1+'Data-CostAssumptions'!$G$3)^(AE1311-'Data-CostAssumptions'!$G$4),-3)</f>
        <v>1618000</v>
      </c>
    </row>
    <row r="1312" spans="1:34" ht="15" customHeight="1" x14ac:dyDescent="0.2">
      <c r="B1312" s="11" t="s">
        <v>1211</v>
      </c>
      <c r="D1312" s="84" t="s">
        <v>276</v>
      </c>
      <c r="E1312" s="104">
        <v>510</v>
      </c>
      <c r="G1312" s="20">
        <v>1315</v>
      </c>
      <c r="H1312" s="13" t="s">
        <v>1572</v>
      </c>
      <c r="I1312" s="13" t="str">
        <f t="shared" si="40"/>
        <v>TAXIWAY M EXTENSION ( to )</v>
      </c>
      <c r="J1312" s="12" t="s">
        <v>1199</v>
      </c>
      <c r="K1312" s="13" t="str">
        <f>VLOOKUP(J1312,'Data-ProjectTypes'!A$3:B$13,2,FALSE)</f>
        <v>Program</v>
      </c>
      <c r="L1312" s="12" t="s">
        <v>1659</v>
      </c>
      <c r="R1312" s="23">
        <v>793500</v>
      </c>
      <c r="Z1312" s="18">
        <f>ROUND(R1312*'Data-CostAssumptions'!$C$8,-3)</f>
        <v>794000</v>
      </c>
      <c r="AA1312" s="11">
        <f t="shared" si="41"/>
        <v>0</v>
      </c>
      <c r="AB1312" s="11">
        <v>2041</v>
      </c>
      <c r="AC1312" s="11">
        <v>2041</v>
      </c>
      <c r="AD1312" s="11">
        <v>2041</v>
      </c>
      <c r="AE1312" s="11">
        <v>2041</v>
      </c>
      <c r="AF1312" s="11">
        <v>0</v>
      </c>
      <c r="AG1312" s="19">
        <f>ROUND((Z1312*'Data-CostAssumptions'!$G$5)*(1+'Data-CostAssumptions'!$G$3)^(AC1312-'Data-CostAssumptions'!$G$4),-3)</f>
        <v>448000</v>
      </c>
      <c r="AH1312" s="19">
        <f>ROUND((Z1312)*(1+'Data-CostAssumptions'!$G$3)^(AE1312-'Data-CostAssumptions'!$G$4),-3)</f>
        <v>2036000</v>
      </c>
    </row>
    <row r="1313" spans="1:34" ht="15" customHeight="1" x14ac:dyDescent="0.2">
      <c r="B1313" s="11" t="s">
        <v>1211</v>
      </c>
      <c r="D1313" s="84" t="s">
        <v>276</v>
      </c>
      <c r="E1313" s="104">
        <v>518</v>
      </c>
      <c r="G1313" s="20">
        <v>1316</v>
      </c>
      <c r="H1313" s="13" t="s">
        <v>1578</v>
      </c>
      <c r="I1313" s="13" t="str">
        <f t="shared" si="40"/>
        <v>TAXIWAY M REHABILITATION ( to )</v>
      </c>
      <c r="J1313" s="12" t="s">
        <v>1199</v>
      </c>
      <c r="K1313" s="13" t="str">
        <f>VLOOKUP(J1313,'Data-ProjectTypes'!A$3:B$13,2,FALSE)</f>
        <v>Program</v>
      </c>
      <c r="L1313" s="12" t="s">
        <v>1662</v>
      </c>
      <c r="R1313" s="23">
        <v>338090</v>
      </c>
      <c r="Z1313" s="18">
        <f>ROUND(R1313*'Data-CostAssumptions'!$C$8,-3)</f>
        <v>338000</v>
      </c>
      <c r="AA1313" s="11">
        <f t="shared" si="41"/>
        <v>0</v>
      </c>
      <c r="AB1313" s="11">
        <v>2041</v>
      </c>
      <c r="AC1313" s="11">
        <v>2041</v>
      </c>
      <c r="AD1313" s="11">
        <v>2041</v>
      </c>
      <c r="AE1313" s="11">
        <v>2041</v>
      </c>
      <c r="AF1313" s="11">
        <v>0</v>
      </c>
      <c r="AG1313" s="19">
        <f>ROUND((Z1313*'Data-CostAssumptions'!$G$5)*(1+'Data-CostAssumptions'!$G$3)^(AC1313-'Data-CostAssumptions'!$G$4),-3)</f>
        <v>191000</v>
      </c>
      <c r="AH1313" s="19">
        <f>ROUND((Z1313)*(1+'Data-CostAssumptions'!$G$3)^(AE1313-'Data-CostAssumptions'!$G$4),-3)</f>
        <v>867000</v>
      </c>
    </row>
    <row r="1314" spans="1:34" ht="15" customHeight="1" x14ac:dyDescent="0.2">
      <c r="B1314" s="11" t="s">
        <v>1211</v>
      </c>
      <c r="D1314" s="84" t="s">
        <v>276</v>
      </c>
      <c r="E1314" s="104">
        <v>519</v>
      </c>
      <c r="G1314" s="20">
        <v>1317</v>
      </c>
      <c r="H1314" s="13" t="s">
        <v>1579</v>
      </c>
      <c r="I1314" s="13" t="str">
        <f t="shared" si="40"/>
        <v>TAXIWAY N REHABILITATION ( to )</v>
      </c>
      <c r="J1314" s="12" t="s">
        <v>1199</v>
      </c>
      <c r="K1314" s="13" t="str">
        <f>VLOOKUP(J1314,'Data-ProjectTypes'!A$3:B$13,2,FALSE)</f>
        <v>Program</v>
      </c>
      <c r="L1314" s="12" t="s">
        <v>1662</v>
      </c>
      <c r="R1314" s="23">
        <v>823630</v>
      </c>
      <c r="Z1314" s="18">
        <f>ROUND(R1314*'Data-CostAssumptions'!$C$8,-3)</f>
        <v>824000</v>
      </c>
      <c r="AA1314" s="11">
        <f t="shared" si="41"/>
        <v>0</v>
      </c>
      <c r="AB1314" s="11">
        <v>2041</v>
      </c>
      <c r="AC1314" s="11">
        <v>2041</v>
      </c>
      <c r="AD1314" s="11">
        <v>2041</v>
      </c>
      <c r="AE1314" s="11">
        <v>2041</v>
      </c>
      <c r="AF1314" s="11">
        <v>0</v>
      </c>
      <c r="AG1314" s="19">
        <f>ROUND((Z1314*'Data-CostAssumptions'!$G$5)*(1+'Data-CostAssumptions'!$G$3)^(AC1314-'Data-CostAssumptions'!$G$4),-3)</f>
        <v>465000</v>
      </c>
      <c r="AH1314" s="19">
        <f>ROUND((Z1314)*(1+'Data-CostAssumptions'!$G$3)^(AE1314-'Data-CostAssumptions'!$G$4),-3)</f>
        <v>2113000</v>
      </c>
    </row>
    <row r="1315" spans="1:34" ht="15" customHeight="1" x14ac:dyDescent="0.2">
      <c r="B1315" s="11" t="s">
        <v>1211</v>
      </c>
      <c r="D1315" s="84" t="s">
        <v>276</v>
      </c>
      <c r="E1315" s="104">
        <v>520</v>
      </c>
      <c r="G1315" s="20">
        <v>1318</v>
      </c>
      <c r="H1315" s="13" t="s">
        <v>1580</v>
      </c>
      <c r="I1315" s="13" t="str">
        <f t="shared" si="40"/>
        <v>TAXIWAY P REHABILITATION ( to )</v>
      </c>
      <c r="J1315" s="12" t="s">
        <v>1199</v>
      </c>
      <c r="K1315" s="13" t="str">
        <f>VLOOKUP(J1315,'Data-ProjectTypes'!A$3:B$13,2,FALSE)</f>
        <v>Program</v>
      </c>
      <c r="L1315" s="12" t="s">
        <v>1662</v>
      </c>
      <c r="R1315" s="23">
        <v>235520</v>
      </c>
      <c r="Z1315" s="18">
        <f>ROUND(R1315*'Data-CostAssumptions'!$C$8,-3)</f>
        <v>236000</v>
      </c>
      <c r="AA1315" s="11">
        <f t="shared" si="41"/>
        <v>0</v>
      </c>
      <c r="AB1315" s="11">
        <v>2041</v>
      </c>
      <c r="AC1315" s="11">
        <v>2041</v>
      </c>
      <c r="AD1315" s="11">
        <v>2041</v>
      </c>
      <c r="AE1315" s="11">
        <v>2041</v>
      </c>
      <c r="AF1315" s="11">
        <v>0</v>
      </c>
      <c r="AG1315" s="19">
        <f>ROUND((Z1315*'Data-CostAssumptions'!$G$5)*(1+'Data-CostAssumptions'!$G$3)^(AC1315-'Data-CostAssumptions'!$G$4),-3)</f>
        <v>133000</v>
      </c>
      <c r="AH1315" s="19">
        <f>ROUND((Z1315)*(1+'Data-CostAssumptions'!$G$3)^(AE1315-'Data-CostAssumptions'!$G$4),-3)</f>
        <v>605000</v>
      </c>
    </row>
    <row r="1316" spans="1:34" ht="15" customHeight="1" x14ac:dyDescent="0.2">
      <c r="B1316" s="11" t="s">
        <v>1211</v>
      </c>
      <c r="D1316" s="84" t="s">
        <v>276</v>
      </c>
      <c r="E1316" s="104">
        <v>521</v>
      </c>
      <c r="G1316" s="20">
        <v>1319</v>
      </c>
      <c r="H1316" s="13" t="s">
        <v>1581</v>
      </c>
      <c r="I1316" s="13" t="str">
        <f t="shared" si="40"/>
        <v>TAXIWAY Q REHABILITATION ( to )</v>
      </c>
      <c r="J1316" s="12" t="s">
        <v>1199</v>
      </c>
      <c r="K1316" s="13" t="str">
        <f>VLOOKUP(J1316,'Data-ProjectTypes'!A$3:B$13,2,FALSE)</f>
        <v>Program</v>
      </c>
      <c r="L1316" s="12" t="s">
        <v>1662</v>
      </c>
      <c r="R1316" s="23">
        <v>148940</v>
      </c>
      <c r="Z1316" s="18">
        <f>ROUND(R1316*'Data-CostAssumptions'!$C$8,-3)</f>
        <v>149000</v>
      </c>
      <c r="AA1316" s="11">
        <f t="shared" si="41"/>
        <v>0</v>
      </c>
      <c r="AB1316" s="11">
        <v>2041</v>
      </c>
      <c r="AC1316" s="11">
        <v>2041</v>
      </c>
      <c r="AD1316" s="11">
        <v>2041</v>
      </c>
      <c r="AE1316" s="11">
        <v>2041</v>
      </c>
      <c r="AF1316" s="11">
        <v>0</v>
      </c>
      <c r="AG1316" s="19">
        <f>ROUND((Z1316*'Data-CostAssumptions'!$G$5)*(1+'Data-CostAssumptions'!$G$3)^(AC1316-'Data-CostAssumptions'!$G$4),-3)</f>
        <v>84000</v>
      </c>
      <c r="AH1316" s="19">
        <f>ROUND((Z1316)*(1+'Data-CostAssumptions'!$G$3)^(AE1316-'Data-CostAssumptions'!$G$4),-3)</f>
        <v>382000</v>
      </c>
    </row>
    <row r="1317" spans="1:34" ht="15" customHeight="1" x14ac:dyDescent="0.2">
      <c r="B1317" s="11" t="s">
        <v>1211</v>
      </c>
      <c r="D1317" s="84" t="s">
        <v>276</v>
      </c>
      <c r="E1317" s="104">
        <v>522</v>
      </c>
      <c r="G1317" s="20">
        <v>1320</v>
      </c>
      <c r="H1317" s="13" t="s">
        <v>1582</v>
      </c>
      <c r="I1317" s="13" t="str">
        <f t="shared" si="40"/>
        <v>TAXIWAY R REHABILITATION ( to )</v>
      </c>
      <c r="J1317" s="12" t="s">
        <v>1199</v>
      </c>
      <c r="K1317" s="13" t="str">
        <f>VLOOKUP(J1317,'Data-ProjectTypes'!A$3:B$13,2,FALSE)</f>
        <v>Program</v>
      </c>
      <c r="L1317" s="12" t="s">
        <v>1662</v>
      </c>
      <c r="R1317" s="23">
        <v>103340</v>
      </c>
      <c r="Z1317" s="18">
        <f>ROUND(R1317*'Data-CostAssumptions'!$C$8,-3)</f>
        <v>103000</v>
      </c>
      <c r="AA1317" s="11">
        <f t="shared" si="41"/>
        <v>0</v>
      </c>
      <c r="AB1317" s="11">
        <v>2041</v>
      </c>
      <c r="AC1317" s="11">
        <v>2041</v>
      </c>
      <c r="AD1317" s="11">
        <v>2041</v>
      </c>
      <c r="AE1317" s="11">
        <v>2041</v>
      </c>
      <c r="AF1317" s="11">
        <v>0</v>
      </c>
      <c r="AG1317" s="19">
        <f>ROUND((Z1317*'Data-CostAssumptions'!$G$5)*(1+'Data-CostAssumptions'!$G$3)^(AC1317-'Data-CostAssumptions'!$G$4),-3)</f>
        <v>58000</v>
      </c>
      <c r="AH1317" s="19">
        <f>ROUND((Z1317)*(1+'Data-CostAssumptions'!$G$3)^(AE1317-'Data-CostAssumptions'!$G$4),-3)</f>
        <v>264000</v>
      </c>
    </row>
    <row r="1318" spans="1:34" ht="15" customHeight="1" x14ac:dyDescent="0.2">
      <c r="A1318" s="11"/>
      <c r="B1318" s="11" t="s">
        <v>1211</v>
      </c>
      <c r="C1318" s="11">
        <v>782</v>
      </c>
      <c r="D1318" s="84" t="s">
        <v>276</v>
      </c>
      <c r="E1318" s="14">
        <v>322</v>
      </c>
      <c r="F1318" s="14">
        <v>185</v>
      </c>
      <c r="G1318" s="20">
        <v>1321</v>
      </c>
      <c r="H1318" s="13" t="s">
        <v>1942</v>
      </c>
      <c r="I1318" s="13" t="str">
        <f t="shared" si="40"/>
        <v>SE 24th St/Spangler Bl (Eisenhower Bl to US 1/Federal Hwy)</v>
      </c>
      <c r="J1318" s="11" t="s">
        <v>29</v>
      </c>
      <c r="K1318" s="13" t="str">
        <f>VLOOKUP(J1318,'Data-ProjectTypes'!A$3:B$13,2,FALSE)</f>
        <v>Program</v>
      </c>
      <c r="L1318" s="11" t="s">
        <v>1222</v>
      </c>
      <c r="M1318" s="106" t="s">
        <v>1817</v>
      </c>
      <c r="N1318" s="84" t="s">
        <v>2594</v>
      </c>
      <c r="O1318" s="11" t="s">
        <v>272</v>
      </c>
      <c r="P1318" s="11" t="s">
        <v>272</v>
      </c>
      <c r="Q1318" s="107">
        <v>0.8</v>
      </c>
      <c r="R1318" s="23">
        <v>176086</v>
      </c>
      <c r="S1318" s="11"/>
      <c r="T1318" s="11"/>
      <c r="U1318" s="11"/>
      <c r="V1318" s="11"/>
      <c r="W1318" s="11"/>
      <c r="X1318" s="11"/>
      <c r="Z1318" s="18">
        <f>ROUND(R1318*'Data-CostAssumptions'!$C$8,-3)</f>
        <v>176000</v>
      </c>
      <c r="AA1318" s="11">
        <f t="shared" si="41"/>
        <v>0</v>
      </c>
      <c r="AB1318" s="11">
        <v>2041</v>
      </c>
      <c r="AC1318" s="11">
        <v>2041</v>
      </c>
      <c r="AD1318" s="11">
        <v>2041</v>
      </c>
      <c r="AE1318" s="11">
        <v>2041</v>
      </c>
      <c r="AF1318" s="11">
        <v>0</v>
      </c>
      <c r="AG1318" s="19">
        <f>ROUND((Z1318*'Data-CostAssumptions'!$G$5)*(1+'Data-CostAssumptions'!$G$3)^(AC1318-'Data-CostAssumptions'!$G$4),-3)</f>
        <v>99000</v>
      </c>
      <c r="AH1318" s="19">
        <f>ROUND((Z1318)*(1+'Data-CostAssumptions'!$G$3)^(AE1318-'Data-CostAssumptions'!$G$4),-3)</f>
        <v>451000</v>
      </c>
    </row>
    <row r="1319" spans="1:34" ht="15" customHeight="1" x14ac:dyDescent="0.2">
      <c r="B1319" s="11" t="s">
        <v>1211</v>
      </c>
      <c r="D1319" s="84" t="s">
        <v>276</v>
      </c>
      <c r="E1319" s="104" t="s">
        <v>1505</v>
      </c>
      <c r="G1319" s="20">
        <v>1322</v>
      </c>
      <c r="H1319" s="13" t="s">
        <v>2014</v>
      </c>
      <c r="I1319" s="13" t="str">
        <f t="shared" si="40"/>
        <v>Andrews Av (ELLER DR to SE 24TH ST (SR840))</v>
      </c>
      <c r="J1319" s="12" t="s">
        <v>29</v>
      </c>
      <c r="K1319" s="13" t="str">
        <f>VLOOKUP(J1319,'Data-ProjectTypes'!A$3:B$13,2,FALSE)</f>
        <v>Program</v>
      </c>
      <c r="L1319" s="12" t="s">
        <v>1667</v>
      </c>
      <c r="M1319" s="105" t="s">
        <v>1434</v>
      </c>
      <c r="N1319" s="12" t="s">
        <v>1705</v>
      </c>
      <c r="Q1319" s="72">
        <v>0.8</v>
      </c>
      <c r="R1319" s="23">
        <f>ROUND(Q1319*'Data-CostAssumptions'!$C$25,-1)</f>
        <v>134720</v>
      </c>
      <c r="Z1319" s="18">
        <f>ROUND(R1319*'Data-CostAssumptions'!$C$8,-3)</f>
        <v>135000</v>
      </c>
      <c r="AA1319" s="11">
        <f t="shared" si="41"/>
        <v>0</v>
      </c>
      <c r="AB1319" s="11">
        <v>2041</v>
      </c>
      <c r="AC1319" s="11">
        <v>2041</v>
      </c>
      <c r="AD1319" s="11">
        <v>2041</v>
      </c>
      <c r="AE1319" s="11">
        <v>2041</v>
      </c>
      <c r="AF1319" s="11">
        <v>0</v>
      </c>
      <c r="AG1319" s="19">
        <f>ROUND((Z1319*'Data-CostAssumptions'!$G$5)*(1+'Data-CostAssumptions'!$G$3)^(AC1319-'Data-CostAssumptions'!$G$4),-3)</f>
        <v>76000</v>
      </c>
      <c r="AH1319" s="19">
        <f>ROUND((Z1319)*(1+'Data-CostAssumptions'!$G$3)^(AE1319-'Data-CostAssumptions'!$G$4),-3)</f>
        <v>346000</v>
      </c>
    </row>
    <row r="1320" spans="1:34" ht="15" customHeight="1" x14ac:dyDescent="0.2">
      <c r="A1320" s="11"/>
      <c r="B1320" s="11" t="s">
        <v>1211</v>
      </c>
      <c r="C1320" s="11"/>
      <c r="D1320" s="84" t="s">
        <v>276</v>
      </c>
      <c r="E1320" s="14">
        <v>4</v>
      </c>
      <c r="F1320" s="14"/>
      <c r="G1320" s="20">
        <v>1323</v>
      </c>
      <c r="H1320" s="13" t="s">
        <v>2014</v>
      </c>
      <c r="I1320" s="13" t="str">
        <f t="shared" si="40"/>
        <v>Andrews Av (NE 60th ST to MCNAB Rd)</v>
      </c>
      <c r="J1320" s="11" t="s">
        <v>29</v>
      </c>
      <c r="K1320" s="13" t="str">
        <f>VLOOKUP(J1320,'Data-ProjectTypes'!A$3:B$13,2,FALSE)</f>
        <v>Program</v>
      </c>
      <c r="L1320" s="11" t="s">
        <v>1257</v>
      </c>
      <c r="M1320" s="106" t="s">
        <v>1421</v>
      </c>
      <c r="N1320" s="84" t="s">
        <v>2400</v>
      </c>
      <c r="O1320" s="11"/>
      <c r="P1320" s="11"/>
      <c r="Q1320" s="107">
        <v>0.8</v>
      </c>
      <c r="R1320" s="23">
        <v>648000</v>
      </c>
      <c r="S1320" s="11"/>
      <c r="T1320" s="11"/>
      <c r="U1320" s="11"/>
      <c r="V1320" s="11"/>
      <c r="W1320" s="11"/>
      <c r="X1320" s="11"/>
      <c r="Z1320" s="18">
        <f>ROUND(R1320*'Data-CostAssumptions'!$C$8,-3)</f>
        <v>648000</v>
      </c>
      <c r="AA1320" s="11">
        <f t="shared" si="41"/>
        <v>0</v>
      </c>
      <c r="AB1320" s="11">
        <v>2041</v>
      </c>
      <c r="AC1320" s="11">
        <v>2041</v>
      </c>
      <c r="AD1320" s="11">
        <v>2041</v>
      </c>
      <c r="AE1320" s="11">
        <v>2041</v>
      </c>
      <c r="AF1320" s="11">
        <v>0</v>
      </c>
      <c r="AG1320" s="19">
        <f>ROUND((Z1320*'Data-CostAssumptions'!$G$5)*(1+'Data-CostAssumptions'!$G$3)^(AC1320-'Data-CostAssumptions'!$G$4),-3)</f>
        <v>366000</v>
      </c>
      <c r="AH1320" s="19">
        <f>ROUND((Z1320)*(1+'Data-CostAssumptions'!$G$3)^(AE1320-'Data-CostAssumptions'!$G$4),-3)</f>
        <v>1661000</v>
      </c>
    </row>
    <row r="1321" spans="1:34" ht="15" customHeight="1" x14ac:dyDescent="0.2">
      <c r="A1321" s="11"/>
      <c r="B1321" s="11" t="s">
        <v>1211</v>
      </c>
      <c r="C1321" s="11"/>
      <c r="D1321" s="84" t="s">
        <v>276</v>
      </c>
      <c r="E1321" s="14">
        <v>2</v>
      </c>
      <c r="F1321" s="14"/>
      <c r="G1321" s="20">
        <v>1324</v>
      </c>
      <c r="H1321" s="13" t="s">
        <v>2014</v>
      </c>
      <c r="I1321" s="13" t="str">
        <f t="shared" si="40"/>
        <v>Andrews Av (SE/SW 9TH ST to SUNRISE Bl)</v>
      </c>
      <c r="J1321" s="11" t="s">
        <v>29</v>
      </c>
      <c r="K1321" s="13" t="str">
        <f>VLOOKUP(J1321,'Data-ProjectTypes'!A$3:B$13,2,FALSE)</f>
        <v>Program</v>
      </c>
      <c r="L1321" s="11" t="s">
        <v>1254</v>
      </c>
      <c r="M1321" s="106" t="s">
        <v>1420</v>
      </c>
      <c r="N1321" s="84" t="s">
        <v>2002</v>
      </c>
      <c r="O1321" s="11"/>
      <c r="P1321" s="11"/>
      <c r="Q1321" s="107">
        <v>1.8</v>
      </c>
      <c r="R1321" s="23">
        <v>1026000</v>
      </c>
      <c r="S1321" s="11"/>
      <c r="T1321" s="11"/>
      <c r="U1321" s="11"/>
      <c r="V1321" s="11"/>
      <c r="W1321" s="11"/>
      <c r="X1321" s="11"/>
      <c r="Z1321" s="18">
        <f>ROUND(R1321*'Data-CostAssumptions'!$C$8,-3)</f>
        <v>1026000</v>
      </c>
      <c r="AA1321" s="11">
        <f t="shared" si="41"/>
        <v>0</v>
      </c>
      <c r="AB1321" s="11">
        <v>2041</v>
      </c>
      <c r="AC1321" s="11">
        <v>2041</v>
      </c>
      <c r="AD1321" s="11">
        <v>2041</v>
      </c>
      <c r="AE1321" s="11">
        <v>2041</v>
      </c>
      <c r="AF1321" s="11">
        <v>0</v>
      </c>
      <c r="AG1321" s="19">
        <f>ROUND((Z1321*'Data-CostAssumptions'!$G$5)*(1+'Data-CostAssumptions'!$G$3)^(AC1321-'Data-CostAssumptions'!$G$4),-3)</f>
        <v>579000</v>
      </c>
      <c r="AH1321" s="19">
        <f>ROUND((Z1321)*(1+'Data-CostAssumptions'!$G$3)^(AE1321-'Data-CostAssumptions'!$G$4),-3)</f>
        <v>2631000</v>
      </c>
    </row>
    <row r="1322" spans="1:34" ht="15" customHeight="1" x14ac:dyDescent="0.2">
      <c r="A1322" s="11"/>
      <c r="B1322" s="11" t="s">
        <v>1211</v>
      </c>
      <c r="C1322" s="11"/>
      <c r="D1322" s="84" t="s">
        <v>276</v>
      </c>
      <c r="E1322" s="14">
        <v>1</v>
      </c>
      <c r="F1322" s="14"/>
      <c r="G1322" s="20">
        <v>1325</v>
      </c>
      <c r="H1322" s="13" t="s">
        <v>2014</v>
      </c>
      <c r="I1322" s="13" t="str">
        <f t="shared" si="40"/>
        <v>Andrews Av (SR 84/SW 24TH ST to SE/SW 9TH ST)</v>
      </c>
      <c r="J1322" s="11" t="s">
        <v>29</v>
      </c>
      <c r="K1322" s="13" t="str">
        <f>VLOOKUP(J1322,'Data-ProjectTypes'!A$3:B$13,2,FALSE)</f>
        <v>Program</v>
      </c>
      <c r="L1322" s="11" t="s">
        <v>1254</v>
      </c>
      <c r="M1322" s="106" t="s">
        <v>1419</v>
      </c>
      <c r="N1322" s="84" t="s">
        <v>1420</v>
      </c>
      <c r="O1322" s="11"/>
      <c r="P1322" s="11"/>
      <c r="Q1322" s="107">
        <v>1.3</v>
      </c>
      <c r="R1322" s="23">
        <v>741000</v>
      </c>
      <c r="S1322" s="11"/>
      <c r="T1322" s="11"/>
      <c r="U1322" s="11"/>
      <c r="V1322" s="11"/>
      <c r="W1322" s="11"/>
      <c r="X1322" s="11"/>
      <c r="Z1322" s="18">
        <f>ROUND(R1322*'Data-CostAssumptions'!$C$8,-3)</f>
        <v>741000</v>
      </c>
      <c r="AA1322" s="11">
        <f t="shared" si="41"/>
        <v>0</v>
      </c>
      <c r="AB1322" s="11">
        <v>2041</v>
      </c>
      <c r="AC1322" s="11">
        <v>2041</v>
      </c>
      <c r="AD1322" s="11">
        <v>2041</v>
      </c>
      <c r="AE1322" s="11">
        <v>2041</v>
      </c>
      <c r="AF1322" s="11">
        <v>0</v>
      </c>
      <c r="AG1322" s="19">
        <f>ROUND((Z1322*'Data-CostAssumptions'!$G$5)*(1+'Data-CostAssumptions'!$G$3)^(AC1322-'Data-CostAssumptions'!$G$4),-3)</f>
        <v>418000</v>
      </c>
      <c r="AH1322" s="19">
        <f>ROUND((Z1322)*(1+'Data-CostAssumptions'!$G$3)^(AE1322-'Data-CostAssumptions'!$G$4),-3)</f>
        <v>1900000</v>
      </c>
    </row>
    <row r="1323" spans="1:34" ht="15" customHeight="1" x14ac:dyDescent="0.2">
      <c r="A1323" s="11"/>
      <c r="B1323" s="11" t="s">
        <v>1211</v>
      </c>
      <c r="C1323" s="11"/>
      <c r="D1323" s="84" t="s">
        <v>276</v>
      </c>
      <c r="E1323" s="14">
        <v>3</v>
      </c>
      <c r="F1323" s="14"/>
      <c r="G1323" s="20">
        <v>1326</v>
      </c>
      <c r="H1323" s="13" t="s">
        <v>2014</v>
      </c>
      <c r="I1323" s="13" t="str">
        <f t="shared" si="40"/>
        <v>Andrews Av (SUNRISE Bl to NW 19TH ST)</v>
      </c>
      <c r="J1323" s="11" t="s">
        <v>29</v>
      </c>
      <c r="K1323" s="13" t="str">
        <f>VLOOKUP(J1323,'Data-ProjectTypes'!A$3:B$13,2,FALSE)</f>
        <v>Program</v>
      </c>
      <c r="L1323" s="11" t="s">
        <v>1254</v>
      </c>
      <c r="M1323" s="106" t="s">
        <v>2002</v>
      </c>
      <c r="N1323" s="84" t="s">
        <v>1240</v>
      </c>
      <c r="O1323" s="11"/>
      <c r="P1323" s="11"/>
      <c r="Q1323" s="107">
        <v>1</v>
      </c>
      <c r="R1323" s="23">
        <v>144000</v>
      </c>
      <c r="S1323" s="11"/>
      <c r="T1323" s="11"/>
      <c r="U1323" s="11"/>
      <c r="V1323" s="11"/>
      <c r="W1323" s="11"/>
      <c r="X1323" s="11"/>
      <c r="Z1323" s="18">
        <f>ROUND(R1323*'Data-CostAssumptions'!$C$8,-3)</f>
        <v>144000</v>
      </c>
      <c r="AA1323" s="11">
        <f t="shared" si="41"/>
        <v>0</v>
      </c>
      <c r="AB1323" s="11">
        <v>2041</v>
      </c>
      <c r="AC1323" s="11">
        <v>2041</v>
      </c>
      <c r="AD1323" s="11">
        <v>2041</v>
      </c>
      <c r="AE1323" s="11">
        <v>2041</v>
      </c>
      <c r="AF1323" s="11">
        <v>0</v>
      </c>
      <c r="AG1323" s="19">
        <f>ROUND((Z1323*'Data-CostAssumptions'!$G$5)*(1+'Data-CostAssumptions'!$G$3)^(AC1323-'Data-CostAssumptions'!$G$4),-3)</f>
        <v>81000</v>
      </c>
      <c r="AH1323" s="19">
        <f>ROUND((Z1323)*(1+'Data-CostAssumptions'!$G$3)^(AE1323-'Data-CostAssumptions'!$G$4),-3)</f>
        <v>369000</v>
      </c>
    </row>
    <row r="1324" spans="1:34" ht="15" customHeight="1" x14ac:dyDescent="0.2">
      <c r="A1324" s="11"/>
      <c r="B1324" s="11" t="s">
        <v>1211</v>
      </c>
      <c r="C1324" s="11"/>
      <c r="D1324" s="84" t="s">
        <v>276</v>
      </c>
      <c r="E1324" s="14">
        <v>110</v>
      </c>
      <c r="F1324" s="14"/>
      <c r="G1324" s="20">
        <v>1327</v>
      </c>
      <c r="H1324" s="13" t="s">
        <v>2014</v>
      </c>
      <c r="I1324" s="13" t="str">
        <f t="shared" si="40"/>
        <v>Andrews Av (US1/SE 6TH Av to SR 84/SW 24TH ST)</v>
      </c>
      <c r="J1324" s="11" t="s">
        <v>29</v>
      </c>
      <c r="K1324" s="13" t="str">
        <f>VLOOKUP(J1324,'Data-ProjectTypes'!A$3:B$13,2,FALSE)</f>
        <v>Program</v>
      </c>
      <c r="L1324" s="11" t="s">
        <v>1254</v>
      </c>
      <c r="M1324" s="106" t="s">
        <v>2599</v>
      </c>
      <c r="N1324" s="84" t="s">
        <v>1419</v>
      </c>
      <c r="O1324" s="11"/>
      <c r="P1324" s="11"/>
      <c r="Q1324" s="107">
        <v>0.7</v>
      </c>
      <c r="R1324" s="23">
        <v>390000</v>
      </c>
      <c r="S1324" s="11"/>
      <c r="T1324" s="11"/>
      <c r="U1324" s="11"/>
      <c r="V1324" s="11"/>
      <c r="W1324" s="11"/>
      <c r="X1324" s="11"/>
      <c r="Z1324" s="18">
        <f>ROUND(R1324*'Data-CostAssumptions'!$C$8,-3)</f>
        <v>390000</v>
      </c>
      <c r="AA1324" s="11">
        <f t="shared" si="41"/>
        <v>0</v>
      </c>
      <c r="AB1324" s="11">
        <v>2041</v>
      </c>
      <c r="AC1324" s="11">
        <v>2041</v>
      </c>
      <c r="AD1324" s="11">
        <v>2041</v>
      </c>
      <c r="AE1324" s="11">
        <v>2041</v>
      </c>
      <c r="AF1324" s="11">
        <v>0</v>
      </c>
      <c r="AG1324" s="19">
        <f>ROUND((Z1324*'Data-CostAssumptions'!$G$5)*(1+'Data-CostAssumptions'!$G$3)^(AC1324-'Data-CostAssumptions'!$G$4),-3)</f>
        <v>220000</v>
      </c>
      <c r="AH1324" s="19">
        <f>ROUND((Z1324)*(1+'Data-CostAssumptions'!$G$3)^(AE1324-'Data-CostAssumptions'!$G$4),-3)</f>
        <v>1000000</v>
      </c>
    </row>
    <row r="1325" spans="1:34" ht="15" customHeight="1" x14ac:dyDescent="0.2">
      <c r="B1325" s="11" t="s">
        <v>1211</v>
      </c>
      <c r="D1325" s="84" t="s">
        <v>276</v>
      </c>
      <c r="E1325" s="104" t="s">
        <v>1491</v>
      </c>
      <c r="G1325" s="20">
        <v>1328</v>
      </c>
      <c r="H1325" s="13" t="s">
        <v>2831</v>
      </c>
      <c r="I1325" s="13" t="str">
        <f t="shared" si="40"/>
        <v>Antioch Av (RIOMAR ST  to VISTAMAR ST )</v>
      </c>
      <c r="J1325" s="12" t="s">
        <v>29</v>
      </c>
      <c r="K1325" s="13" t="str">
        <f>VLOOKUP(J1325,'Data-ProjectTypes'!A$3:B$13,2,FALSE)</f>
        <v>Program</v>
      </c>
      <c r="L1325" s="12" t="s">
        <v>1667</v>
      </c>
      <c r="M1325" s="105" t="s">
        <v>1588</v>
      </c>
      <c r="N1325" s="12" t="s">
        <v>1586</v>
      </c>
      <c r="Q1325" s="72">
        <v>0.3</v>
      </c>
      <c r="R1325" s="23">
        <f>ROUND(Q1325*'Data-CostAssumptions'!$C$25,-1)</f>
        <v>50520</v>
      </c>
      <c r="Z1325" s="18">
        <f>ROUND(R1325*'Data-CostAssumptions'!$C$8,-3)</f>
        <v>51000</v>
      </c>
      <c r="AA1325" s="11">
        <f t="shared" si="41"/>
        <v>0</v>
      </c>
      <c r="AB1325" s="11">
        <v>2041</v>
      </c>
      <c r="AC1325" s="11">
        <v>2041</v>
      </c>
      <c r="AD1325" s="11">
        <v>2041</v>
      </c>
      <c r="AE1325" s="11">
        <v>2041</v>
      </c>
      <c r="AF1325" s="11">
        <v>0</v>
      </c>
      <c r="AG1325" s="19">
        <f>ROUND((Z1325*'Data-CostAssumptions'!$G$5)*(1+'Data-CostAssumptions'!$G$3)^(AC1325-'Data-CostAssumptions'!$G$4),-3)</f>
        <v>29000</v>
      </c>
      <c r="AH1325" s="19">
        <f>ROUND((Z1325)*(1+'Data-CostAssumptions'!$G$3)^(AE1325-'Data-CostAssumptions'!$G$4),-3)</f>
        <v>131000</v>
      </c>
    </row>
    <row r="1326" spans="1:34" ht="15" customHeight="1" x14ac:dyDescent="0.2">
      <c r="B1326" s="11" t="s">
        <v>1211</v>
      </c>
      <c r="D1326" s="84" t="s">
        <v>276</v>
      </c>
      <c r="E1326" s="104" t="s">
        <v>1481</v>
      </c>
      <c r="G1326" s="20">
        <v>1329</v>
      </c>
      <c r="H1326" s="13" t="s">
        <v>2870</v>
      </c>
      <c r="I1326" s="13" t="str">
        <f t="shared" si="40"/>
        <v>Atlantic Bl N (NE 19TH CT to E OAKLAND PARK Bl )</v>
      </c>
      <c r="J1326" s="12" t="s">
        <v>29</v>
      </c>
      <c r="K1326" s="13" t="str">
        <f>VLOOKUP(J1326,'Data-ProjectTypes'!A$3:B$13,2,FALSE)</f>
        <v>Program</v>
      </c>
      <c r="L1326" s="12" t="s">
        <v>1667</v>
      </c>
      <c r="M1326" s="105" t="s">
        <v>1690</v>
      </c>
      <c r="N1326" s="12" t="s">
        <v>2298</v>
      </c>
      <c r="Q1326" s="72">
        <v>1</v>
      </c>
      <c r="R1326" s="23">
        <f>ROUND(Q1326*'Data-CostAssumptions'!$C$25,-1)</f>
        <v>168400</v>
      </c>
      <c r="Z1326" s="18">
        <f>ROUND(R1326*'Data-CostAssumptions'!$C$8,-3)</f>
        <v>168000</v>
      </c>
      <c r="AA1326" s="11">
        <f t="shared" si="41"/>
        <v>0</v>
      </c>
      <c r="AB1326" s="11">
        <v>2041</v>
      </c>
      <c r="AC1326" s="11">
        <v>2041</v>
      </c>
      <c r="AD1326" s="11">
        <v>2041</v>
      </c>
      <c r="AE1326" s="11">
        <v>2041</v>
      </c>
      <c r="AF1326" s="11">
        <v>0</v>
      </c>
      <c r="AG1326" s="19">
        <f>ROUND((Z1326*'Data-CostAssumptions'!$G$5)*(1+'Data-CostAssumptions'!$G$3)^(AC1326-'Data-CostAssumptions'!$G$4),-3)</f>
        <v>95000</v>
      </c>
      <c r="AH1326" s="19">
        <f>ROUND((Z1326)*(1+'Data-CostAssumptions'!$G$3)^(AE1326-'Data-CostAssumptions'!$G$4),-3)</f>
        <v>431000</v>
      </c>
    </row>
    <row r="1327" spans="1:34" ht="15" customHeight="1" x14ac:dyDescent="0.2">
      <c r="B1327" s="11" t="s">
        <v>1211</v>
      </c>
      <c r="D1327" s="84" t="s">
        <v>276</v>
      </c>
      <c r="E1327" s="104" t="s">
        <v>1492</v>
      </c>
      <c r="G1327" s="20">
        <v>1330</v>
      </c>
      <c r="H1327" s="13" t="s">
        <v>2695</v>
      </c>
      <c r="I1327" s="13" t="str">
        <f t="shared" si="40"/>
        <v>Bayshore Dr (RIOMAR ST  to VISTAMAR ST )</v>
      </c>
      <c r="J1327" s="12" t="s">
        <v>29</v>
      </c>
      <c r="K1327" s="13" t="str">
        <f>VLOOKUP(J1327,'Data-ProjectTypes'!A$3:B$13,2,FALSE)</f>
        <v>Program</v>
      </c>
      <c r="L1327" s="12" t="s">
        <v>1667</v>
      </c>
      <c r="M1327" s="105" t="s">
        <v>1588</v>
      </c>
      <c r="N1327" s="12" t="s">
        <v>1586</v>
      </c>
      <c r="Q1327" s="72">
        <v>0.6</v>
      </c>
      <c r="R1327" s="23">
        <f>ROUND(Q1327*'Data-CostAssumptions'!$C$25,-1)</f>
        <v>101040</v>
      </c>
      <c r="Z1327" s="18">
        <f>ROUND(R1327*'Data-CostAssumptions'!$C$8,-3)</f>
        <v>101000</v>
      </c>
      <c r="AA1327" s="11">
        <f t="shared" si="41"/>
        <v>0</v>
      </c>
      <c r="AB1327" s="11">
        <v>2041</v>
      </c>
      <c r="AC1327" s="11">
        <v>2041</v>
      </c>
      <c r="AD1327" s="11">
        <v>2041</v>
      </c>
      <c r="AE1327" s="11">
        <v>2041</v>
      </c>
      <c r="AF1327" s="11">
        <v>0</v>
      </c>
      <c r="AG1327" s="19">
        <f>ROUND((Z1327*'Data-CostAssumptions'!$G$5)*(1+'Data-CostAssumptions'!$G$3)^(AC1327-'Data-CostAssumptions'!$G$4),-3)</f>
        <v>57000</v>
      </c>
      <c r="AH1327" s="19">
        <f>ROUND((Z1327)*(1+'Data-CostAssumptions'!$G$3)^(AE1327-'Data-CostAssumptions'!$G$4),-3)</f>
        <v>259000</v>
      </c>
    </row>
    <row r="1328" spans="1:34" ht="15" customHeight="1" x14ac:dyDescent="0.2">
      <c r="A1328" s="11"/>
      <c r="B1328" s="11" t="s">
        <v>1211</v>
      </c>
      <c r="C1328" s="11"/>
      <c r="D1328" s="84" t="s">
        <v>276</v>
      </c>
      <c r="E1328" s="14">
        <v>5</v>
      </c>
      <c r="F1328" s="14"/>
      <c r="G1328" s="20">
        <v>1331</v>
      </c>
      <c r="H1328" s="13" t="s">
        <v>1781</v>
      </c>
      <c r="I1328" s="13" t="str">
        <f t="shared" si="40"/>
        <v>Bayview Dr (OAKLAND PARK Bl/SR 816 to US 1/SR 5)</v>
      </c>
      <c r="J1328" s="11" t="s">
        <v>29</v>
      </c>
      <c r="K1328" s="13" t="str">
        <f>VLOOKUP(J1328,'Data-ProjectTypes'!A$3:B$13,2,FALSE)</f>
        <v>Program</v>
      </c>
      <c r="L1328" s="11" t="s">
        <v>1260</v>
      </c>
      <c r="M1328" s="106" t="s">
        <v>2293</v>
      </c>
      <c r="N1328" s="84" t="s">
        <v>1422</v>
      </c>
      <c r="O1328" s="11"/>
      <c r="P1328" s="11"/>
      <c r="Q1328" s="107">
        <v>2.7</v>
      </c>
      <c r="R1328" s="23">
        <v>108000</v>
      </c>
      <c r="S1328" s="11"/>
      <c r="T1328" s="11"/>
      <c r="U1328" s="11"/>
      <c r="V1328" s="11"/>
      <c r="W1328" s="11"/>
      <c r="X1328" s="11"/>
      <c r="Z1328" s="18">
        <f>ROUND(R1328*'Data-CostAssumptions'!$C$8,-3)</f>
        <v>108000</v>
      </c>
      <c r="AA1328" s="11">
        <f t="shared" si="41"/>
        <v>0</v>
      </c>
      <c r="AB1328" s="11">
        <v>2041</v>
      </c>
      <c r="AC1328" s="11">
        <v>2041</v>
      </c>
      <c r="AD1328" s="11">
        <v>2041</v>
      </c>
      <c r="AE1328" s="11">
        <v>2041</v>
      </c>
      <c r="AF1328" s="11">
        <v>0</v>
      </c>
      <c r="AG1328" s="19">
        <f>ROUND((Z1328*'Data-CostAssumptions'!$G$5)*(1+'Data-CostAssumptions'!$G$3)^(AC1328-'Data-CostAssumptions'!$G$4),-3)</f>
        <v>61000</v>
      </c>
      <c r="AH1328" s="19">
        <f>ROUND((Z1328)*(1+'Data-CostAssumptions'!$G$3)^(AE1328-'Data-CostAssumptions'!$G$4),-3)</f>
        <v>277000</v>
      </c>
    </row>
    <row r="1329" spans="1:34" ht="15" customHeight="1" x14ac:dyDescent="0.2">
      <c r="A1329" s="11"/>
      <c r="B1329" s="11" t="s">
        <v>1211</v>
      </c>
      <c r="C1329" s="11"/>
      <c r="D1329" s="84" t="s">
        <v>276</v>
      </c>
      <c r="E1329" s="14">
        <v>6</v>
      </c>
      <c r="F1329" s="14"/>
      <c r="G1329" s="20">
        <v>1332</v>
      </c>
      <c r="H1329" s="13" t="s">
        <v>1781</v>
      </c>
      <c r="I1329" s="13" t="str">
        <f t="shared" si="40"/>
        <v>Bayview Dr (SUNRISE Bl/SR 838 to OAKLAND PARK Bl/SR 816)</v>
      </c>
      <c r="J1329" s="11" t="s">
        <v>29</v>
      </c>
      <c r="K1329" s="13" t="str">
        <f>VLOOKUP(J1329,'Data-ProjectTypes'!A$3:B$13,2,FALSE)</f>
        <v>Program</v>
      </c>
      <c r="L1329" s="11" t="s">
        <v>1254</v>
      </c>
      <c r="M1329" s="106" t="s">
        <v>2305</v>
      </c>
      <c r="N1329" s="84" t="s">
        <v>2293</v>
      </c>
      <c r="O1329" s="11"/>
      <c r="P1329" s="11"/>
      <c r="Q1329" s="107">
        <v>2.2000000000000002</v>
      </c>
      <c r="R1329" s="23">
        <v>108000</v>
      </c>
      <c r="S1329" s="11"/>
      <c r="T1329" s="11"/>
      <c r="U1329" s="11"/>
      <c r="V1329" s="11"/>
      <c r="W1329" s="11"/>
      <c r="X1329" s="11"/>
      <c r="Z1329" s="18">
        <f>ROUND(R1329*'Data-CostAssumptions'!$C$8,-3)</f>
        <v>108000</v>
      </c>
      <c r="AA1329" s="11">
        <f t="shared" si="41"/>
        <v>0</v>
      </c>
      <c r="AB1329" s="11">
        <v>2041</v>
      </c>
      <c r="AC1329" s="11">
        <v>2041</v>
      </c>
      <c r="AD1329" s="11">
        <v>2041</v>
      </c>
      <c r="AE1329" s="11">
        <v>2041</v>
      </c>
      <c r="AF1329" s="11">
        <v>0</v>
      </c>
      <c r="AG1329" s="19">
        <f>ROUND((Z1329*'Data-CostAssumptions'!$G$5)*(1+'Data-CostAssumptions'!$G$3)^(AC1329-'Data-CostAssumptions'!$G$4),-3)</f>
        <v>61000</v>
      </c>
      <c r="AH1329" s="19">
        <f>ROUND((Z1329)*(1+'Data-CostAssumptions'!$G$3)^(AE1329-'Data-CostAssumptions'!$G$4),-3)</f>
        <v>277000</v>
      </c>
    </row>
    <row r="1330" spans="1:34" ht="15" customHeight="1" x14ac:dyDescent="0.2">
      <c r="B1330" s="11" t="s">
        <v>1211</v>
      </c>
      <c r="D1330" s="84" t="s">
        <v>276</v>
      </c>
      <c r="E1330" s="104" t="s">
        <v>1489</v>
      </c>
      <c r="G1330" s="20">
        <v>1333</v>
      </c>
      <c r="H1330" s="13" t="s">
        <v>2868</v>
      </c>
      <c r="I1330" s="13" t="str">
        <f t="shared" si="40"/>
        <v>Birch Rd (A1A to VISTAMAR ST )</v>
      </c>
      <c r="J1330" s="12" t="s">
        <v>29</v>
      </c>
      <c r="K1330" s="13" t="str">
        <f>VLOOKUP(J1330,'Data-ProjectTypes'!A$3:B$13,2,FALSE)</f>
        <v>Program</v>
      </c>
      <c r="L1330" s="12" t="s">
        <v>1667</v>
      </c>
      <c r="M1330" s="105" t="s">
        <v>205</v>
      </c>
      <c r="N1330" s="12" t="s">
        <v>1586</v>
      </c>
      <c r="Q1330" s="72">
        <v>0.3</v>
      </c>
      <c r="R1330" s="23">
        <f>ROUND(Q1330*'Data-CostAssumptions'!$C$25,-1)</f>
        <v>50520</v>
      </c>
      <c r="Z1330" s="18">
        <f>ROUND(R1330*'Data-CostAssumptions'!$C$8,-3)</f>
        <v>51000</v>
      </c>
      <c r="AA1330" s="11">
        <f t="shared" si="41"/>
        <v>0</v>
      </c>
      <c r="AB1330" s="11">
        <v>2041</v>
      </c>
      <c r="AC1330" s="11">
        <v>2041</v>
      </c>
      <c r="AD1330" s="11">
        <v>2041</v>
      </c>
      <c r="AE1330" s="11">
        <v>2041</v>
      </c>
      <c r="AF1330" s="11">
        <v>0</v>
      </c>
      <c r="AG1330" s="19">
        <f>ROUND((Z1330*'Data-CostAssumptions'!$G$5)*(1+'Data-CostAssumptions'!$G$3)^(AC1330-'Data-CostAssumptions'!$G$4),-3)</f>
        <v>29000</v>
      </c>
      <c r="AH1330" s="19">
        <f>ROUND((Z1330)*(1+'Data-CostAssumptions'!$G$3)^(AE1330-'Data-CostAssumptions'!$G$4),-3)</f>
        <v>131000</v>
      </c>
    </row>
    <row r="1331" spans="1:34" ht="15" customHeight="1" x14ac:dyDescent="0.2">
      <c r="B1331" s="11" t="s">
        <v>1211</v>
      </c>
      <c r="D1331" s="84" t="s">
        <v>276</v>
      </c>
      <c r="E1331" s="104" t="s">
        <v>1487</v>
      </c>
      <c r="G1331" s="20">
        <v>1334</v>
      </c>
      <c r="H1331" s="13" t="s">
        <v>2868</v>
      </c>
      <c r="I1331" s="13" t="str">
        <f t="shared" si="40"/>
        <v>Birch Rd (FORT LAUDERDALE BEACH to RIOMAR ST )</v>
      </c>
      <c r="J1331" s="12" t="s">
        <v>29</v>
      </c>
      <c r="K1331" s="13" t="str">
        <f>VLOOKUP(J1331,'Data-ProjectTypes'!A$3:B$13,2,FALSE)</f>
        <v>Program</v>
      </c>
      <c r="L1331" s="12" t="s">
        <v>1667</v>
      </c>
      <c r="M1331" s="105" t="s">
        <v>1697</v>
      </c>
      <c r="N1331" s="12" t="s">
        <v>1588</v>
      </c>
      <c r="Q1331" s="72">
        <v>0.5</v>
      </c>
      <c r="R1331" s="23">
        <f>ROUND(Q1331*'Data-CostAssumptions'!$C$25,-1)</f>
        <v>84200</v>
      </c>
      <c r="Z1331" s="18">
        <f>ROUND(R1331*'Data-CostAssumptions'!$C$8,-3)</f>
        <v>84000</v>
      </c>
      <c r="AA1331" s="11">
        <f t="shared" si="41"/>
        <v>0</v>
      </c>
      <c r="AB1331" s="11">
        <v>2041</v>
      </c>
      <c r="AC1331" s="11">
        <v>2041</v>
      </c>
      <c r="AD1331" s="11">
        <v>2041</v>
      </c>
      <c r="AE1331" s="11">
        <v>2041</v>
      </c>
      <c r="AF1331" s="11">
        <v>0</v>
      </c>
      <c r="AG1331" s="19">
        <f>ROUND((Z1331*'Data-CostAssumptions'!$G$5)*(1+'Data-CostAssumptions'!$G$3)^(AC1331-'Data-CostAssumptions'!$G$4),-3)</f>
        <v>47000</v>
      </c>
      <c r="AH1331" s="19">
        <f>ROUND((Z1331)*(1+'Data-CostAssumptions'!$G$3)^(AE1331-'Data-CostAssumptions'!$G$4),-3)</f>
        <v>215000</v>
      </c>
    </row>
    <row r="1332" spans="1:34" ht="15" customHeight="1" x14ac:dyDescent="0.2">
      <c r="B1332" s="11" t="s">
        <v>1211</v>
      </c>
      <c r="D1332" s="84" t="s">
        <v>276</v>
      </c>
      <c r="E1332" s="104" t="s">
        <v>1486</v>
      </c>
      <c r="G1332" s="20">
        <v>1335</v>
      </c>
      <c r="H1332" s="13" t="s">
        <v>2868</v>
      </c>
      <c r="I1332" s="13" t="str">
        <f t="shared" si="40"/>
        <v>Birch Rd (NE 14TH CT to E SUNRISE Bl )</v>
      </c>
      <c r="J1332" s="12" t="s">
        <v>29</v>
      </c>
      <c r="K1332" s="13" t="str">
        <f>VLOOKUP(J1332,'Data-ProjectTypes'!A$3:B$13,2,FALSE)</f>
        <v>Program</v>
      </c>
      <c r="L1332" s="12" t="s">
        <v>1667</v>
      </c>
      <c r="M1332" s="105" t="s">
        <v>1696</v>
      </c>
      <c r="N1332" s="12" t="s">
        <v>2299</v>
      </c>
      <c r="Q1332" s="72">
        <v>0.3</v>
      </c>
      <c r="R1332" s="23">
        <f>ROUND(Q1332*'Data-CostAssumptions'!$C$25,-1)</f>
        <v>50520</v>
      </c>
      <c r="Z1332" s="18">
        <f>ROUND(R1332*'Data-CostAssumptions'!$C$8,-3)</f>
        <v>51000</v>
      </c>
      <c r="AA1332" s="11">
        <f t="shared" si="41"/>
        <v>0</v>
      </c>
      <c r="AB1332" s="11">
        <v>2041</v>
      </c>
      <c r="AC1332" s="11">
        <v>2041</v>
      </c>
      <c r="AD1332" s="11">
        <v>2041</v>
      </c>
      <c r="AE1332" s="11">
        <v>2041</v>
      </c>
      <c r="AF1332" s="11">
        <v>0</v>
      </c>
      <c r="AG1332" s="19">
        <f>ROUND((Z1332*'Data-CostAssumptions'!$G$5)*(1+'Data-CostAssumptions'!$G$3)^(AC1332-'Data-CostAssumptions'!$G$4),-3)</f>
        <v>29000</v>
      </c>
      <c r="AH1332" s="19">
        <f>ROUND((Z1332)*(1+'Data-CostAssumptions'!$G$3)^(AE1332-'Data-CostAssumptions'!$G$4),-3)</f>
        <v>131000</v>
      </c>
    </row>
    <row r="1333" spans="1:34" ht="15" customHeight="1" x14ac:dyDescent="0.2">
      <c r="B1333" s="11" t="s">
        <v>1211</v>
      </c>
      <c r="D1333" s="84" t="s">
        <v>276</v>
      </c>
      <c r="E1333" s="104" t="s">
        <v>1484</v>
      </c>
      <c r="G1333" s="20">
        <v>1336</v>
      </c>
      <c r="H1333" s="13" t="s">
        <v>2832</v>
      </c>
      <c r="I1333" s="13" t="str">
        <f t="shared" si="40"/>
        <v>Birch State Park Loop (BIRCH STATE PARK N ENTRANCE to BIRCH STATE PARK LOOP)</v>
      </c>
      <c r="J1333" s="12" t="s">
        <v>29</v>
      </c>
      <c r="K1333" s="13" t="str">
        <f>VLOOKUP(J1333,'Data-ProjectTypes'!A$3:B$13,2,FALSE)</f>
        <v>Program</v>
      </c>
      <c r="L1333" s="12" t="s">
        <v>1667</v>
      </c>
      <c r="M1333" s="105" t="s">
        <v>1693</v>
      </c>
      <c r="N1333" s="12" t="s">
        <v>1585</v>
      </c>
      <c r="Q1333" s="72">
        <v>2.2999999999999998</v>
      </c>
      <c r="R1333" s="23">
        <f>ROUND(Q1333*'Data-CostAssumptions'!$C$25,-1)</f>
        <v>387320</v>
      </c>
      <c r="X1333" s="34"/>
      <c r="Z1333" s="18">
        <f>ROUND(R1333*'Data-CostAssumptions'!$C$8,-3)</f>
        <v>387000</v>
      </c>
      <c r="AA1333" s="11">
        <f t="shared" si="41"/>
        <v>0</v>
      </c>
      <c r="AB1333" s="11">
        <v>2041</v>
      </c>
      <c r="AC1333" s="11">
        <v>2041</v>
      </c>
      <c r="AD1333" s="11">
        <v>2041</v>
      </c>
      <c r="AE1333" s="11">
        <v>2041</v>
      </c>
      <c r="AF1333" s="11">
        <v>0</v>
      </c>
      <c r="AG1333" s="19">
        <f>ROUND((Z1333*'Data-CostAssumptions'!$G$5)*(1+'Data-CostAssumptions'!$G$3)^(AC1333-'Data-CostAssumptions'!$G$4),-3)</f>
        <v>218000</v>
      </c>
      <c r="AH1333" s="19">
        <f>ROUND((Z1333)*(1+'Data-CostAssumptions'!$G$3)^(AE1333-'Data-CostAssumptions'!$G$4),-3)</f>
        <v>992000</v>
      </c>
    </row>
    <row r="1334" spans="1:34" ht="15" customHeight="1" x14ac:dyDescent="0.2">
      <c r="B1334" s="11" t="s">
        <v>1211</v>
      </c>
      <c r="D1334" s="84" t="s">
        <v>276</v>
      </c>
      <c r="E1334" s="104" t="s">
        <v>1494</v>
      </c>
      <c r="G1334" s="20">
        <v>1337</v>
      </c>
      <c r="H1334" s="13" t="s">
        <v>2707</v>
      </c>
      <c r="I1334" s="13" t="str">
        <f t="shared" si="40"/>
        <v>Breakers Av (SR A1A to VISTAMAR ST )</v>
      </c>
      <c r="J1334" s="12" t="s">
        <v>29</v>
      </c>
      <c r="K1334" s="13" t="str">
        <f>VLOOKUP(J1334,'Data-ProjectTypes'!A$3:B$13,2,FALSE)</f>
        <v>Program</v>
      </c>
      <c r="L1334" s="12" t="s">
        <v>1667</v>
      </c>
      <c r="M1334" s="105" t="s">
        <v>110</v>
      </c>
      <c r="N1334" s="12" t="s">
        <v>1586</v>
      </c>
      <c r="Q1334" s="72">
        <v>0.3</v>
      </c>
      <c r="R1334" s="23">
        <f>ROUND(Q1334*'Data-CostAssumptions'!$C$25,-1)</f>
        <v>50520</v>
      </c>
      <c r="X1334" s="34"/>
      <c r="Z1334" s="18">
        <f>ROUND(R1334*'Data-CostAssumptions'!$C$8,-3)</f>
        <v>51000</v>
      </c>
      <c r="AA1334" s="11">
        <f t="shared" si="41"/>
        <v>0</v>
      </c>
      <c r="AB1334" s="11">
        <v>2041</v>
      </c>
      <c r="AC1334" s="11">
        <v>2041</v>
      </c>
      <c r="AD1334" s="11">
        <v>2041</v>
      </c>
      <c r="AE1334" s="11">
        <v>2041</v>
      </c>
      <c r="AF1334" s="11">
        <v>0</v>
      </c>
      <c r="AG1334" s="19">
        <f>ROUND((Z1334*'Data-CostAssumptions'!$G$5)*(1+'Data-CostAssumptions'!$G$3)^(AC1334-'Data-CostAssumptions'!$G$4),-3)</f>
        <v>29000</v>
      </c>
      <c r="AH1334" s="19">
        <f>ROUND((Z1334)*(1+'Data-CostAssumptions'!$G$3)^(AE1334-'Data-CostAssumptions'!$G$4),-3)</f>
        <v>131000</v>
      </c>
    </row>
    <row r="1335" spans="1:34" ht="15" customHeight="1" x14ac:dyDescent="0.2">
      <c r="B1335" s="11" t="s">
        <v>1211</v>
      </c>
      <c r="D1335" s="84" t="s">
        <v>276</v>
      </c>
      <c r="E1335" s="104" t="s">
        <v>1485</v>
      </c>
      <c r="G1335" s="20">
        <v>1338</v>
      </c>
      <c r="H1335" s="13" t="s">
        <v>2833</v>
      </c>
      <c r="I1335" s="13" t="str">
        <f t="shared" si="40"/>
        <v>Central Beach Boardwalk (BIRCH STATE PARK S ENTRANCE to NE 14TH CT )</v>
      </c>
      <c r="J1335" s="12" t="s">
        <v>29</v>
      </c>
      <c r="K1335" s="13" t="str">
        <f>VLOOKUP(J1335,'Data-ProjectTypes'!A$3:B$13,2,FALSE)</f>
        <v>Program</v>
      </c>
      <c r="L1335" s="12" t="s">
        <v>1667</v>
      </c>
      <c r="M1335" s="105" t="s">
        <v>1695</v>
      </c>
      <c r="N1335" s="12" t="s">
        <v>1694</v>
      </c>
      <c r="Q1335" s="72">
        <v>2.1</v>
      </c>
      <c r="R1335" s="23">
        <f>ROUND(Q1335*'Data-CostAssumptions'!$C$25,-1)</f>
        <v>353640</v>
      </c>
      <c r="Z1335" s="18">
        <f>ROUND(R1335*'Data-CostAssumptions'!$C$8,-3)</f>
        <v>354000</v>
      </c>
      <c r="AA1335" s="11">
        <f t="shared" si="41"/>
        <v>0</v>
      </c>
      <c r="AB1335" s="11">
        <v>2041</v>
      </c>
      <c r="AC1335" s="11">
        <v>2041</v>
      </c>
      <c r="AD1335" s="11">
        <v>2041</v>
      </c>
      <c r="AE1335" s="11">
        <v>2041</v>
      </c>
      <c r="AF1335" s="11">
        <v>0</v>
      </c>
      <c r="AG1335" s="19">
        <f>ROUND((Z1335*'Data-CostAssumptions'!$G$5)*(1+'Data-CostAssumptions'!$G$3)^(AC1335-'Data-CostAssumptions'!$G$4),-3)</f>
        <v>200000</v>
      </c>
      <c r="AH1335" s="19">
        <f>ROUND((Z1335)*(1+'Data-CostAssumptions'!$G$3)^(AE1335-'Data-CostAssumptions'!$G$4),-3)</f>
        <v>908000</v>
      </c>
    </row>
    <row r="1336" spans="1:34" ht="15" customHeight="1" x14ac:dyDescent="0.2">
      <c r="B1336" s="11" t="s">
        <v>1211</v>
      </c>
      <c r="D1336" s="84" t="s">
        <v>276</v>
      </c>
      <c r="E1336" s="104" t="s">
        <v>1472</v>
      </c>
      <c r="G1336" s="20">
        <v>1339</v>
      </c>
      <c r="H1336" s="13" t="s">
        <v>1835</v>
      </c>
      <c r="I1336" s="13" t="str">
        <f t="shared" si="40"/>
        <v>CITY-WIDE SECONDARY Rd BIKE ACCOMMODATIONS (CITY-WIDE to CITY-WIDE)</v>
      </c>
      <c r="J1336" s="12" t="s">
        <v>29</v>
      </c>
      <c r="K1336" s="13" t="str">
        <f>VLOOKUP(J1336,'Data-ProjectTypes'!A$3:B$13,2,FALSE)</f>
        <v>Program</v>
      </c>
      <c r="L1336" s="12" t="s">
        <v>1666</v>
      </c>
      <c r="M1336" s="105" t="s">
        <v>1668</v>
      </c>
      <c r="N1336" s="12" t="s">
        <v>1668</v>
      </c>
      <c r="Q1336" s="72">
        <v>67.7</v>
      </c>
      <c r="R1336" s="23">
        <v>28596480</v>
      </c>
      <c r="X1336" s="34"/>
      <c r="Z1336" s="18">
        <f>ROUND(R1336*'Data-CostAssumptions'!$C$8,-3)</f>
        <v>28596000</v>
      </c>
      <c r="AA1336" s="11">
        <f t="shared" si="41"/>
        <v>0</v>
      </c>
      <c r="AB1336" s="11">
        <v>2041</v>
      </c>
      <c r="AC1336" s="11">
        <v>2041</v>
      </c>
      <c r="AD1336" s="11">
        <v>2041</v>
      </c>
      <c r="AE1336" s="11">
        <v>2041</v>
      </c>
      <c r="AF1336" s="11">
        <v>0</v>
      </c>
      <c r="AG1336" s="19">
        <f>ROUND((Z1336*'Data-CostAssumptions'!$G$5)*(1+'Data-CostAssumptions'!$G$3)^(AC1336-'Data-CostAssumptions'!$G$4),-3)</f>
        <v>16130000</v>
      </c>
      <c r="AH1336" s="19">
        <f>ROUND((Z1336)*(1+'Data-CostAssumptions'!$G$3)^(AE1336-'Data-CostAssumptions'!$G$4),-3)</f>
        <v>73319000</v>
      </c>
    </row>
    <row r="1337" spans="1:34" ht="15" customHeight="1" x14ac:dyDescent="0.2">
      <c r="B1337" s="11" t="s">
        <v>1211</v>
      </c>
      <c r="D1337" s="84" t="s">
        <v>276</v>
      </c>
      <c r="E1337" s="104" t="s">
        <v>1483</v>
      </c>
      <c r="G1337" s="20">
        <v>1340</v>
      </c>
      <c r="H1337" s="13" t="s">
        <v>2836</v>
      </c>
      <c r="I1337" s="13" t="str">
        <f t="shared" si="40"/>
        <v>Cross Over to N. Birch State Park (NE 17TH CT to NE 19TH ST )</v>
      </c>
      <c r="J1337" s="12" t="s">
        <v>29</v>
      </c>
      <c r="K1337" s="13" t="str">
        <f>VLOOKUP(J1337,'Data-ProjectTypes'!A$3:B$13,2,FALSE)</f>
        <v>Program</v>
      </c>
      <c r="L1337" s="12" t="s">
        <v>1667</v>
      </c>
      <c r="M1337" s="105" t="s">
        <v>1692</v>
      </c>
      <c r="N1337" s="12" t="s">
        <v>1691</v>
      </c>
      <c r="Q1337" s="72">
        <v>0.3</v>
      </c>
      <c r="R1337" s="23">
        <f>ROUND(Q1337*'Data-CostAssumptions'!$C$25,-1)</f>
        <v>50520</v>
      </c>
      <c r="Z1337" s="18">
        <f>ROUND(R1337*'Data-CostAssumptions'!$C$8,-3)</f>
        <v>51000</v>
      </c>
      <c r="AA1337" s="11">
        <f t="shared" si="41"/>
        <v>0</v>
      </c>
      <c r="AB1337" s="11">
        <v>2041</v>
      </c>
      <c r="AC1337" s="11">
        <v>2041</v>
      </c>
      <c r="AD1337" s="11">
        <v>2041</v>
      </c>
      <c r="AE1337" s="11">
        <v>2041</v>
      </c>
      <c r="AF1337" s="11">
        <v>0</v>
      </c>
      <c r="AG1337" s="19">
        <f>ROUND((Z1337*'Data-CostAssumptions'!$G$5)*(1+'Data-CostAssumptions'!$G$3)^(AC1337-'Data-CostAssumptions'!$G$4),-3)</f>
        <v>29000</v>
      </c>
      <c r="AH1337" s="19">
        <f>ROUND((Z1337)*(1+'Data-CostAssumptions'!$G$3)^(AE1337-'Data-CostAssumptions'!$G$4),-3)</f>
        <v>131000</v>
      </c>
    </row>
    <row r="1338" spans="1:34" ht="15" customHeight="1" x14ac:dyDescent="0.2">
      <c r="A1338" s="11"/>
      <c r="B1338" s="11" t="s">
        <v>1211</v>
      </c>
      <c r="C1338" s="11"/>
      <c r="D1338" s="84" t="s">
        <v>276</v>
      </c>
      <c r="E1338" s="14">
        <v>16</v>
      </c>
      <c r="F1338" s="14"/>
      <c r="G1338" s="20">
        <v>1341</v>
      </c>
      <c r="H1338" s="13" t="s">
        <v>1842</v>
      </c>
      <c r="I1338" s="13" t="str">
        <f t="shared" si="40"/>
        <v>Cypress Creek Rd (ANDREWS Av to SR 845/POWER-LINE RD)</v>
      </c>
      <c r="J1338" s="11" t="s">
        <v>29</v>
      </c>
      <c r="K1338" s="13" t="str">
        <f>VLOOKUP(J1338,'Data-ProjectTypes'!A$3:B$13,2,FALSE)</f>
        <v>Program</v>
      </c>
      <c r="L1338" s="11" t="s">
        <v>1267</v>
      </c>
      <c r="M1338" s="106" t="s">
        <v>2139</v>
      </c>
      <c r="N1338" s="84" t="s">
        <v>1428</v>
      </c>
      <c r="O1338" s="11"/>
      <c r="P1338" s="11"/>
      <c r="Q1338" s="107">
        <v>0.4</v>
      </c>
      <c r="R1338" s="23">
        <v>461700</v>
      </c>
      <c r="S1338" s="11"/>
      <c r="T1338" s="11"/>
      <c r="U1338" s="11"/>
      <c r="V1338" s="11"/>
      <c r="W1338" s="11"/>
      <c r="X1338" s="11"/>
      <c r="Z1338" s="18">
        <f>ROUND(R1338*'Data-CostAssumptions'!$C$8,-3)</f>
        <v>462000</v>
      </c>
      <c r="AA1338" s="11">
        <f t="shared" si="41"/>
        <v>0</v>
      </c>
      <c r="AB1338" s="11">
        <v>2041</v>
      </c>
      <c r="AC1338" s="11">
        <v>2041</v>
      </c>
      <c r="AD1338" s="11">
        <v>2041</v>
      </c>
      <c r="AE1338" s="11">
        <v>2041</v>
      </c>
      <c r="AF1338" s="11">
        <v>0</v>
      </c>
      <c r="AG1338" s="19">
        <f>ROUND((Z1338*'Data-CostAssumptions'!$G$5)*(1+'Data-CostAssumptions'!$G$3)^(AC1338-'Data-CostAssumptions'!$G$4),-3)</f>
        <v>261000</v>
      </c>
      <c r="AH1338" s="19">
        <f>ROUND((Z1338)*(1+'Data-CostAssumptions'!$G$3)^(AE1338-'Data-CostAssumptions'!$G$4),-3)</f>
        <v>1185000</v>
      </c>
    </row>
    <row r="1339" spans="1:34" ht="15" customHeight="1" x14ac:dyDescent="0.2">
      <c r="A1339" s="11"/>
      <c r="B1339" s="11" t="s">
        <v>1211</v>
      </c>
      <c r="C1339" s="11"/>
      <c r="D1339" s="84" t="s">
        <v>276</v>
      </c>
      <c r="E1339" s="14">
        <v>15</v>
      </c>
      <c r="F1339" s="14"/>
      <c r="G1339" s="20">
        <v>1342</v>
      </c>
      <c r="H1339" s="13" t="s">
        <v>1842</v>
      </c>
      <c r="I1339" s="13" t="str">
        <f t="shared" si="40"/>
        <v>Cypress Creek Rd (NE 18TH Av to NE 6TH Av)</v>
      </c>
      <c r="J1339" s="11" t="s">
        <v>29</v>
      </c>
      <c r="K1339" s="13" t="str">
        <f>VLOOKUP(J1339,'Data-ProjectTypes'!A$3:B$13,2,FALSE)</f>
        <v>Program</v>
      </c>
      <c r="L1339" s="11" t="s">
        <v>1273</v>
      </c>
      <c r="M1339" s="106" t="s">
        <v>2146</v>
      </c>
      <c r="N1339" s="84" t="s">
        <v>2606</v>
      </c>
      <c r="O1339" s="11"/>
      <c r="P1339" s="11"/>
      <c r="Q1339" s="107">
        <v>0.8</v>
      </c>
      <c r="R1339" s="23">
        <v>826200</v>
      </c>
      <c r="S1339" s="11"/>
      <c r="T1339" s="11"/>
      <c r="U1339" s="11"/>
      <c r="V1339" s="11"/>
      <c r="W1339" s="11"/>
      <c r="X1339" s="11"/>
      <c r="Z1339" s="18">
        <f>ROUND(R1339*'Data-CostAssumptions'!$C$8,-3)</f>
        <v>826000</v>
      </c>
      <c r="AA1339" s="11">
        <f t="shared" si="41"/>
        <v>0</v>
      </c>
      <c r="AB1339" s="11">
        <v>2041</v>
      </c>
      <c r="AC1339" s="11">
        <v>2041</v>
      </c>
      <c r="AD1339" s="11">
        <v>2041</v>
      </c>
      <c r="AE1339" s="11">
        <v>2041</v>
      </c>
      <c r="AF1339" s="11">
        <v>0</v>
      </c>
      <c r="AG1339" s="19">
        <f>ROUND((Z1339*'Data-CostAssumptions'!$G$5)*(1+'Data-CostAssumptions'!$G$3)^(AC1339-'Data-CostAssumptions'!$G$4),-3)</f>
        <v>466000</v>
      </c>
      <c r="AH1339" s="19">
        <f>ROUND((Z1339)*(1+'Data-CostAssumptions'!$G$3)^(AE1339-'Data-CostAssumptions'!$G$4),-3)</f>
        <v>2118000</v>
      </c>
    </row>
    <row r="1340" spans="1:34" ht="15" customHeight="1" x14ac:dyDescent="0.2">
      <c r="B1340" s="11" t="s">
        <v>1211</v>
      </c>
      <c r="D1340" s="84" t="s">
        <v>276</v>
      </c>
      <c r="E1340" s="104">
        <v>111</v>
      </c>
      <c r="G1340" s="20">
        <v>1343</v>
      </c>
      <c r="H1340" s="13" t="s">
        <v>1842</v>
      </c>
      <c r="I1340" s="13" t="str">
        <f t="shared" si="40"/>
        <v>Cypress Creek Rd (NW 21ST Av to TURNPIKE)</v>
      </c>
      <c r="J1340" s="12" t="s">
        <v>29</v>
      </c>
      <c r="K1340" s="13" t="str">
        <f>VLOOKUP(J1340,'Data-ProjectTypes'!A$3:B$13,2,FALSE)</f>
        <v>Program</v>
      </c>
      <c r="L1340" s="12" t="s">
        <v>1267</v>
      </c>
      <c r="M1340" s="105" t="s">
        <v>2164</v>
      </c>
      <c r="N1340" s="12" t="s">
        <v>1429</v>
      </c>
      <c r="Q1340" s="72">
        <v>1.8</v>
      </c>
      <c r="R1340" s="23">
        <v>1190700</v>
      </c>
      <c r="Z1340" s="18">
        <f>ROUND(R1340*'Data-CostAssumptions'!$C$8,-3)</f>
        <v>1191000</v>
      </c>
      <c r="AA1340" s="11">
        <f t="shared" si="41"/>
        <v>0</v>
      </c>
      <c r="AB1340" s="11">
        <v>2041</v>
      </c>
      <c r="AC1340" s="11">
        <v>2041</v>
      </c>
      <c r="AD1340" s="11">
        <v>2041</v>
      </c>
      <c r="AE1340" s="11">
        <v>2041</v>
      </c>
      <c r="AF1340" s="11">
        <v>0</v>
      </c>
      <c r="AG1340" s="19">
        <f>ROUND((Z1340*'Data-CostAssumptions'!$G$5)*(1+'Data-CostAssumptions'!$G$3)^(AC1340-'Data-CostAssumptions'!$G$4),-3)</f>
        <v>672000</v>
      </c>
      <c r="AH1340" s="19">
        <f>ROUND((Z1340)*(1+'Data-CostAssumptions'!$G$3)^(AE1340-'Data-CostAssumptions'!$G$4),-3)</f>
        <v>3054000</v>
      </c>
    </row>
    <row r="1341" spans="1:34" ht="15" customHeight="1" x14ac:dyDescent="0.2">
      <c r="A1341" s="11"/>
      <c r="B1341" s="11" t="s">
        <v>1211</v>
      </c>
      <c r="C1341" s="11"/>
      <c r="D1341" s="84" t="s">
        <v>276</v>
      </c>
      <c r="E1341" s="14">
        <v>17</v>
      </c>
      <c r="F1341" s="14"/>
      <c r="G1341" s="20">
        <v>1344</v>
      </c>
      <c r="H1341" s="13" t="s">
        <v>1842</v>
      </c>
      <c r="I1341" s="13" t="str">
        <f t="shared" si="40"/>
        <v>Cypress Creek Rd (SR 845/POWER-LINE RD to NW 21ST Av)</v>
      </c>
      <c r="J1341" s="11" t="s">
        <v>29</v>
      </c>
      <c r="K1341" s="13" t="str">
        <f>VLOOKUP(J1341,'Data-ProjectTypes'!A$3:B$13,2,FALSE)</f>
        <v>Program</v>
      </c>
      <c r="L1341" s="11" t="s">
        <v>1267</v>
      </c>
      <c r="M1341" s="106" t="s">
        <v>1428</v>
      </c>
      <c r="N1341" s="84" t="s">
        <v>2164</v>
      </c>
      <c r="O1341" s="11"/>
      <c r="P1341" s="11"/>
      <c r="Q1341" s="107">
        <v>1</v>
      </c>
      <c r="R1341" s="23">
        <v>619650</v>
      </c>
      <c r="S1341" s="11"/>
      <c r="T1341" s="11"/>
      <c r="U1341" s="11"/>
      <c r="V1341" s="11"/>
      <c r="W1341" s="11"/>
      <c r="X1341" s="11"/>
      <c r="Z1341" s="18">
        <f>ROUND(R1341*'Data-CostAssumptions'!$C$8,-3)</f>
        <v>620000</v>
      </c>
      <c r="AA1341" s="11">
        <f t="shared" si="41"/>
        <v>0</v>
      </c>
      <c r="AB1341" s="11">
        <v>2041</v>
      </c>
      <c r="AC1341" s="11">
        <v>2041</v>
      </c>
      <c r="AD1341" s="11">
        <v>2041</v>
      </c>
      <c r="AE1341" s="11">
        <v>2041</v>
      </c>
      <c r="AF1341" s="11">
        <v>0</v>
      </c>
      <c r="AG1341" s="19">
        <f>ROUND((Z1341*'Data-CostAssumptions'!$G$5)*(1+'Data-CostAssumptions'!$G$3)^(AC1341-'Data-CostAssumptions'!$G$4),-3)</f>
        <v>350000</v>
      </c>
      <c r="AH1341" s="19">
        <f>ROUND((Z1341)*(1+'Data-CostAssumptions'!$G$3)^(AE1341-'Data-CostAssumptions'!$G$4),-3)</f>
        <v>1590000</v>
      </c>
    </row>
    <row r="1342" spans="1:34" ht="15" customHeight="1" x14ac:dyDescent="0.2">
      <c r="A1342" s="11"/>
      <c r="B1342" s="11" t="s">
        <v>1211</v>
      </c>
      <c r="C1342" s="11"/>
      <c r="D1342" s="84" t="s">
        <v>276</v>
      </c>
      <c r="E1342" s="14">
        <v>14</v>
      </c>
      <c r="F1342" s="14"/>
      <c r="G1342" s="20">
        <v>1345</v>
      </c>
      <c r="H1342" s="13" t="s">
        <v>1842</v>
      </c>
      <c r="I1342" s="13" t="str">
        <f t="shared" ref="I1342:I1405" si="42">IF(M1342="@",H1342&amp;" ("&amp;M1342&amp;"  "&amp;N1342&amp;")",H1342&amp;" ("&amp;M1342&amp;" to "&amp;N1342&amp;")")</f>
        <v>Cypress Creek Rd (US 1/SR 5 to NE 18TH Av)</v>
      </c>
      <c r="J1342" s="11" t="s">
        <v>29</v>
      </c>
      <c r="K1342" s="13" t="str">
        <f>VLOOKUP(J1342,'Data-ProjectTypes'!A$3:B$13,2,FALSE)</f>
        <v>Program</v>
      </c>
      <c r="L1342" s="11" t="s">
        <v>1273</v>
      </c>
      <c r="M1342" s="106" t="s">
        <v>1422</v>
      </c>
      <c r="N1342" s="84" t="s">
        <v>2146</v>
      </c>
      <c r="O1342" s="11"/>
      <c r="P1342" s="11"/>
      <c r="Q1342" s="107">
        <v>0.9</v>
      </c>
      <c r="R1342" s="23">
        <v>508000</v>
      </c>
      <c r="S1342" s="11"/>
      <c r="T1342" s="11"/>
      <c r="U1342" s="11"/>
      <c r="V1342" s="11"/>
      <c r="W1342" s="11"/>
      <c r="X1342" s="11"/>
      <c r="Z1342" s="18">
        <f>ROUND(R1342*'Data-CostAssumptions'!$C$8,-3)</f>
        <v>508000</v>
      </c>
      <c r="AA1342" s="11">
        <f t="shared" si="41"/>
        <v>0</v>
      </c>
      <c r="AB1342" s="11">
        <v>2041</v>
      </c>
      <c r="AC1342" s="11">
        <v>2041</v>
      </c>
      <c r="AD1342" s="11">
        <v>2041</v>
      </c>
      <c r="AE1342" s="11">
        <v>2041</v>
      </c>
      <c r="AF1342" s="11">
        <v>0</v>
      </c>
      <c r="AG1342" s="19">
        <f>ROUND((Z1342*'Data-CostAssumptions'!$G$5)*(1+'Data-CostAssumptions'!$G$3)^(AC1342-'Data-CostAssumptions'!$G$4),-3)</f>
        <v>287000</v>
      </c>
      <c r="AH1342" s="19">
        <f>ROUND((Z1342)*(1+'Data-CostAssumptions'!$G$3)^(AE1342-'Data-CostAssumptions'!$G$4),-3)</f>
        <v>1302000</v>
      </c>
    </row>
    <row r="1343" spans="1:34" ht="15" customHeight="1" x14ac:dyDescent="0.2">
      <c r="B1343" s="11" t="s">
        <v>1211</v>
      </c>
      <c r="D1343" s="84" t="s">
        <v>276</v>
      </c>
      <c r="E1343" s="104">
        <v>19</v>
      </c>
      <c r="G1343" s="20">
        <v>1346</v>
      </c>
      <c r="H1343" s="13" t="s">
        <v>1816</v>
      </c>
      <c r="I1343" s="13" t="str">
        <f t="shared" si="42"/>
        <v>Davie Bl (I-95 to SW 31ST Av)</v>
      </c>
      <c r="J1343" s="12" t="s">
        <v>29</v>
      </c>
      <c r="K1343" s="13" t="str">
        <f>VLOOKUP(J1343,'Data-ProjectTypes'!A$3:B$13,2,FALSE)</f>
        <v>Program</v>
      </c>
      <c r="L1343" s="12" t="s">
        <v>1282</v>
      </c>
      <c r="M1343" s="105" t="s">
        <v>41</v>
      </c>
      <c r="N1343" s="12" t="s">
        <v>2191</v>
      </c>
      <c r="Q1343" s="72">
        <v>1.1000000000000001</v>
      </c>
      <c r="R1343" s="23">
        <v>393000</v>
      </c>
      <c r="Z1343" s="18">
        <f>ROUND(R1343*'Data-CostAssumptions'!$C$8,-3)</f>
        <v>393000</v>
      </c>
      <c r="AA1343" s="11">
        <f t="shared" ref="AA1343:AA1406" si="43">IF(V1343="",IF(W1343="",0,1),1)</f>
        <v>0</v>
      </c>
      <c r="AB1343" s="11">
        <v>2041</v>
      </c>
      <c r="AC1343" s="11">
        <v>2041</v>
      </c>
      <c r="AD1343" s="11">
        <v>2041</v>
      </c>
      <c r="AE1343" s="11">
        <v>2041</v>
      </c>
      <c r="AF1343" s="11">
        <v>0</v>
      </c>
      <c r="AG1343" s="19">
        <f>ROUND((Z1343*'Data-CostAssumptions'!$G$5)*(1+'Data-CostAssumptions'!$G$3)^(AC1343-'Data-CostAssumptions'!$G$4),-3)</f>
        <v>222000</v>
      </c>
      <c r="AH1343" s="19">
        <f>ROUND((Z1343)*(1+'Data-CostAssumptions'!$G$3)^(AE1343-'Data-CostAssumptions'!$G$4),-3)</f>
        <v>1008000</v>
      </c>
    </row>
    <row r="1344" spans="1:34" ht="15" customHeight="1" x14ac:dyDescent="0.2">
      <c r="B1344" s="11" t="s">
        <v>1211</v>
      </c>
      <c r="D1344" s="84" t="s">
        <v>276</v>
      </c>
      <c r="E1344" s="104">
        <v>18</v>
      </c>
      <c r="G1344" s="20">
        <v>1347</v>
      </c>
      <c r="H1344" s="13" t="s">
        <v>1816</v>
      </c>
      <c r="I1344" s="13" t="str">
        <f t="shared" si="42"/>
        <v>Davie Bl (SW 31ST Av to US 441/SR 7)</v>
      </c>
      <c r="J1344" s="12" t="s">
        <v>29</v>
      </c>
      <c r="K1344" s="13" t="str">
        <f>VLOOKUP(J1344,'Data-ProjectTypes'!A$3:B$13,2,FALSE)</f>
        <v>Program</v>
      </c>
      <c r="L1344" s="12" t="s">
        <v>1284</v>
      </c>
      <c r="M1344" s="105" t="s">
        <v>2191</v>
      </c>
      <c r="N1344" s="12" t="s">
        <v>1430</v>
      </c>
      <c r="Q1344" s="72">
        <v>1</v>
      </c>
      <c r="R1344" s="23">
        <v>551000</v>
      </c>
      <c r="Z1344" s="18">
        <f>ROUND(R1344*'Data-CostAssumptions'!$C$8,-3)</f>
        <v>551000</v>
      </c>
      <c r="AA1344" s="11">
        <f t="shared" si="43"/>
        <v>0</v>
      </c>
      <c r="AB1344" s="11">
        <v>2041</v>
      </c>
      <c r="AC1344" s="11">
        <v>2041</v>
      </c>
      <c r="AD1344" s="11">
        <v>2041</v>
      </c>
      <c r="AE1344" s="11">
        <v>2041</v>
      </c>
      <c r="AF1344" s="11">
        <v>0</v>
      </c>
      <c r="AG1344" s="19">
        <f>ROUND((Z1344*'Data-CostAssumptions'!$G$5)*(1+'Data-CostAssumptions'!$G$3)^(AC1344-'Data-CostAssumptions'!$G$4),-3)</f>
        <v>311000</v>
      </c>
      <c r="AH1344" s="19">
        <f>ROUND((Z1344)*(1+'Data-CostAssumptions'!$G$3)^(AE1344-'Data-CostAssumptions'!$G$4),-3)</f>
        <v>1413000</v>
      </c>
    </row>
    <row r="1345" spans="2:34" ht="15" customHeight="1" x14ac:dyDescent="0.2">
      <c r="B1345" s="11" t="s">
        <v>1211</v>
      </c>
      <c r="D1345" s="84" t="s">
        <v>276</v>
      </c>
      <c r="E1345" s="104">
        <v>20</v>
      </c>
      <c r="G1345" s="20">
        <v>1348</v>
      </c>
      <c r="H1345" s="13" t="s">
        <v>1816</v>
      </c>
      <c r="I1345" s="13" t="str">
        <f t="shared" si="42"/>
        <v>Davie Bl (SW 4TH Av to I-95)</v>
      </c>
      <c r="J1345" s="12" t="s">
        <v>29</v>
      </c>
      <c r="K1345" s="13" t="str">
        <f>VLOOKUP(J1345,'Data-ProjectTypes'!A$3:B$13,2,FALSE)</f>
        <v>Program</v>
      </c>
      <c r="L1345" s="12" t="s">
        <v>1280</v>
      </c>
      <c r="M1345" s="105" t="s">
        <v>2194</v>
      </c>
      <c r="N1345" s="12" t="s">
        <v>41</v>
      </c>
      <c r="Q1345" s="72">
        <v>1.3</v>
      </c>
      <c r="R1345" s="23">
        <v>376000</v>
      </c>
      <c r="Z1345" s="18">
        <f>ROUND(R1345*'Data-CostAssumptions'!$C$8,-3)</f>
        <v>376000</v>
      </c>
      <c r="AA1345" s="11">
        <f t="shared" si="43"/>
        <v>0</v>
      </c>
      <c r="AB1345" s="11">
        <v>2041</v>
      </c>
      <c r="AC1345" s="11">
        <v>2041</v>
      </c>
      <c r="AD1345" s="11">
        <v>2041</v>
      </c>
      <c r="AE1345" s="11">
        <v>2041</v>
      </c>
      <c r="AF1345" s="11">
        <v>0</v>
      </c>
      <c r="AG1345" s="19">
        <f>ROUND((Z1345*'Data-CostAssumptions'!$G$5)*(1+'Data-CostAssumptions'!$G$3)^(AC1345-'Data-CostAssumptions'!$G$4),-3)</f>
        <v>212000</v>
      </c>
      <c r="AH1345" s="19">
        <f>ROUND((Z1345)*(1+'Data-CostAssumptions'!$G$3)^(AE1345-'Data-CostAssumptions'!$G$4),-3)</f>
        <v>964000</v>
      </c>
    </row>
    <row r="1346" spans="2:34" ht="15" customHeight="1" x14ac:dyDescent="0.2">
      <c r="B1346" s="11" t="s">
        <v>1211</v>
      </c>
      <c r="D1346" s="84" t="s">
        <v>276</v>
      </c>
      <c r="E1346" s="104">
        <v>21</v>
      </c>
      <c r="G1346" s="20">
        <v>1349</v>
      </c>
      <c r="H1346" s="13" t="s">
        <v>1816</v>
      </c>
      <c r="I1346" s="13" t="str">
        <f t="shared" si="42"/>
        <v>Davie Bl (US 1/SR 5/FEDERAL HWY to SW 4TH Av)</v>
      </c>
      <c r="J1346" s="12" t="s">
        <v>29</v>
      </c>
      <c r="K1346" s="13" t="str">
        <f>VLOOKUP(J1346,'Data-ProjectTypes'!A$3:B$13,2,FALSE)</f>
        <v>Program</v>
      </c>
      <c r="L1346" s="12" t="s">
        <v>1278</v>
      </c>
      <c r="M1346" s="105" t="s">
        <v>1425</v>
      </c>
      <c r="N1346" s="12" t="s">
        <v>2194</v>
      </c>
      <c r="Q1346" s="72">
        <v>0.6</v>
      </c>
      <c r="R1346" s="23">
        <v>346000</v>
      </c>
      <c r="Z1346" s="18">
        <f>ROUND(R1346*'Data-CostAssumptions'!$C$8,-3)</f>
        <v>346000</v>
      </c>
      <c r="AA1346" s="11">
        <f t="shared" si="43"/>
        <v>0</v>
      </c>
      <c r="AB1346" s="11">
        <v>2041</v>
      </c>
      <c r="AC1346" s="11">
        <v>2041</v>
      </c>
      <c r="AD1346" s="11">
        <v>2041</v>
      </c>
      <c r="AE1346" s="11">
        <v>2041</v>
      </c>
      <c r="AF1346" s="11">
        <v>0</v>
      </c>
      <c r="AG1346" s="19">
        <f>ROUND((Z1346*'Data-CostAssumptions'!$G$5)*(1+'Data-CostAssumptions'!$G$3)^(AC1346-'Data-CostAssumptions'!$G$4),-3)</f>
        <v>195000</v>
      </c>
      <c r="AH1346" s="19">
        <f>ROUND((Z1346)*(1+'Data-CostAssumptions'!$G$3)^(AE1346-'Data-CostAssumptions'!$G$4),-3)</f>
        <v>887000</v>
      </c>
    </row>
    <row r="1347" spans="2:34" ht="15" customHeight="1" x14ac:dyDescent="0.2">
      <c r="B1347" s="11" t="s">
        <v>1211</v>
      </c>
      <c r="D1347" s="84" t="s">
        <v>276</v>
      </c>
      <c r="E1347" s="104" t="s">
        <v>1517</v>
      </c>
      <c r="G1347" s="20">
        <v>1350</v>
      </c>
      <c r="H1347" s="13" t="s">
        <v>1598</v>
      </c>
      <c r="I1347" s="13" t="str">
        <f t="shared" si="42"/>
        <v>E/W CAMPUS CIR (E/W CAMPUS CIR to INDIANA Av )</v>
      </c>
      <c r="J1347" s="12" t="s">
        <v>29</v>
      </c>
      <c r="K1347" s="13" t="str">
        <f>VLOOKUP(J1347,'Data-ProjectTypes'!A$3:B$13,2,FALSE)</f>
        <v>Program</v>
      </c>
      <c r="L1347" s="12" t="s">
        <v>1667</v>
      </c>
      <c r="M1347" s="105" t="s">
        <v>1598</v>
      </c>
      <c r="N1347" s="12" t="s">
        <v>2140</v>
      </c>
      <c r="Q1347" s="72">
        <v>0.5</v>
      </c>
      <c r="R1347" s="23">
        <f>ROUND(Q1347*'Data-CostAssumptions'!$C$25,-1)</f>
        <v>84200</v>
      </c>
      <c r="Z1347" s="18">
        <f>ROUND(R1347*'Data-CostAssumptions'!$C$8,-3)</f>
        <v>84000</v>
      </c>
      <c r="AA1347" s="11">
        <f t="shared" si="43"/>
        <v>0</v>
      </c>
      <c r="AB1347" s="11">
        <v>2041</v>
      </c>
      <c r="AC1347" s="11">
        <v>2041</v>
      </c>
      <c r="AD1347" s="11">
        <v>2041</v>
      </c>
      <c r="AE1347" s="11">
        <v>2041</v>
      </c>
      <c r="AF1347" s="11">
        <v>0</v>
      </c>
      <c r="AG1347" s="19">
        <f>ROUND((Z1347*'Data-CostAssumptions'!$G$5)*(1+'Data-CostAssumptions'!$G$3)^(AC1347-'Data-CostAssumptions'!$G$4),-3)</f>
        <v>47000</v>
      </c>
      <c r="AH1347" s="19">
        <f>ROUND((Z1347)*(1+'Data-CostAssumptions'!$G$3)^(AE1347-'Data-CostAssumptions'!$G$4),-3)</f>
        <v>215000</v>
      </c>
    </row>
    <row r="1348" spans="2:34" ht="15" customHeight="1" x14ac:dyDescent="0.2">
      <c r="B1348" s="11" t="s">
        <v>1211</v>
      </c>
      <c r="D1348" s="84" t="s">
        <v>276</v>
      </c>
      <c r="E1348" s="104">
        <v>26</v>
      </c>
      <c r="G1348" s="20">
        <v>1351</v>
      </c>
      <c r="H1348" s="13" t="s">
        <v>1817</v>
      </c>
      <c r="I1348" s="13" t="str">
        <f t="shared" si="42"/>
        <v>Eisenhower Bl (SE 17TH ST to ELLER DR)</v>
      </c>
      <c r="J1348" s="12" t="s">
        <v>29</v>
      </c>
      <c r="K1348" s="13" t="str">
        <f>VLOOKUP(J1348,'Data-ProjectTypes'!A$3:B$13,2,FALSE)</f>
        <v>Program</v>
      </c>
      <c r="L1348" s="12" t="s">
        <v>1294</v>
      </c>
      <c r="M1348" s="105" t="s">
        <v>1245</v>
      </c>
      <c r="N1348" s="12" t="s">
        <v>1434</v>
      </c>
      <c r="Q1348" s="72">
        <v>2.4</v>
      </c>
      <c r="R1348" s="23">
        <v>1939000</v>
      </c>
      <c r="X1348" s="34"/>
      <c r="Z1348" s="18">
        <f>ROUND(R1348*'Data-CostAssumptions'!$C$8,-3)</f>
        <v>1939000</v>
      </c>
      <c r="AA1348" s="11">
        <f t="shared" si="43"/>
        <v>0</v>
      </c>
      <c r="AB1348" s="11">
        <v>2041</v>
      </c>
      <c r="AC1348" s="11">
        <v>2041</v>
      </c>
      <c r="AD1348" s="11">
        <v>2041</v>
      </c>
      <c r="AE1348" s="11">
        <v>2041</v>
      </c>
      <c r="AF1348" s="11">
        <v>0</v>
      </c>
      <c r="AG1348" s="19">
        <f>ROUND((Z1348*'Data-CostAssumptions'!$G$5)*(1+'Data-CostAssumptions'!$G$3)^(AC1348-'Data-CostAssumptions'!$G$4),-3)</f>
        <v>1094000</v>
      </c>
      <c r="AH1348" s="19">
        <f>ROUND((Z1348)*(1+'Data-CostAssumptions'!$G$3)^(AE1348-'Data-CostAssumptions'!$G$4),-3)</f>
        <v>4971000</v>
      </c>
    </row>
    <row r="1349" spans="2:34" ht="15" customHeight="1" x14ac:dyDescent="0.2">
      <c r="B1349" s="11" t="s">
        <v>1211</v>
      </c>
      <c r="D1349" s="84" t="s">
        <v>276</v>
      </c>
      <c r="E1349" s="104">
        <v>500</v>
      </c>
      <c r="G1349" s="20">
        <v>1352</v>
      </c>
      <c r="H1349" s="13" t="s">
        <v>2819</v>
      </c>
      <c r="I1349" s="13" t="str">
        <f t="shared" si="42"/>
        <v>Executive Airport Multi-use Path (Perimeter Rd to Perimeter Rd)</v>
      </c>
      <c r="J1349" s="12" t="s">
        <v>29</v>
      </c>
      <c r="K1349" s="13" t="str">
        <f>VLOOKUP(J1349,'Data-ProjectTypes'!A$3:B$13,2,FALSE)</f>
        <v>Program</v>
      </c>
      <c r="L1349" s="12" t="s">
        <v>1649</v>
      </c>
      <c r="M1349" s="105" t="s">
        <v>1761</v>
      </c>
      <c r="N1349" s="12" t="s">
        <v>1761</v>
      </c>
      <c r="R1349" s="23">
        <v>500000</v>
      </c>
      <c r="X1349" s="34"/>
      <c r="Z1349" s="18">
        <f>ROUND(R1349*'Data-CostAssumptions'!$C$8,-3)</f>
        <v>500000</v>
      </c>
      <c r="AA1349" s="11">
        <f t="shared" si="43"/>
        <v>0</v>
      </c>
      <c r="AB1349" s="11">
        <v>2041</v>
      </c>
      <c r="AC1349" s="11">
        <v>2041</v>
      </c>
      <c r="AD1349" s="11">
        <v>2041</v>
      </c>
      <c r="AE1349" s="11">
        <v>2041</v>
      </c>
      <c r="AF1349" s="11">
        <v>0</v>
      </c>
      <c r="AG1349" s="19">
        <f>ROUND((Z1349*'Data-CostAssumptions'!$G$5)*(1+'Data-CostAssumptions'!$G$3)^(AC1349-'Data-CostAssumptions'!$G$4),-3)</f>
        <v>282000</v>
      </c>
      <c r="AH1349" s="19">
        <f>ROUND((Z1349)*(1+'Data-CostAssumptions'!$G$3)^(AE1349-'Data-CostAssumptions'!$G$4),-3)</f>
        <v>1282000</v>
      </c>
    </row>
    <row r="1350" spans="2:34" ht="15" customHeight="1" x14ac:dyDescent="0.2">
      <c r="B1350" s="11" t="s">
        <v>1211</v>
      </c>
      <c r="D1350" s="84" t="s">
        <v>276</v>
      </c>
      <c r="E1350" s="104" t="s">
        <v>1537</v>
      </c>
      <c r="G1350" s="20">
        <v>1353</v>
      </c>
      <c r="H1350" s="13" t="s">
        <v>2869</v>
      </c>
      <c r="I1350" s="13" t="str">
        <f t="shared" si="42"/>
        <v>Flagler Dr N (NE 6TH ST  to N ANDREWS Av )</v>
      </c>
      <c r="J1350" s="12" t="s">
        <v>29</v>
      </c>
      <c r="K1350" s="13" t="str">
        <f>VLOOKUP(J1350,'Data-ProjectTypes'!A$3:B$13,2,FALSE)</f>
        <v>Program</v>
      </c>
      <c r="L1350" s="12" t="s">
        <v>1667</v>
      </c>
      <c r="M1350" s="105" t="s">
        <v>1714</v>
      </c>
      <c r="N1350" s="12" t="s">
        <v>2611</v>
      </c>
      <c r="Q1350" s="72">
        <v>1.1000000000000001</v>
      </c>
      <c r="R1350" s="23">
        <f>ROUND(Q1350*'Data-CostAssumptions'!$C$25,-1)</f>
        <v>185240</v>
      </c>
      <c r="Z1350" s="18">
        <f>ROUND(R1350*'Data-CostAssumptions'!$C$8,-3)</f>
        <v>185000</v>
      </c>
      <c r="AA1350" s="11">
        <f t="shared" si="43"/>
        <v>0</v>
      </c>
      <c r="AB1350" s="11">
        <v>2041</v>
      </c>
      <c r="AC1350" s="11">
        <v>2041</v>
      </c>
      <c r="AD1350" s="11">
        <v>2041</v>
      </c>
      <c r="AE1350" s="11">
        <v>2041</v>
      </c>
      <c r="AF1350" s="11">
        <v>0</v>
      </c>
      <c r="AG1350" s="19">
        <f>ROUND((Z1350*'Data-CostAssumptions'!$G$5)*(1+'Data-CostAssumptions'!$G$3)^(AC1350-'Data-CostAssumptions'!$G$4),-3)</f>
        <v>104000</v>
      </c>
      <c r="AH1350" s="19">
        <f>ROUND((Z1350)*(1+'Data-CostAssumptions'!$G$3)^(AE1350-'Data-CostAssumptions'!$G$4),-3)</f>
        <v>474000</v>
      </c>
    </row>
    <row r="1351" spans="2:34" ht="15" customHeight="1" x14ac:dyDescent="0.2">
      <c r="B1351" s="11" t="s">
        <v>1211</v>
      </c>
      <c r="D1351" s="84" t="s">
        <v>276</v>
      </c>
      <c r="E1351" s="104" t="s">
        <v>1463</v>
      </c>
      <c r="G1351" s="20">
        <v>1354</v>
      </c>
      <c r="H1351" s="13" t="s">
        <v>2848</v>
      </c>
      <c r="I1351" s="13" t="str">
        <f t="shared" si="42"/>
        <v>Flagler Greenway (Phase 2) (BROWARD Bl to ANDREWS Av)</v>
      </c>
      <c r="J1351" s="12" t="s">
        <v>29</v>
      </c>
      <c r="K1351" s="13" t="str">
        <f>VLOOKUP(J1351,'Data-ProjectTypes'!A$3:B$13,2,FALSE)</f>
        <v>Program</v>
      </c>
      <c r="L1351" s="12" t="s">
        <v>1624</v>
      </c>
      <c r="M1351" s="105" t="s">
        <v>1988</v>
      </c>
      <c r="N1351" s="12" t="s">
        <v>2139</v>
      </c>
      <c r="Q1351" s="72">
        <v>0.6</v>
      </c>
      <c r="R1351" s="23">
        <v>2000000</v>
      </c>
      <c r="X1351" s="34"/>
      <c r="Z1351" s="18">
        <f>ROUND(R1351*'Data-CostAssumptions'!$C$8,-3)</f>
        <v>2000000</v>
      </c>
      <c r="AA1351" s="11">
        <f t="shared" si="43"/>
        <v>0</v>
      </c>
      <c r="AB1351" s="11">
        <v>2041</v>
      </c>
      <c r="AC1351" s="11">
        <v>2041</v>
      </c>
      <c r="AD1351" s="11">
        <v>2041</v>
      </c>
      <c r="AE1351" s="11">
        <v>2041</v>
      </c>
      <c r="AF1351" s="11">
        <v>0</v>
      </c>
      <c r="AG1351" s="19">
        <f>ROUND((Z1351*'Data-CostAssumptions'!$G$5)*(1+'Data-CostAssumptions'!$G$3)^(AC1351-'Data-CostAssumptions'!$G$4),-3)</f>
        <v>1128000</v>
      </c>
      <c r="AH1351" s="19">
        <f>ROUND((Z1351)*(1+'Data-CostAssumptions'!$G$3)^(AE1351-'Data-CostAssumptions'!$G$4),-3)</f>
        <v>5128000</v>
      </c>
    </row>
    <row r="1352" spans="2:34" ht="15" customHeight="1" x14ac:dyDescent="0.2">
      <c r="B1352" s="11" t="s">
        <v>1211</v>
      </c>
      <c r="D1352" s="84" t="s">
        <v>276</v>
      </c>
      <c r="E1352" s="104">
        <v>27</v>
      </c>
      <c r="G1352" s="20">
        <v>1355</v>
      </c>
      <c r="H1352" s="13" t="s">
        <v>1847</v>
      </c>
      <c r="I1352" s="13" t="str">
        <f t="shared" si="42"/>
        <v>Floranada Rd (SR 811/OLD DIXIE HWY to US 1/SR 5)</v>
      </c>
      <c r="J1352" s="12" t="s">
        <v>29</v>
      </c>
      <c r="K1352" s="13" t="str">
        <f>VLOOKUP(J1352,'Data-ProjectTypes'!A$3:B$13,2,FALSE)</f>
        <v>Program</v>
      </c>
      <c r="L1352" s="12" t="s">
        <v>1296</v>
      </c>
      <c r="M1352" s="105" t="s">
        <v>2850</v>
      </c>
      <c r="N1352" s="12" t="s">
        <v>1422</v>
      </c>
      <c r="Q1352" s="72">
        <v>1</v>
      </c>
      <c r="R1352" s="23">
        <v>515000</v>
      </c>
      <c r="X1352" s="34"/>
      <c r="Z1352" s="18">
        <f>ROUND(R1352*'Data-CostAssumptions'!$C$8,-3)</f>
        <v>515000</v>
      </c>
      <c r="AA1352" s="11">
        <f t="shared" si="43"/>
        <v>0</v>
      </c>
      <c r="AB1352" s="11">
        <v>2041</v>
      </c>
      <c r="AC1352" s="11">
        <v>2041</v>
      </c>
      <c r="AD1352" s="11">
        <v>2041</v>
      </c>
      <c r="AE1352" s="11">
        <v>2041</v>
      </c>
      <c r="AF1352" s="11">
        <v>0</v>
      </c>
      <c r="AG1352" s="19">
        <f>ROUND((Z1352*'Data-CostAssumptions'!$G$5)*(1+'Data-CostAssumptions'!$G$3)^(AC1352-'Data-CostAssumptions'!$G$4),-3)</f>
        <v>290000</v>
      </c>
      <c r="AH1352" s="19">
        <f>ROUND((Z1352)*(1+'Data-CostAssumptions'!$G$3)^(AE1352-'Data-CostAssumptions'!$G$4),-3)</f>
        <v>1320000</v>
      </c>
    </row>
    <row r="1353" spans="2:34" ht="15" customHeight="1" x14ac:dyDescent="0.2">
      <c r="B1353" s="11" t="s">
        <v>1211</v>
      </c>
      <c r="D1353" s="84" t="s">
        <v>276</v>
      </c>
      <c r="E1353" s="104" t="s">
        <v>1518</v>
      </c>
      <c r="G1353" s="20">
        <v>1356</v>
      </c>
      <c r="H1353" s="13" t="s">
        <v>2820</v>
      </c>
      <c r="I1353" s="13" t="str">
        <f t="shared" si="42"/>
        <v>Florida Av (Indiana Av to E/W CAMPUS CIR)</v>
      </c>
      <c r="J1353" s="12" t="s">
        <v>29</v>
      </c>
      <c r="K1353" s="13" t="str">
        <f>VLOOKUP(J1353,'Data-ProjectTypes'!A$3:B$13,2,FALSE)</f>
        <v>Program</v>
      </c>
      <c r="L1353" s="12" t="s">
        <v>1667</v>
      </c>
      <c r="M1353" s="105" t="s">
        <v>2818</v>
      </c>
      <c r="N1353" s="12" t="s">
        <v>1598</v>
      </c>
      <c r="Q1353" s="72">
        <v>0.6</v>
      </c>
      <c r="R1353" s="23">
        <f>ROUND(Q1353*'Data-CostAssumptions'!$C$25,-1)</f>
        <v>101040</v>
      </c>
      <c r="Z1353" s="18">
        <f>ROUND(R1353*'Data-CostAssumptions'!$C$8,-3)</f>
        <v>101000</v>
      </c>
      <c r="AA1353" s="11">
        <f t="shared" si="43"/>
        <v>0</v>
      </c>
      <c r="AB1353" s="11">
        <v>2041</v>
      </c>
      <c r="AC1353" s="11">
        <v>2041</v>
      </c>
      <c r="AD1353" s="11">
        <v>2041</v>
      </c>
      <c r="AE1353" s="11">
        <v>2041</v>
      </c>
      <c r="AF1353" s="11">
        <v>0</v>
      </c>
      <c r="AG1353" s="19">
        <f>ROUND((Z1353*'Data-CostAssumptions'!$G$5)*(1+'Data-CostAssumptions'!$G$3)^(AC1353-'Data-CostAssumptions'!$G$4),-3)</f>
        <v>57000</v>
      </c>
      <c r="AH1353" s="19">
        <f>ROUND((Z1353)*(1+'Data-CostAssumptions'!$G$3)^(AE1353-'Data-CostAssumptions'!$G$4),-3)</f>
        <v>259000</v>
      </c>
    </row>
    <row r="1354" spans="2:34" ht="15" customHeight="1" x14ac:dyDescent="0.2">
      <c r="B1354" s="11" t="s">
        <v>1211</v>
      </c>
      <c r="D1354" s="84" t="s">
        <v>276</v>
      </c>
      <c r="E1354" s="104" t="s">
        <v>1477</v>
      </c>
      <c r="G1354" s="20">
        <v>1357</v>
      </c>
      <c r="H1354" s="13" t="s">
        <v>2697</v>
      </c>
      <c r="I1354" s="13" t="str">
        <f t="shared" si="42"/>
        <v>Galt Ocean Dr (OCEAN Bl/SR A1A to A1A)</v>
      </c>
      <c r="J1354" s="12" t="s">
        <v>29</v>
      </c>
      <c r="K1354" s="13" t="str">
        <f>VLOOKUP(J1354,'Data-ProjectTypes'!A$3:B$13,2,FALSE)</f>
        <v>Program</v>
      </c>
      <c r="L1354" s="12" t="s">
        <v>1667</v>
      </c>
      <c r="M1354" s="105" t="s">
        <v>2312</v>
      </c>
      <c r="N1354" s="12" t="s">
        <v>205</v>
      </c>
      <c r="Q1354" s="72">
        <v>0.8</v>
      </c>
      <c r="R1354" s="23">
        <f>ROUND(Q1354*'Data-CostAssumptions'!$C$25,-1)</f>
        <v>134720</v>
      </c>
      <c r="Z1354" s="18">
        <f>ROUND(R1354*'Data-CostAssumptions'!$C$8,-3)</f>
        <v>135000</v>
      </c>
      <c r="AA1354" s="11">
        <f t="shared" si="43"/>
        <v>0</v>
      </c>
      <c r="AB1354" s="11">
        <v>2041</v>
      </c>
      <c r="AC1354" s="11">
        <v>2041</v>
      </c>
      <c r="AD1354" s="11">
        <v>2041</v>
      </c>
      <c r="AE1354" s="11">
        <v>2041</v>
      </c>
      <c r="AF1354" s="11">
        <v>0</v>
      </c>
      <c r="AG1354" s="19">
        <f>ROUND((Z1354*'Data-CostAssumptions'!$G$5)*(1+'Data-CostAssumptions'!$G$3)^(AC1354-'Data-CostAssumptions'!$G$4),-3)</f>
        <v>76000</v>
      </c>
      <c r="AH1354" s="19">
        <f>ROUND((Z1354)*(1+'Data-CostAssumptions'!$G$3)^(AE1354-'Data-CostAssumptions'!$G$4),-3)</f>
        <v>346000</v>
      </c>
    </row>
    <row r="1355" spans="2:34" ht="15" customHeight="1" x14ac:dyDescent="0.2">
      <c r="B1355" s="11" t="s">
        <v>1211</v>
      </c>
      <c r="D1355" s="84" t="s">
        <v>276</v>
      </c>
      <c r="E1355" s="104">
        <v>28</v>
      </c>
      <c r="G1355" s="20">
        <v>1358</v>
      </c>
      <c r="H1355" s="13" t="s">
        <v>1226</v>
      </c>
      <c r="I1355" s="13" t="str">
        <f t="shared" si="42"/>
        <v>HIMMARSHEE ST (SW 7TH Av to BRICKELL Av)</v>
      </c>
      <c r="J1355" s="12" t="s">
        <v>29</v>
      </c>
      <c r="K1355" s="13" t="str">
        <f>VLOOKUP(J1355,'Data-ProjectTypes'!A$3:B$13,2,FALSE)</f>
        <v>Program</v>
      </c>
      <c r="L1355" s="12" t="s">
        <v>1297</v>
      </c>
      <c r="M1355" s="105" t="s">
        <v>2609</v>
      </c>
      <c r="N1355" s="12" t="s">
        <v>2608</v>
      </c>
      <c r="Q1355" s="72">
        <v>0.4</v>
      </c>
      <c r="R1355" s="23">
        <v>371000</v>
      </c>
      <c r="Z1355" s="18">
        <f>ROUND(R1355*'Data-CostAssumptions'!$C$8,-3)</f>
        <v>371000</v>
      </c>
      <c r="AA1355" s="11">
        <f t="shared" si="43"/>
        <v>0</v>
      </c>
      <c r="AB1355" s="11">
        <v>2041</v>
      </c>
      <c r="AC1355" s="11">
        <v>2041</v>
      </c>
      <c r="AD1355" s="11">
        <v>2041</v>
      </c>
      <c r="AE1355" s="11">
        <v>2041</v>
      </c>
      <c r="AF1355" s="11">
        <v>0</v>
      </c>
      <c r="AG1355" s="19">
        <f>ROUND((Z1355*'Data-CostAssumptions'!$G$5)*(1+'Data-CostAssumptions'!$G$3)^(AC1355-'Data-CostAssumptions'!$G$4),-3)</f>
        <v>209000</v>
      </c>
      <c r="AH1355" s="19">
        <f>ROUND((Z1355)*(1+'Data-CostAssumptions'!$G$3)^(AE1355-'Data-CostAssumptions'!$G$4),-3)</f>
        <v>951000</v>
      </c>
    </row>
    <row r="1356" spans="2:34" ht="15" customHeight="1" x14ac:dyDescent="0.2">
      <c r="B1356" s="11" t="s">
        <v>1211</v>
      </c>
      <c r="D1356" s="84" t="s">
        <v>276</v>
      </c>
      <c r="E1356" s="104" t="s">
        <v>1516</v>
      </c>
      <c r="G1356" s="20">
        <v>1359</v>
      </c>
      <c r="H1356" s="13" t="s">
        <v>2818</v>
      </c>
      <c r="I1356" s="13" t="str">
        <f t="shared" si="42"/>
        <v>Indiana Av (SW 31ST Av  to DAVIE Bl )</v>
      </c>
      <c r="J1356" s="12" t="s">
        <v>29</v>
      </c>
      <c r="K1356" s="13" t="str">
        <f>VLOOKUP(J1356,'Data-ProjectTypes'!A$3:B$13,2,FALSE)</f>
        <v>Program</v>
      </c>
      <c r="L1356" s="12" t="s">
        <v>1667</v>
      </c>
      <c r="M1356" s="105" t="s">
        <v>2610</v>
      </c>
      <c r="N1356" s="12" t="s">
        <v>2296</v>
      </c>
      <c r="Q1356" s="72">
        <v>0.6</v>
      </c>
      <c r="R1356" s="23">
        <f>ROUND(Q1356*'Data-CostAssumptions'!$C$25,-1)</f>
        <v>101040</v>
      </c>
      <c r="Z1356" s="18">
        <f>ROUND(R1356*'Data-CostAssumptions'!$C$8,-3)</f>
        <v>101000</v>
      </c>
      <c r="AA1356" s="11">
        <f t="shared" si="43"/>
        <v>0</v>
      </c>
      <c r="AB1356" s="11">
        <v>2041</v>
      </c>
      <c r="AC1356" s="11">
        <v>2041</v>
      </c>
      <c r="AD1356" s="11">
        <v>2041</v>
      </c>
      <c r="AE1356" s="11">
        <v>2041</v>
      </c>
      <c r="AF1356" s="11">
        <v>0</v>
      </c>
      <c r="AG1356" s="19">
        <f>ROUND((Z1356*'Data-CostAssumptions'!$G$5)*(1+'Data-CostAssumptions'!$G$3)^(AC1356-'Data-CostAssumptions'!$G$4),-3)</f>
        <v>57000</v>
      </c>
      <c r="AH1356" s="19">
        <f>ROUND((Z1356)*(1+'Data-CostAssumptions'!$G$3)^(AE1356-'Data-CostAssumptions'!$G$4),-3)</f>
        <v>259000</v>
      </c>
    </row>
    <row r="1357" spans="2:34" ht="15" customHeight="1" x14ac:dyDescent="0.2">
      <c r="B1357" s="11" t="s">
        <v>1211</v>
      </c>
      <c r="D1357" s="84" t="s">
        <v>276</v>
      </c>
      <c r="E1357" s="104" t="s">
        <v>1519</v>
      </c>
      <c r="G1357" s="20">
        <v>1360</v>
      </c>
      <c r="H1357" s="13" t="s">
        <v>2862</v>
      </c>
      <c r="I1357" s="13" t="str">
        <f t="shared" si="42"/>
        <v>Iowa Av (W BROWARD Bl  to E/W CAMPUS CIR)</v>
      </c>
      <c r="J1357" s="12" t="s">
        <v>29</v>
      </c>
      <c r="K1357" s="13" t="str">
        <f>VLOOKUP(J1357,'Data-ProjectTypes'!A$3:B$13,2,FALSE)</f>
        <v>Program</v>
      </c>
      <c r="L1357" s="12" t="s">
        <v>1667</v>
      </c>
      <c r="M1357" s="105" t="s">
        <v>2310</v>
      </c>
      <c r="N1357" s="12" t="s">
        <v>1598</v>
      </c>
      <c r="Q1357" s="72">
        <v>0.5</v>
      </c>
      <c r="R1357" s="23">
        <f>ROUND(Q1357*'Data-CostAssumptions'!$C$25,-1)</f>
        <v>84200</v>
      </c>
      <c r="Z1357" s="18">
        <f>ROUND(R1357*'Data-CostAssumptions'!$C$8,-3)</f>
        <v>84000</v>
      </c>
      <c r="AA1357" s="11">
        <f t="shared" si="43"/>
        <v>0</v>
      </c>
      <c r="AB1357" s="11">
        <v>2041</v>
      </c>
      <c r="AC1357" s="11">
        <v>2041</v>
      </c>
      <c r="AD1357" s="11">
        <v>2041</v>
      </c>
      <c r="AE1357" s="11">
        <v>2041</v>
      </c>
      <c r="AF1357" s="11">
        <v>0</v>
      </c>
      <c r="AG1357" s="19">
        <f>ROUND((Z1357*'Data-CostAssumptions'!$G$5)*(1+'Data-CostAssumptions'!$G$3)^(AC1357-'Data-CostAssumptions'!$G$4),-3)</f>
        <v>47000</v>
      </c>
      <c r="AH1357" s="19">
        <f>ROUND((Z1357)*(1+'Data-CostAssumptions'!$G$3)^(AE1357-'Data-CostAssumptions'!$G$4),-3)</f>
        <v>215000</v>
      </c>
    </row>
    <row r="1358" spans="2:34" ht="15" customHeight="1" x14ac:dyDescent="0.2">
      <c r="B1358" s="11" t="s">
        <v>1211</v>
      </c>
      <c r="D1358" s="84" t="s">
        <v>276</v>
      </c>
      <c r="E1358" s="104">
        <v>24</v>
      </c>
      <c r="G1358" s="20">
        <v>1361</v>
      </c>
      <c r="H1358" s="13" t="s">
        <v>1823</v>
      </c>
      <c r="I1358" s="13" t="str">
        <f t="shared" si="42"/>
        <v>Las Olas Bl (SE 15TH Av to US 1/SR 5/FEDERAL HWY)</v>
      </c>
      <c r="J1358" s="12" t="s">
        <v>29</v>
      </c>
      <c r="K1358" s="13" t="str">
        <f>VLOOKUP(J1358,'Data-ProjectTypes'!A$3:B$13,2,FALSE)</f>
        <v>Program</v>
      </c>
      <c r="L1358" s="12" t="s">
        <v>1290</v>
      </c>
      <c r="M1358" s="105" t="s">
        <v>2607</v>
      </c>
      <c r="N1358" s="12" t="s">
        <v>1425</v>
      </c>
      <c r="Q1358" s="72">
        <v>0.5</v>
      </c>
      <c r="R1358" s="23">
        <v>432600</v>
      </c>
      <c r="Z1358" s="18">
        <f>ROUND(R1358*'Data-CostAssumptions'!$C$8,-3)</f>
        <v>433000</v>
      </c>
      <c r="AA1358" s="11">
        <f t="shared" si="43"/>
        <v>0</v>
      </c>
      <c r="AB1358" s="11">
        <v>2041</v>
      </c>
      <c r="AC1358" s="11">
        <v>2041</v>
      </c>
      <c r="AD1358" s="11">
        <v>2041</v>
      </c>
      <c r="AE1358" s="11">
        <v>2041</v>
      </c>
      <c r="AF1358" s="11">
        <v>0</v>
      </c>
      <c r="AG1358" s="19">
        <f>ROUND((Z1358*'Data-CostAssumptions'!$G$5)*(1+'Data-CostAssumptions'!$G$3)^(AC1358-'Data-CostAssumptions'!$G$4),-3)</f>
        <v>244000</v>
      </c>
      <c r="AH1358" s="19">
        <f>ROUND((Z1358)*(1+'Data-CostAssumptions'!$G$3)^(AE1358-'Data-CostAssumptions'!$G$4),-3)</f>
        <v>1110000</v>
      </c>
    </row>
    <row r="1359" spans="2:34" ht="15" customHeight="1" x14ac:dyDescent="0.2">
      <c r="B1359" s="11" t="s">
        <v>1211</v>
      </c>
      <c r="D1359" s="84" t="s">
        <v>276</v>
      </c>
      <c r="E1359" s="104">
        <v>25</v>
      </c>
      <c r="G1359" s="20">
        <v>1362</v>
      </c>
      <c r="H1359" s="13" t="s">
        <v>1823</v>
      </c>
      <c r="I1359" s="13" t="str">
        <f t="shared" si="42"/>
        <v>Las Olas Bl (SR A1A NB to SE 15TH Av)</v>
      </c>
      <c r="J1359" s="12" t="s">
        <v>29</v>
      </c>
      <c r="K1359" s="13" t="str">
        <f>VLOOKUP(J1359,'Data-ProjectTypes'!A$3:B$13,2,FALSE)</f>
        <v>Program</v>
      </c>
      <c r="L1359" s="12" t="s">
        <v>1288</v>
      </c>
      <c r="M1359" s="105" t="s">
        <v>1433</v>
      </c>
      <c r="N1359" s="12" t="s">
        <v>2607</v>
      </c>
      <c r="Q1359" s="72">
        <v>1.5</v>
      </c>
      <c r="R1359" s="23">
        <v>121000</v>
      </c>
      <c r="Z1359" s="18">
        <f>ROUND(R1359*'Data-CostAssumptions'!$C$8,-3)</f>
        <v>121000</v>
      </c>
      <c r="AA1359" s="11">
        <f t="shared" si="43"/>
        <v>0</v>
      </c>
      <c r="AB1359" s="11">
        <v>2041</v>
      </c>
      <c r="AC1359" s="11">
        <v>2041</v>
      </c>
      <c r="AD1359" s="11">
        <v>2041</v>
      </c>
      <c r="AE1359" s="11">
        <v>2041</v>
      </c>
      <c r="AF1359" s="11">
        <v>0</v>
      </c>
      <c r="AG1359" s="19">
        <f>ROUND((Z1359*'Data-CostAssumptions'!$G$5)*(1+'Data-CostAssumptions'!$G$3)^(AC1359-'Data-CostAssumptions'!$G$4),-3)</f>
        <v>68000</v>
      </c>
      <c r="AH1359" s="19">
        <f>ROUND((Z1359)*(1+'Data-CostAssumptions'!$G$3)^(AE1359-'Data-CostAssumptions'!$G$4),-3)</f>
        <v>310000</v>
      </c>
    </row>
    <row r="1360" spans="2:34" ht="15" customHeight="1" x14ac:dyDescent="0.2">
      <c r="B1360" s="11" t="s">
        <v>1211</v>
      </c>
      <c r="D1360" s="84" t="s">
        <v>276</v>
      </c>
      <c r="E1360" s="104">
        <v>23</v>
      </c>
      <c r="G1360" s="20">
        <v>1363</v>
      </c>
      <c r="H1360" s="13" t="s">
        <v>1823</v>
      </c>
      <c r="I1360" s="13" t="str">
        <f t="shared" si="42"/>
        <v>Las Olas Bl (US 1/SR 5/FEDERAL HWY to SW 1ST Av)</v>
      </c>
      <c r="J1360" s="12" t="s">
        <v>29</v>
      </c>
      <c r="K1360" s="13" t="str">
        <f>VLOOKUP(J1360,'Data-ProjectTypes'!A$3:B$13,2,FALSE)</f>
        <v>Program</v>
      </c>
      <c r="L1360" s="12" t="s">
        <v>1292</v>
      </c>
      <c r="M1360" s="105" t="s">
        <v>1425</v>
      </c>
      <c r="N1360" s="12" t="s">
        <v>2187</v>
      </c>
      <c r="Q1360" s="72">
        <v>0.3</v>
      </c>
      <c r="R1360" s="23">
        <v>432000</v>
      </c>
      <c r="Z1360" s="18">
        <f>ROUND(R1360*'Data-CostAssumptions'!$C$8,-3)</f>
        <v>432000</v>
      </c>
      <c r="AA1360" s="11">
        <f t="shared" si="43"/>
        <v>0</v>
      </c>
      <c r="AB1360" s="11">
        <v>2041</v>
      </c>
      <c r="AC1360" s="11">
        <v>2041</v>
      </c>
      <c r="AD1360" s="11">
        <v>2041</v>
      </c>
      <c r="AE1360" s="11">
        <v>2041</v>
      </c>
      <c r="AF1360" s="11">
        <v>0</v>
      </c>
      <c r="AG1360" s="19">
        <f>ROUND((Z1360*'Data-CostAssumptions'!$G$5)*(1+'Data-CostAssumptions'!$G$3)^(AC1360-'Data-CostAssumptions'!$G$4),-3)</f>
        <v>244000</v>
      </c>
      <c r="AH1360" s="19">
        <f>ROUND((Z1360)*(1+'Data-CostAssumptions'!$G$3)^(AE1360-'Data-CostAssumptions'!$G$4),-3)</f>
        <v>1108000</v>
      </c>
    </row>
    <row r="1361" spans="2:34" ht="15" customHeight="1" x14ac:dyDescent="0.2">
      <c r="B1361" s="11" t="s">
        <v>1211</v>
      </c>
      <c r="D1361" s="84" t="s">
        <v>276</v>
      </c>
      <c r="E1361" s="104" t="s">
        <v>1496</v>
      </c>
      <c r="G1361" s="20">
        <v>1364</v>
      </c>
      <c r="H1361" s="13" t="s">
        <v>1589</v>
      </c>
      <c r="I1361" s="13" t="str">
        <f t="shared" si="42"/>
        <v>LAS OLAS CIR (A1A to S BIRCH RD)</v>
      </c>
      <c r="J1361" s="12" t="s">
        <v>29</v>
      </c>
      <c r="K1361" s="13" t="str">
        <f>VLOOKUP(J1361,'Data-ProjectTypes'!A$3:B$13,2,FALSE)</f>
        <v>Program</v>
      </c>
      <c r="L1361" s="12" t="s">
        <v>1667</v>
      </c>
      <c r="M1361" s="105" t="s">
        <v>205</v>
      </c>
      <c r="N1361" s="12" t="s">
        <v>1699</v>
      </c>
      <c r="Q1361" s="72">
        <v>0.4</v>
      </c>
      <c r="R1361" s="23">
        <f>ROUND(Q1361*'Data-CostAssumptions'!$C$25,-1)</f>
        <v>67360</v>
      </c>
      <c r="Z1361" s="18">
        <f>ROUND(R1361*'Data-CostAssumptions'!$C$8,-3)</f>
        <v>67000</v>
      </c>
      <c r="AA1361" s="11">
        <f t="shared" si="43"/>
        <v>0</v>
      </c>
      <c r="AB1361" s="11">
        <v>2041</v>
      </c>
      <c r="AC1361" s="11">
        <v>2041</v>
      </c>
      <c r="AD1361" s="11">
        <v>2041</v>
      </c>
      <c r="AE1361" s="11">
        <v>2041</v>
      </c>
      <c r="AF1361" s="11">
        <v>0</v>
      </c>
      <c r="AG1361" s="19">
        <f>ROUND((Z1361*'Data-CostAssumptions'!$G$5)*(1+'Data-CostAssumptions'!$G$3)^(AC1361-'Data-CostAssumptions'!$G$4),-3)</f>
        <v>38000</v>
      </c>
      <c r="AH1361" s="19">
        <f>ROUND((Z1361)*(1+'Data-CostAssumptions'!$G$3)^(AE1361-'Data-CostAssumptions'!$G$4),-3)</f>
        <v>172000</v>
      </c>
    </row>
    <row r="1362" spans="2:34" ht="15" customHeight="1" x14ac:dyDescent="0.2">
      <c r="B1362" s="11" t="s">
        <v>1211</v>
      </c>
      <c r="D1362" s="84" t="s">
        <v>276</v>
      </c>
      <c r="E1362" s="104" t="s">
        <v>1498</v>
      </c>
      <c r="G1362" s="20">
        <v>1365</v>
      </c>
      <c r="H1362" s="13" t="s">
        <v>2864</v>
      </c>
      <c r="I1362" s="13" t="str">
        <f t="shared" si="42"/>
        <v>Mayan Dr (@  Ft. Lauderdale Bch Park Entrance)</v>
      </c>
      <c r="J1362" s="12" t="s">
        <v>29</v>
      </c>
      <c r="K1362" s="13" t="str">
        <f>VLOOKUP(J1362,'Data-ProjectTypes'!A$3:B$13,2,FALSE)</f>
        <v>Program</v>
      </c>
      <c r="L1362" s="12" t="s">
        <v>1667</v>
      </c>
      <c r="M1362" s="108" t="s">
        <v>2835</v>
      </c>
      <c r="N1362" s="12" t="s">
        <v>2865</v>
      </c>
      <c r="Q1362" s="72">
        <v>0.6</v>
      </c>
      <c r="R1362" s="23">
        <f>ROUND(Q1362*'Data-CostAssumptions'!$C$25,-1)</f>
        <v>101040</v>
      </c>
      <c r="Z1362" s="18">
        <f>ROUND(R1362*'Data-CostAssumptions'!$C$8,-3)</f>
        <v>101000</v>
      </c>
      <c r="AA1362" s="11">
        <f t="shared" si="43"/>
        <v>0</v>
      </c>
      <c r="AB1362" s="11">
        <v>2041</v>
      </c>
      <c r="AC1362" s="11">
        <v>2041</v>
      </c>
      <c r="AD1362" s="11">
        <v>2041</v>
      </c>
      <c r="AE1362" s="11">
        <v>2041</v>
      </c>
      <c r="AF1362" s="11">
        <v>0</v>
      </c>
      <c r="AG1362" s="19">
        <f>ROUND((Z1362*'Data-CostAssumptions'!$G$5)*(1+'Data-CostAssumptions'!$G$3)^(AC1362-'Data-CostAssumptions'!$G$4),-3)</f>
        <v>57000</v>
      </c>
      <c r="AH1362" s="19">
        <f>ROUND((Z1362)*(1+'Data-CostAssumptions'!$G$3)^(AE1362-'Data-CostAssumptions'!$G$4),-3)</f>
        <v>259000</v>
      </c>
    </row>
    <row r="1363" spans="2:34" ht="15" customHeight="1" x14ac:dyDescent="0.2">
      <c r="B1363" s="11" t="s">
        <v>1211</v>
      </c>
      <c r="D1363" s="84" t="s">
        <v>276</v>
      </c>
      <c r="E1363" s="104">
        <v>30</v>
      </c>
      <c r="G1363" s="20">
        <v>1366</v>
      </c>
      <c r="H1363" s="13" t="s">
        <v>1854</v>
      </c>
      <c r="I1363" s="13" t="str">
        <f t="shared" si="42"/>
        <v>McNab Rd (NW 31ST Av to NE 69TH ST)</v>
      </c>
      <c r="J1363" s="12" t="s">
        <v>29</v>
      </c>
      <c r="K1363" s="13" t="str">
        <f>VLOOKUP(J1363,'Data-ProjectTypes'!A$3:B$13,2,FALSE)</f>
        <v>Program</v>
      </c>
      <c r="L1363" s="12" t="s">
        <v>1299</v>
      </c>
      <c r="M1363" s="105" t="s">
        <v>2167</v>
      </c>
      <c r="N1363" s="12" t="s">
        <v>1435</v>
      </c>
      <c r="Q1363" s="72">
        <v>2.5</v>
      </c>
      <c r="R1363" s="23">
        <v>2039400</v>
      </c>
      <c r="Z1363" s="18">
        <f>ROUND(R1363*'Data-CostAssumptions'!$C$8,-3)</f>
        <v>2039000</v>
      </c>
      <c r="AA1363" s="11">
        <f t="shared" si="43"/>
        <v>0</v>
      </c>
      <c r="AB1363" s="11">
        <v>2041</v>
      </c>
      <c r="AC1363" s="11">
        <v>2041</v>
      </c>
      <c r="AD1363" s="11">
        <v>2041</v>
      </c>
      <c r="AE1363" s="11">
        <v>2041</v>
      </c>
      <c r="AF1363" s="11">
        <v>0</v>
      </c>
      <c r="AG1363" s="19">
        <f>ROUND((Z1363*'Data-CostAssumptions'!$G$5)*(1+'Data-CostAssumptions'!$G$3)^(AC1363-'Data-CostAssumptions'!$G$4),-3)</f>
        <v>1150000</v>
      </c>
      <c r="AH1363" s="19">
        <f>ROUND((Z1363)*(1+'Data-CostAssumptions'!$G$3)^(AE1363-'Data-CostAssumptions'!$G$4),-3)</f>
        <v>5228000</v>
      </c>
    </row>
    <row r="1364" spans="2:34" ht="15" customHeight="1" x14ac:dyDescent="0.2">
      <c r="B1364" s="11" t="s">
        <v>1211</v>
      </c>
      <c r="D1364" s="84" t="s">
        <v>276</v>
      </c>
      <c r="E1364" s="104">
        <v>31</v>
      </c>
      <c r="G1364" s="20">
        <v>1367</v>
      </c>
      <c r="H1364" s="13" t="s">
        <v>2451</v>
      </c>
      <c r="I1364" s="13" t="str">
        <f t="shared" si="42"/>
        <v>Miami Rd (SE 17TH ST to SE 12TH ST)</v>
      </c>
      <c r="J1364" s="12" t="s">
        <v>29</v>
      </c>
      <c r="K1364" s="13" t="str">
        <f>VLOOKUP(J1364,'Data-ProjectTypes'!A$3:B$13,2,FALSE)</f>
        <v>Program</v>
      </c>
      <c r="L1364" s="12" t="s">
        <v>1254</v>
      </c>
      <c r="M1364" s="105" t="s">
        <v>1245</v>
      </c>
      <c r="N1364" s="12" t="s">
        <v>1436</v>
      </c>
      <c r="Q1364" s="72">
        <v>0.5</v>
      </c>
      <c r="R1364" s="23">
        <v>285000</v>
      </c>
      <c r="X1364" s="34"/>
      <c r="Z1364" s="18">
        <f>ROUND(R1364*'Data-CostAssumptions'!$C$8,-3)</f>
        <v>285000</v>
      </c>
      <c r="AA1364" s="11">
        <f t="shared" si="43"/>
        <v>0</v>
      </c>
      <c r="AB1364" s="11">
        <v>2041</v>
      </c>
      <c r="AC1364" s="11">
        <v>2041</v>
      </c>
      <c r="AD1364" s="11">
        <v>2041</v>
      </c>
      <c r="AE1364" s="11">
        <v>2041</v>
      </c>
      <c r="AF1364" s="11">
        <v>0</v>
      </c>
      <c r="AG1364" s="19">
        <f>ROUND((Z1364*'Data-CostAssumptions'!$G$5)*(1+'Data-CostAssumptions'!$G$3)^(AC1364-'Data-CostAssumptions'!$G$4),-3)</f>
        <v>161000</v>
      </c>
      <c r="AH1364" s="19">
        <f>ROUND((Z1364)*(1+'Data-CostAssumptions'!$G$3)^(AE1364-'Data-CostAssumptions'!$G$4),-3)</f>
        <v>731000</v>
      </c>
    </row>
    <row r="1365" spans="2:34" ht="15" customHeight="1" x14ac:dyDescent="0.2">
      <c r="B1365" s="11" t="s">
        <v>1211</v>
      </c>
      <c r="D1365" s="84" t="s">
        <v>276</v>
      </c>
      <c r="E1365" s="104">
        <v>32</v>
      </c>
      <c r="G1365" s="20">
        <v>1368</v>
      </c>
      <c r="H1365" s="13" t="s">
        <v>2451</v>
      </c>
      <c r="I1365" s="13" t="str">
        <f t="shared" si="42"/>
        <v>Miami Rd (SE 24TH ST/SR 84 to SE 17TH ST)</v>
      </c>
      <c r="J1365" s="12" t="s">
        <v>29</v>
      </c>
      <c r="K1365" s="13" t="str">
        <f>VLOOKUP(J1365,'Data-ProjectTypes'!A$3:B$13,2,FALSE)</f>
        <v>Program</v>
      </c>
      <c r="L1365" s="12" t="s">
        <v>1254</v>
      </c>
      <c r="M1365" s="105" t="s">
        <v>1437</v>
      </c>
      <c r="N1365" s="12" t="s">
        <v>1245</v>
      </c>
      <c r="Q1365" s="72">
        <v>0.5</v>
      </c>
      <c r="R1365" s="23">
        <v>285000</v>
      </c>
      <c r="Z1365" s="18">
        <f>ROUND(R1365*'Data-CostAssumptions'!$C$8,-3)</f>
        <v>285000</v>
      </c>
      <c r="AA1365" s="11">
        <f t="shared" si="43"/>
        <v>0</v>
      </c>
      <c r="AB1365" s="11">
        <v>2041</v>
      </c>
      <c r="AC1365" s="11">
        <v>2041</v>
      </c>
      <c r="AD1365" s="11">
        <v>2041</v>
      </c>
      <c r="AE1365" s="11">
        <v>2041</v>
      </c>
      <c r="AF1365" s="11">
        <v>0</v>
      </c>
      <c r="AG1365" s="19">
        <f>ROUND((Z1365*'Data-CostAssumptions'!$G$5)*(1+'Data-CostAssumptions'!$G$3)^(AC1365-'Data-CostAssumptions'!$G$4),-3)</f>
        <v>161000</v>
      </c>
      <c r="AH1365" s="19">
        <f>ROUND((Z1365)*(1+'Data-CostAssumptions'!$G$3)^(AE1365-'Data-CostAssumptions'!$G$4),-3)</f>
        <v>731000</v>
      </c>
    </row>
    <row r="1366" spans="2:34" ht="15" customHeight="1" x14ac:dyDescent="0.2">
      <c r="B1366" s="11" t="s">
        <v>1211</v>
      </c>
      <c r="D1366" s="84" t="s">
        <v>276</v>
      </c>
      <c r="E1366" s="104">
        <v>94</v>
      </c>
      <c r="G1366" s="20">
        <v>1369</v>
      </c>
      <c r="H1366" s="13" t="s">
        <v>2646</v>
      </c>
      <c r="I1366" s="13" t="str">
        <f t="shared" si="42"/>
        <v>Middle River Dr (OAKLAND PARK Bl/SR 816 to BAYVIEW DR)</v>
      </c>
      <c r="J1366" s="12" t="s">
        <v>29</v>
      </c>
      <c r="K1366" s="13" t="str">
        <f>VLOOKUP(J1366,'Data-ProjectTypes'!A$3:B$13,2,FALSE)</f>
        <v>Program</v>
      </c>
      <c r="L1366" s="12" t="s">
        <v>1254</v>
      </c>
      <c r="M1366" s="105" t="s">
        <v>2293</v>
      </c>
      <c r="N1366" s="12" t="s">
        <v>1224</v>
      </c>
      <c r="Q1366" s="72">
        <v>2</v>
      </c>
      <c r="R1366" s="23">
        <v>215000</v>
      </c>
      <c r="Z1366" s="18">
        <f>ROUND(R1366*'Data-CostAssumptions'!$C$8,-3)</f>
        <v>215000</v>
      </c>
      <c r="AA1366" s="11">
        <f t="shared" si="43"/>
        <v>0</v>
      </c>
      <c r="AB1366" s="11">
        <v>2041</v>
      </c>
      <c r="AC1366" s="11">
        <v>2041</v>
      </c>
      <c r="AD1366" s="11">
        <v>2041</v>
      </c>
      <c r="AE1366" s="11">
        <v>2041</v>
      </c>
      <c r="AF1366" s="11">
        <v>0</v>
      </c>
      <c r="AG1366" s="19">
        <f>ROUND((Z1366*'Data-CostAssumptions'!$G$5)*(1+'Data-CostAssumptions'!$G$3)^(AC1366-'Data-CostAssumptions'!$G$4),-3)</f>
        <v>121000</v>
      </c>
      <c r="AH1366" s="19">
        <f>ROUND((Z1366)*(1+'Data-CostAssumptions'!$G$3)^(AE1366-'Data-CostAssumptions'!$G$4),-3)</f>
        <v>551000</v>
      </c>
    </row>
    <row r="1367" spans="2:34" ht="15" customHeight="1" x14ac:dyDescent="0.2">
      <c r="B1367" s="11" t="s">
        <v>1211</v>
      </c>
      <c r="D1367" s="84" t="s">
        <v>276</v>
      </c>
      <c r="E1367" s="104" t="s">
        <v>1544</v>
      </c>
      <c r="G1367" s="20">
        <v>1370</v>
      </c>
      <c r="H1367" s="13" t="s">
        <v>1610</v>
      </c>
      <c r="I1367" s="13" t="str">
        <f t="shared" si="42"/>
        <v>MILL POND PARK  (N DIXIE HWY to MILL POND PARK )</v>
      </c>
      <c r="J1367" s="12" t="s">
        <v>29</v>
      </c>
      <c r="K1367" s="13" t="str">
        <f>VLOOKUP(J1367,'Data-ProjectTypes'!A$3:B$13,2,FALSE)</f>
        <v>Program</v>
      </c>
      <c r="L1367" s="12" t="s">
        <v>1667</v>
      </c>
      <c r="M1367" s="105" t="s">
        <v>1719</v>
      </c>
      <c r="N1367" s="12" t="s">
        <v>1610</v>
      </c>
      <c r="Q1367" s="72">
        <v>1.6</v>
      </c>
      <c r="R1367" s="23">
        <f>ROUND(Q1367*'Data-CostAssumptions'!$C$25,-1)</f>
        <v>269440</v>
      </c>
      <c r="Z1367" s="18">
        <f>ROUND(R1367*'Data-CostAssumptions'!$C$8,-3)</f>
        <v>269000</v>
      </c>
      <c r="AA1367" s="11">
        <f t="shared" si="43"/>
        <v>0</v>
      </c>
      <c r="AB1367" s="11">
        <v>2041</v>
      </c>
      <c r="AC1367" s="11">
        <v>2041</v>
      </c>
      <c r="AD1367" s="11">
        <v>2041</v>
      </c>
      <c r="AE1367" s="11">
        <v>2041</v>
      </c>
      <c r="AF1367" s="11">
        <v>0</v>
      </c>
      <c r="AG1367" s="19">
        <f>ROUND((Z1367*'Data-CostAssumptions'!$G$5)*(1+'Data-CostAssumptions'!$G$3)^(AC1367-'Data-CostAssumptions'!$G$4),-3)</f>
        <v>152000</v>
      </c>
      <c r="AH1367" s="19">
        <f>ROUND((Z1367)*(1+'Data-CostAssumptions'!$G$3)^(AE1367-'Data-CostAssumptions'!$G$4),-3)</f>
        <v>690000</v>
      </c>
    </row>
    <row r="1368" spans="2:34" ht="15" customHeight="1" x14ac:dyDescent="0.2">
      <c r="B1368" s="11" t="s">
        <v>1211</v>
      </c>
      <c r="D1368" s="84" t="s">
        <v>276</v>
      </c>
      <c r="E1368" s="104" t="s">
        <v>1551</v>
      </c>
      <c r="G1368" s="20">
        <v>1371</v>
      </c>
      <c r="H1368" s="13" t="s">
        <v>1613</v>
      </c>
      <c r="I1368" s="13" t="str">
        <f t="shared" si="42"/>
        <v>N NEW RIVER PATH  (SE 17TH Av to SW 7TH Av )</v>
      </c>
      <c r="J1368" s="12" t="s">
        <v>29</v>
      </c>
      <c r="K1368" s="13" t="str">
        <f>VLOOKUP(J1368,'Data-ProjectTypes'!A$3:B$13,2,FALSE)</f>
        <v>Program</v>
      </c>
      <c r="L1368" s="12" t="s">
        <v>1667</v>
      </c>
      <c r="M1368" s="105" t="s">
        <v>2613</v>
      </c>
      <c r="N1368" s="12" t="s">
        <v>2612</v>
      </c>
      <c r="Q1368" s="72">
        <v>1.4</v>
      </c>
      <c r="R1368" s="23">
        <f>ROUND(Q1368*'Data-CostAssumptions'!$C$25,-1)</f>
        <v>235760</v>
      </c>
      <c r="Z1368" s="18">
        <f>ROUND(R1368*'Data-CostAssumptions'!$C$8,-3)</f>
        <v>236000</v>
      </c>
      <c r="AA1368" s="11">
        <f t="shared" si="43"/>
        <v>0</v>
      </c>
      <c r="AB1368" s="11">
        <v>2041</v>
      </c>
      <c r="AC1368" s="11">
        <v>2041</v>
      </c>
      <c r="AD1368" s="11">
        <v>2041</v>
      </c>
      <c r="AE1368" s="11">
        <v>2041</v>
      </c>
      <c r="AF1368" s="11">
        <v>0</v>
      </c>
      <c r="AG1368" s="19">
        <f>ROUND((Z1368*'Data-CostAssumptions'!$G$5)*(1+'Data-CostAssumptions'!$G$3)^(AC1368-'Data-CostAssumptions'!$G$4),-3)</f>
        <v>133000</v>
      </c>
      <c r="AH1368" s="19">
        <f>ROUND((Z1368)*(1+'Data-CostAssumptions'!$G$3)^(AE1368-'Data-CostAssumptions'!$G$4),-3)</f>
        <v>605000</v>
      </c>
    </row>
    <row r="1369" spans="2:34" ht="15" customHeight="1" x14ac:dyDescent="0.2">
      <c r="B1369" s="11" t="s">
        <v>1211</v>
      </c>
      <c r="D1369" s="84" t="s">
        <v>276</v>
      </c>
      <c r="E1369" s="104" t="s">
        <v>1533</v>
      </c>
      <c r="G1369" s="20">
        <v>1372</v>
      </c>
      <c r="H1369" s="13" t="s">
        <v>1604</v>
      </c>
      <c r="I1369" s="13" t="str">
        <f t="shared" si="42"/>
        <v>NE 11TH ST  (NW 15TH Av  to N POWERLINE RD)</v>
      </c>
      <c r="J1369" s="12" t="s">
        <v>29</v>
      </c>
      <c r="K1369" s="13" t="str">
        <f>VLOOKUP(J1369,'Data-ProjectTypes'!A$3:B$13,2,FALSE)</f>
        <v>Program</v>
      </c>
      <c r="L1369" s="12" t="s">
        <v>1667</v>
      </c>
      <c r="M1369" s="105" t="s">
        <v>2161</v>
      </c>
      <c r="N1369" s="12" t="s">
        <v>1712</v>
      </c>
      <c r="Q1369" s="72">
        <v>2</v>
      </c>
      <c r="R1369" s="23">
        <f>ROUND(Q1369*'Data-CostAssumptions'!$C$25,-1)</f>
        <v>336800</v>
      </c>
      <c r="Z1369" s="18">
        <f>ROUND(R1369*'Data-CostAssumptions'!$C$8,-3)</f>
        <v>337000</v>
      </c>
      <c r="AA1369" s="11">
        <f t="shared" si="43"/>
        <v>0</v>
      </c>
      <c r="AB1369" s="11">
        <v>2041</v>
      </c>
      <c r="AC1369" s="11">
        <v>2041</v>
      </c>
      <c r="AD1369" s="11">
        <v>2041</v>
      </c>
      <c r="AE1369" s="11">
        <v>2041</v>
      </c>
      <c r="AF1369" s="11">
        <v>0</v>
      </c>
      <c r="AG1369" s="19">
        <f>ROUND((Z1369*'Data-CostAssumptions'!$G$5)*(1+'Data-CostAssumptions'!$G$3)^(AC1369-'Data-CostAssumptions'!$G$4),-3)</f>
        <v>190000</v>
      </c>
      <c r="AH1369" s="19">
        <f>ROUND((Z1369)*(1+'Data-CostAssumptions'!$G$3)^(AE1369-'Data-CostAssumptions'!$G$4),-3)</f>
        <v>864000</v>
      </c>
    </row>
    <row r="1370" spans="2:34" ht="15" customHeight="1" x14ac:dyDescent="0.2">
      <c r="B1370" s="11" t="s">
        <v>1211</v>
      </c>
      <c r="D1370" s="84" t="s">
        <v>276</v>
      </c>
      <c r="E1370" s="104" t="s">
        <v>1539</v>
      </c>
      <c r="G1370" s="20">
        <v>1373</v>
      </c>
      <c r="H1370" s="13" t="s">
        <v>1607</v>
      </c>
      <c r="I1370" s="13" t="str">
        <f t="shared" si="42"/>
        <v>NE 12TH ST  (NE 11TH ST  to NE FLAGLER DR )</v>
      </c>
      <c r="J1370" s="12" t="s">
        <v>29</v>
      </c>
      <c r="K1370" s="13" t="str">
        <f>VLOOKUP(J1370,'Data-ProjectTypes'!A$3:B$13,2,FALSE)</f>
        <v>Program</v>
      </c>
      <c r="L1370" s="12" t="s">
        <v>1667</v>
      </c>
      <c r="M1370" s="105" t="s">
        <v>1604</v>
      </c>
      <c r="N1370" s="12" t="s">
        <v>1715</v>
      </c>
      <c r="Q1370" s="72">
        <v>0.7</v>
      </c>
      <c r="R1370" s="23">
        <f>ROUND(Q1370*'Data-CostAssumptions'!$C$25,-1)</f>
        <v>117880</v>
      </c>
      <c r="Z1370" s="18">
        <f>ROUND(R1370*'Data-CostAssumptions'!$C$8,-3)</f>
        <v>118000</v>
      </c>
      <c r="AA1370" s="11">
        <f t="shared" si="43"/>
        <v>0</v>
      </c>
      <c r="AB1370" s="11">
        <v>2041</v>
      </c>
      <c r="AC1370" s="11">
        <v>2041</v>
      </c>
      <c r="AD1370" s="11">
        <v>2041</v>
      </c>
      <c r="AE1370" s="11">
        <v>2041</v>
      </c>
      <c r="AF1370" s="11">
        <v>0</v>
      </c>
      <c r="AG1370" s="19">
        <f>ROUND((Z1370*'Data-CostAssumptions'!$G$5)*(1+'Data-CostAssumptions'!$G$3)^(AC1370-'Data-CostAssumptions'!$G$4),-3)</f>
        <v>67000</v>
      </c>
      <c r="AH1370" s="19">
        <f>ROUND((Z1370)*(1+'Data-CostAssumptions'!$G$3)^(AE1370-'Data-CostAssumptions'!$G$4),-3)</f>
        <v>303000</v>
      </c>
    </row>
    <row r="1371" spans="2:34" ht="15" customHeight="1" x14ac:dyDescent="0.2">
      <c r="B1371" s="11" t="s">
        <v>1211</v>
      </c>
      <c r="D1371" s="84" t="s">
        <v>276</v>
      </c>
      <c r="E1371" s="104" t="s">
        <v>1540</v>
      </c>
      <c r="G1371" s="20">
        <v>1374</v>
      </c>
      <c r="H1371" s="13" t="s">
        <v>1608</v>
      </c>
      <c r="I1371" s="13" t="str">
        <f t="shared" si="42"/>
        <v>NE 12TH ST &amp; FLAGLER DR &amp; NE 15TH ST  (NE 18TH Av  to SUNRISE Bl)</v>
      </c>
      <c r="J1371" s="12" t="s">
        <v>29</v>
      </c>
      <c r="K1371" s="13" t="str">
        <f>VLOOKUP(J1371,'Data-ProjectTypes'!A$3:B$13,2,FALSE)</f>
        <v>Program</v>
      </c>
      <c r="L1371" s="12" t="s">
        <v>1667</v>
      </c>
      <c r="M1371" s="105" t="s">
        <v>2147</v>
      </c>
      <c r="N1371" s="12" t="s">
        <v>2002</v>
      </c>
      <c r="Q1371" s="72">
        <v>0.7</v>
      </c>
      <c r="R1371" s="23">
        <f>ROUND(Q1371*'Data-CostAssumptions'!$C$25,-1)</f>
        <v>117880</v>
      </c>
      <c r="X1371" s="34"/>
      <c r="Z1371" s="18">
        <f>ROUND(R1371*'Data-CostAssumptions'!$C$8,-3)</f>
        <v>118000</v>
      </c>
      <c r="AA1371" s="11">
        <f t="shared" si="43"/>
        <v>0</v>
      </c>
      <c r="AB1371" s="11">
        <v>2041</v>
      </c>
      <c r="AC1371" s="11">
        <v>2041</v>
      </c>
      <c r="AD1371" s="11">
        <v>2041</v>
      </c>
      <c r="AE1371" s="11">
        <v>2041</v>
      </c>
      <c r="AF1371" s="11">
        <v>0</v>
      </c>
      <c r="AG1371" s="19">
        <f>ROUND((Z1371*'Data-CostAssumptions'!$G$5)*(1+'Data-CostAssumptions'!$G$3)^(AC1371-'Data-CostAssumptions'!$G$4),-3)</f>
        <v>67000</v>
      </c>
      <c r="AH1371" s="19">
        <f>ROUND((Z1371)*(1+'Data-CostAssumptions'!$G$3)^(AE1371-'Data-CostAssumptions'!$G$4),-3)</f>
        <v>303000</v>
      </c>
    </row>
    <row r="1372" spans="2:34" ht="15" customHeight="1" x14ac:dyDescent="0.2">
      <c r="B1372" s="11" t="s">
        <v>1211</v>
      </c>
      <c r="D1372" s="84" t="s">
        <v>276</v>
      </c>
      <c r="E1372" s="104" t="s">
        <v>1548</v>
      </c>
      <c r="G1372" s="20">
        <v>1375</v>
      </c>
      <c r="H1372" s="13" t="s">
        <v>2141</v>
      </c>
      <c r="I1372" s="13" t="str">
        <f t="shared" si="42"/>
        <v>NE 13TH Av  (BRICKEL DR to E SUNRISE Bl)</v>
      </c>
      <c r="J1372" s="12" t="s">
        <v>29</v>
      </c>
      <c r="K1372" s="13" t="str">
        <f>VLOOKUP(J1372,'Data-ProjectTypes'!A$3:B$13,2,FALSE)</f>
        <v>Program</v>
      </c>
      <c r="L1372" s="12" t="s">
        <v>1667</v>
      </c>
      <c r="M1372" s="105" t="s">
        <v>1721</v>
      </c>
      <c r="N1372" s="12" t="s">
        <v>2300</v>
      </c>
      <c r="Q1372" s="72">
        <v>1</v>
      </c>
      <c r="R1372" s="23">
        <f>ROUND(Q1372*'Data-CostAssumptions'!$C$25,-1)</f>
        <v>168400</v>
      </c>
      <c r="Z1372" s="18">
        <f>ROUND(R1372*'Data-CostAssumptions'!$C$8,-3)</f>
        <v>168000</v>
      </c>
      <c r="AA1372" s="11">
        <f t="shared" si="43"/>
        <v>0</v>
      </c>
      <c r="AB1372" s="11">
        <v>2041</v>
      </c>
      <c r="AC1372" s="11">
        <v>2041</v>
      </c>
      <c r="AD1372" s="11">
        <v>2041</v>
      </c>
      <c r="AE1372" s="11">
        <v>2041</v>
      </c>
      <c r="AF1372" s="11">
        <v>0</v>
      </c>
      <c r="AG1372" s="19">
        <f>ROUND((Z1372*'Data-CostAssumptions'!$G$5)*(1+'Data-CostAssumptions'!$G$3)^(AC1372-'Data-CostAssumptions'!$G$4),-3)</f>
        <v>95000</v>
      </c>
      <c r="AH1372" s="19">
        <f>ROUND((Z1372)*(1+'Data-CostAssumptions'!$G$3)^(AE1372-'Data-CostAssumptions'!$G$4),-3)</f>
        <v>431000</v>
      </c>
    </row>
    <row r="1373" spans="2:34" ht="15" customHeight="1" x14ac:dyDescent="0.2">
      <c r="B1373" s="11" t="s">
        <v>1211</v>
      </c>
      <c r="D1373" s="84" t="s">
        <v>276</v>
      </c>
      <c r="E1373" s="104">
        <v>203</v>
      </c>
      <c r="G1373" s="20">
        <v>1376</v>
      </c>
      <c r="H1373" s="13" t="s">
        <v>2142</v>
      </c>
      <c r="I1373" s="13" t="str">
        <f t="shared" si="42"/>
        <v>NE 14TH Av (NE 15TH Av to W CYPRESS CREEK RD)</v>
      </c>
      <c r="J1373" s="12" t="s">
        <v>29</v>
      </c>
      <c r="K1373" s="13" t="str">
        <f>VLOOKUP(J1373,'Data-ProjectTypes'!A$3:B$13,2,FALSE)</f>
        <v>Program</v>
      </c>
      <c r="L1373" s="12" t="s">
        <v>1666</v>
      </c>
      <c r="M1373" s="105" t="s">
        <v>2143</v>
      </c>
      <c r="N1373" s="12" t="s">
        <v>1447</v>
      </c>
      <c r="Q1373" s="72">
        <v>1</v>
      </c>
      <c r="R1373" s="23">
        <f>ROUND(Q1373*'Data-CostAssumptions'!$C$25,-1)</f>
        <v>168400</v>
      </c>
      <c r="Z1373" s="18">
        <f>ROUND(R1373*'Data-CostAssumptions'!$C$8,-3)</f>
        <v>168000</v>
      </c>
      <c r="AA1373" s="11">
        <f t="shared" si="43"/>
        <v>0</v>
      </c>
      <c r="AB1373" s="11">
        <v>2041</v>
      </c>
      <c r="AC1373" s="11">
        <v>2041</v>
      </c>
      <c r="AD1373" s="11">
        <v>2041</v>
      </c>
      <c r="AE1373" s="11">
        <v>2041</v>
      </c>
      <c r="AF1373" s="11">
        <v>0</v>
      </c>
      <c r="AG1373" s="19">
        <f>ROUND((Z1373*'Data-CostAssumptions'!$G$5)*(1+'Data-CostAssumptions'!$G$3)^(AC1373-'Data-CostAssumptions'!$G$4),-3)</f>
        <v>95000</v>
      </c>
      <c r="AH1373" s="19">
        <f>ROUND((Z1373)*(1+'Data-CostAssumptions'!$G$3)^(AE1373-'Data-CostAssumptions'!$G$4),-3)</f>
        <v>431000</v>
      </c>
    </row>
    <row r="1374" spans="2:34" ht="15" customHeight="1" x14ac:dyDescent="0.2">
      <c r="B1374" s="11" t="s">
        <v>1211</v>
      </c>
      <c r="D1374" s="84" t="s">
        <v>276</v>
      </c>
      <c r="E1374" s="104">
        <v>34</v>
      </c>
      <c r="G1374" s="20">
        <v>1377</v>
      </c>
      <c r="H1374" s="13" t="s">
        <v>2143</v>
      </c>
      <c r="I1374" s="13" t="str">
        <f t="shared" si="42"/>
        <v>NE 15TH Av (LAS OLAS Bl to SUNRISE Bl)</v>
      </c>
      <c r="J1374" s="12" t="s">
        <v>29</v>
      </c>
      <c r="K1374" s="13" t="str">
        <f>VLOOKUP(J1374,'Data-ProjectTypes'!A$3:B$13,2,FALSE)</f>
        <v>Program</v>
      </c>
      <c r="L1374" s="12" t="s">
        <v>1312</v>
      </c>
      <c r="M1374" s="105" t="s">
        <v>1997</v>
      </c>
      <c r="N1374" s="12" t="s">
        <v>2002</v>
      </c>
      <c r="Q1374" s="72">
        <v>1.3</v>
      </c>
      <c r="R1374" s="23">
        <v>618000</v>
      </c>
      <c r="Z1374" s="18">
        <f>ROUND(R1374*'Data-CostAssumptions'!$C$8,-3)</f>
        <v>618000</v>
      </c>
      <c r="AA1374" s="11">
        <f t="shared" si="43"/>
        <v>0</v>
      </c>
      <c r="AB1374" s="11">
        <v>2041</v>
      </c>
      <c r="AC1374" s="11">
        <v>2041</v>
      </c>
      <c r="AD1374" s="11">
        <v>2041</v>
      </c>
      <c r="AE1374" s="11">
        <v>2041</v>
      </c>
      <c r="AF1374" s="11">
        <v>0</v>
      </c>
      <c r="AG1374" s="19">
        <f>ROUND((Z1374*'Data-CostAssumptions'!$G$5)*(1+'Data-CostAssumptions'!$G$3)^(AC1374-'Data-CostAssumptions'!$G$4),-3)</f>
        <v>349000</v>
      </c>
      <c r="AH1374" s="19">
        <f>ROUND((Z1374)*(1+'Data-CostAssumptions'!$G$3)^(AE1374-'Data-CostAssumptions'!$G$4),-3)</f>
        <v>1585000</v>
      </c>
    </row>
    <row r="1375" spans="2:34" ht="15" customHeight="1" x14ac:dyDescent="0.2">
      <c r="B1375" s="11" t="s">
        <v>1211</v>
      </c>
      <c r="D1375" s="84" t="s">
        <v>276</v>
      </c>
      <c r="E1375" s="104">
        <v>35</v>
      </c>
      <c r="G1375" s="20">
        <v>1378</v>
      </c>
      <c r="H1375" s="13" t="s">
        <v>2143</v>
      </c>
      <c r="I1375" s="13" t="str">
        <f t="shared" si="42"/>
        <v>NE 15TH Av (SUNRISE Bl to NE 19TH ST)</v>
      </c>
      <c r="J1375" s="12" t="s">
        <v>29</v>
      </c>
      <c r="K1375" s="13" t="str">
        <f>VLOOKUP(J1375,'Data-ProjectTypes'!A$3:B$13,2,FALSE)</f>
        <v>Program</v>
      </c>
      <c r="L1375" s="12" t="s">
        <v>1314</v>
      </c>
      <c r="M1375" s="105" t="s">
        <v>2002</v>
      </c>
      <c r="N1375" s="12" t="s">
        <v>1439</v>
      </c>
      <c r="Q1375" s="72">
        <v>1</v>
      </c>
      <c r="R1375" s="23">
        <v>230850</v>
      </c>
      <c r="Z1375" s="18">
        <f>ROUND(R1375*'Data-CostAssumptions'!$C$8,-3)</f>
        <v>231000</v>
      </c>
      <c r="AA1375" s="11">
        <f t="shared" si="43"/>
        <v>0</v>
      </c>
      <c r="AB1375" s="11">
        <v>2041</v>
      </c>
      <c r="AC1375" s="11">
        <v>2041</v>
      </c>
      <c r="AD1375" s="11">
        <v>2041</v>
      </c>
      <c r="AE1375" s="11">
        <v>2041</v>
      </c>
      <c r="AF1375" s="11">
        <v>0</v>
      </c>
      <c r="AG1375" s="19">
        <f>ROUND((Z1375*'Data-CostAssumptions'!$G$5)*(1+'Data-CostAssumptions'!$G$3)^(AC1375-'Data-CostAssumptions'!$G$4),-3)</f>
        <v>130000</v>
      </c>
      <c r="AH1375" s="19">
        <f>ROUND((Z1375)*(1+'Data-CostAssumptions'!$G$3)^(AE1375-'Data-CostAssumptions'!$G$4),-3)</f>
        <v>592000</v>
      </c>
    </row>
    <row r="1376" spans="2:34" ht="15" customHeight="1" x14ac:dyDescent="0.2">
      <c r="B1376" s="11" t="s">
        <v>1211</v>
      </c>
      <c r="D1376" s="84" t="s">
        <v>276</v>
      </c>
      <c r="E1376" s="104" t="s">
        <v>1473</v>
      </c>
      <c r="G1376" s="20">
        <v>1379</v>
      </c>
      <c r="H1376" s="13" t="s">
        <v>2144</v>
      </c>
      <c r="I1376" s="13" t="str">
        <f t="shared" si="42"/>
        <v>NE 16TH Av  (COMMERCIAL Bl to W CYPRESS CREEK RD)</v>
      </c>
      <c r="J1376" s="12" t="s">
        <v>29</v>
      </c>
      <c r="K1376" s="13" t="str">
        <f>VLOOKUP(J1376,'Data-ProjectTypes'!A$3:B$13,2,FALSE)</f>
        <v>Program</v>
      </c>
      <c r="L1376" s="12" t="s">
        <v>1667</v>
      </c>
      <c r="M1376" s="105" t="s">
        <v>1990</v>
      </c>
      <c r="N1376" s="12" t="s">
        <v>1447</v>
      </c>
      <c r="Q1376" s="72">
        <v>1</v>
      </c>
      <c r="R1376" s="23">
        <f>ROUND(Q1376*'Data-CostAssumptions'!$C$25,-1)</f>
        <v>168400</v>
      </c>
      <c r="Z1376" s="18">
        <f>ROUND(R1376*'Data-CostAssumptions'!$C$8,-3)</f>
        <v>168000</v>
      </c>
      <c r="AA1376" s="11">
        <f t="shared" si="43"/>
        <v>0</v>
      </c>
      <c r="AB1376" s="11">
        <v>2041</v>
      </c>
      <c r="AC1376" s="11">
        <v>2041</v>
      </c>
      <c r="AD1376" s="11">
        <v>2041</v>
      </c>
      <c r="AE1376" s="11">
        <v>2041</v>
      </c>
      <c r="AF1376" s="11">
        <v>0</v>
      </c>
      <c r="AG1376" s="19">
        <f>ROUND((Z1376*'Data-CostAssumptions'!$G$5)*(1+'Data-CostAssumptions'!$G$3)^(AC1376-'Data-CostAssumptions'!$G$4),-3)</f>
        <v>95000</v>
      </c>
      <c r="AH1376" s="19">
        <f>ROUND((Z1376)*(1+'Data-CostAssumptions'!$G$3)^(AE1376-'Data-CostAssumptions'!$G$4),-3)</f>
        <v>431000</v>
      </c>
    </row>
    <row r="1377" spans="2:34" ht="15" customHeight="1" x14ac:dyDescent="0.2">
      <c r="B1377" s="11" t="s">
        <v>1211</v>
      </c>
      <c r="D1377" s="84" t="s">
        <v>276</v>
      </c>
      <c r="E1377" s="104" t="s">
        <v>1547</v>
      </c>
      <c r="G1377" s="20">
        <v>1380</v>
      </c>
      <c r="H1377" s="13" t="s">
        <v>2144</v>
      </c>
      <c r="I1377" s="13" t="str">
        <f t="shared" si="42"/>
        <v>NE 16TH Av  (NW 6TH ST  to NE 9TH ST )</v>
      </c>
      <c r="J1377" s="12" t="s">
        <v>29</v>
      </c>
      <c r="K1377" s="13" t="str">
        <f>VLOOKUP(J1377,'Data-ProjectTypes'!A$3:B$13,2,FALSE)</f>
        <v>Program</v>
      </c>
      <c r="L1377" s="12" t="s">
        <v>1667</v>
      </c>
      <c r="M1377" s="105" t="s">
        <v>1679</v>
      </c>
      <c r="N1377" s="12" t="s">
        <v>1720</v>
      </c>
      <c r="Q1377" s="72">
        <v>1.2</v>
      </c>
      <c r="R1377" s="23">
        <f>ROUND(Q1377*'Data-CostAssumptions'!$C$25,-1)</f>
        <v>202080</v>
      </c>
      <c r="Z1377" s="18">
        <f>ROUND(R1377*'Data-CostAssumptions'!$C$8,-3)</f>
        <v>202000</v>
      </c>
      <c r="AA1377" s="11">
        <f t="shared" si="43"/>
        <v>0</v>
      </c>
      <c r="AB1377" s="11">
        <v>2041</v>
      </c>
      <c r="AC1377" s="11">
        <v>2041</v>
      </c>
      <c r="AD1377" s="11">
        <v>2041</v>
      </c>
      <c r="AE1377" s="11">
        <v>2041</v>
      </c>
      <c r="AF1377" s="11">
        <v>0</v>
      </c>
      <c r="AG1377" s="19">
        <f>ROUND((Z1377*'Data-CostAssumptions'!$G$5)*(1+'Data-CostAssumptions'!$G$3)^(AC1377-'Data-CostAssumptions'!$G$4),-3)</f>
        <v>114000</v>
      </c>
      <c r="AH1377" s="19">
        <f>ROUND((Z1377)*(1+'Data-CostAssumptions'!$G$3)^(AE1377-'Data-CostAssumptions'!$G$4),-3)</f>
        <v>518000</v>
      </c>
    </row>
    <row r="1378" spans="2:34" ht="15" customHeight="1" x14ac:dyDescent="0.2">
      <c r="B1378" s="11" t="s">
        <v>1211</v>
      </c>
      <c r="D1378" s="84" t="s">
        <v>276</v>
      </c>
      <c r="E1378" s="104" t="s">
        <v>1543</v>
      </c>
      <c r="G1378" s="20">
        <v>1381</v>
      </c>
      <c r="H1378" s="13" t="s">
        <v>2145</v>
      </c>
      <c r="I1378" s="13" t="str">
        <f t="shared" si="42"/>
        <v>NE 16TH CT &amp; NE 9TH Av &amp; NE 17TH ST  (NE 13TH ST  to NE 16TH ST )</v>
      </c>
      <c r="J1378" s="12" t="s">
        <v>29</v>
      </c>
      <c r="K1378" s="13" t="str">
        <f>VLOOKUP(J1378,'Data-ProjectTypes'!A$3:B$13,2,FALSE)</f>
        <v>Program</v>
      </c>
      <c r="L1378" s="12" t="s">
        <v>1667</v>
      </c>
      <c r="M1378" s="105" t="s">
        <v>1716</v>
      </c>
      <c r="N1378" s="12" t="s">
        <v>1718</v>
      </c>
      <c r="Q1378" s="72">
        <v>0.6</v>
      </c>
      <c r="R1378" s="23">
        <f>ROUND(Q1378*'Data-CostAssumptions'!$C$25,-1)</f>
        <v>101040</v>
      </c>
      <c r="Z1378" s="18">
        <f>ROUND(R1378*'Data-CostAssumptions'!$C$8,-3)</f>
        <v>101000</v>
      </c>
      <c r="AA1378" s="11">
        <f t="shared" si="43"/>
        <v>0</v>
      </c>
      <c r="AB1378" s="11">
        <v>2041</v>
      </c>
      <c r="AC1378" s="11">
        <v>2041</v>
      </c>
      <c r="AD1378" s="11">
        <v>2041</v>
      </c>
      <c r="AE1378" s="11">
        <v>2041</v>
      </c>
      <c r="AF1378" s="11">
        <v>0</v>
      </c>
      <c r="AG1378" s="19">
        <f>ROUND((Z1378*'Data-CostAssumptions'!$G$5)*(1+'Data-CostAssumptions'!$G$3)^(AC1378-'Data-CostAssumptions'!$G$4),-3)</f>
        <v>57000</v>
      </c>
      <c r="AH1378" s="19">
        <f>ROUND((Z1378)*(1+'Data-CostAssumptions'!$G$3)^(AE1378-'Data-CostAssumptions'!$G$4),-3)</f>
        <v>259000</v>
      </c>
    </row>
    <row r="1379" spans="2:34" ht="15" customHeight="1" x14ac:dyDescent="0.2">
      <c r="B1379" s="11" t="s">
        <v>1211</v>
      </c>
      <c r="D1379" s="84" t="s">
        <v>276</v>
      </c>
      <c r="E1379" s="104" t="s">
        <v>1541</v>
      </c>
      <c r="G1379" s="20">
        <v>1382</v>
      </c>
      <c r="H1379" s="13" t="s">
        <v>1609</v>
      </c>
      <c r="I1379" s="13" t="str">
        <f t="shared" si="42"/>
        <v>NE 17TH CT  (NE 15TH Av to N DIXIE HWY )</v>
      </c>
      <c r="J1379" s="12" t="s">
        <v>29</v>
      </c>
      <c r="K1379" s="13" t="str">
        <f>VLOOKUP(J1379,'Data-ProjectTypes'!A$3:B$13,2,FALSE)</f>
        <v>Program</v>
      </c>
      <c r="L1379" s="12" t="s">
        <v>1667</v>
      </c>
      <c r="M1379" s="105" t="s">
        <v>2143</v>
      </c>
      <c r="N1379" s="12" t="s">
        <v>1717</v>
      </c>
      <c r="Q1379" s="72">
        <v>0.2</v>
      </c>
      <c r="R1379" s="23">
        <f>ROUND(Q1379*'Data-CostAssumptions'!$C$25,-1)</f>
        <v>33680</v>
      </c>
      <c r="Z1379" s="18">
        <f>ROUND(R1379*'Data-CostAssumptions'!$C$8,-3)</f>
        <v>34000</v>
      </c>
      <c r="AA1379" s="11">
        <f t="shared" si="43"/>
        <v>0</v>
      </c>
      <c r="AB1379" s="11">
        <v>2041</v>
      </c>
      <c r="AC1379" s="11">
        <v>2041</v>
      </c>
      <c r="AD1379" s="11">
        <v>2041</v>
      </c>
      <c r="AE1379" s="11">
        <v>2041</v>
      </c>
      <c r="AF1379" s="11">
        <v>0</v>
      </c>
      <c r="AG1379" s="19">
        <f>ROUND((Z1379*'Data-CostAssumptions'!$G$5)*(1+'Data-CostAssumptions'!$G$3)^(AC1379-'Data-CostAssumptions'!$G$4),-3)</f>
        <v>19000</v>
      </c>
      <c r="AH1379" s="19">
        <f>ROUND((Z1379)*(1+'Data-CostAssumptions'!$G$3)^(AE1379-'Data-CostAssumptions'!$G$4),-3)</f>
        <v>87000</v>
      </c>
    </row>
    <row r="1380" spans="2:34" ht="15" customHeight="1" x14ac:dyDescent="0.2">
      <c r="B1380" s="11" t="s">
        <v>1211</v>
      </c>
      <c r="D1380" s="84" t="s">
        <v>276</v>
      </c>
      <c r="E1380" s="104">
        <v>36</v>
      </c>
      <c r="G1380" s="20">
        <v>1383</v>
      </c>
      <c r="H1380" s="13" t="s">
        <v>2146</v>
      </c>
      <c r="I1380" s="13" t="str">
        <f t="shared" si="42"/>
        <v>NE 18TH Av (COMMERCIAL Bl to MCNAB Rd)</v>
      </c>
      <c r="J1380" s="12" t="s">
        <v>29</v>
      </c>
      <c r="K1380" s="13" t="str">
        <f>VLOOKUP(J1380,'Data-ProjectTypes'!A$3:B$13,2,FALSE)</f>
        <v>Program</v>
      </c>
      <c r="L1380" s="12" t="s">
        <v>1267</v>
      </c>
      <c r="M1380" s="105" t="s">
        <v>1990</v>
      </c>
      <c r="N1380" s="12" t="s">
        <v>2400</v>
      </c>
      <c r="Q1380" s="72">
        <v>1.3</v>
      </c>
      <c r="R1380" s="23">
        <v>1215000</v>
      </c>
      <c r="Z1380" s="18">
        <f>ROUND(R1380*'Data-CostAssumptions'!$C$8,-3)</f>
        <v>1215000</v>
      </c>
      <c r="AA1380" s="11">
        <f t="shared" si="43"/>
        <v>0</v>
      </c>
      <c r="AB1380" s="11">
        <v>2041</v>
      </c>
      <c r="AC1380" s="11">
        <v>2041</v>
      </c>
      <c r="AD1380" s="11">
        <v>2041</v>
      </c>
      <c r="AE1380" s="11">
        <v>2041</v>
      </c>
      <c r="AF1380" s="11">
        <v>0</v>
      </c>
      <c r="AG1380" s="19">
        <f>ROUND((Z1380*'Data-CostAssumptions'!$G$5)*(1+'Data-CostAssumptions'!$G$3)^(AC1380-'Data-CostAssumptions'!$G$4),-3)</f>
        <v>685000</v>
      </c>
      <c r="AH1380" s="19">
        <f>ROUND((Z1380)*(1+'Data-CostAssumptions'!$G$3)^(AE1380-'Data-CostAssumptions'!$G$4),-3)</f>
        <v>3115000</v>
      </c>
    </row>
    <row r="1381" spans="2:34" ht="15" customHeight="1" x14ac:dyDescent="0.2">
      <c r="B1381" s="11" t="s">
        <v>1211</v>
      </c>
      <c r="D1381" s="84" t="s">
        <v>276</v>
      </c>
      <c r="E1381" s="104" t="s">
        <v>1542</v>
      </c>
      <c r="G1381" s="20">
        <v>1384</v>
      </c>
      <c r="H1381" s="13" t="s">
        <v>2146</v>
      </c>
      <c r="I1381" s="13" t="str">
        <f t="shared" si="42"/>
        <v>NE 18TH Av (NE 15TH Av to NE 13TH ST )</v>
      </c>
      <c r="J1381" s="12" t="s">
        <v>29</v>
      </c>
      <c r="K1381" s="13" t="str">
        <f>VLOOKUP(J1381,'Data-ProjectTypes'!A$3:B$13,2,FALSE)</f>
        <v>Program</v>
      </c>
      <c r="L1381" s="12" t="s">
        <v>1667</v>
      </c>
      <c r="M1381" s="105" t="s">
        <v>2143</v>
      </c>
      <c r="N1381" s="12" t="s">
        <v>1716</v>
      </c>
      <c r="Q1381" s="72">
        <v>0.5</v>
      </c>
      <c r="R1381" s="23">
        <f>ROUND(Q1381*'Data-CostAssumptions'!$C$25,-1)</f>
        <v>84200</v>
      </c>
      <c r="Z1381" s="18">
        <f>ROUND(R1381*'Data-CostAssumptions'!$C$8,-3)</f>
        <v>84000</v>
      </c>
      <c r="AA1381" s="11">
        <f t="shared" si="43"/>
        <v>0</v>
      </c>
      <c r="AB1381" s="11">
        <v>2041</v>
      </c>
      <c r="AC1381" s="11">
        <v>2041</v>
      </c>
      <c r="AD1381" s="11">
        <v>2041</v>
      </c>
      <c r="AE1381" s="11">
        <v>2041</v>
      </c>
      <c r="AF1381" s="11">
        <v>0</v>
      </c>
      <c r="AG1381" s="19">
        <f>ROUND((Z1381*'Data-CostAssumptions'!$G$5)*(1+'Data-CostAssumptions'!$G$3)^(AC1381-'Data-CostAssumptions'!$G$4),-3)</f>
        <v>47000</v>
      </c>
      <c r="AH1381" s="19">
        <f>ROUND((Z1381)*(1+'Data-CostAssumptions'!$G$3)^(AE1381-'Data-CostAssumptions'!$G$4),-3)</f>
        <v>215000</v>
      </c>
    </row>
    <row r="1382" spans="2:34" ht="15" customHeight="1" x14ac:dyDescent="0.2">
      <c r="B1382" s="11" t="s">
        <v>1211</v>
      </c>
      <c r="D1382" s="84" t="s">
        <v>276</v>
      </c>
      <c r="E1382" s="104" t="s">
        <v>1474</v>
      </c>
      <c r="G1382" s="20">
        <v>1385</v>
      </c>
      <c r="H1382" s="13" t="s">
        <v>2147</v>
      </c>
      <c r="I1382" s="13" t="str">
        <f t="shared" si="42"/>
        <v>NE 18TH Av  (NE 45TH ST to COMMERCIAL Bl )</v>
      </c>
      <c r="J1382" s="12" t="s">
        <v>29</v>
      </c>
      <c r="K1382" s="13" t="str">
        <f>VLOOKUP(J1382,'Data-ProjectTypes'!A$3:B$13,2,FALSE)</f>
        <v>Program</v>
      </c>
      <c r="L1382" s="12" t="s">
        <v>1667</v>
      </c>
      <c r="M1382" s="105" t="s">
        <v>1687</v>
      </c>
      <c r="N1382" s="12" t="s">
        <v>2301</v>
      </c>
      <c r="Q1382" s="72">
        <v>0.4</v>
      </c>
      <c r="R1382" s="23">
        <f>ROUND(Q1382*'Data-CostAssumptions'!$C$25,-1)</f>
        <v>67360</v>
      </c>
      <c r="X1382" s="34"/>
      <c r="Z1382" s="18">
        <f>ROUND(R1382*'Data-CostAssumptions'!$C$8,-3)</f>
        <v>67000</v>
      </c>
      <c r="AA1382" s="11">
        <f t="shared" si="43"/>
        <v>0</v>
      </c>
      <c r="AB1382" s="11">
        <v>2041</v>
      </c>
      <c r="AC1382" s="11">
        <v>2041</v>
      </c>
      <c r="AD1382" s="11">
        <v>2041</v>
      </c>
      <c r="AE1382" s="11">
        <v>2041</v>
      </c>
      <c r="AF1382" s="11">
        <v>0</v>
      </c>
      <c r="AG1382" s="19">
        <f>ROUND((Z1382*'Data-CostAssumptions'!$G$5)*(1+'Data-CostAssumptions'!$G$3)^(AC1382-'Data-CostAssumptions'!$G$4),-3)</f>
        <v>38000</v>
      </c>
      <c r="AH1382" s="19">
        <f>ROUND((Z1382)*(1+'Data-CostAssumptions'!$G$3)^(AE1382-'Data-CostAssumptions'!$G$4),-3)</f>
        <v>172000</v>
      </c>
    </row>
    <row r="1383" spans="2:34" ht="15" customHeight="1" x14ac:dyDescent="0.2">
      <c r="B1383" s="11" t="s">
        <v>1211</v>
      </c>
      <c r="D1383" s="84" t="s">
        <v>276</v>
      </c>
      <c r="E1383" s="104" t="s">
        <v>1476</v>
      </c>
      <c r="G1383" s="20">
        <v>1386</v>
      </c>
      <c r="H1383" s="13" t="s">
        <v>2148</v>
      </c>
      <c r="I1383" s="13" t="str">
        <f t="shared" si="42"/>
        <v>NE 22ND Av &amp; NE 32ND ST  (OAKLAND PARK Bl/SR 816 to US 1)</v>
      </c>
      <c r="J1383" s="12" t="s">
        <v>29</v>
      </c>
      <c r="K1383" s="13" t="str">
        <f>VLOOKUP(J1383,'Data-ProjectTypes'!A$3:B$13,2,FALSE)</f>
        <v>Program</v>
      </c>
      <c r="L1383" s="12" t="s">
        <v>1667</v>
      </c>
      <c r="M1383" s="105" t="s">
        <v>2293</v>
      </c>
      <c r="N1383" s="12" t="s">
        <v>98</v>
      </c>
      <c r="Q1383" s="72">
        <v>1.3</v>
      </c>
      <c r="R1383" s="23">
        <f>ROUND(Q1383*'Data-CostAssumptions'!$C$25,-1)</f>
        <v>218920</v>
      </c>
      <c r="Z1383" s="18">
        <f>ROUND(R1383*'Data-CostAssumptions'!$C$8,-3)</f>
        <v>219000</v>
      </c>
      <c r="AA1383" s="11">
        <f t="shared" si="43"/>
        <v>0</v>
      </c>
      <c r="AB1383" s="11">
        <v>2041</v>
      </c>
      <c r="AC1383" s="11">
        <v>2041</v>
      </c>
      <c r="AD1383" s="11">
        <v>2041</v>
      </c>
      <c r="AE1383" s="11">
        <v>2041</v>
      </c>
      <c r="AF1383" s="11">
        <v>0</v>
      </c>
      <c r="AG1383" s="19">
        <f>ROUND((Z1383*'Data-CostAssumptions'!$G$5)*(1+'Data-CostAssumptions'!$G$3)^(AC1383-'Data-CostAssumptions'!$G$4),-3)</f>
        <v>124000</v>
      </c>
      <c r="AH1383" s="19">
        <f>ROUND((Z1383)*(1+'Data-CostAssumptions'!$G$3)^(AE1383-'Data-CostAssumptions'!$G$4),-3)</f>
        <v>562000</v>
      </c>
    </row>
    <row r="1384" spans="2:34" ht="15" customHeight="1" x14ac:dyDescent="0.2">
      <c r="B1384" s="11" t="s">
        <v>1211</v>
      </c>
      <c r="D1384" s="84" t="s">
        <v>276</v>
      </c>
      <c r="E1384" s="104" t="s">
        <v>1475</v>
      </c>
      <c r="G1384" s="20">
        <v>1387</v>
      </c>
      <c r="H1384" s="13" t="s">
        <v>2149</v>
      </c>
      <c r="I1384" s="13" t="str">
        <f t="shared" si="42"/>
        <v>NE 26TH Av  (COMMERCIAL Bl to NE 56TH ST )</v>
      </c>
      <c r="J1384" s="12" t="s">
        <v>29</v>
      </c>
      <c r="K1384" s="13" t="str">
        <f>VLOOKUP(J1384,'Data-ProjectTypes'!A$3:B$13,2,FALSE)</f>
        <v>Program</v>
      </c>
      <c r="L1384" s="12" t="s">
        <v>1667</v>
      </c>
      <c r="M1384" s="105" t="s">
        <v>1990</v>
      </c>
      <c r="N1384" s="12" t="s">
        <v>1688</v>
      </c>
      <c r="Q1384" s="72">
        <v>0.5</v>
      </c>
      <c r="R1384" s="23">
        <f>ROUND(Q1384*'Data-CostAssumptions'!$C$25,-1)</f>
        <v>84200</v>
      </c>
      <c r="Z1384" s="18">
        <f>ROUND(R1384*'Data-CostAssumptions'!$C$8,-3)</f>
        <v>84000</v>
      </c>
      <c r="AA1384" s="11">
        <f t="shared" si="43"/>
        <v>0</v>
      </c>
      <c r="AB1384" s="11">
        <v>2041</v>
      </c>
      <c r="AC1384" s="11">
        <v>2041</v>
      </c>
      <c r="AD1384" s="11">
        <v>2041</v>
      </c>
      <c r="AE1384" s="11">
        <v>2041</v>
      </c>
      <c r="AF1384" s="11">
        <v>0</v>
      </c>
      <c r="AG1384" s="19">
        <f>ROUND((Z1384*'Data-CostAssumptions'!$G$5)*(1+'Data-CostAssumptions'!$G$3)^(AC1384-'Data-CostAssumptions'!$G$4),-3)</f>
        <v>47000</v>
      </c>
      <c r="AH1384" s="19">
        <f>ROUND((Z1384)*(1+'Data-CostAssumptions'!$G$3)^(AE1384-'Data-CostAssumptions'!$G$4),-3)</f>
        <v>215000</v>
      </c>
    </row>
    <row r="1385" spans="2:34" ht="15" customHeight="1" x14ac:dyDescent="0.2">
      <c r="B1385" s="11" t="s">
        <v>1211</v>
      </c>
      <c r="D1385" s="84" t="s">
        <v>276</v>
      </c>
      <c r="E1385" s="104">
        <v>41</v>
      </c>
      <c r="G1385" s="20">
        <v>1388</v>
      </c>
      <c r="H1385" s="13" t="s">
        <v>1231</v>
      </c>
      <c r="I1385" s="13" t="str">
        <f t="shared" si="42"/>
        <v>NE 26TH ST (US 1/SR 5/FEDERAL HWY to BAYVIEW DR)</v>
      </c>
      <c r="J1385" s="12" t="s">
        <v>29</v>
      </c>
      <c r="K1385" s="13" t="str">
        <f>VLOOKUP(J1385,'Data-ProjectTypes'!A$3:B$13,2,FALSE)</f>
        <v>Program</v>
      </c>
      <c r="L1385" s="12" t="s">
        <v>1317</v>
      </c>
      <c r="M1385" s="105" t="s">
        <v>1425</v>
      </c>
      <c r="N1385" s="12" t="s">
        <v>1224</v>
      </c>
      <c r="Q1385" s="72">
        <v>0.5</v>
      </c>
      <c r="R1385" s="23">
        <v>76000</v>
      </c>
      <c r="Z1385" s="18">
        <f>ROUND(R1385*'Data-CostAssumptions'!$C$8,-3)</f>
        <v>76000</v>
      </c>
      <c r="AA1385" s="11">
        <f t="shared" si="43"/>
        <v>0</v>
      </c>
      <c r="AB1385" s="11">
        <v>2041</v>
      </c>
      <c r="AC1385" s="11">
        <v>2041</v>
      </c>
      <c r="AD1385" s="11">
        <v>2041</v>
      </c>
      <c r="AE1385" s="11">
        <v>2041</v>
      </c>
      <c r="AF1385" s="11">
        <v>0</v>
      </c>
      <c r="AG1385" s="19">
        <f>ROUND((Z1385*'Data-CostAssumptions'!$G$5)*(1+'Data-CostAssumptions'!$G$3)^(AC1385-'Data-CostAssumptions'!$G$4),-3)</f>
        <v>43000</v>
      </c>
      <c r="AH1385" s="19">
        <f>ROUND((Z1385)*(1+'Data-CostAssumptions'!$G$3)^(AE1385-'Data-CostAssumptions'!$G$4),-3)</f>
        <v>195000</v>
      </c>
    </row>
    <row r="1386" spans="2:34" ht="15" customHeight="1" x14ac:dyDescent="0.2">
      <c r="B1386" s="11" t="s">
        <v>1211</v>
      </c>
      <c r="D1386" s="84" t="s">
        <v>276</v>
      </c>
      <c r="E1386" s="104">
        <v>40</v>
      </c>
      <c r="G1386" s="20">
        <v>1389</v>
      </c>
      <c r="H1386" s="13" t="s">
        <v>1228</v>
      </c>
      <c r="I1386" s="13" t="str">
        <f t="shared" si="42"/>
        <v>NE 2ND ST (US 1/SR 5/FEDERAL HW to NE 16TH Av)</v>
      </c>
      <c r="J1386" s="12" t="s">
        <v>29</v>
      </c>
      <c r="K1386" s="13" t="str">
        <f>VLOOKUP(J1386,'Data-ProjectTypes'!A$3:B$13,2,FALSE)</f>
        <v>Program</v>
      </c>
      <c r="L1386" s="12" t="s">
        <v>1302</v>
      </c>
      <c r="M1386" s="105" t="s">
        <v>1438</v>
      </c>
      <c r="N1386" s="12" t="s">
        <v>2614</v>
      </c>
      <c r="Q1386" s="72">
        <v>0.6</v>
      </c>
      <c r="R1386" s="23">
        <v>401000</v>
      </c>
      <c r="Z1386" s="18">
        <f>ROUND(R1386*'Data-CostAssumptions'!$C$8,-3)</f>
        <v>401000</v>
      </c>
      <c r="AA1386" s="11">
        <f t="shared" si="43"/>
        <v>0</v>
      </c>
      <c r="AB1386" s="11">
        <v>2041</v>
      </c>
      <c r="AC1386" s="11">
        <v>2041</v>
      </c>
      <c r="AD1386" s="11">
        <v>2041</v>
      </c>
      <c r="AE1386" s="11">
        <v>2041</v>
      </c>
      <c r="AF1386" s="11">
        <v>0</v>
      </c>
      <c r="AG1386" s="19">
        <f>ROUND((Z1386*'Data-CostAssumptions'!$G$5)*(1+'Data-CostAssumptions'!$G$3)^(AC1386-'Data-CostAssumptions'!$G$4),-3)</f>
        <v>226000</v>
      </c>
      <c r="AH1386" s="19">
        <f>ROUND((Z1386)*(1+'Data-CostAssumptions'!$G$3)^(AE1386-'Data-CostAssumptions'!$G$4),-3)</f>
        <v>1028000</v>
      </c>
    </row>
    <row r="1387" spans="2:34" ht="15" customHeight="1" x14ac:dyDescent="0.2">
      <c r="B1387" s="11" t="s">
        <v>1211</v>
      </c>
      <c r="D1387" s="84" t="s">
        <v>276</v>
      </c>
      <c r="E1387" s="104" t="s">
        <v>1478</v>
      </c>
      <c r="G1387" s="20">
        <v>1390</v>
      </c>
      <c r="H1387" s="13" t="s">
        <v>2150</v>
      </c>
      <c r="I1387" s="13" t="str">
        <f t="shared" si="42"/>
        <v>NE 32ND ST &amp; NE23 Av &amp; NE 33RD Av + ACCESS RDS (OAKLAND PARK Bl/SR 816 to A1A)</v>
      </c>
      <c r="J1387" s="12" t="s">
        <v>29</v>
      </c>
      <c r="K1387" s="13" t="str">
        <f>VLOOKUP(J1387,'Data-ProjectTypes'!A$3:B$13,2,FALSE)</f>
        <v>Program</v>
      </c>
      <c r="L1387" s="12" t="s">
        <v>1667</v>
      </c>
      <c r="M1387" s="105" t="s">
        <v>2293</v>
      </c>
      <c r="N1387" s="12" t="s">
        <v>205</v>
      </c>
      <c r="Q1387" s="72">
        <v>0.4</v>
      </c>
      <c r="R1387" s="23">
        <f>ROUND(Q1387*'Data-CostAssumptions'!$C$25,-1)</f>
        <v>67360</v>
      </c>
      <c r="Z1387" s="18">
        <f>ROUND(R1387*'Data-CostAssumptions'!$C$8,-3)</f>
        <v>67000</v>
      </c>
      <c r="AA1387" s="11">
        <f t="shared" si="43"/>
        <v>0</v>
      </c>
      <c r="AB1387" s="11">
        <v>2041</v>
      </c>
      <c r="AC1387" s="11">
        <v>2041</v>
      </c>
      <c r="AD1387" s="11">
        <v>2041</v>
      </c>
      <c r="AE1387" s="11">
        <v>2041</v>
      </c>
      <c r="AF1387" s="11">
        <v>0</v>
      </c>
      <c r="AG1387" s="19">
        <f>ROUND((Z1387*'Data-CostAssumptions'!$G$5)*(1+'Data-CostAssumptions'!$G$3)^(AC1387-'Data-CostAssumptions'!$G$4),-3)</f>
        <v>38000</v>
      </c>
      <c r="AH1387" s="19">
        <f>ROUND((Z1387)*(1+'Data-CostAssumptions'!$G$3)^(AE1387-'Data-CostAssumptions'!$G$4),-3)</f>
        <v>172000</v>
      </c>
    </row>
    <row r="1388" spans="2:34" ht="15" customHeight="1" x14ac:dyDescent="0.2">
      <c r="B1388" s="11" t="s">
        <v>1211</v>
      </c>
      <c r="D1388" s="84" t="s">
        <v>276</v>
      </c>
      <c r="E1388" s="104" t="s">
        <v>1480</v>
      </c>
      <c r="G1388" s="20">
        <v>1391</v>
      </c>
      <c r="H1388" s="13" t="s">
        <v>2151</v>
      </c>
      <c r="I1388" s="13" t="str">
        <f t="shared" si="42"/>
        <v>NE 33RD Av  (BEACH to E OAKLAND PARK Bl )</v>
      </c>
      <c r="J1388" s="12" t="s">
        <v>29</v>
      </c>
      <c r="K1388" s="13" t="str">
        <f>VLOOKUP(J1388,'Data-ProjectTypes'!A$3:B$13,2,FALSE)</f>
        <v>Program</v>
      </c>
      <c r="L1388" s="12" t="s">
        <v>1667</v>
      </c>
      <c r="M1388" s="105" t="s">
        <v>1689</v>
      </c>
      <c r="N1388" s="12" t="s">
        <v>2298</v>
      </c>
      <c r="Q1388" s="72">
        <v>1.1000000000000001</v>
      </c>
      <c r="R1388" s="23">
        <f>ROUND(Q1388*'Data-CostAssumptions'!$C$25,-1)</f>
        <v>185240</v>
      </c>
      <c r="Z1388" s="18">
        <f>ROUND(R1388*'Data-CostAssumptions'!$C$8,-3)</f>
        <v>185000</v>
      </c>
      <c r="AA1388" s="11">
        <f t="shared" si="43"/>
        <v>0</v>
      </c>
      <c r="AB1388" s="11">
        <v>2041</v>
      </c>
      <c r="AC1388" s="11">
        <v>2041</v>
      </c>
      <c r="AD1388" s="11">
        <v>2041</v>
      </c>
      <c r="AE1388" s="11">
        <v>2041</v>
      </c>
      <c r="AF1388" s="11">
        <v>0</v>
      </c>
      <c r="AG1388" s="19">
        <f>ROUND((Z1388*'Data-CostAssumptions'!$G$5)*(1+'Data-CostAssumptions'!$G$3)^(AC1388-'Data-CostAssumptions'!$G$4),-3)</f>
        <v>104000</v>
      </c>
      <c r="AH1388" s="19">
        <f>ROUND((Z1388)*(1+'Data-CostAssumptions'!$G$3)^(AE1388-'Data-CostAssumptions'!$G$4),-3)</f>
        <v>474000</v>
      </c>
    </row>
    <row r="1389" spans="2:34" ht="15" customHeight="1" x14ac:dyDescent="0.2">
      <c r="B1389" s="11" t="s">
        <v>1211</v>
      </c>
      <c r="D1389" s="84" t="s">
        <v>276</v>
      </c>
      <c r="E1389" s="104">
        <v>42</v>
      </c>
      <c r="G1389" s="20">
        <v>1392</v>
      </c>
      <c r="H1389" s="13" t="s">
        <v>2153</v>
      </c>
      <c r="I1389" s="13" t="str">
        <f t="shared" si="42"/>
        <v>NE 3RD/4TH Av (NE 6TH ST/SISTRUNK Bl to SR 838/SUNRISE Bl)</v>
      </c>
      <c r="J1389" s="12" t="s">
        <v>29</v>
      </c>
      <c r="K1389" s="13" t="str">
        <f>VLOOKUP(J1389,'Data-ProjectTypes'!A$3:B$13,2,FALSE)</f>
        <v>Program</v>
      </c>
      <c r="L1389" s="12" t="s">
        <v>1304</v>
      </c>
      <c r="M1389" s="105" t="s">
        <v>2291</v>
      </c>
      <c r="N1389" s="12" t="s">
        <v>2302</v>
      </c>
      <c r="Q1389" s="72">
        <v>0.5</v>
      </c>
      <c r="R1389" s="23">
        <v>273600</v>
      </c>
      <c r="Z1389" s="18">
        <f>ROUND(R1389*'Data-CostAssumptions'!$C$8,-3)</f>
        <v>274000</v>
      </c>
      <c r="AA1389" s="11">
        <f t="shared" si="43"/>
        <v>0</v>
      </c>
      <c r="AB1389" s="11">
        <v>2041</v>
      </c>
      <c r="AC1389" s="11">
        <v>2041</v>
      </c>
      <c r="AD1389" s="11">
        <v>2041</v>
      </c>
      <c r="AE1389" s="11">
        <v>2041</v>
      </c>
      <c r="AF1389" s="11">
        <v>0</v>
      </c>
      <c r="AG1389" s="19">
        <f>ROUND((Z1389*'Data-CostAssumptions'!$G$5)*(1+'Data-CostAssumptions'!$G$3)^(AC1389-'Data-CostAssumptions'!$G$4),-3)</f>
        <v>155000</v>
      </c>
      <c r="AH1389" s="19">
        <f>ROUND((Z1389)*(1+'Data-CostAssumptions'!$G$3)^(AE1389-'Data-CostAssumptions'!$G$4),-3)</f>
        <v>703000</v>
      </c>
    </row>
    <row r="1390" spans="2:34" ht="15" customHeight="1" x14ac:dyDescent="0.2">
      <c r="B1390" s="11" t="s">
        <v>1211</v>
      </c>
      <c r="D1390" s="84" t="s">
        <v>276</v>
      </c>
      <c r="E1390" s="104">
        <v>115</v>
      </c>
      <c r="G1390" s="20">
        <v>1393</v>
      </c>
      <c r="H1390" s="13" t="s">
        <v>2154</v>
      </c>
      <c r="I1390" s="13" t="str">
        <f t="shared" si="42"/>
        <v>NE 4TH Av  (SUNRISE Bl to NE 19TH ST)</v>
      </c>
      <c r="J1390" s="12" t="s">
        <v>29</v>
      </c>
      <c r="K1390" s="13" t="str">
        <f>VLOOKUP(J1390,'Data-ProjectTypes'!A$3:B$13,2,FALSE)</f>
        <v>Program</v>
      </c>
      <c r="L1390" s="12" t="s">
        <v>1307</v>
      </c>
      <c r="M1390" s="105" t="s">
        <v>2002</v>
      </c>
      <c r="N1390" s="12" t="s">
        <v>1439</v>
      </c>
      <c r="Q1390" s="72">
        <v>1</v>
      </c>
      <c r="R1390" s="23">
        <v>1133600</v>
      </c>
      <c r="Z1390" s="18">
        <f>ROUND(R1390*'Data-CostAssumptions'!$C$8,-3)</f>
        <v>1134000</v>
      </c>
      <c r="AA1390" s="11">
        <f t="shared" si="43"/>
        <v>0</v>
      </c>
      <c r="AB1390" s="11">
        <v>2041</v>
      </c>
      <c r="AC1390" s="11">
        <v>2041</v>
      </c>
      <c r="AD1390" s="11">
        <v>2041</v>
      </c>
      <c r="AE1390" s="11">
        <v>2041</v>
      </c>
      <c r="AF1390" s="11">
        <v>0</v>
      </c>
      <c r="AG1390" s="19">
        <f>ROUND((Z1390*'Data-CostAssumptions'!$G$5)*(1+'Data-CostAssumptions'!$G$3)^(AC1390-'Data-CostAssumptions'!$G$4),-3)</f>
        <v>640000</v>
      </c>
      <c r="AH1390" s="19">
        <f>ROUND((Z1390)*(1+'Data-CostAssumptions'!$G$3)^(AE1390-'Data-CostAssumptions'!$G$4),-3)</f>
        <v>2908000</v>
      </c>
    </row>
    <row r="1391" spans="2:34" ht="15" customHeight="1" x14ac:dyDescent="0.2">
      <c r="B1391" s="11" t="s">
        <v>1211</v>
      </c>
      <c r="D1391" s="84" t="s">
        <v>276</v>
      </c>
      <c r="E1391" s="104">
        <v>46</v>
      </c>
      <c r="G1391" s="20">
        <v>1394</v>
      </c>
      <c r="H1391" s="13" t="s">
        <v>1232</v>
      </c>
      <c r="I1391" s="13" t="str">
        <f t="shared" si="42"/>
        <v>NE 56TH ST (DIXIE HWY to US 1/SR 5/FEDERAL HWY)</v>
      </c>
      <c r="J1391" s="12" t="s">
        <v>29</v>
      </c>
      <c r="K1391" s="13" t="str">
        <f>VLOOKUP(J1391,'Data-ProjectTypes'!A$3:B$13,2,FALSE)</f>
        <v>Program</v>
      </c>
      <c r="L1391" s="12" t="s">
        <v>1319</v>
      </c>
      <c r="M1391" s="105" t="s">
        <v>1225</v>
      </c>
      <c r="N1391" s="12" t="s">
        <v>1425</v>
      </c>
      <c r="Q1391" s="72">
        <v>0.3</v>
      </c>
      <c r="R1391" s="23">
        <v>717950</v>
      </c>
      <c r="Z1391" s="18">
        <f>ROUND(R1391*'Data-CostAssumptions'!$C$8,-3)</f>
        <v>718000</v>
      </c>
      <c r="AA1391" s="11">
        <f t="shared" si="43"/>
        <v>0</v>
      </c>
      <c r="AB1391" s="11">
        <v>2041</v>
      </c>
      <c r="AC1391" s="11">
        <v>2041</v>
      </c>
      <c r="AD1391" s="11">
        <v>2041</v>
      </c>
      <c r="AE1391" s="11">
        <v>2041</v>
      </c>
      <c r="AF1391" s="11">
        <v>0</v>
      </c>
      <c r="AG1391" s="19">
        <f>ROUND((Z1391*'Data-CostAssumptions'!$G$5)*(1+'Data-CostAssumptions'!$G$3)^(AC1391-'Data-CostAssumptions'!$G$4),-3)</f>
        <v>405000</v>
      </c>
      <c r="AH1391" s="19">
        <f>ROUND((Z1391)*(1+'Data-CostAssumptions'!$G$3)^(AE1391-'Data-CostAssumptions'!$G$4),-3)</f>
        <v>1841000</v>
      </c>
    </row>
    <row r="1392" spans="2:34" ht="15" customHeight="1" x14ac:dyDescent="0.2">
      <c r="B1392" s="11" t="s">
        <v>1211</v>
      </c>
      <c r="D1392" s="84" t="s">
        <v>276</v>
      </c>
      <c r="E1392" s="104" t="s">
        <v>1559</v>
      </c>
      <c r="G1392" s="20">
        <v>1395</v>
      </c>
      <c r="H1392" s="13" t="s">
        <v>1617</v>
      </c>
      <c r="I1392" s="13" t="str">
        <f t="shared" si="42"/>
        <v>NE 6TH CT  (I-95 to N VICTORIA PARK )</v>
      </c>
      <c r="J1392" s="12" t="s">
        <v>29</v>
      </c>
      <c r="K1392" s="13" t="str">
        <f>VLOOKUP(J1392,'Data-ProjectTypes'!A$3:B$13,2,FALSE)</f>
        <v>Program</v>
      </c>
      <c r="L1392" s="12" t="s">
        <v>1667</v>
      </c>
      <c r="M1392" s="105" t="s">
        <v>41</v>
      </c>
      <c r="N1392" s="12" t="s">
        <v>1729</v>
      </c>
      <c r="Q1392" s="72">
        <v>0.2</v>
      </c>
      <c r="R1392" s="23">
        <f>ROUND(Q1392*'Data-CostAssumptions'!$C$25,-1)</f>
        <v>33680</v>
      </c>
      <c r="Z1392" s="18">
        <f>ROUND(R1392*'Data-CostAssumptions'!$C$8,-3)</f>
        <v>34000</v>
      </c>
      <c r="AA1392" s="11">
        <f t="shared" si="43"/>
        <v>0</v>
      </c>
      <c r="AB1392" s="11">
        <v>2041</v>
      </c>
      <c r="AC1392" s="11">
        <v>2041</v>
      </c>
      <c r="AD1392" s="11">
        <v>2041</v>
      </c>
      <c r="AE1392" s="11">
        <v>2041</v>
      </c>
      <c r="AF1392" s="11">
        <v>0</v>
      </c>
      <c r="AG1392" s="19">
        <f>ROUND((Z1392*'Data-CostAssumptions'!$G$5)*(1+'Data-CostAssumptions'!$G$3)^(AC1392-'Data-CostAssumptions'!$G$4),-3)</f>
        <v>19000</v>
      </c>
      <c r="AH1392" s="19">
        <f>ROUND((Z1392)*(1+'Data-CostAssumptions'!$G$3)^(AE1392-'Data-CostAssumptions'!$G$4),-3)</f>
        <v>87000</v>
      </c>
    </row>
    <row r="1393" spans="2:34" ht="15" customHeight="1" x14ac:dyDescent="0.2">
      <c r="B1393" s="11" t="s">
        <v>1211</v>
      </c>
      <c r="D1393" s="84" t="s">
        <v>276</v>
      </c>
      <c r="E1393" s="104">
        <v>47</v>
      </c>
      <c r="G1393" s="20">
        <v>1396</v>
      </c>
      <c r="H1393" s="13" t="s">
        <v>1230</v>
      </c>
      <c r="I1393" s="13" t="str">
        <f t="shared" si="42"/>
        <v>NE 6TH ST (US1/SR 5/FEDERAL HWY to NE 14TH Av)</v>
      </c>
      <c r="J1393" s="12" t="s">
        <v>29</v>
      </c>
      <c r="K1393" s="13" t="str">
        <f>VLOOKUP(J1393,'Data-ProjectTypes'!A$3:B$13,2,FALSE)</f>
        <v>Program</v>
      </c>
      <c r="L1393" s="12" t="s">
        <v>1309</v>
      </c>
      <c r="M1393" s="105" t="s">
        <v>1440</v>
      </c>
      <c r="N1393" s="12" t="s">
        <v>2142</v>
      </c>
      <c r="Q1393" s="72">
        <v>0.5</v>
      </c>
      <c r="R1393" s="23">
        <v>231750</v>
      </c>
      <c r="Z1393" s="18">
        <f>ROUND(R1393*'Data-CostAssumptions'!$C$8,-3)</f>
        <v>232000</v>
      </c>
      <c r="AA1393" s="11">
        <f t="shared" si="43"/>
        <v>0</v>
      </c>
      <c r="AB1393" s="11">
        <v>2041</v>
      </c>
      <c r="AC1393" s="11">
        <v>2041</v>
      </c>
      <c r="AD1393" s="11">
        <v>2041</v>
      </c>
      <c r="AE1393" s="11">
        <v>2041</v>
      </c>
      <c r="AF1393" s="11">
        <v>0</v>
      </c>
      <c r="AG1393" s="19">
        <f>ROUND((Z1393*'Data-CostAssumptions'!$G$5)*(1+'Data-CostAssumptions'!$G$3)^(AC1393-'Data-CostAssumptions'!$G$4),-3)</f>
        <v>131000</v>
      </c>
      <c r="AH1393" s="19">
        <f>ROUND((Z1393)*(1+'Data-CostAssumptions'!$G$3)^(AE1393-'Data-CostAssumptions'!$G$4),-3)</f>
        <v>595000</v>
      </c>
    </row>
    <row r="1394" spans="2:34" ht="15" customHeight="1" x14ac:dyDescent="0.2">
      <c r="B1394" s="11" t="s">
        <v>1211</v>
      </c>
      <c r="D1394" s="84" t="s">
        <v>276</v>
      </c>
      <c r="E1394" s="104" t="s">
        <v>1535</v>
      </c>
      <c r="G1394" s="20">
        <v>1397</v>
      </c>
      <c r="H1394" s="13" t="s">
        <v>1605</v>
      </c>
      <c r="I1394" s="13" t="str">
        <f t="shared" si="42"/>
        <v>NE 6TH TER (NE 6TH ST  to NE 8TH ST)</v>
      </c>
      <c r="J1394" s="12" t="s">
        <v>29</v>
      </c>
      <c r="K1394" s="13" t="str">
        <f>VLOOKUP(J1394,'Data-ProjectTypes'!A$3:B$13,2,FALSE)</f>
        <v>Program</v>
      </c>
      <c r="L1394" s="12" t="s">
        <v>1667</v>
      </c>
      <c r="M1394" s="105" t="s">
        <v>1714</v>
      </c>
      <c r="N1394" s="12" t="s">
        <v>1713</v>
      </c>
      <c r="Q1394" s="72">
        <v>0.1</v>
      </c>
      <c r="R1394" s="23">
        <f>ROUND(Q1394*'Data-CostAssumptions'!$C$25,-1)</f>
        <v>16840</v>
      </c>
      <c r="Z1394" s="18">
        <f>ROUND(R1394*'Data-CostAssumptions'!$C$8,-3)</f>
        <v>17000</v>
      </c>
      <c r="AA1394" s="11">
        <f t="shared" si="43"/>
        <v>0</v>
      </c>
      <c r="AB1394" s="11">
        <v>2041</v>
      </c>
      <c r="AC1394" s="11">
        <v>2041</v>
      </c>
      <c r="AD1394" s="11">
        <v>2041</v>
      </c>
      <c r="AE1394" s="11">
        <v>2041</v>
      </c>
      <c r="AF1394" s="11">
        <v>0</v>
      </c>
      <c r="AG1394" s="19">
        <f>ROUND((Z1394*'Data-CostAssumptions'!$G$5)*(1+'Data-CostAssumptions'!$G$3)^(AC1394-'Data-CostAssumptions'!$G$4),-3)</f>
        <v>10000</v>
      </c>
      <c r="AH1394" s="19">
        <f>ROUND((Z1394)*(1+'Data-CostAssumptions'!$G$3)^(AE1394-'Data-CostAssumptions'!$G$4),-3)</f>
        <v>44000</v>
      </c>
    </row>
    <row r="1395" spans="2:34" ht="15" customHeight="1" x14ac:dyDescent="0.2">
      <c r="B1395" s="11" t="s">
        <v>1211</v>
      </c>
      <c r="D1395" s="84" t="s">
        <v>276</v>
      </c>
      <c r="E1395" s="104" t="s">
        <v>1538</v>
      </c>
      <c r="G1395" s="20">
        <v>1398</v>
      </c>
      <c r="H1395" s="13" t="s">
        <v>2155</v>
      </c>
      <c r="I1395" s="13" t="str">
        <f t="shared" si="42"/>
        <v>NE 7TH Av  (NE 13TH ST  to NE 13TH ST )</v>
      </c>
      <c r="J1395" s="12" t="s">
        <v>29</v>
      </c>
      <c r="K1395" s="13" t="str">
        <f>VLOOKUP(J1395,'Data-ProjectTypes'!A$3:B$13,2,FALSE)</f>
        <v>Program</v>
      </c>
      <c r="L1395" s="12" t="s">
        <v>1667</v>
      </c>
      <c r="M1395" s="105" t="s">
        <v>1716</v>
      </c>
      <c r="N1395" s="12" t="s">
        <v>1716</v>
      </c>
      <c r="Q1395" s="72">
        <v>0.2</v>
      </c>
      <c r="R1395" s="23">
        <f>ROUND(Q1395*'Data-CostAssumptions'!$C$25,-1)</f>
        <v>33680</v>
      </c>
      <c r="Z1395" s="18">
        <f>ROUND(R1395*'Data-CostAssumptions'!$C$8,-3)</f>
        <v>34000</v>
      </c>
      <c r="AA1395" s="11">
        <f t="shared" si="43"/>
        <v>0</v>
      </c>
      <c r="AB1395" s="11">
        <v>2041</v>
      </c>
      <c r="AC1395" s="11">
        <v>2041</v>
      </c>
      <c r="AD1395" s="11">
        <v>2041</v>
      </c>
      <c r="AE1395" s="11">
        <v>2041</v>
      </c>
      <c r="AF1395" s="11">
        <v>0</v>
      </c>
      <c r="AG1395" s="19">
        <f>ROUND((Z1395*'Data-CostAssumptions'!$G$5)*(1+'Data-CostAssumptions'!$G$3)^(AC1395-'Data-CostAssumptions'!$G$4),-3)</f>
        <v>19000</v>
      </c>
      <c r="AH1395" s="19">
        <f>ROUND((Z1395)*(1+'Data-CostAssumptions'!$G$3)^(AE1395-'Data-CostAssumptions'!$G$4),-3)</f>
        <v>87000</v>
      </c>
    </row>
    <row r="1396" spans="2:34" ht="15" customHeight="1" x14ac:dyDescent="0.2">
      <c r="B1396" s="11" t="s">
        <v>1211</v>
      </c>
      <c r="D1396" s="84" t="s">
        <v>276</v>
      </c>
      <c r="E1396" s="104" t="s">
        <v>1534</v>
      </c>
      <c r="G1396" s="20">
        <v>1399</v>
      </c>
      <c r="H1396" s="13" t="s">
        <v>2155</v>
      </c>
      <c r="I1396" s="13" t="str">
        <f t="shared" si="42"/>
        <v>NE 7TH Av  (NE 18TH Av  to US 1)</v>
      </c>
      <c r="J1396" s="12" t="s">
        <v>29</v>
      </c>
      <c r="K1396" s="13" t="str">
        <f>VLOOKUP(J1396,'Data-ProjectTypes'!A$3:B$13,2,FALSE)</f>
        <v>Program</v>
      </c>
      <c r="L1396" s="12" t="s">
        <v>1667</v>
      </c>
      <c r="M1396" s="105" t="s">
        <v>2147</v>
      </c>
      <c r="N1396" s="12" t="s">
        <v>98</v>
      </c>
      <c r="Q1396" s="72">
        <v>0.5</v>
      </c>
      <c r="R1396" s="23">
        <f>ROUND(Q1396*'Data-CostAssumptions'!$C$25,-1)</f>
        <v>84200</v>
      </c>
      <c r="Z1396" s="18">
        <f>ROUND(R1396*'Data-CostAssumptions'!$C$8,-3)</f>
        <v>84000</v>
      </c>
      <c r="AA1396" s="11">
        <f t="shared" si="43"/>
        <v>0</v>
      </c>
      <c r="AB1396" s="11">
        <v>2041</v>
      </c>
      <c r="AC1396" s="11">
        <v>2041</v>
      </c>
      <c r="AD1396" s="11">
        <v>2041</v>
      </c>
      <c r="AE1396" s="11">
        <v>2041</v>
      </c>
      <c r="AF1396" s="11">
        <v>0</v>
      </c>
      <c r="AG1396" s="19">
        <f>ROUND((Z1396*'Data-CostAssumptions'!$G$5)*(1+'Data-CostAssumptions'!$G$3)^(AC1396-'Data-CostAssumptions'!$G$4),-3)</f>
        <v>47000</v>
      </c>
      <c r="AH1396" s="19">
        <f>ROUND((Z1396)*(1+'Data-CostAssumptions'!$G$3)^(AE1396-'Data-CostAssumptions'!$G$4),-3)</f>
        <v>215000</v>
      </c>
    </row>
    <row r="1397" spans="2:34" ht="15" customHeight="1" x14ac:dyDescent="0.2">
      <c r="B1397" s="11" t="s">
        <v>1211</v>
      </c>
      <c r="D1397" s="84" t="s">
        <v>276</v>
      </c>
      <c r="E1397" s="104" t="s">
        <v>1536</v>
      </c>
      <c r="G1397" s="20">
        <v>1400</v>
      </c>
      <c r="H1397" s="13" t="s">
        <v>1606</v>
      </c>
      <c r="I1397" s="13" t="str">
        <f t="shared" si="42"/>
        <v>NE 7TH ST  (NE 7TH ST  to NE FLAGLER DR )</v>
      </c>
      <c r="J1397" s="12" t="s">
        <v>29</v>
      </c>
      <c r="K1397" s="13" t="str">
        <f>VLOOKUP(J1397,'Data-ProjectTypes'!A$3:B$13,2,FALSE)</f>
        <v>Program</v>
      </c>
      <c r="L1397" s="12" t="s">
        <v>1667</v>
      </c>
      <c r="M1397" s="105" t="s">
        <v>1606</v>
      </c>
      <c r="N1397" s="12" t="s">
        <v>1715</v>
      </c>
      <c r="Q1397" s="72">
        <v>0.8</v>
      </c>
      <c r="R1397" s="23">
        <f>ROUND(Q1397*'Data-CostAssumptions'!$C$25,-1)</f>
        <v>134720</v>
      </c>
      <c r="Z1397" s="18">
        <f>ROUND(R1397*'Data-CostAssumptions'!$C$8,-3)</f>
        <v>135000</v>
      </c>
      <c r="AA1397" s="11">
        <f t="shared" si="43"/>
        <v>0</v>
      </c>
      <c r="AB1397" s="11">
        <v>2041</v>
      </c>
      <c r="AC1397" s="11">
        <v>2041</v>
      </c>
      <c r="AD1397" s="11">
        <v>2041</v>
      </c>
      <c r="AE1397" s="11">
        <v>2041</v>
      </c>
      <c r="AF1397" s="11">
        <v>0</v>
      </c>
      <c r="AG1397" s="19">
        <f>ROUND((Z1397*'Data-CostAssumptions'!$G$5)*(1+'Data-CostAssumptions'!$G$3)^(AC1397-'Data-CostAssumptions'!$G$4),-3)</f>
        <v>76000</v>
      </c>
      <c r="AH1397" s="19">
        <f>ROUND((Z1397)*(1+'Data-CostAssumptions'!$G$3)^(AE1397-'Data-CostAssumptions'!$G$4),-3)</f>
        <v>346000</v>
      </c>
    </row>
    <row r="1398" spans="2:34" ht="15" customHeight="1" x14ac:dyDescent="0.2">
      <c r="B1398" s="11" t="s">
        <v>1211</v>
      </c>
      <c r="D1398" s="84" t="s">
        <v>276</v>
      </c>
      <c r="E1398" s="104">
        <v>49</v>
      </c>
      <c r="G1398" s="20">
        <v>1401</v>
      </c>
      <c r="H1398" s="13" t="s">
        <v>2156</v>
      </c>
      <c r="I1398" s="13" t="str">
        <f t="shared" si="42"/>
        <v>NE 7TH ST/NE 20TH Av (VICTORIA PARK RD to SUNRISE Bl)</v>
      </c>
      <c r="J1398" s="12" t="s">
        <v>29</v>
      </c>
      <c r="K1398" s="13" t="str">
        <f>VLOOKUP(J1398,'Data-ProjectTypes'!A$3:B$13,2,FALSE)</f>
        <v>Program</v>
      </c>
      <c r="L1398" s="12" t="s">
        <v>1310</v>
      </c>
      <c r="M1398" s="105" t="s">
        <v>1252</v>
      </c>
      <c r="N1398" s="12" t="s">
        <v>2002</v>
      </c>
      <c r="Q1398" s="72">
        <v>0.9</v>
      </c>
      <c r="R1398" s="23">
        <v>21000</v>
      </c>
      <c r="Z1398" s="18">
        <f>ROUND(R1398*'Data-CostAssumptions'!$C$8,-3)</f>
        <v>21000</v>
      </c>
      <c r="AA1398" s="11">
        <f t="shared" si="43"/>
        <v>0</v>
      </c>
      <c r="AB1398" s="11">
        <v>2041</v>
      </c>
      <c r="AC1398" s="11">
        <v>2041</v>
      </c>
      <c r="AD1398" s="11">
        <v>2041</v>
      </c>
      <c r="AE1398" s="11">
        <v>2041</v>
      </c>
      <c r="AF1398" s="11">
        <v>0</v>
      </c>
      <c r="AG1398" s="19">
        <f>ROUND((Z1398*'Data-CostAssumptions'!$G$5)*(1+'Data-CostAssumptions'!$G$3)^(AC1398-'Data-CostAssumptions'!$G$4),-3)</f>
        <v>12000</v>
      </c>
      <c r="AH1398" s="19">
        <f>ROUND((Z1398)*(1+'Data-CostAssumptions'!$G$3)^(AE1398-'Data-CostAssumptions'!$G$4),-3)</f>
        <v>54000</v>
      </c>
    </row>
    <row r="1399" spans="2:34" ht="15" customHeight="1" x14ac:dyDescent="0.2">
      <c r="B1399" s="11" t="s">
        <v>1211</v>
      </c>
      <c r="D1399" s="84" t="s">
        <v>276</v>
      </c>
      <c r="E1399" s="104">
        <v>50</v>
      </c>
      <c r="G1399" s="20">
        <v>1402</v>
      </c>
      <c r="H1399" s="13" t="s">
        <v>1904</v>
      </c>
      <c r="I1399" s="13" t="str">
        <f t="shared" si="42"/>
        <v>NE/NW 13TH St (NW 9TH Av/POWER-LINE RD to US 1/FEDERAL HWY)</v>
      </c>
      <c r="J1399" s="12" t="s">
        <v>29</v>
      </c>
      <c r="K1399" s="13" t="str">
        <f>VLOOKUP(J1399,'Data-ProjectTypes'!A$3:B$13,2,FALSE)</f>
        <v>Program</v>
      </c>
      <c r="L1399" s="12" t="s">
        <v>1267</v>
      </c>
      <c r="M1399" s="105" t="s">
        <v>2173</v>
      </c>
      <c r="N1399" s="12" t="s">
        <v>1442</v>
      </c>
      <c r="Q1399" s="72">
        <v>2.1</v>
      </c>
      <c r="R1399" s="23">
        <v>1348650</v>
      </c>
      <c r="Z1399" s="18">
        <f>ROUND(R1399*'Data-CostAssumptions'!$C$8,-3)</f>
        <v>1349000</v>
      </c>
      <c r="AA1399" s="11">
        <f t="shared" si="43"/>
        <v>0</v>
      </c>
      <c r="AB1399" s="11">
        <v>2041</v>
      </c>
      <c r="AC1399" s="11">
        <v>2041</v>
      </c>
      <c r="AD1399" s="11">
        <v>2041</v>
      </c>
      <c r="AE1399" s="11">
        <v>2041</v>
      </c>
      <c r="AF1399" s="11">
        <v>0</v>
      </c>
      <c r="AG1399" s="19">
        <f>ROUND((Z1399*'Data-CostAssumptions'!$G$5)*(1+'Data-CostAssumptions'!$G$3)^(AC1399-'Data-CostAssumptions'!$G$4),-3)</f>
        <v>761000</v>
      </c>
      <c r="AH1399" s="19">
        <f>ROUND((Z1399)*(1+'Data-CostAssumptions'!$G$3)^(AE1399-'Data-CostAssumptions'!$G$4),-3)</f>
        <v>3459000</v>
      </c>
    </row>
    <row r="1400" spans="2:34" ht="15" customHeight="1" x14ac:dyDescent="0.2">
      <c r="B1400" s="11" t="s">
        <v>1211</v>
      </c>
      <c r="D1400" s="84" t="s">
        <v>276</v>
      </c>
      <c r="E1400" s="104">
        <v>61</v>
      </c>
      <c r="G1400" s="20">
        <v>1403</v>
      </c>
      <c r="H1400" s="13" t="s">
        <v>1237</v>
      </c>
      <c r="I1400" s="13" t="str">
        <f t="shared" si="42"/>
        <v>NE/NW 6TH ST (SR 5/US 1 to NW 7TH Av/AVE OF THE ARTS)</v>
      </c>
      <c r="J1400" s="12" t="s">
        <v>29</v>
      </c>
      <c r="K1400" s="13" t="str">
        <f>VLOOKUP(J1400,'Data-ProjectTypes'!A$3:B$13,2,FALSE)</f>
        <v>Program</v>
      </c>
      <c r="L1400" s="12" t="s">
        <v>1328</v>
      </c>
      <c r="M1400" s="105" t="s">
        <v>1424</v>
      </c>
      <c r="N1400" s="12" t="s">
        <v>2615</v>
      </c>
      <c r="Q1400" s="72">
        <v>0.8</v>
      </c>
      <c r="R1400" s="23">
        <v>31000</v>
      </c>
      <c r="X1400" s="34"/>
      <c r="Z1400" s="18">
        <f>ROUND(R1400*'Data-CostAssumptions'!$C$8,-3)</f>
        <v>31000</v>
      </c>
      <c r="AA1400" s="11">
        <f t="shared" si="43"/>
        <v>0</v>
      </c>
      <c r="AB1400" s="11">
        <v>2041</v>
      </c>
      <c r="AC1400" s="11">
        <v>2041</v>
      </c>
      <c r="AD1400" s="11">
        <v>2041</v>
      </c>
      <c r="AE1400" s="11">
        <v>2041</v>
      </c>
      <c r="AF1400" s="11">
        <v>0</v>
      </c>
      <c r="AG1400" s="19">
        <f>ROUND((Z1400*'Data-CostAssumptions'!$G$5)*(1+'Data-CostAssumptions'!$G$3)^(AC1400-'Data-CostAssumptions'!$G$4),-3)</f>
        <v>17000</v>
      </c>
      <c r="AH1400" s="19">
        <f>ROUND((Z1400)*(1+'Data-CostAssumptions'!$G$3)^(AE1400-'Data-CostAssumptions'!$G$4),-3)</f>
        <v>79000</v>
      </c>
    </row>
    <row r="1401" spans="2:34" ht="15" customHeight="1" x14ac:dyDescent="0.2">
      <c r="B1401" s="11" t="s">
        <v>1211</v>
      </c>
      <c r="D1401" s="84" t="s">
        <v>276</v>
      </c>
      <c r="E1401" s="104" t="s">
        <v>1482</v>
      </c>
      <c r="G1401" s="20">
        <v>1404</v>
      </c>
      <c r="H1401" s="13" t="s">
        <v>2871</v>
      </c>
      <c r="I1401" s="13" t="str">
        <f t="shared" si="42"/>
        <v>North Beach Boardwalk (NE 19TH CT to NE 19TH ST )</v>
      </c>
      <c r="J1401" s="12" t="s">
        <v>29</v>
      </c>
      <c r="K1401" s="13" t="str">
        <f>VLOOKUP(J1401,'Data-ProjectTypes'!A$3:B$13,2,FALSE)</f>
        <v>Program</v>
      </c>
      <c r="L1401" s="12" t="s">
        <v>1667</v>
      </c>
      <c r="M1401" s="105" t="s">
        <v>1690</v>
      </c>
      <c r="N1401" s="12" t="s">
        <v>1691</v>
      </c>
      <c r="Q1401" s="72">
        <v>1.2</v>
      </c>
      <c r="R1401" s="23">
        <f>ROUND(Q1401*'Data-CostAssumptions'!$C$25,-1)</f>
        <v>202080</v>
      </c>
      <c r="Z1401" s="18">
        <f>ROUND(R1401*'Data-CostAssumptions'!$C$8,-3)</f>
        <v>202000</v>
      </c>
      <c r="AA1401" s="11">
        <f t="shared" si="43"/>
        <v>0</v>
      </c>
      <c r="AB1401" s="11">
        <v>2041</v>
      </c>
      <c r="AC1401" s="11">
        <v>2041</v>
      </c>
      <c r="AD1401" s="11">
        <v>2041</v>
      </c>
      <c r="AE1401" s="11">
        <v>2041</v>
      </c>
      <c r="AF1401" s="11">
        <v>0</v>
      </c>
      <c r="AG1401" s="19">
        <f>ROUND((Z1401*'Data-CostAssumptions'!$G$5)*(1+'Data-CostAssumptions'!$G$3)^(AC1401-'Data-CostAssumptions'!$G$4),-3)</f>
        <v>114000</v>
      </c>
      <c r="AH1401" s="19">
        <f>ROUND((Z1401)*(1+'Data-CostAssumptions'!$G$3)^(AE1401-'Data-CostAssumptions'!$G$4),-3)</f>
        <v>518000</v>
      </c>
    </row>
    <row r="1402" spans="2:34" ht="15" customHeight="1" x14ac:dyDescent="0.2">
      <c r="B1402" s="11" t="s">
        <v>1211</v>
      </c>
      <c r="D1402" s="84" t="s">
        <v>276</v>
      </c>
      <c r="E1402" s="104" t="s">
        <v>1528</v>
      </c>
      <c r="G1402" s="20">
        <v>1405</v>
      </c>
      <c r="H1402" s="13" t="s">
        <v>2158</v>
      </c>
      <c r="I1402" s="13" t="str">
        <f t="shared" si="42"/>
        <v>NW 12TH Av  (W BROWARD Bl  to NW 6TH ST )</v>
      </c>
      <c r="J1402" s="12" t="s">
        <v>29</v>
      </c>
      <c r="K1402" s="13" t="str">
        <f>VLOOKUP(J1402,'Data-ProjectTypes'!A$3:B$13,2,FALSE)</f>
        <v>Program</v>
      </c>
      <c r="L1402" s="12" t="s">
        <v>1667</v>
      </c>
      <c r="M1402" s="105" t="s">
        <v>2310</v>
      </c>
      <c r="N1402" s="12" t="s">
        <v>1679</v>
      </c>
      <c r="Q1402" s="72">
        <v>0.5</v>
      </c>
      <c r="R1402" s="23">
        <f>ROUND(Q1402*'Data-CostAssumptions'!$C$25,-1)</f>
        <v>84200</v>
      </c>
      <c r="Z1402" s="18">
        <f>ROUND(R1402*'Data-CostAssumptions'!$C$8,-3)</f>
        <v>84000</v>
      </c>
      <c r="AA1402" s="11">
        <f t="shared" si="43"/>
        <v>0</v>
      </c>
      <c r="AB1402" s="11">
        <v>2041</v>
      </c>
      <c r="AC1402" s="11">
        <v>2041</v>
      </c>
      <c r="AD1402" s="11">
        <v>2041</v>
      </c>
      <c r="AE1402" s="11">
        <v>2041</v>
      </c>
      <c r="AF1402" s="11">
        <v>0</v>
      </c>
      <c r="AG1402" s="19">
        <f>ROUND((Z1402*'Data-CostAssumptions'!$G$5)*(1+'Data-CostAssumptions'!$G$3)^(AC1402-'Data-CostAssumptions'!$G$4),-3)</f>
        <v>47000</v>
      </c>
      <c r="AH1402" s="19">
        <f>ROUND((Z1402)*(1+'Data-CostAssumptions'!$G$3)^(AE1402-'Data-CostAssumptions'!$G$4),-3)</f>
        <v>215000</v>
      </c>
    </row>
    <row r="1403" spans="2:34" ht="15" customHeight="1" x14ac:dyDescent="0.2">
      <c r="B1403" s="11" t="s">
        <v>1211</v>
      </c>
      <c r="D1403" s="84" t="s">
        <v>276</v>
      </c>
      <c r="E1403" s="104">
        <v>202</v>
      </c>
      <c r="G1403" s="20">
        <v>1406</v>
      </c>
      <c r="H1403" s="13" t="s">
        <v>2159</v>
      </c>
      <c r="I1403" s="13" t="str">
        <f t="shared" si="42"/>
        <v>NW 12TH Av &amp; NW 10TH TER (COMMERCIAL Bl to W CYPRESS CREEK RD)</v>
      </c>
      <c r="J1403" s="12" t="s">
        <v>29</v>
      </c>
      <c r="K1403" s="13" t="str">
        <f>VLOOKUP(J1403,'Data-ProjectTypes'!A$3:B$13,2,FALSE)</f>
        <v>Program</v>
      </c>
      <c r="L1403" s="12" t="s">
        <v>1666</v>
      </c>
      <c r="M1403" s="105" t="s">
        <v>1990</v>
      </c>
      <c r="N1403" s="12" t="s">
        <v>1447</v>
      </c>
      <c r="Q1403" s="72">
        <v>1.1000000000000001</v>
      </c>
      <c r="R1403" s="23">
        <f>ROUND(Q1403*'Data-CostAssumptions'!$C$25,-1)</f>
        <v>185240</v>
      </c>
      <c r="Z1403" s="18">
        <f>ROUND(R1403*'Data-CostAssumptions'!$C$8,-3)</f>
        <v>185000</v>
      </c>
      <c r="AA1403" s="11">
        <f t="shared" si="43"/>
        <v>0</v>
      </c>
      <c r="AB1403" s="11">
        <v>2041</v>
      </c>
      <c r="AC1403" s="11">
        <v>2041</v>
      </c>
      <c r="AD1403" s="11">
        <v>2041</v>
      </c>
      <c r="AE1403" s="11">
        <v>2041</v>
      </c>
      <c r="AF1403" s="11">
        <v>0</v>
      </c>
      <c r="AG1403" s="19">
        <f>ROUND((Z1403*'Data-CostAssumptions'!$G$5)*(1+'Data-CostAssumptions'!$G$3)^(AC1403-'Data-CostAssumptions'!$G$4),-3)</f>
        <v>104000</v>
      </c>
      <c r="AH1403" s="19">
        <f>ROUND((Z1403)*(1+'Data-CostAssumptions'!$G$3)^(AE1403-'Data-CostAssumptions'!$G$4),-3)</f>
        <v>474000</v>
      </c>
    </row>
    <row r="1404" spans="2:34" ht="15" customHeight="1" x14ac:dyDescent="0.2">
      <c r="B1404" s="11" t="s">
        <v>1211</v>
      </c>
      <c r="D1404" s="84" t="s">
        <v>276</v>
      </c>
      <c r="E1404" s="104" t="s">
        <v>1545</v>
      </c>
      <c r="G1404" s="20">
        <v>1407</v>
      </c>
      <c r="H1404" s="13" t="s">
        <v>1611</v>
      </c>
      <c r="I1404" s="13" t="str">
        <f t="shared" si="42"/>
        <v>NW 14TH CT  (MILL POND PARK  to NE 15TH Av)</v>
      </c>
      <c r="J1404" s="12" t="s">
        <v>29</v>
      </c>
      <c r="K1404" s="13" t="str">
        <f>VLOOKUP(J1404,'Data-ProjectTypes'!A$3:B$13,2,FALSE)</f>
        <v>Program</v>
      </c>
      <c r="L1404" s="12" t="s">
        <v>1667</v>
      </c>
      <c r="M1404" s="105" t="s">
        <v>1610</v>
      </c>
      <c r="N1404" s="12" t="s">
        <v>2143</v>
      </c>
      <c r="Q1404" s="72">
        <v>0.5</v>
      </c>
      <c r="R1404" s="23">
        <f>ROUND(Q1404*'Data-CostAssumptions'!$C$25,-1)</f>
        <v>84200</v>
      </c>
      <c r="Z1404" s="18">
        <f>ROUND(R1404*'Data-CostAssumptions'!$C$8,-3)</f>
        <v>84000</v>
      </c>
      <c r="AA1404" s="11">
        <f t="shared" si="43"/>
        <v>0</v>
      </c>
      <c r="AB1404" s="11">
        <v>2041</v>
      </c>
      <c r="AC1404" s="11">
        <v>2041</v>
      </c>
      <c r="AD1404" s="11">
        <v>2041</v>
      </c>
      <c r="AE1404" s="11">
        <v>2041</v>
      </c>
      <c r="AF1404" s="11">
        <v>0</v>
      </c>
      <c r="AG1404" s="19">
        <f>ROUND((Z1404*'Data-CostAssumptions'!$G$5)*(1+'Data-CostAssumptions'!$G$3)^(AC1404-'Data-CostAssumptions'!$G$4),-3)</f>
        <v>47000</v>
      </c>
      <c r="AH1404" s="19">
        <f>ROUND((Z1404)*(1+'Data-CostAssumptions'!$G$3)^(AE1404-'Data-CostAssumptions'!$G$4),-3)</f>
        <v>215000</v>
      </c>
    </row>
    <row r="1405" spans="2:34" ht="15" customHeight="1" x14ac:dyDescent="0.2">
      <c r="B1405" s="11" t="s">
        <v>1211</v>
      </c>
      <c r="D1405" s="84" t="s">
        <v>276</v>
      </c>
      <c r="E1405" s="104">
        <v>51</v>
      </c>
      <c r="G1405" s="20">
        <v>1408</v>
      </c>
      <c r="H1405" s="13" t="s">
        <v>2160</v>
      </c>
      <c r="I1405" s="13" t="str">
        <f t="shared" si="42"/>
        <v>NW 15TH Av (SR 838/SUNRISE Bl to NW 19TH ST)</v>
      </c>
      <c r="J1405" s="12" t="s">
        <v>29</v>
      </c>
      <c r="K1405" s="13" t="str">
        <f>VLOOKUP(J1405,'Data-ProjectTypes'!A$3:B$13,2,FALSE)</f>
        <v>Program</v>
      </c>
      <c r="L1405" s="12" t="s">
        <v>1343</v>
      </c>
      <c r="M1405" s="105" t="s">
        <v>2302</v>
      </c>
      <c r="N1405" s="12" t="s">
        <v>1240</v>
      </c>
      <c r="Q1405" s="72">
        <v>1</v>
      </c>
      <c r="R1405" s="23">
        <v>600300</v>
      </c>
      <c r="Z1405" s="18">
        <f>ROUND(R1405*'Data-CostAssumptions'!$C$8,-3)</f>
        <v>600000</v>
      </c>
      <c r="AA1405" s="11">
        <f t="shared" si="43"/>
        <v>0</v>
      </c>
      <c r="AB1405" s="11">
        <v>2041</v>
      </c>
      <c r="AC1405" s="11">
        <v>2041</v>
      </c>
      <c r="AD1405" s="11">
        <v>2041</v>
      </c>
      <c r="AE1405" s="11">
        <v>2041</v>
      </c>
      <c r="AF1405" s="11">
        <v>0</v>
      </c>
      <c r="AG1405" s="19">
        <f>ROUND((Z1405*'Data-CostAssumptions'!$G$5)*(1+'Data-CostAssumptions'!$G$3)^(AC1405-'Data-CostAssumptions'!$G$4),-3)</f>
        <v>338000</v>
      </c>
      <c r="AH1405" s="19">
        <f>ROUND((Z1405)*(1+'Data-CostAssumptions'!$G$3)^(AE1405-'Data-CostAssumptions'!$G$4),-3)</f>
        <v>1538000</v>
      </c>
    </row>
    <row r="1406" spans="2:34" ht="15" customHeight="1" x14ac:dyDescent="0.2">
      <c r="B1406" s="11" t="s">
        <v>1211</v>
      </c>
      <c r="D1406" s="84" t="s">
        <v>276</v>
      </c>
      <c r="E1406" s="104" t="s">
        <v>1527</v>
      </c>
      <c r="G1406" s="20">
        <v>1409</v>
      </c>
      <c r="H1406" s="13" t="s">
        <v>2161</v>
      </c>
      <c r="I1406" s="13" t="str">
        <f t="shared" ref="I1406:I1469" si="44">IF(M1406="@",H1406&amp;" ("&amp;M1406&amp;"  "&amp;N1406&amp;")",H1406&amp;" ("&amp;M1406&amp;" to "&amp;N1406&amp;")")</f>
        <v>NW 15TH Av  (SW 4TH Av  to NW 6TH ST )</v>
      </c>
      <c r="J1406" s="12" t="s">
        <v>29</v>
      </c>
      <c r="K1406" s="13" t="str">
        <f>VLOOKUP(J1406,'Data-ProjectTypes'!A$3:B$13,2,FALSE)</f>
        <v>Program</v>
      </c>
      <c r="L1406" s="12" t="s">
        <v>1667</v>
      </c>
      <c r="M1406" s="105" t="s">
        <v>2616</v>
      </c>
      <c r="N1406" s="12" t="s">
        <v>1679</v>
      </c>
      <c r="Q1406" s="72">
        <v>0.5</v>
      </c>
      <c r="R1406" s="23">
        <f>ROUND(Q1406*'Data-CostAssumptions'!$C$25,-1)</f>
        <v>84200</v>
      </c>
      <c r="Z1406" s="18">
        <f>ROUND(R1406*'Data-CostAssumptions'!$C$8,-3)</f>
        <v>84000</v>
      </c>
      <c r="AA1406" s="11">
        <f t="shared" si="43"/>
        <v>0</v>
      </c>
      <c r="AB1406" s="11">
        <v>2041</v>
      </c>
      <c r="AC1406" s="11">
        <v>2041</v>
      </c>
      <c r="AD1406" s="11">
        <v>2041</v>
      </c>
      <c r="AE1406" s="11">
        <v>2041</v>
      </c>
      <c r="AF1406" s="11">
        <v>0</v>
      </c>
      <c r="AG1406" s="19">
        <f>ROUND((Z1406*'Data-CostAssumptions'!$G$5)*(1+'Data-CostAssumptions'!$G$3)^(AC1406-'Data-CostAssumptions'!$G$4),-3)</f>
        <v>47000</v>
      </c>
      <c r="AH1406" s="19">
        <f>ROUND((Z1406)*(1+'Data-CostAssumptions'!$G$3)^(AE1406-'Data-CostAssumptions'!$G$4),-3)</f>
        <v>215000</v>
      </c>
    </row>
    <row r="1407" spans="2:34" ht="15" customHeight="1" x14ac:dyDescent="0.2">
      <c r="B1407" s="11" t="s">
        <v>1211</v>
      </c>
      <c r="D1407" s="84" t="s">
        <v>276</v>
      </c>
      <c r="E1407" s="104" t="s">
        <v>1530</v>
      </c>
      <c r="G1407" s="20">
        <v>1410</v>
      </c>
      <c r="H1407" s="13" t="s">
        <v>2162</v>
      </c>
      <c r="I1407" s="13" t="str">
        <f t="shared" si="44"/>
        <v>NW 18TH Av  (NW 7TH Av  to NW 6TH ST )</v>
      </c>
      <c r="J1407" s="12" t="s">
        <v>29</v>
      </c>
      <c r="K1407" s="13" t="str">
        <f>VLOOKUP(J1407,'Data-ProjectTypes'!A$3:B$13,2,FALSE)</f>
        <v>Program</v>
      </c>
      <c r="L1407" s="12" t="s">
        <v>1667</v>
      </c>
      <c r="M1407" s="105" t="s">
        <v>2618</v>
      </c>
      <c r="N1407" s="12" t="s">
        <v>1679</v>
      </c>
      <c r="Q1407" s="72">
        <v>0.3</v>
      </c>
      <c r="R1407" s="23">
        <f>ROUND(Q1407*'Data-CostAssumptions'!$C$25,-1)</f>
        <v>50520</v>
      </c>
      <c r="X1407" s="34"/>
      <c r="Z1407" s="18">
        <f>ROUND(R1407*'Data-CostAssumptions'!$C$8,-3)</f>
        <v>51000</v>
      </c>
      <c r="AA1407" s="11">
        <f t="shared" ref="AA1407:AA1470" si="45">IF(V1407="",IF(W1407="",0,1),1)</f>
        <v>0</v>
      </c>
      <c r="AB1407" s="11">
        <v>2041</v>
      </c>
      <c r="AC1407" s="11">
        <v>2041</v>
      </c>
      <c r="AD1407" s="11">
        <v>2041</v>
      </c>
      <c r="AE1407" s="11">
        <v>2041</v>
      </c>
      <c r="AF1407" s="11">
        <v>0</v>
      </c>
      <c r="AG1407" s="19">
        <f>ROUND((Z1407*'Data-CostAssumptions'!$G$5)*(1+'Data-CostAssumptions'!$G$3)^(AC1407-'Data-CostAssumptions'!$G$4),-3)</f>
        <v>29000</v>
      </c>
      <c r="AH1407" s="19">
        <f>ROUND((Z1407)*(1+'Data-CostAssumptions'!$G$3)^(AE1407-'Data-CostAssumptions'!$G$4),-3)</f>
        <v>131000</v>
      </c>
    </row>
    <row r="1408" spans="2:34" ht="15" customHeight="1" x14ac:dyDescent="0.2">
      <c r="B1408" s="11" t="s">
        <v>1211</v>
      </c>
      <c r="D1408" s="84" t="s">
        <v>276</v>
      </c>
      <c r="E1408" s="104" t="s">
        <v>1546</v>
      </c>
      <c r="G1408" s="20">
        <v>1411</v>
      </c>
      <c r="H1408" s="13" t="s">
        <v>2163</v>
      </c>
      <c r="I1408" s="13" t="str">
        <f t="shared" si="44"/>
        <v>NW 18TH Av/ ST &amp; NW 16TH Av  (NW 9TH Av to W SUNRISE Bl)</v>
      </c>
      <c r="J1408" s="12" t="s">
        <v>29</v>
      </c>
      <c r="K1408" s="13" t="str">
        <f>VLOOKUP(J1408,'Data-ProjectTypes'!A$3:B$13,2,FALSE)</f>
        <v>Program</v>
      </c>
      <c r="L1408" s="12" t="s">
        <v>1667</v>
      </c>
      <c r="M1408" s="105" t="s">
        <v>2617</v>
      </c>
      <c r="N1408" s="12" t="s">
        <v>2303</v>
      </c>
      <c r="Q1408" s="72">
        <v>0.6</v>
      </c>
      <c r="R1408" s="23">
        <f>ROUND(Q1408*'Data-CostAssumptions'!$C$25,-1)</f>
        <v>101040</v>
      </c>
      <c r="Z1408" s="18">
        <f>ROUND(R1408*'Data-CostAssumptions'!$C$8,-3)</f>
        <v>101000</v>
      </c>
      <c r="AA1408" s="11">
        <f t="shared" si="45"/>
        <v>0</v>
      </c>
      <c r="AB1408" s="11">
        <v>2041</v>
      </c>
      <c r="AC1408" s="11">
        <v>2041</v>
      </c>
      <c r="AD1408" s="11">
        <v>2041</v>
      </c>
      <c r="AE1408" s="11">
        <v>2041</v>
      </c>
      <c r="AF1408" s="11">
        <v>0</v>
      </c>
      <c r="AG1408" s="19">
        <f>ROUND((Z1408*'Data-CostAssumptions'!$G$5)*(1+'Data-CostAssumptions'!$G$3)^(AC1408-'Data-CostAssumptions'!$G$4),-3)</f>
        <v>57000</v>
      </c>
      <c r="AH1408" s="19">
        <f>ROUND((Z1408)*(1+'Data-CostAssumptions'!$G$3)^(AE1408-'Data-CostAssumptions'!$G$4),-3)</f>
        <v>259000</v>
      </c>
    </row>
    <row r="1409" spans="2:34" ht="15" customHeight="1" x14ac:dyDescent="0.2">
      <c r="B1409" s="11" t="s">
        <v>1211</v>
      </c>
      <c r="D1409" s="84" t="s">
        <v>276</v>
      </c>
      <c r="E1409" s="104">
        <v>53</v>
      </c>
      <c r="G1409" s="20">
        <v>1412</v>
      </c>
      <c r="H1409" s="13" t="s">
        <v>1240</v>
      </c>
      <c r="I1409" s="13" t="str">
        <f t="shared" si="44"/>
        <v>NW 19TH ST (NW 33RD Av to SR 9/I-95)</v>
      </c>
      <c r="J1409" s="12" t="s">
        <v>29</v>
      </c>
      <c r="K1409" s="13" t="str">
        <f>VLOOKUP(J1409,'Data-ProjectTypes'!A$3:B$13,2,FALSE)</f>
        <v>Program</v>
      </c>
      <c r="L1409" s="12" t="s">
        <v>1346</v>
      </c>
      <c r="M1409" s="105" t="s">
        <v>2169</v>
      </c>
      <c r="N1409" s="12" t="s">
        <v>1445</v>
      </c>
      <c r="Q1409" s="72">
        <v>1.4</v>
      </c>
      <c r="R1409" s="23">
        <v>1517000</v>
      </c>
      <c r="Z1409" s="18">
        <f>ROUND(R1409*'Data-CostAssumptions'!$C$8,-3)</f>
        <v>1517000</v>
      </c>
      <c r="AA1409" s="11">
        <f t="shared" si="45"/>
        <v>0</v>
      </c>
      <c r="AB1409" s="11">
        <v>2041</v>
      </c>
      <c r="AC1409" s="11">
        <v>2041</v>
      </c>
      <c r="AD1409" s="11">
        <v>2041</v>
      </c>
      <c r="AE1409" s="11">
        <v>2041</v>
      </c>
      <c r="AF1409" s="11">
        <v>0</v>
      </c>
      <c r="AG1409" s="19">
        <f>ROUND((Z1409*'Data-CostAssumptions'!$G$5)*(1+'Data-CostAssumptions'!$G$3)^(AC1409-'Data-CostAssumptions'!$G$4),-3)</f>
        <v>856000</v>
      </c>
      <c r="AH1409" s="19">
        <f>ROUND((Z1409)*(1+'Data-CostAssumptions'!$G$3)^(AE1409-'Data-CostAssumptions'!$G$4),-3)</f>
        <v>3890000</v>
      </c>
    </row>
    <row r="1410" spans="2:34" ht="15" customHeight="1" x14ac:dyDescent="0.2">
      <c r="B1410" s="11" t="s">
        <v>1211</v>
      </c>
      <c r="D1410" s="84" t="s">
        <v>276</v>
      </c>
      <c r="E1410" s="104">
        <v>54</v>
      </c>
      <c r="G1410" s="20">
        <v>1413</v>
      </c>
      <c r="H1410" s="13" t="s">
        <v>1240</v>
      </c>
      <c r="I1410" s="13" t="str">
        <f t="shared" si="44"/>
        <v>NW 19TH ST (SR 9/I-95 to NW 9TH Av/Powerline Rd)</v>
      </c>
      <c r="J1410" s="12" t="s">
        <v>29</v>
      </c>
      <c r="K1410" s="13" t="str">
        <f>VLOOKUP(J1410,'Data-ProjectTypes'!A$3:B$13,2,FALSE)</f>
        <v>Program</v>
      </c>
      <c r="L1410" s="12" t="s">
        <v>1348</v>
      </c>
      <c r="M1410" s="105" t="s">
        <v>1445</v>
      </c>
      <c r="N1410" s="12" t="s">
        <v>2685</v>
      </c>
      <c r="Q1410" s="72">
        <v>0.8</v>
      </c>
      <c r="R1410" s="23">
        <v>510300</v>
      </c>
      <c r="Z1410" s="18">
        <f>ROUND(R1410*'Data-CostAssumptions'!$C$8,-3)</f>
        <v>510000</v>
      </c>
      <c r="AA1410" s="11">
        <f t="shared" si="45"/>
        <v>0</v>
      </c>
      <c r="AB1410" s="11">
        <v>2041</v>
      </c>
      <c r="AC1410" s="11">
        <v>2041</v>
      </c>
      <c r="AD1410" s="11">
        <v>2041</v>
      </c>
      <c r="AE1410" s="11">
        <v>2041</v>
      </c>
      <c r="AF1410" s="11">
        <v>0</v>
      </c>
      <c r="AG1410" s="19">
        <f>ROUND((Z1410*'Data-CostAssumptions'!$G$5)*(1+'Data-CostAssumptions'!$G$3)^(AC1410-'Data-CostAssumptions'!$G$4),-3)</f>
        <v>288000</v>
      </c>
      <c r="AH1410" s="19">
        <f>ROUND((Z1410)*(1+'Data-CostAssumptions'!$G$3)^(AE1410-'Data-CostAssumptions'!$G$4),-3)</f>
        <v>1308000</v>
      </c>
    </row>
    <row r="1411" spans="2:34" ht="15" customHeight="1" x14ac:dyDescent="0.2">
      <c r="B1411" s="11" t="s">
        <v>1211</v>
      </c>
      <c r="D1411" s="84" t="s">
        <v>276</v>
      </c>
      <c r="E1411" s="104" t="s">
        <v>1560</v>
      </c>
      <c r="G1411" s="20">
        <v>1414</v>
      </c>
      <c r="H1411" s="13" t="s">
        <v>1618</v>
      </c>
      <c r="I1411" s="13" t="str">
        <f t="shared" si="44"/>
        <v>NW 19TH ST  (NE 7TH ST  to N POWERLINE RD )</v>
      </c>
      <c r="J1411" s="12" t="s">
        <v>29</v>
      </c>
      <c r="K1411" s="13" t="str">
        <f>VLOOKUP(J1411,'Data-ProjectTypes'!A$3:B$13,2,FALSE)</f>
        <v>Program</v>
      </c>
      <c r="L1411" s="12" t="s">
        <v>1667</v>
      </c>
      <c r="M1411" s="105" t="s">
        <v>1606</v>
      </c>
      <c r="N1411" s="12" t="s">
        <v>1730</v>
      </c>
      <c r="Q1411" s="72">
        <v>0.2</v>
      </c>
      <c r="R1411" s="23">
        <f>ROUND(Q1411*'Data-CostAssumptions'!$C$25,-1)</f>
        <v>33680</v>
      </c>
      <c r="Z1411" s="18">
        <f>ROUND(R1411*'Data-CostAssumptions'!$C$8,-3)</f>
        <v>34000</v>
      </c>
      <c r="AA1411" s="11">
        <f t="shared" si="45"/>
        <v>0</v>
      </c>
      <c r="AB1411" s="11">
        <v>2041</v>
      </c>
      <c r="AC1411" s="11">
        <v>2041</v>
      </c>
      <c r="AD1411" s="11">
        <v>2041</v>
      </c>
      <c r="AE1411" s="11">
        <v>2041</v>
      </c>
      <c r="AF1411" s="11">
        <v>0</v>
      </c>
      <c r="AG1411" s="19">
        <f>ROUND((Z1411*'Data-CostAssumptions'!$G$5)*(1+'Data-CostAssumptions'!$G$3)^(AC1411-'Data-CostAssumptions'!$G$4),-3)</f>
        <v>19000</v>
      </c>
      <c r="AH1411" s="19">
        <f>ROUND((Z1411)*(1+'Data-CostAssumptions'!$G$3)^(AE1411-'Data-CostAssumptions'!$G$4),-3)</f>
        <v>87000</v>
      </c>
    </row>
    <row r="1412" spans="2:34" ht="15" customHeight="1" x14ac:dyDescent="0.2">
      <c r="B1412" s="11" t="s">
        <v>1211</v>
      </c>
      <c r="D1412" s="84" t="s">
        <v>276</v>
      </c>
      <c r="E1412" s="104">
        <v>56</v>
      </c>
      <c r="G1412" s="20">
        <v>1415</v>
      </c>
      <c r="H1412" s="13" t="s">
        <v>2164</v>
      </c>
      <c r="I1412" s="13" t="str">
        <f t="shared" si="44"/>
        <v>NW 21ST Av (PROSPECT RD to COMMERCIAL Bl)</v>
      </c>
      <c r="J1412" s="12" t="s">
        <v>29</v>
      </c>
      <c r="K1412" s="13" t="str">
        <f>VLOOKUP(J1412,'Data-ProjectTypes'!A$3:B$13,2,FALSE)</f>
        <v>Program</v>
      </c>
      <c r="L1412" s="12" t="s">
        <v>1349</v>
      </c>
      <c r="M1412" s="105" t="s">
        <v>1242</v>
      </c>
      <c r="N1412" s="12" t="s">
        <v>1990</v>
      </c>
      <c r="Q1412" s="72">
        <v>0.3</v>
      </c>
      <c r="R1412" s="23">
        <v>168300</v>
      </c>
      <c r="Z1412" s="18">
        <f>ROUND(R1412*'Data-CostAssumptions'!$C$8,-3)</f>
        <v>168000</v>
      </c>
      <c r="AA1412" s="11">
        <f t="shared" si="45"/>
        <v>0</v>
      </c>
      <c r="AB1412" s="11">
        <v>2041</v>
      </c>
      <c r="AC1412" s="11">
        <v>2041</v>
      </c>
      <c r="AD1412" s="11">
        <v>2041</v>
      </c>
      <c r="AE1412" s="11">
        <v>2041</v>
      </c>
      <c r="AF1412" s="11">
        <v>0</v>
      </c>
      <c r="AG1412" s="19">
        <f>ROUND((Z1412*'Data-CostAssumptions'!$G$5)*(1+'Data-CostAssumptions'!$G$3)^(AC1412-'Data-CostAssumptions'!$G$4),-3)</f>
        <v>95000</v>
      </c>
      <c r="AH1412" s="19">
        <f>ROUND((Z1412)*(1+'Data-CostAssumptions'!$G$3)^(AE1412-'Data-CostAssumptions'!$G$4),-3)</f>
        <v>431000</v>
      </c>
    </row>
    <row r="1413" spans="2:34" ht="15" customHeight="1" x14ac:dyDescent="0.2">
      <c r="B1413" s="11" t="s">
        <v>1211</v>
      </c>
      <c r="D1413" s="84" t="s">
        <v>276</v>
      </c>
      <c r="E1413" s="104">
        <v>55</v>
      </c>
      <c r="G1413" s="20">
        <v>1416</v>
      </c>
      <c r="H1413" s="13" t="s">
        <v>2164</v>
      </c>
      <c r="I1413" s="13" t="str">
        <f t="shared" si="44"/>
        <v>NW 21ST Av (W CYPRESS CREEK RD to W MCNAB RD)</v>
      </c>
      <c r="J1413" s="12" t="s">
        <v>29</v>
      </c>
      <c r="K1413" s="13" t="str">
        <f>VLOOKUP(J1413,'Data-ProjectTypes'!A$3:B$13,2,FALSE)</f>
        <v>Program</v>
      </c>
      <c r="L1413" s="12" t="s">
        <v>1350</v>
      </c>
      <c r="M1413" s="105" t="s">
        <v>1447</v>
      </c>
      <c r="N1413" s="12" t="s">
        <v>1446</v>
      </c>
      <c r="Q1413" s="72">
        <v>0.5</v>
      </c>
      <c r="R1413" s="23">
        <v>263250</v>
      </c>
      <c r="Z1413" s="18">
        <f>ROUND(R1413*'Data-CostAssumptions'!$C$8,-3)</f>
        <v>263000</v>
      </c>
      <c r="AA1413" s="11">
        <f t="shared" si="45"/>
        <v>0</v>
      </c>
      <c r="AB1413" s="11">
        <v>2041</v>
      </c>
      <c r="AC1413" s="11">
        <v>2041</v>
      </c>
      <c r="AD1413" s="11">
        <v>2041</v>
      </c>
      <c r="AE1413" s="11">
        <v>2041</v>
      </c>
      <c r="AF1413" s="11">
        <v>0</v>
      </c>
      <c r="AG1413" s="19">
        <f>ROUND((Z1413*'Data-CostAssumptions'!$G$5)*(1+'Data-CostAssumptions'!$G$3)^(AC1413-'Data-CostAssumptions'!$G$4),-3)</f>
        <v>148000</v>
      </c>
      <c r="AH1413" s="19">
        <f>ROUND((Z1413)*(1+'Data-CostAssumptions'!$G$3)^(AE1413-'Data-CostAssumptions'!$G$4),-3)</f>
        <v>674000</v>
      </c>
    </row>
    <row r="1414" spans="2:34" ht="15" customHeight="1" x14ac:dyDescent="0.2">
      <c r="B1414" s="11" t="s">
        <v>1211</v>
      </c>
      <c r="D1414" s="84" t="s">
        <v>276</v>
      </c>
      <c r="E1414" s="104" t="s">
        <v>1531</v>
      </c>
      <c r="G1414" s="20">
        <v>1417</v>
      </c>
      <c r="H1414" s="13" t="s">
        <v>2165</v>
      </c>
      <c r="I1414" s="13" t="str">
        <f t="shared" si="44"/>
        <v>NW 21ST Av  (NW 3RD CT  to NW 6TH ST )</v>
      </c>
      <c r="J1414" s="12" t="s">
        <v>29</v>
      </c>
      <c r="K1414" s="13" t="str">
        <f>VLOOKUP(J1414,'Data-ProjectTypes'!A$3:B$13,2,FALSE)</f>
        <v>Program</v>
      </c>
      <c r="L1414" s="12" t="s">
        <v>1667</v>
      </c>
      <c r="M1414" s="105" t="s">
        <v>1603</v>
      </c>
      <c r="N1414" s="12" t="s">
        <v>1679</v>
      </c>
      <c r="Q1414" s="72">
        <v>0.3</v>
      </c>
      <c r="R1414" s="23">
        <f>ROUND(Q1414*'Data-CostAssumptions'!$C$25,-1)</f>
        <v>50520</v>
      </c>
      <c r="Z1414" s="18">
        <f>ROUND(R1414*'Data-CostAssumptions'!$C$8,-3)</f>
        <v>51000</v>
      </c>
      <c r="AA1414" s="11">
        <f t="shared" si="45"/>
        <v>0</v>
      </c>
      <c r="AB1414" s="11">
        <v>2041</v>
      </c>
      <c r="AC1414" s="11">
        <v>2041</v>
      </c>
      <c r="AD1414" s="11">
        <v>2041</v>
      </c>
      <c r="AE1414" s="11">
        <v>2041</v>
      </c>
      <c r="AF1414" s="11">
        <v>0</v>
      </c>
      <c r="AG1414" s="19">
        <f>ROUND((Z1414*'Data-CostAssumptions'!$G$5)*(1+'Data-CostAssumptions'!$G$3)^(AC1414-'Data-CostAssumptions'!$G$4),-3)</f>
        <v>29000</v>
      </c>
      <c r="AH1414" s="19">
        <f>ROUND((Z1414)*(1+'Data-CostAssumptions'!$G$3)^(AE1414-'Data-CostAssumptions'!$G$4),-3)</f>
        <v>131000</v>
      </c>
    </row>
    <row r="1415" spans="2:34" ht="15" customHeight="1" x14ac:dyDescent="0.2">
      <c r="B1415" s="11" t="s">
        <v>1211</v>
      </c>
      <c r="D1415" s="84" t="s">
        <v>276</v>
      </c>
      <c r="E1415" s="104">
        <v>57</v>
      </c>
      <c r="G1415" s="20">
        <v>1418</v>
      </c>
      <c r="H1415" s="13" t="s">
        <v>2166</v>
      </c>
      <c r="I1415" s="13" t="str">
        <f t="shared" si="44"/>
        <v>NW 23RD Av/NW 21ST Av (SR 838 / Sunrise Bl to NW 26TH ST)</v>
      </c>
      <c r="J1415" s="12" t="s">
        <v>29</v>
      </c>
      <c r="K1415" s="13" t="str">
        <f>VLOOKUP(J1415,'Data-ProjectTypes'!A$3:B$13,2,FALSE)</f>
        <v>Program</v>
      </c>
      <c r="L1415" s="12" t="s">
        <v>1352</v>
      </c>
      <c r="M1415" s="105" t="s">
        <v>2686</v>
      </c>
      <c r="N1415" s="12" t="s">
        <v>1241</v>
      </c>
      <c r="Q1415" s="72">
        <v>1.9</v>
      </c>
      <c r="R1415" s="23">
        <v>680000</v>
      </c>
      <c r="Z1415" s="18">
        <f>ROUND(R1415*'Data-CostAssumptions'!$C$8,-3)</f>
        <v>680000</v>
      </c>
      <c r="AA1415" s="11">
        <f t="shared" si="45"/>
        <v>0</v>
      </c>
      <c r="AB1415" s="11">
        <v>2041</v>
      </c>
      <c r="AC1415" s="11">
        <v>2041</v>
      </c>
      <c r="AD1415" s="11">
        <v>2041</v>
      </c>
      <c r="AE1415" s="11">
        <v>2041</v>
      </c>
      <c r="AF1415" s="11">
        <v>0</v>
      </c>
      <c r="AG1415" s="19">
        <f>ROUND((Z1415*'Data-CostAssumptions'!$G$5)*(1+'Data-CostAssumptions'!$G$3)^(AC1415-'Data-CostAssumptions'!$G$4),-3)</f>
        <v>384000</v>
      </c>
      <c r="AH1415" s="19">
        <f>ROUND((Z1415)*(1+'Data-CostAssumptions'!$G$3)^(AE1415-'Data-CostAssumptions'!$G$4),-3)</f>
        <v>1743000</v>
      </c>
    </row>
    <row r="1416" spans="2:34" ht="15" customHeight="1" x14ac:dyDescent="0.2">
      <c r="B1416" s="11" t="s">
        <v>1211</v>
      </c>
      <c r="D1416" s="84" t="s">
        <v>276</v>
      </c>
      <c r="E1416" s="104">
        <v>58</v>
      </c>
      <c r="G1416" s="20">
        <v>1419</v>
      </c>
      <c r="H1416" s="13" t="s">
        <v>1241</v>
      </c>
      <c r="I1416" s="13" t="str">
        <f t="shared" si="44"/>
        <v>NW 26TH ST (NW 31ST Av/MLK JR Av to NW 21ST Av)</v>
      </c>
      <c r="J1416" s="12" t="s">
        <v>29</v>
      </c>
      <c r="K1416" s="13" t="str">
        <f>VLOOKUP(J1416,'Data-ProjectTypes'!A$3:B$13,2,FALSE)</f>
        <v>Program</v>
      </c>
      <c r="L1416" s="12" t="s">
        <v>1353</v>
      </c>
      <c r="M1416" s="105" t="s">
        <v>2619</v>
      </c>
      <c r="N1416" s="12" t="s">
        <v>2164</v>
      </c>
      <c r="Q1416" s="72">
        <v>1</v>
      </c>
      <c r="R1416" s="23">
        <v>558000</v>
      </c>
      <c r="Z1416" s="18">
        <f>ROUND(R1416*'Data-CostAssumptions'!$C$8,-3)</f>
        <v>558000</v>
      </c>
      <c r="AA1416" s="11">
        <f t="shared" si="45"/>
        <v>0</v>
      </c>
      <c r="AB1416" s="11">
        <v>2041</v>
      </c>
      <c r="AC1416" s="11">
        <v>2041</v>
      </c>
      <c r="AD1416" s="11">
        <v>2041</v>
      </c>
      <c r="AE1416" s="11">
        <v>2041</v>
      </c>
      <c r="AF1416" s="11">
        <v>0</v>
      </c>
      <c r="AG1416" s="19">
        <f>ROUND((Z1416*'Data-CostAssumptions'!$G$5)*(1+'Data-CostAssumptions'!$G$3)^(AC1416-'Data-CostAssumptions'!$G$4),-3)</f>
        <v>315000</v>
      </c>
      <c r="AH1416" s="19">
        <f>ROUND((Z1416)*(1+'Data-CostAssumptions'!$G$3)^(AE1416-'Data-CostAssumptions'!$G$4),-3)</f>
        <v>1431000</v>
      </c>
    </row>
    <row r="1417" spans="2:34" ht="15" customHeight="1" x14ac:dyDescent="0.2">
      <c r="B1417" s="11" t="s">
        <v>1211</v>
      </c>
      <c r="D1417" s="84" t="s">
        <v>276</v>
      </c>
      <c r="E1417" s="104">
        <v>59</v>
      </c>
      <c r="G1417" s="20">
        <v>1420</v>
      </c>
      <c r="H1417" s="13" t="s">
        <v>2167</v>
      </c>
      <c r="I1417" s="13" t="str">
        <f t="shared" si="44"/>
        <v>NW 31ST Av (COMMERCIAL Bl to CYPRESS CREEK RD/NW 62ND ST)</v>
      </c>
      <c r="J1417" s="12" t="s">
        <v>29</v>
      </c>
      <c r="K1417" s="13" t="str">
        <f>VLOOKUP(J1417,'Data-ProjectTypes'!A$3:B$13,2,FALSE)</f>
        <v>Program</v>
      </c>
      <c r="L1417" s="12" t="s">
        <v>1357</v>
      </c>
      <c r="M1417" s="105" t="s">
        <v>1990</v>
      </c>
      <c r="N1417" s="12" t="s">
        <v>1448</v>
      </c>
      <c r="Q1417" s="72">
        <v>1.1000000000000001</v>
      </c>
      <c r="R1417" s="23">
        <v>692550</v>
      </c>
      <c r="Z1417" s="18">
        <f>ROUND(R1417*'Data-CostAssumptions'!$C$8,-3)</f>
        <v>693000</v>
      </c>
      <c r="AA1417" s="11">
        <f t="shared" si="45"/>
        <v>0</v>
      </c>
      <c r="AB1417" s="11">
        <v>2041</v>
      </c>
      <c r="AC1417" s="11">
        <v>2041</v>
      </c>
      <c r="AD1417" s="11">
        <v>2041</v>
      </c>
      <c r="AE1417" s="11">
        <v>2041</v>
      </c>
      <c r="AF1417" s="11">
        <v>0</v>
      </c>
      <c r="AG1417" s="19">
        <f>ROUND((Z1417*'Data-CostAssumptions'!$G$5)*(1+'Data-CostAssumptions'!$G$3)^(AC1417-'Data-CostAssumptions'!$G$4),-3)</f>
        <v>391000</v>
      </c>
      <c r="AH1417" s="19">
        <f>ROUND((Z1417)*(1+'Data-CostAssumptions'!$G$3)^(AE1417-'Data-CostAssumptions'!$G$4),-3)</f>
        <v>1777000</v>
      </c>
    </row>
    <row r="1418" spans="2:34" ht="15" customHeight="1" x14ac:dyDescent="0.2">
      <c r="B1418" s="11" t="s">
        <v>1211</v>
      </c>
      <c r="D1418" s="84" t="s">
        <v>276</v>
      </c>
      <c r="E1418" s="104">
        <v>60</v>
      </c>
      <c r="G1418" s="20">
        <v>1421</v>
      </c>
      <c r="H1418" s="13" t="s">
        <v>2167</v>
      </c>
      <c r="I1418" s="13" t="str">
        <f t="shared" si="44"/>
        <v>NW 31ST Av (NW 26TH ST  to NW 13TH ST)</v>
      </c>
      <c r="J1418" s="12" t="s">
        <v>29</v>
      </c>
      <c r="K1418" s="13" t="str">
        <f>VLOOKUP(J1418,'Data-ProjectTypes'!A$3:B$13,2,FALSE)</f>
        <v>Program</v>
      </c>
      <c r="L1418" s="12" t="s">
        <v>1357</v>
      </c>
      <c r="M1418" s="105" t="s">
        <v>1450</v>
      </c>
      <c r="N1418" s="12" t="s">
        <v>1449</v>
      </c>
      <c r="Q1418" s="72">
        <v>1.1000000000000001</v>
      </c>
      <c r="R1418" s="23">
        <v>1275750</v>
      </c>
      <c r="Z1418" s="18">
        <f>ROUND(R1418*'Data-CostAssumptions'!$C$8,-3)</f>
        <v>1276000</v>
      </c>
      <c r="AA1418" s="11">
        <f t="shared" si="45"/>
        <v>0</v>
      </c>
      <c r="AB1418" s="11">
        <v>2041</v>
      </c>
      <c r="AC1418" s="11">
        <v>2041</v>
      </c>
      <c r="AD1418" s="11">
        <v>2041</v>
      </c>
      <c r="AE1418" s="11">
        <v>2041</v>
      </c>
      <c r="AF1418" s="11">
        <v>0</v>
      </c>
      <c r="AG1418" s="19">
        <f>ROUND((Z1418*'Data-CostAssumptions'!$G$5)*(1+'Data-CostAssumptions'!$G$3)^(AC1418-'Data-CostAssumptions'!$G$4),-3)</f>
        <v>720000</v>
      </c>
      <c r="AH1418" s="19">
        <f>ROUND((Z1418)*(1+'Data-CostAssumptions'!$G$3)^(AE1418-'Data-CostAssumptions'!$G$4),-3)</f>
        <v>3272000</v>
      </c>
    </row>
    <row r="1419" spans="2:34" ht="15" customHeight="1" x14ac:dyDescent="0.2">
      <c r="B1419" s="11" t="s">
        <v>1211</v>
      </c>
      <c r="D1419" s="84" t="s">
        <v>276</v>
      </c>
      <c r="E1419" s="104">
        <v>29</v>
      </c>
      <c r="G1419" s="20">
        <v>1422</v>
      </c>
      <c r="H1419" s="13" t="s">
        <v>2168</v>
      </c>
      <c r="I1419" s="13" t="str">
        <f t="shared" si="44"/>
        <v>NW 31ST Av/LYONS RD (CYPRESS CREEK RD/NW 62ND ST to MCNAB RD)</v>
      </c>
      <c r="J1419" s="12" t="s">
        <v>29</v>
      </c>
      <c r="K1419" s="13" t="str">
        <f>VLOOKUP(J1419,'Data-ProjectTypes'!A$3:B$13,2,FALSE)</f>
        <v>Program</v>
      </c>
      <c r="L1419" s="12" t="s">
        <v>1355</v>
      </c>
      <c r="M1419" s="105" t="s">
        <v>1448</v>
      </c>
      <c r="N1419" s="12" t="s">
        <v>1227</v>
      </c>
      <c r="Q1419" s="72">
        <v>0.5</v>
      </c>
      <c r="R1419" s="23">
        <v>315900</v>
      </c>
      <c r="Z1419" s="18">
        <f>ROUND(R1419*'Data-CostAssumptions'!$C$8,-3)</f>
        <v>316000</v>
      </c>
      <c r="AA1419" s="11">
        <f t="shared" si="45"/>
        <v>0</v>
      </c>
      <c r="AB1419" s="11">
        <v>2041</v>
      </c>
      <c r="AC1419" s="11">
        <v>2041</v>
      </c>
      <c r="AD1419" s="11">
        <v>2041</v>
      </c>
      <c r="AE1419" s="11">
        <v>2041</v>
      </c>
      <c r="AF1419" s="11">
        <v>0</v>
      </c>
      <c r="AG1419" s="19">
        <f>ROUND((Z1419*'Data-CostAssumptions'!$G$5)*(1+'Data-CostAssumptions'!$G$3)^(AC1419-'Data-CostAssumptions'!$G$4),-3)</f>
        <v>178000</v>
      </c>
      <c r="AH1419" s="19">
        <f>ROUND((Z1419)*(1+'Data-CostAssumptions'!$G$3)^(AE1419-'Data-CostAssumptions'!$G$4),-3)</f>
        <v>810000</v>
      </c>
    </row>
    <row r="1420" spans="2:34" ht="15" customHeight="1" x14ac:dyDescent="0.2">
      <c r="B1420" s="11" t="s">
        <v>1211</v>
      </c>
      <c r="D1420" s="84" t="s">
        <v>276</v>
      </c>
      <c r="E1420" s="104">
        <v>201</v>
      </c>
      <c r="G1420" s="20">
        <v>1423</v>
      </c>
      <c r="H1420" s="13" t="s">
        <v>2169</v>
      </c>
      <c r="I1420" s="13" t="str">
        <f t="shared" si="44"/>
        <v>NW 33RD Av (COMMERCIAL Bl to W PROSPECT RD)</v>
      </c>
      <c r="J1420" s="12" t="s">
        <v>29</v>
      </c>
      <c r="K1420" s="13" t="str">
        <f>VLOOKUP(J1420,'Data-ProjectTypes'!A$3:B$13,2,FALSE)</f>
        <v>Program</v>
      </c>
      <c r="L1420" s="12" t="s">
        <v>1666</v>
      </c>
      <c r="M1420" s="105" t="s">
        <v>1990</v>
      </c>
      <c r="N1420" s="12" t="s">
        <v>1686</v>
      </c>
      <c r="Q1420" s="72">
        <v>0.6</v>
      </c>
      <c r="R1420" s="23">
        <f>ROUND(Q1420*'Data-CostAssumptions'!$C$25,-1)</f>
        <v>101040</v>
      </c>
      <c r="Z1420" s="18">
        <f>ROUND(R1420*'Data-CostAssumptions'!$C$8,-3)</f>
        <v>101000</v>
      </c>
      <c r="AA1420" s="11">
        <f t="shared" si="45"/>
        <v>0</v>
      </c>
      <c r="AB1420" s="11">
        <v>2041</v>
      </c>
      <c r="AC1420" s="11">
        <v>2041</v>
      </c>
      <c r="AD1420" s="11">
        <v>2041</v>
      </c>
      <c r="AE1420" s="11">
        <v>2041</v>
      </c>
      <c r="AF1420" s="11">
        <v>0</v>
      </c>
      <c r="AG1420" s="19">
        <f>ROUND((Z1420*'Data-CostAssumptions'!$G$5)*(1+'Data-CostAssumptions'!$G$3)^(AC1420-'Data-CostAssumptions'!$G$4),-3)</f>
        <v>57000</v>
      </c>
      <c r="AH1420" s="19">
        <f>ROUND((Z1420)*(1+'Data-CostAssumptions'!$G$3)^(AE1420-'Data-CostAssumptions'!$G$4),-3)</f>
        <v>259000</v>
      </c>
    </row>
    <row r="1421" spans="2:34" ht="15" customHeight="1" x14ac:dyDescent="0.2">
      <c r="B1421" s="11" t="s">
        <v>1211</v>
      </c>
      <c r="D1421" s="84" t="s">
        <v>276</v>
      </c>
      <c r="E1421" s="104">
        <v>200</v>
      </c>
      <c r="G1421" s="20">
        <v>1424</v>
      </c>
      <c r="H1421" s="13" t="s">
        <v>2170</v>
      </c>
      <c r="I1421" s="13" t="str">
        <f t="shared" si="44"/>
        <v>NW 35TH Av (NW 53RD RD to W CYPRESS CREEK RD)</v>
      </c>
      <c r="J1421" s="12" t="s">
        <v>29</v>
      </c>
      <c r="K1421" s="13" t="str">
        <f>VLOOKUP(J1421,'Data-ProjectTypes'!A$3:B$13,2,FALSE)</f>
        <v>Program</v>
      </c>
      <c r="L1421" s="12" t="s">
        <v>1666</v>
      </c>
      <c r="M1421" s="105" t="s">
        <v>1685</v>
      </c>
      <c r="N1421" s="12" t="s">
        <v>1447</v>
      </c>
      <c r="Q1421" s="72">
        <v>0.9</v>
      </c>
      <c r="R1421" s="23">
        <f>ROUND(Q1421*'Data-CostAssumptions'!$C$25,-1)</f>
        <v>151560</v>
      </c>
      <c r="Z1421" s="18">
        <f>ROUND(R1421*'Data-CostAssumptions'!$C$8,-3)</f>
        <v>152000</v>
      </c>
      <c r="AA1421" s="11">
        <f t="shared" si="45"/>
        <v>0</v>
      </c>
      <c r="AB1421" s="11">
        <v>2041</v>
      </c>
      <c r="AC1421" s="11">
        <v>2041</v>
      </c>
      <c r="AD1421" s="11">
        <v>2041</v>
      </c>
      <c r="AE1421" s="11">
        <v>2041</v>
      </c>
      <c r="AF1421" s="11">
        <v>0</v>
      </c>
      <c r="AG1421" s="19">
        <f>ROUND((Z1421*'Data-CostAssumptions'!$G$5)*(1+'Data-CostAssumptions'!$G$3)^(AC1421-'Data-CostAssumptions'!$G$4),-3)</f>
        <v>86000</v>
      </c>
      <c r="AH1421" s="19">
        <f>ROUND((Z1421)*(1+'Data-CostAssumptions'!$G$3)^(AE1421-'Data-CostAssumptions'!$G$4),-3)</f>
        <v>390000</v>
      </c>
    </row>
    <row r="1422" spans="2:34" ht="15" customHeight="1" x14ac:dyDescent="0.2">
      <c r="B1422" s="11" t="s">
        <v>1211</v>
      </c>
      <c r="D1422" s="84" t="s">
        <v>276</v>
      </c>
      <c r="E1422" s="104" t="s">
        <v>1532</v>
      </c>
      <c r="G1422" s="20">
        <v>1425</v>
      </c>
      <c r="H1422" s="13" t="s">
        <v>1603</v>
      </c>
      <c r="I1422" s="13" t="str">
        <f t="shared" si="44"/>
        <v>NW 3RD CT  (NW 3RD CT  to NW 21ST Av )</v>
      </c>
      <c r="J1422" s="12" t="s">
        <v>29</v>
      </c>
      <c r="K1422" s="13" t="str">
        <f>VLOOKUP(J1422,'Data-ProjectTypes'!A$3:B$13,2,FALSE)</f>
        <v>Program</v>
      </c>
      <c r="L1422" s="12" t="s">
        <v>1667</v>
      </c>
      <c r="M1422" s="105" t="s">
        <v>1603</v>
      </c>
      <c r="N1422" s="12" t="s">
        <v>2165</v>
      </c>
      <c r="Q1422" s="72">
        <v>0.4</v>
      </c>
      <c r="R1422" s="23">
        <f>ROUND(Q1422*'Data-CostAssumptions'!$C$25,-1)</f>
        <v>67360</v>
      </c>
      <c r="Z1422" s="18">
        <f>ROUND(R1422*'Data-CostAssumptions'!$C$8,-3)</f>
        <v>67000</v>
      </c>
      <c r="AA1422" s="11">
        <f t="shared" si="45"/>
        <v>0</v>
      </c>
      <c r="AB1422" s="11">
        <v>2041</v>
      </c>
      <c r="AC1422" s="11">
        <v>2041</v>
      </c>
      <c r="AD1422" s="11">
        <v>2041</v>
      </c>
      <c r="AE1422" s="11">
        <v>2041</v>
      </c>
      <c r="AF1422" s="11">
        <v>0</v>
      </c>
      <c r="AG1422" s="19">
        <f>ROUND((Z1422*'Data-CostAssumptions'!$G$5)*(1+'Data-CostAssumptions'!$G$3)^(AC1422-'Data-CostAssumptions'!$G$4),-3)</f>
        <v>38000</v>
      </c>
      <c r="AH1422" s="19">
        <f>ROUND((Z1422)*(1+'Data-CostAssumptions'!$G$3)^(AE1422-'Data-CostAssumptions'!$G$4),-3)</f>
        <v>172000</v>
      </c>
    </row>
    <row r="1423" spans="2:34" ht="15" customHeight="1" x14ac:dyDescent="0.2">
      <c r="B1423" s="11" t="s">
        <v>1211</v>
      </c>
      <c r="D1423" s="84" t="s">
        <v>276</v>
      </c>
      <c r="E1423" s="104" t="s">
        <v>1529</v>
      </c>
      <c r="G1423" s="20">
        <v>1426</v>
      </c>
      <c r="H1423" s="13" t="s">
        <v>1602</v>
      </c>
      <c r="I1423" s="13" t="str">
        <f t="shared" si="44"/>
        <v>NW 5TH ST (W BROWARD Bl  to NW 15TH Av )</v>
      </c>
      <c r="J1423" s="12" t="s">
        <v>29</v>
      </c>
      <c r="K1423" s="13" t="str">
        <f>VLOOKUP(J1423,'Data-ProjectTypes'!A$3:B$13,2,FALSE)</f>
        <v>Program</v>
      </c>
      <c r="L1423" s="12" t="s">
        <v>1667</v>
      </c>
      <c r="M1423" s="105" t="s">
        <v>2310</v>
      </c>
      <c r="N1423" s="12" t="s">
        <v>2161</v>
      </c>
      <c r="Q1423" s="72">
        <v>0.7</v>
      </c>
      <c r="R1423" s="23">
        <f>ROUND(Q1423*'Data-CostAssumptions'!$C$25,-1)</f>
        <v>117880</v>
      </c>
      <c r="Z1423" s="18">
        <f>ROUND(R1423*'Data-CostAssumptions'!$C$8,-3)</f>
        <v>118000</v>
      </c>
      <c r="AA1423" s="11">
        <f t="shared" si="45"/>
        <v>0</v>
      </c>
      <c r="AB1423" s="11">
        <v>2041</v>
      </c>
      <c r="AC1423" s="11">
        <v>2041</v>
      </c>
      <c r="AD1423" s="11">
        <v>2041</v>
      </c>
      <c r="AE1423" s="11">
        <v>2041</v>
      </c>
      <c r="AF1423" s="11">
        <v>0</v>
      </c>
      <c r="AG1423" s="19">
        <f>ROUND((Z1423*'Data-CostAssumptions'!$G$5)*(1+'Data-CostAssumptions'!$G$3)^(AC1423-'Data-CostAssumptions'!$G$4),-3)</f>
        <v>67000</v>
      </c>
      <c r="AH1423" s="19">
        <f>ROUND((Z1423)*(1+'Data-CostAssumptions'!$G$3)^(AE1423-'Data-CostAssumptions'!$G$4),-3)</f>
        <v>303000</v>
      </c>
    </row>
    <row r="1424" spans="2:34" ht="15" customHeight="1" x14ac:dyDescent="0.2">
      <c r="B1424" s="11" t="s">
        <v>1211</v>
      </c>
      <c r="D1424" s="84" t="s">
        <v>276</v>
      </c>
      <c r="E1424" s="104">
        <v>63</v>
      </c>
      <c r="G1424" s="20">
        <v>1427</v>
      </c>
      <c r="H1424" s="13" t="s">
        <v>1238</v>
      </c>
      <c r="I1424" s="13" t="str">
        <f t="shared" si="44"/>
        <v>NW 6TH ST (NW 15TH Av to NW 27TH Av)</v>
      </c>
      <c r="J1424" s="12" t="s">
        <v>29</v>
      </c>
      <c r="K1424" s="13" t="str">
        <f>VLOOKUP(J1424,'Data-ProjectTypes'!A$3:B$13,2,FALSE)</f>
        <v>Program</v>
      </c>
      <c r="L1424" s="12" t="s">
        <v>1332</v>
      </c>
      <c r="M1424" s="105" t="s">
        <v>2160</v>
      </c>
      <c r="N1424" s="12" t="s">
        <v>2605</v>
      </c>
      <c r="Q1424" s="72">
        <v>1</v>
      </c>
      <c r="R1424" s="23">
        <v>200000</v>
      </c>
      <c r="Z1424" s="18">
        <f>ROUND(R1424*'Data-CostAssumptions'!$C$8,-3)</f>
        <v>200000</v>
      </c>
      <c r="AA1424" s="11">
        <f t="shared" si="45"/>
        <v>0</v>
      </c>
      <c r="AB1424" s="11">
        <v>2041</v>
      </c>
      <c r="AC1424" s="11">
        <v>2041</v>
      </c>
      <c r="AD1424" s="11">
        <v>2041</v>
      </c>
      <c r="AE1424" s="11">
        <v>2041</v>
      </c>
      <c r="AF1424" s="11">
        <v>0</v>
      </c>
      <c r="AG1424" s="19">
        <f>ROUND((Z1424*'Data-CostAssumptions'!$G$5)*(1+'Data-CostAssumptions'!$G$3)^(AC1424-'Data-CostAssumptions'!$G$4),-3)</f>
        <v>113000</v>
      </c>
      <c r="AH1424" s="19">
        <f>ROUND((Z1424)*(1+'Data-CostAssumptions'!$G$3)^(AE1424-'Data-CostAssumptions'!$G$4),-3)</f>
        <v>513000</v>
      </c>
    </row>
    <row r="1425" spans="2:34" ht="15" customHeight="1" x14ac:dyDescent="0.2">
      <c r="B1425" s="11" t="s">
        <v>1211</v>
      </c>
      <c r="D1425" s="84" t="s">
        <v>276</v>
      </c>
      <c r="E1425" s="104">
        <v>62</v>
      </c>
      <c r="G1425" s="20">
        <v>1428</v>
      </c>
      <c r="H1425" s="13" t="s">
        <v>1238</v>
      </c>
      <c r="I1425" s="13" t="str">
        <f t="shared" si="44"/>
        <v>NW 6TH ST (NW 7TH Av/AVE OF THE ARTS to NW 15TH Av)</v>
      </c>
      <c r="J1425" s="12" t="s">
        <v>29</v>
      </c>
      <c r="K1425" s="13" t="str">
        <f>VLOOKUP(J1425,'Data-ProjectTypes'!A$3:B$13,2,FALSE)</f>
        <v>Program</v>
      </c>
      <c r="L1425" s="12" t="s">
        <v>1329</v>
      </c>
      <c r="M1425" s="105" t="s">
        <v>2615</v>
      </c>
      <c r="N1425" s="12" t="s">
        <v>2160</v>
      </c>
      <c r="Q1425" s="72">
        <v>0.7</v>
      </c>
      <c r="R1425" s="23">
        <v>94500</v>
      </c>
      <c r="Z1425" s="18">
        <f>ROUND(R1425*'Data-CostAssumptions'!$C$8,-3)</f>
        <v>95000</v>
      </c>
      <c r="AA1425" s="11">
        <f t="shared" si="45"/>
        <v>0</v>
      </c>
      <c r="AB1425" s="11">
        <v>2041</v>
      </c>
      <c r="AC1425" s="11">
        <v>2041</v>
      </c>
      <c r="AD1425" s="11">
        <v>2041</v>
      </c>
      <c r="AE1425" s="11">
        <v>2041</v>
      </c>
      <c r="AF1425" s="11">
        <v>0</v>
      </c>
      <c r="AG1425" s="19">
        <f>ROUND((Z1425*'Data-CostAssumptions'!$G$5)*(1+'Data-CostAssumptions'!$G$3)^(AC1425-'Data-CostAssumptions'!$G$4),-3)</f>
        <v>54000</v>
      </c>
      <c r="AH1425" s="19">
        <f>ROUND((Z1425)*(1+'Data-CostAssumptions'!$G$3)^(AE1425-'Data-CostAssumptions'!$G$4),-3)</f>
        <v>244000</v>
      </c>
    </row>
    <row r="1426" spans="2:34" ht="15" customHeight="1" x14ac:dyDescent="0.2">
      <c r="B1426" s="11" t="s">
        <v>1211</v>
      </c>
      <c r="D1426" s="84" t="s">
        <v>276</v>
      </c>
      <c r="E1426" s="104">
        <v>66</v>
      </c>
      <c r="G1426" s="20">
        <v>1429</v>
      </c>
      <c r="H1426" s="13" t="s">
        <v>1982</v>
      </c>
      <c r="I1426" s="13" t="str">
        <f t="shared" si="44"/>
        <v>NW 7th Av (BROWARD Bl to NW 6TH ST/SISTRUNK Bl)</v>
      </c>
      <c r="J1426" s="12" t="s">
        <v>29</v>
      </c>
      <c r="K1426" s="13" t="str">
        <f>VLOOKUP(J1426,'Data-ProjectTypes'!A$3:B$13,2,FALSE)</f>
        <v>Program</v>
      </c>
      <c r="L1426" s="12" t="s">
        <v>1335</v>
      </c>
      <c r="M1426" s="105" t="s">
        <v>1988</v>
      </c>
      <c r="N1426" s="12" t="s">
        <v>2304</v>
      </c>
      <c r="Q1426" s="72">
        <v>0.5</v>
      </c>
      <c r="R1426" s="23">
        <v>315900</v>
      </c>
      <c r="X1426" s="34"/>
      <c r="Z1426" s="18">
        <f>ROUND(R1426*'Data-CostAssumptions'!$C$8,-3)</f>
        <v>316000</v>
      </c>
      <c r="AA1426" s="11">
        <f t="shared" si="45"/>
        <v>0</v>
      </c>
      <c r="AB1426" s="11">
        <v>2041</v>
      </c>
      <c r="AC1426" s="11">
        <v>2041</v>
      </c>
      <c r="AD1426" s="11">
        <v>2041</v>
      </c>
      <c r="AE1426" s="11">
        <v>2041</v>
      </c>
      <c r="AF1426" s="11">
        <v>0</v>
      </c>
      <c r="AG1426" s="19">
        <f>ROUND((Z1426*'Data-CostAssumptions'!$G$5)*(1+'Data-CostAssumptions'!$G$3)^(AC1426-'Data-CostAssumptions'!$G$4),-3)</f>
        <v>178000</v>
      </c>
      <c r="AH1426" s="19">
        <f>ROUND((Z1426)*(1+'Data-CostAssumptions'!$G$3)^(AE1426-'Data-CostAssumptions'!$G$4),-3)</f>
        <v>810000</v>
      </c>
    </row>
    <row r="1427" spans="2:34" ht="15" customHeight="1" x14ac:dyDescent="0.2">
      <c r="B1427" s="11" t="s">
        <v>1211</v>
      </c>
      <c r="D1427" s="84" t="s">
        <v>276</v>
      </c>
      <c r="E1427" s="104">
        <v>65</v>
      </c>
      <c r="G1427" s="20">
        <v>1430</v>
      </c>
      <c r="H1427" s="13" t="s">
        <v>1982</v>
      </c>
      <c r="I1427" s="13" t="str">
        <f t="shared" si="44"/>
        <v>NW 7th Av (NW 6TH ST/SISTRUNK Bl to SUNRISE Bl/SR 838)</v>
      </c>
      <c r="J1427" s="12" t="s">
        <v>29</v>
      </c>
      <c r="K1427" s="13" t="str">
        <f>VLOOKUP(J1427,'Data-ProjectTypes'!A$3:B$13,2,FALSE)</f>
        <v>Program</v>
      </c>
      <c r="L1427" s="12" t="s">
        <v>1337</v>
      </c>
      <c r="M1427" s="105" t="s">
        <v>2304</v>
      </c>
      <c r="N1427" s="12" t="s">
        <v>2305</v>
      </c>
      <c r="Q1427" s="72">
        <v>0.5</v>
      </c>
      <c r="R1427" s="23">
        <v>303750</v>
      </c>
      <c r="Z1427" s="18">
        <f>ROUND(R1427*'Data-CostAssumptions'!$C$8,-3)</f>
        <v>304000</v>
      </c>
      <c r="AA1427" s="11">
        <f t="shared" si="45"/>
        <v>0</v>
      </c>
      <c r="AB1427" s="11">
        <v>2041</v>
      </c>
      <c r="AC1427" s="11">
        <v>2041</v>
      </c>
      <c r="AD1427" s="11">
        <v>2041</v>
      </c>
      <c r="AE1427" s="11">
        <v>2041</v>
      </c>
      <c r="AF1427" s="11">
        <v>0</v>
      </c>
      <c r="AG1427" s="19">
        <f>ROUND((Z1427*'Data-CostAssumptions'!$G$5)*(1+'Data-CostAssumptions'!$G$3)^(AC1427-'Data-CostAssumptions'!$G$4),-3)</f>
        <v>171000</v>
      </c>
      <c r="AH1427" s="19">
        <f>ROUND((Z1427)*(1+'Data-CostAssumptions'!$G$3)^(AE1427-'Data-CostAssumptions'!$G$4),-3)</f>
        <v>779000</v>
      </c>
    </row>
    <row r="1428" spans="2:34" ht="15" customHeight="1" x14ac:dyDescent="0.2">
      <c r="B1428" s="11" t="s">
        <v>1211</v>
      </c>
      <c r="D1428" s="84" t="s">
        <v>276</v>
      </c>
      <c r="E1428" s="104">
        <v>67</v>
      </c>
      <c r="G1428" s="20">
        <v>1431</v>
      </c>
      <c r="H1428" s="13" t="s">
        <v>1983</v>
      </c>
      <c r="I1428" s="13" t="str">
        <f t="shared" si="44"/>
        <v>NW 9th Av (BROWARD Bl to NW 6TH ST)</v>
      </c>
      <c r="J1428" s="12" t="s">
        <v>29</v>
      </c>
      <c r="K1428" s="13" t="str">
        <f>VLOOKUP(J1428,'Data-ProjectTypes'!A$3:B$13,2,FALSE)</f>
        <v>Program</v>
      </c>
      <c r="L1428" s="12" t="s">
        <v>1340</v>
      </c>
      <c r="M1428" s="105" t="s">
        <v>1988</v>
      </c>
      <c r="N1428" s="12" t="s">
        <v>1238</v>
      </c>
      <c r="Q1428" s="72">
        <v>0.5</v>
      </c>
      <c r="R1428" s="23">
        <v>273600</v>
      </c>
      <c r="Z1428" s="18">
        <f>ROUND(R1428*'Data-CostAssumptions'!$C$8,-3)</f>
        <v>274000</v>
      </c>
      <c r="AA1428" s="11">
        <f t="shared" si="45"/>
        <v>0</v>
      </c>
      <c r="AB1428" s="11">
        <v>2041</v>
      </c>
      <c r="AC1428" s="11">
        <v>2041</v>
      </c>
      <c r="AD1428" s="11">
        <v>2041</v>
      </c>
      <c r="AE1428" s="11">
        <v>2041</v>
      </c>
      <c r="AF1428" s="11">
        <v>0</v>
      </c>
      <c r="AG1428" s="19">
        <f>ROUND((Z1428*'Data-CostAssumptions'!$G$5)*(1+'Data-CostAssumptions'!$G$3)^(AC1428-'Data-CostAssumptions'!$G$4),-3)</f>
        <v>155000</v>
      </c>
      <c r="AH1428" s="19">
        <f>ROUND((Z1428)*(1+'Data-CostAssumptions'!$G$3)^(AE1428-'Data-CostAssumptions'!$G$4),-3)</f>
        <v>703000</v>
      </c>
    </row>
    <row r="1429" spans="2:34" ht="15" customHeight="1" x14ac:dyDescent="0.2">
      <c r="B1429" s="11" t="s">
        <v>1211</v>
      </c>
      <c r="D1429" s="84" t="s">
        <v>276</v>
      </c>
      <c r="E1429" s="104">
        <v>68</v>
      </c>
      <c r="G1429" s="20">
        <v>1432</v>
      </c>
      <c r="H1429" s="13" t="s">
        <v>1983</v>
      </c>
      <c r="I1429" s="13" t="str">
        <f t="shared" si="44"/>
        <v>NW 9th Av (NW 6TH ST to SUNRISE Bl)</v>
      </c>
      <c r="J1429" s="12" t="s">
        <v>29</v>
      </c>
      <c r="K1429" s="13" t="str">
        <f>VLOOKUP(J1429,'Data-ProjectTypes'!A$3:B$13,2,FALSE)</f>
        <v>Program</v>
      </c>
      <c r="L1429" s="12" t="s">
        <v>1340</v>
      </c>
      <c r="M1429" s="105" t="s">
        <v>1238</v>
      </c>
      <c r="N1429" s="12" t="s">
        <v>2002</v>
      </c>
      <c r="Q1429" s="72">
        <v>0.5</v>
      </c>
      <c r="R1429" s="23">
        <v>273600</v>
      </c>
      <c r="Z1429" s="18">
        <f>ROUND(R1429*'Data-CostAssumptions'!$C$8,-3)</f>
        <v>274000</v>
      </c>
      <c r="AA1429" s="11">
        <f t="shared" si="45"/>
        <v>0</v>
      </c>
      <c r="AB1429" s="11">
        <v>2041</v>
      </c>
      <c r="AC1429" s="11">
        <v>2041</v>
      </c>
      <c r="AD1429" s="11">
        <v>2041</v>
      </c>
      <c r="AE1429" s="11">
        <v>2041</v>
      </c>
      <c r="AF1429" s="11">
        <v>0</v>
      </c>
      <c r="AG1429" s="19">
        <f>ROUND((Z1429*'Data-CostAssumptions'!$G$5)*(1+'Data-CostAssumptions'!$G$3)^(AC1429-'Data-CostAssumptions'!$G$4),-3)</f>
        <v>155000</v>
      </c>
      <c r="AH1429" s="19">
        <f>ROUND((Z1429)*(1+'Data-CostAssumptions'!$G$3)^(AE1429-'Data-CostAssumptions'!$G$4),-3)</f>
        <v>703000</v>
      </c>
    </row>
    <row r="1430" spans="2:34" ht="15" customHeight="1" x14ac:dyDescent="0.2">
      <c r="B1430" s="11" t="s">
        <v>1211</v>
      </c>
      <c r="D1430" s="84" t="s">
        <v>276</v>
      </c>
      <c r="E1430" s="104">
        <v>69</v>
      </c>
      <c r="G1430" s="20">
        <v>1433</v>
      </c>
      <c r="H1430" s="13" t="s">
        <v>2172</v>
      </c>
      <c r="I1430" s="13" t="str">
        <f t="shared" si="44"/>
        <v>NW 9TH Av/POWERLINE RD (SUNRISE Bl to NW 23RD ST)</v>
      </c>
      <c r="J1430" s="12" t="s">
        <v>29</v>
      </c>
      <c r="K1430" s="13" t="str">
        <f>VLOOKUP(J1430,'Data-ProjectTypes'!A$3:B$13,2,FALSE)</f>
        <v>Program</v>
      </c>
      <c r="L1430" s="12" t="s">
        <v>1335</v>
      </c>
      <c r="M1430" s="105" t="s">
        <v>2002</v>
      </c>
      <c r="N1430" s="12" t="s">
        <v>1444</v>
      </c>
      <c r="Q1430" s="72">
        <v>1.4</v>
      </c>
      <c r="R1430" s="23">
        <v>838350</v>
      </c>
      <c r="Z1430" s="18">
        <f>ROUND(R1430*'Data-CostAssumptions'!$C$8,-3)</f>
        <v>838000</v>
      </c>
      <c r="AA1430" s="11">
        <f t="shared" si="45"/>
        <v>0</v>
      </c>
      <c r="AB1430" s="11">
        <v>2041</v>
      </c>
      <c r="AC1430" s="11">
        <v>2041</v>
      </c>
      <c r="AD1430" s="11">
        <v>2041</v>
      </c>
      <c r="AE1430" s="11">
        <v>2041</v>
      </c>
      <c r="AF1430" s="11">
        <v>0</v>
      </c>
      <c r="AG1430" s="19">
        <f>ROUND((Z1430*'Data-CostAssumptions'!$G$5)*(1+'Data-CostAssumptions'!$G$3)^(AC1430-'Data-CostAssumptions'!$G$4),-3)</f>
        <v>473000</v>
      </c>
      <c r="AH1430" s="19">
        <f>ROUND((Z1430)*(1+'Data-CostAssumptions'!$G$3)^(AE1430-'Data-CostAssumptions'!$G$4),-3)</f>
        <v>2149000</v>
      </c>
    </row>
    <row r="1431" spans="2:34" ht="15" customHeight="1" x14ac:dyDescent="0.2">
      <c r="B1431" s="11" t="s">
        <v>1211</v>
      </c>
      <c r="D1431" s="84" t="s">
        <v>276</v>
      </c>
      <c r="E1431" s="104">
        <v>70</v>
      </c>
      <c r="G1431" s="20">
        <v>1434</v>
      </c>
      <c r="H1431" s="13" t="s">
        <v>2173</v>
      </c>
      <c r="I1431" s="13" t="str">
        <f t="shared" si="44"/>
        <v>NW 9TH Av/POWER-LINE RD (PROSPECT RD to MCNAB Rd)</v>
      </c>
      <c r="J1431" s="12" t="s">
        <v>29</v>
      </c>
      <c r="K1431" s="13" t="str">
        <f>VLOOKUP(J1431,'Data-ProjectTypes'!A$3:B$13,2,FALSE)</f>
        <v>Program</v>
      </c>
      <c r="L1431" s="12" t="s">
        <v>1342</v>
      </c>
      <c r="M1431" s="105" t="s">
        <v>1242</v>
      </c>
      <c r="N1431" s="12" t="s">
        <v>2400</v>
      </c>
      <c r="Q1431" s="72">
        <v>2</v>
      </c>
      <c r="R1431" s="23">
        <v>1300050</v>
      </c>
      <c r="Z1431" s="18">
        <f>ROUND(R1431*'Data-CostAssumptions'!$C$8,-3)</f>
        <v>1300000</v>
      </c>
      <c r="AA1431" s="11">
        <f t="shared" si="45"/>
        <v>0</v>
      </c>
      <c r="AB1431" s="11">
        <v>2041</v>
      </c>
      <c r="AC1431" s="11">
        <v>2041</v>
      </c>
      <c r="AD1431" s="11">
        <v>2041</v>
      </c>
      <c r="AE1431" s="11">
        <v>2041</v>
      </c>
      <c r="AF1431" s="11">
        <v>0</v>
      </c>
      <c r="AG1431" s="19">
        <f>ROUND((Z1431*'Data-CostAssumptions'!$G$5)*(1+'Data-CostAssumptions'!$G$3)^(AC1431-'Data-CostAssumptions'!$G$4),-3)</f>
        <v>733000</v>
      </c>
      <c r="AH1431" s="19">
        <f>ROUND((Z1431)*(1+'Data-CostAssumptions'!$G$3)^(AE1431-'Data-CostAssumptions'!$G$4),-3)</f>
        <v>3333000</v>
      </c>
    </row>
    <row r="1432" spans="2:34" ht="15" customHeight="1" x14ac:dyDescent="0.2">
      <c r="B1432" s="11" t="s">
        <v>1211</v>
      </c>
      <c r="D1432" s="84" t="s">
        <v>276</v>
      </c>
      <c r="E1432" s="104">
        <v>39</v>
      </c>
      <c r="G1432" s="20">
        <v>1435</v>
      </c>
      <c r="H1432" s="13" t="s">
        <v>1234</v>
      </c>
      <c r="I1432" s="13" t="str">
        <f t="shared" si="44"/>
        <v>NW/NE 2ND ST (NW 7TH Av/AVE OF THE ARTS to US 1/SR 5/FEDERAL HWY)</v>
      </c>
      <c r="J1432" s="12" t="s">
        <v>29</v>
      </c>
      <c r="K1432" s="13" t="str">
        <f>VLOOKUP(J1432,'Data-ProjectTypes'!A$3:B$13,2,FALSE)</f>
        <v>Program</v>
      </c>
      <c r="L1432" s="12" t="s">
        <v>1321</v>
      </c>
      <c r="M1432" s="105" t="s">
        <v>2615</v>
      </c>
      <c r="N1432" s="12" t="s">
        <v>1425</v>
      </c>
      <c r="Q1432" s="72">
        <v>0.8</v>
      </c>
      <c r="R1432" s="23">
        <v>483700</v>
      </c>
      <c r="Z1432" s="18">
        <f>ROUND(R1432*'Data-CostAssumptions'!$C$8,-3)</f>
        <v>484000</v>
      </c>
      <c r="AA1432" s="11">
        <f t="shared" si="45"/>
        <v>0</v>
      </c>
      <c r="AB1432" s="11">
        <v>2041</v>
      </c>
      <c r="AC1432" s="11">
        <v>2041</v>
      </c>
      <c r="AD1432" s="11">
        <v>2041</v>
      </c>
      <c r="AE1432" s="11">
        <v>2041</v>
      </c>
      <c r="AF1432" s="11">
        <v>0</v>
      </c>
      <c r="AG1432" s="19">
        <f>ROUND((Z1432*'Data-CostAssumptions'!$G$5)*(1+'Data-CostAssumptions'!$G$3)^(AC1432-'Data-CostAssumptions'!$G$4),-3)</f>
        <v>273000</v>
      </c>
      <c r="AH1432" s="19">
        <f>ROUND((Z1432)*(1+'Data-CostAssumptions'!$G$3)^(AE1432-'Data-CostAssumptions'!$G$4),-3)</f>
        <v>1241000</v>
      </c>
    </row>
    <row r="1433" spans="2:34" ht="15" customHeight="1" x14ac:dyDescent="0.2">
      <c r="B1433" s="11" t="s">
        <v>1211</v>
      </c>
      <c r="D1433" s="84" t="s">
        <v>276</v>
      </c>
      <c r="E1433" s="104">
        <v>44</v>
      </c>
      <c r="G1433" s="20">
        <v>1436</v>
      </c>
      <c r="H1433" s="13" t="s">
        <v>1236</v>
      </c>
      <c r="I1433" s="13" t="str">
        <f t="shared" si="44"/>
        <v>NW/NE 4TH ST (NW 7TH Av to US 1/SR 5/FEDERAL HWY)</v>
      </c>
      <c r="J1433" s="12" t="s">
        <v>29</v>
      </c>
      <c r="K1433" s="13" t="str">
        <f>VLOOKUP(J1433,'Data-ProjectTypes'!A$3:B$13,2,FALSE)</f>
        <v>Program</v>
      </c>
      <c r="L1433" s="12" t="s">
        <v>1324</v>
      </c>
      <c r="M1433" s="105" t="s">
        <v>2601</v>
      </c>
      <c r="N1433" s="12" t="s">
        <v>1425</v>
      </c>
      <c r="Q1433" s="72">
        <v>0.8</v>
      </c>
      <c r="R1433" s="23">
        <v>31000</v>
      </c>
      <c r="Z1433" s="18">
        <f>ROUND(R1433*'Data-CostAssumptions'!$C$8,-3)</f>
        <v>31000</v>
      </c>
      <c r="AA1433" s="11">
        <f t="shared" si="45"/>
        <v>0</v>
      </c>
      <c r="AB1433" s="11">
        <v>2041</v>
      </c>
      <c r="AC1433" s="11">
        <v>2041</v>
      </c>
      <c r="AD1433" s="11">
        <v>2041</v>
      </c>
      <c r="AE1433" s="11">
        <v>2041</v>
      </c>
      <c r="AF1433" s="11">
        <v>0</v>
      </c>
      <c r="AG1433" s="19">
        <f>ROUND((Z1433*'Data-CostAssumptions'!$G$5)*(1+'Data-CostAssumptions'!$G$3)^(AC1433-'Data-CostAssumptions'!$G$4),-3)</f>
        <v>17000</v>
      </c>
      <c r="AH1433" s="19">
        <f>ROUND((Z1433)*(1+'Data-CostAssumptions'!$G$3)^(AE1433-'Data-CostAssumptions'!$G$4),-3)</f>
        <v>79000</v>
      </c>
    </row>
    <row r="1434" spans="2:34" ht="15" customHeight="1" x14ac:dyDescent="0.2">
      <c r="B1434" s="11" t="s">
        <v>1211</v>
      </c>
      <c r="D1434" s="84" t="s">
        <v>276</v>
      </c>
      <c r="E1434" s="104" t="s">
        <v>1490</v>
      </c>
      <c r="G1434" s="20">
        <v>1437</v>
      </c>
      <c r="H1434" s="13" t="s">
        <v>2714</v>
      </c>
      <c r="I1434" s="13" t="str">
        <f t="shared" si="44"/>
        <v>Orton Av (RIOMAR ST  to VISTAMAR ST )</v>
      </c>
      <c r="J1434" s="12" t="s">
        <v>29</v>
      </c>
      <c r="K1434" s="13" t="str">
        <f>VLOOKUP(J1434,'Data-ProjectTypes'!A$3:B$13,2,FALSE)</f>
        <v>Program</v>
      </c>
      <c r="L1434" s="12" t="s">
        <v>1667</v>
      </c>
      <c r="M1434" s="105" t="s">
        <v>1588</v>
      </c>
      <c r="N1434" s="12" t="s">
        <v>1586</v>
      </c>
      <c r="Q1434" s="72">
        <v>0.3</v>
      </c>
      <c r="R1434" s="23">
        <f>ROUND(Q1434*'Data-CostAssumptions'!$C$25,-1)</f>
        <v>50520</v>
      </c>
      <c r="Z1434" s="18">
        <f>ROUND(R1434*'Data-CostAssumptions'!$C$8,-3)</f>
        <v>51000</v>
      </c>
      <c r="AA1434" s="11">
        <f t="shared" si="45"/>
        <v>0</v>
      </c>
      <c r="AB1434" s="11">
        <v>2041</v>
      </c>
      <c r="AC1434" s="11">
        <v>2041</v>
      </c>
      <c r="AD1434" s="11">
        <v>2041</v>
      </c>
      <c r="AE1434" s="11">
        <v>2041</v>
      </c>
      <c r="AF1434" s="11">
        <v>0</v>
      </c>
      <c r="AG1434" s="19">
        <f>ROUND((Z1434*'Data-CostAssumptions'!$G$5)*(1+'Data-CostAssumptions'!$G$3)^(AC1434-'Data-CostAssumptions'!$G$4),-3)</f>
        <v>29000</v>
      </c>
      <c r="AH1434" s="19">
        <f>ROUND((Z1434)*(1+'Data-CostAssumptions'!$G$3)^(AE1434-'Data-CostAssumptions'!$G$4),-3)</f>
        <v>131000</v>
      </c>
    </row>
    <row r="1435" spans="2:34" ht="15" customHeight="1" x14ac:dyDescent="0.2">
      <c r="B1435" s="11" t="s">
        <v>1211</v>
      </c>
      <c r="D1435" s="84" t="s">
        <v>276</v>
      </c>
      <c r="E1435" s="104" t="s">
        <v>1464</v>
      </c>
      <c r="G1435" s="20">
        <v>1438</v>
      </c>
      <c r="H1435" s="13" t="s">
        <v>2880</v>
      </c>
      <c r="I1435" s="13" t="str">
        <f t="shared" si="44"/>
        <v>Progresso Dr Greenway (SUNRISE Bl to NE 4TH ST)</v>
      </c>
      <c r="J1435" s="12" t="s">
        <v>29</v>
      </c>
      <c r="K1435" s="13" t="str">
        <f>VLOOKUP(J1435,'Data-ProjectTypes'!A$3:B$13,2,FALSE)</f>
        <v>Program</v>
      </c>
      <c r="L1435" s="12" t="s">
        <v>1625</v>
      </c>
      <c r="M1435" s="105" t="s">
        <v>2002</v>
      </c>
      <c r="N1435" s="12" t="s">
        <v>1229</v>
      </c>
      <c r="Q1435" s="72">
        <v>0.9</v>
      </c>
      <c r="R1435" s="23">
        <v>6000000</v>
      </c>
      <c r="Z1435" s="18">
        <f>ROUND(R1435*'Data-CostAssumptions'!$C$8,-3)</f>
        <v>6000000</v>
      </c>
      <c r="AA1435" s="11">
        <f t="shared" si="45"/>
        <v>0</v>
      </c>
      <c r="AB1435" s="11">
        <v>2041</v>
      </c>
      <c r="AC1435" s="11">
        <v>2041</v>
      </c>
      <c r="AD1435" s="11">
        <v>2041</v>
      </c>
      <c r="AE1435" s="11">
        <v>2041</v>
      </c>
      <c r="AF1435" s="11">
        <v>0</v>
      </c>
      <c r="AG1435" s="19">
        <f>ROUND((Z1435*'Data-CostAssumptions'!$G$5)*(1+'Data-CostAssumptions'!$G$3)^(AC1435-'Data-CostAssumptions'!$G$4),-3)</f>
        <v>3384000</v>
      </c>
      <c r="AH1435" s="19">
        <f>ROUND((Z1435)*(1+'Data-CostAssumptions'!$G$3)^(AE1435-'Data-CostAssumptions'!$G$4),-3)</f>
        <v>15384000</v>
      </c>
    </row>
    <row r="1436" spans="2:34" ht="15" customHeight="1" x14ac:dyDescent="0.2">
      <c r="B1436" s="11" t="s">
        <v>1211</v>
      </c>
      <c r="D1436" s="84" t="s">
        <v>276</v>
      </c>
      <c r="E1436" s="104">
        <v>76</v>
      </c>
      <c r="G1436" s="20">
        <v>1439</v>
      </c>
      <c r="H1436" s="13" t="s">
        <v>1859</v>
      </c>
      <c r="I1436" s="13" t="str">
        <f t="shared" si="44"/>
        <v>Prospect Rd (COMMECIAL Bl/SR 870 to NW 31ST Av)</v>
      </c>
      <c r="J1436" s="12" t="s">
        <v>29</v>
      </c>
      <c r="K1436" s="13" t="str">
        <f>VLOOKUP(J1436,'Data-ProjectTypes'!A$3:B$13,2,FALSE)</f>
        <v>Program</v>
      </c>
      <c r="L1436" s="12" t="s">
        <v>1364</v>
      </c>
      <c r="M1436" s="105" t="s">
        <v>2317</v>
      </c>
      <c r="N1436" s="12" t="s">
        <v>2167</v>
      </c>
      <c r="Q1436" s="72">
        <v>1.2</v>
      </c>
      <c r="R1436" s="23">
        <v>853650</v>
      </c>
      <c r="Z1436" s="18">
        <f>ROUND(R1436*'Data-CostAssumptions'!$C$8,-3)</f>
        <v>854000</v>
      </c>
      <c r="AA1436" s="11">
        <f t="shared" si="45"/>
        <v>0</v>
      </c>
      <c r="AB1436" s="11">
        <v>2041</v>
      </c>
      <c r="AC1436" s="11">
        <v>2041</v>
      </c>
      <c r="AD1436" s="11">
        <v>2041</v>
      </c>
      <c r="AE1436" s="11">
        <v>2041</v>
      </c>
      <c r="AF1436" s="11">
        <v>0</v>
      </c>
      <c r="AG1436" s="19">
        <f>ROUND((Z1436*'Data-CostAssumptions'!$G$5)*(1+'Data-CostAssumptions'!$G$3)^(AC1436-'Data-CostAssumptions'!$G$4),-3)</f>
        <v>482000</v>
      </c>
      <c r="AH1436" s="19">
        <f>ROUND((Z1436)*(1+'Data-CostAssumptions'!$G$3)^(AE1436-'Data-CostAssumptions'!$G$4),-3)</f>
        <v>2190000</v>
      </c>
    </row>
    <row r="1437" spans="2:34" ht="15" customHeight="1" x14ac:dyDescent="0.2">
      <c r="B1437" s="11" t="s">
        <v>1211</v>
      </c>
      <c r="D1437" s="84" t="s">
        <v>276</v>
      </c>
      <c r="E1437" s="104">
        <v>75</v>
      </c>
      <c r="G1437" s="20">
        <v>1440</v>
      </c>
      <c r="H1437" s="13" t="s">
        <v>1859</v>
      </c>
      <c r="I1437" s="13" t="str">
        <f t="shared" si="44"/>
        <v>Prospect Rd (NW 31ST Av to SR 7/US 441)</v>
      </c>
      <c r="J1437" s="12" t="s">
        <v>29</v>
      </c>
      <c r="K1437" s="13" t="str">
        <f>VLOOKUP(J1437,'Data-ProjectTypes'!A$3:B$13,2,FALSE)</f>
        <v>Program</v>
      </c>
      <c r="L1437" s="12" t="s">
        <v>1366</v>
      </c>
      <c r="M1437" s="105" t="s">
        <v>2167</v>
      </c>
      <c r="N1437" s="12" t="s">
        <v>57</v>
      </c>
      <c r="Q1437" s="72">
        <v>1</v>
      </c>
      <c r="R1437" s="23">
        <v>702450</v>
      </c>
      <c r="Z1437" s="18">
        <f>ROUND(R1437*'Data-CostAssumptions'!$C$8,-3)</f>
        <v>702000</v>
      </c>
      <c r="AA1437" s="11">
        <f t="shared" si="45"/>
        <v>0</v>
      </c>
      <c r="AB1437" s="11">
        <v>2041</v>
      </c>
      <c r="AC1437" s="11">
        <v>2041</v>
      </c>
      <c r="AD1437" s="11">
        <v>2041</v>
      </c>
      <c r="AE1437" s="11">
        <v>2041</v>
      </c>
      <c r="AF1437" s="11">
        <v>0</v>
      </c>
      <c r="AG1437" s="19">
        <f>ROUND((Z1437*'Data-CostAssumptions'!$G$5)*(1+'Data-CostAssumptions'!$G$3)^(AC1437-'Data-CostAssumptions'!$G$4),-3)</f>
        <v>396000</v>
      </c>
      <c r="AH1437" s="19">
        <f>ROUND((Z1437)*(1+'Data-CostAssumptions'!$G$3)^(AE1437-'Data-CostAssumptions'!$G$4),-3)</f>
        <v>1800000</v>
      </c>
    </row>
    <row r="1438" spans="2:34" ht="15" customHeight="1" x14ac:dyDescent="0.2">
      <c r="B1438" s="11" t="s">
        <v>1211</v>
      </c>
      <c r="D1438" s="84" t="s">
        <v>276</v>
      </c>
      <c r="E1438" s="104">
        <v>74</v>
      </c>
      <c r="G1438" s="20">
        <v>1441</v>
      </c>
      <c r="H1438" s="13" t="s">
        <v>1859</v>
      </c>
      <c r="I1438" s="13" t="str">
        <f t="shared" si="44"/>
        <v>Prospect Rd (POWERLINE RD/SR 845 to COMMERCIAL Bl/SR 870)</v>
      </c>
      <c r="J1438" s="12" t="s">
        <v>29</v>
      </c>
      <c r="K1438" s="13" t="str">
        <f>VLOOKUP(J1438,'Data-ProjectTypes'!A$3:B$13,2,FALSE)</f>
        <v>Program</v>
      </c>
      <c r="L1438" s="12" t="s">
        <v>1362</v>
      </c>
      <c r="M1438" s="105" t="s">
        <v>1451</v>
      </c>
      <c r="N1438" s="12" t="s">
        <v>2308</v>
      </c>
      <c r="Q1438" s="72">
        <v>1.5</v>
      </c>
      <c r="R1438" s="23">
        <v>835450</v>
      </c>
      <c r="Z1438" s="18">
        <f>ROUND(R1438*'Data-CostAssumptions'!$C$8,-3)</f>
        <v>835000</v>
      </c>
      <c r="AA1438" s="11">
        <f t="shared" si="45"/>
        <v>0</v>
      </c>
      <c r="AB1438" s="11">
        <v>2041</v>
      </c>
      <c r="AC1438" s="11">
        <v>2041</v>
      </c>
      <c r="AD1438" s="11">
        <v>2041</v>
      </c>
      <c r="AE1438" s="11">
        <v>2041</v>
      </c>
      <c r="AF1438" s="11">
        <v>0</v>
      </c>
      <c r="AG1438" s="19">
        <f>ROUND((Z1438*'Data-CostAssumptions'!$G$5)*(1+'Data-CostAssumptions'!$G$3)^(AC1438-'Data-CostAssumptions'!$G$4),-3)</f>
        <v>471000</v>
      </c>
      <c r="AH1438" s="19">
        <f>ROUND((Z1438)*(1+'Data-CostAssumptions'!$G$3)^(AE1438-'Data-CostAssumptions'!$G$4),-3)</f>
        <v>2141000</v>
      </c>
    </row>
    <row r="1439" spans="2:34" ht="15" customHeight="1" x14ac:dyDescent="0.2">
      <c r="B1439" s="11" t="s">
        <v>1211</v>
      </c>
      <c r="D1439" s="84" t="s">
        <v>276</v>
      </c>
      <c r="E1439" s="104" t="s">
        <v>1495</v>
      </c>
      <c r="G1439" s="20">
        <v>1442</v>
      </c>
      <c r="H1439" s="13" t="s">
        <v>2883</v>
      </c>
      <c r="I1439" s="13" t="str">
        <f t="shared" si="44"/>
        <v>Riomar St (RIOMAR ST  to BAYSHORE DR )</v>
      </c>
      <c r="J1439" s="12" t="s">
        <v>29</v>
      </c>
      <c r="K1439" s="13" t="str">
        <f>VLOOKUP(J1439,'Data-ProjectTypes'!A$3:B$13,2,FALSE)</f>
        <v>Program</v>
      </c>
      <c r="L1439" s="12" t="s">
        <v>1667</v>
      </c>
      <c r="M1439" s="105" t="s">
        <v>1588</v>
      </c>
      <c r="N1439" s="12" t="s">
        <v>1587</v>
      </c>
      <c r="Q1439" s="72">
        <v>0.3</v>
      </c>
      <c r="R1439" s="23">
        <f>ROUND(Q1439*'Data-CostAssumptions'!$C$25,-1)</f>
        <v>50520</v>
      </c>
      <c r="Z1439" s="18">
        <f>ROUND(R1439*'Data-CostAssumptions'!$C$8,-3)</f>
        <v>51000</v>
      </c>
      <c r="AA1439" s="11">
        <f t="shared" si="45"/>
        <v>0</v>
      </c>
      <c r="AB1439" s="11">
        <v>2041</v>
      </c>
      <c r="AC1439" s="11">
        <v>2041</v>
      </c>
      <c r="AD1439" s="11">
        <v>2041</v>
      </c>
      <c r="AE1439" s="11">
        <v>2041</v>
      </c>
      <c r="AF1439" s="11">
        <v>0</v>
      </c>
      <c r="AG1439" s="19">
        <f>ROUND((Z1439*'Data-CostAssumptions'!$G$5)*(1+'Data-CostAssumptions'!$G$3)^(AC1439-'Data-CostAssumptions'!$G$4),-3)</f>
        <v>29000</v>
      </c>
      <c r="AH1439" s="19">
        <f>ROUND((Z1439)*(1+'Data-CostAssumptions'!$G$3)^(AE1439-'Data-CostAssumptions'!$G$4),-3)</f>
        <v>131000</v>
      </c>
    </row>
    <row r="1440" spans="2:34" ht="15" customHeight="1" x14ac:dyDescent="0.2">
      <c r="B1440" s="11" t="s">
        <v>1211</v>
      </c>
      <c r="D1440" s="84" t="s">
        <v>276</v>
      </c>
      <c r="E1440" s="104">
        <v>78</v>
      </c>
      <c r="G1440" s="20">
        <v>1443</v>
      </c>
      <c r="H1440" s="13" t="s">
        <v>1767</v>
      </c>
      <c r="I1440" s="13" t="str">
        <f t="shared" si="44"/>
        <v>Riverland Rd (SR 7/US 441 to DAVIE Bl)</v>
      </c>
      <c r="J1440" s="12" t="s">
        <v>29</v>
      </c>
      <c r="K1440" s="13" t="str">
        <f>VLOOKUP(J1440,'Data-ProjectTypes'!A$3:B$13,2,FALSE)</f>
        <v>Program</v>
      </c>
      <c r="L1440" s="12" t="s">
        <v>1368</v>
      </c>
      <c r="M1440" s="105" t="s">
        <v>57</v>
      </c>
      <c r="N1440" s="12" t="s">
        <v>1991</v>
      </c>
      <c r="Q1440" s="72">
        <v>2.6</v>
      </c>
      <c r="R1440" s="23">
        <v>1431900</v>
      </c>
      <c r="Z1440" s="18">
        <f>ROUND(R1440*'Data-CostAssumptions'!$C$8,-3)</f>
        <v>1432000</v>
      </c>
      <c r="AA1440" s="11">
        <f t="shared" si="45"/>
        <v>0</v>
      </c>
      <c r="AB1440" s="11">
        <v>2041</v>
      </c>
      <c r="AC1440" s="11">
        <v>2041</v>
      </c>
      <c r="AD1440" s="11">
        <v>2041</v>
      </c>
      <c r="AE1440" s="11">
        <v>2041</v>
      </c>
      <c r="AF1440" s="11">
        <v>0</v>
      </c>
      <c r="AG1440" s="19">
        <f>ROUND((Z1440*'Data-CostAssumptions'!$G$5)*(1+'Data-CostAssumptions'!$G$3)^(AC1440-'Data-CostAssumptions'!$G$4),-3)</f>
        <v>808000</v>
      </c>
      <c r="AH1440" s="19">
        <f>ROUND((Z1440)*(1+'Data-CostAssumptions'!$G$3)^(AE1440-'Data-CostAssumptions'!$G$4),-3)</f>
        <v>3672000</v>
      </c>
    </row>
    <row r="1441" spans="2:34" ht="15" customHeight="1" x14ac:dyDescent="0.2">
      <c r="B1441" s="11" t="s">
        <v>1211</v>
      </c>
      <c r="D1441" s="84" t="s">
        <v>276</v>
      </c>
      <c r="E1441" s="104" t="s">
        <v>1557</v>
      </c>
      <c r="G1441" s="20">
        <v>1444</v>
      </c>
      <c r="H1441" s="13" t="s">
        <v>1616</v>
      </c>
      <c r="I1441" s="13" t="str">
        <f t="shared" si="44"/>
        <v>S - NORTH FORK NEW RIVER PATH  (DAVIE Bl  to NW 25 TER (CITY LIMITS) )</v>
      </c>
      <c r="J1441" s="12" t="s">
        <v>29</v>
      </c>
      <c r="K1441" s="13" t="str">
        <f>VLOOKUP(J1441,'Data-ProjectTypes'!A$3:B$13,2,FALSE)</f>
        <v>Program</v>
      </c>
      <c r="L1441" s="12" t="s">
        <v>1667</v>
      </c>
      <c r="M1441" s="105" t="s">
        <v>2296</v>
      </c>
      <c r="N1441" s="12" t="s">
        <v>1727</v>
      </c>
      <c r="Q1441" s="72">
        <v>1.2</v>
      </c>
      <c r="R1441" s="23">
        <f>ROUND(Q1441*'Data-CostAssumptions'!$C$25,-1)</f>
        <v>202080</v>
      </c>
      <c r="Z1441" s="18">
        <f>ROUND(R1441*'Data-CostAssumptions'!$C$8,-3)</f>
        <v>202000</v>
      </c>
      <c r="AA1441" s="11">
        <f t="shared" si="45"/>
        <v>0</v>
      </c>
      <c r="AB1441" s="11">
        <v>2041</v>
      </c>
      <c r="AC1441" s="11">
        <v>2041</v>
      </c>
      <c r="AD1441" s="11">
        <v>2041</v>
      </c>
      <c r="AE1441" s="11">
        <v>2041</v>
      </c>
      <c r="AF1441" s="11">
        <v>0</v>
      </c>
      <c r="AG1441" s="19">
        <f>ROUND((Z1441*'Data-CostAssumptions'!$G$5)*(1+'Data-CostAssumptions'!$G$3)^(AC1441-'Data-CostAssumptions'!$G$4),-3)</f>
        <v>114000</v>
      </c>
      <c r="AH1441" s="19">
        <f>ROUND((Z1441)*(1+'Data-CostAssumptions'!$G$3)^(AE1441-'Data-CostAssumptions'!$G$4),-3)</f>
        <v>518000</v>
      </c>
    </row>
    <row r="1442" spans="2:34" ht="15" customHeight="1" x14ac:dyDescent="0.2">
      <c r="B1442" s="11" t="s">
        <v>1211</v>
      </c>
      <c r="D1442" s="84" t="s">
        <v>276</v>
      </c>
      <c r="E1442" s="104" t="s">
        <v>1558</v>
      </c>
      <c r="G1442" s="20">
        <v>1445</v>
      </c>
      <c r="H1442" s="13" t="s">
        <v>1616</v>
      </c>
      <c r="I1442" s="13" t="str">
        <f t="shared" si="44"/>
        <v>S - NORTH FORK NEW RIVER PATH  (DW 2ND ST to NE 24TH Av)</v>
      </c>
      <c r="J1442" s="12" t="s">
        <v>29</v>
      </c>
      <c r="K1442" s="13" t="str">
        <f>VLOOKUP(J1442,'Data-ProjectTypes'!A$3:B$13,2,FALSE)</f>
        <v>Program</v>
      </c>
      <c r="L1442" s="12" t="s">
        <v>1667</v>
      </c>
      <c r="M1442" s="105" t="s">
        <v>1728</v>
      </c>
      <c r="N1442" s="12" t="s">
        <v>2625</v>
      </c>
      <c r="Q1442" s="72">
        <v>0.4</v>
      </c>
      <c r="R1442" s="23">
        <f>ROUND(Q1442*'Data-CostAssumptions'!$C$25,-1)</f>
        <v>67360</v>
      </c>
      <c r="Z1442" s="18">
        <f>ROUND(R1442*'Data-CostAssumptions'!$C$8,-3)</f>
        <v>67000</v>
      </c>
      <c r="AA1442" s="11">
        <f t="shared" si="45"/>
        <v>0</v>
      </c>
      <c r="AB1442" s="11">
        <v>2041</v>
      </c>
      <c r="AC1442" s="11">
        <v>2041</v>
      </c>
      <c r="AD1442" s="11">
        <v>2041</v>
      </c>
      <c r="AE1442" s="11">
        <v>2041</v>
      </c>
      <c r="AF1442" s="11">
        <v>0</v>
      </c>
      <c r="AG1442" s="19">
        <f>ROUND((Z1442*'Data-CostAssumptions'!$G$5)*(1+'Data-CostAssumptions'!$G$3)^(AC1442-'Data-CostAssumptions'!$G$4),-3)</f>
        <v>38000</v>
      </c>
      <c r="AH1442" s="19">
        <f>ROUND((Z1442)*(1+'Data-CostAssumptions'!$G$3)^(AE1442-'Data-CostAssumptions'!$G$4),-3)</f>
        <v>172000</v>
      </c>
    </row>
    <row r="1443" spans="2:34" ht="15" customHeight="1" x14ac:dyDescent="0.2">
      <c r="B1443" s="11" t="s">
        <v>1211</v>
      </c>
      <c r="D1443" s="84" t="s">
        <v>276</v>
      </c>
      <c r="E1443" s="104" t="s">
        <v>1553</v>
      </c>
      <c r="G1443" s="20">
        <v>1446</v>
      </c>
      <c r="H1443" s="13" t="s">
        <v>2174</v>
      </c>
      <c r="I1443" s="13" t="str">
        <f t="shared" si="44"/>
        <v>S NEW RIVER PATH &amp; SW 7TH Av  (E LAS OLAS Bl to SW 9TH ST )</v>
      </c>
      <c r="J1443" s="12" t="s">
        <v>29</v>
      </c>
      <c r="K1443" s="13" t="str">
        <f>VLOOKUP(J1443,'Data-ProjectTypes'!A$3:B$13,2,FALSE)</f>
        <v>Program</v>
      </c>
      <c r="L1443" s="12" t="s">
        <v>1667</v>
      </c>
      <c r="M1443" s="105" t="s">
        <v>1992</v>
      </c>
      <c r="N1443" s="12" t="s">
        <v>1724</v>
      </c>
      <c r="Q1443" s="72">
        <v>1.5</v>
      </c>
      <c r="R1443" s="23">
        <f>ROUND(Q1443*'Data-CostAssumptions'!$C$25,-1)</f>
        <v>252600</v>
      </c>
      <c r="Z1443" s="18">
        <f>ROUND(R1443*'Data-CostAssumptions'!$C$8,-3)</f>
        <v>253000</v>
      </c>
      <c r="AA1443" s="11">
        <f t="shared" si="45"/>
        <v>0</v>
      </c>
      <c r="AB1443" s="11">
        <v>2041</v>
      </c>
      <c r="AC1443" s="11">
        <v>2041</v>
      </c>
      <c r="AD1443" s="11">
        <v>2041</v>
      </c>
      <c r="AE1443" s="11">
        <v>2041</v>
      </c>
      <c r="AF1443" s="11">
        <v>0</v>
      </c>
      <c r="AG1443" s="19">
        <f>ROUND((Z1443*'Data-CostAssumptions'!$G$5)*(1+'Data-CostAssumptions'!$G$3)^(AC1443-'Data-CostAssumptions'!$G$4),-3)</f>
        <v>143000</v>
      </c>
      <c r="AH1443" s="19">
        <f>ROUND((Z1443)*(1+'Data-CostAssumptions'!$G$3)^(AE1443-'Data-CostAssumptions'!$G$4),-3)</f>
        <v>649000</v>
      </c>
    </row>
    <row r="1444" spans="2:34" ht="15" customHeight="1" x14ac:dyDescent="0.2">
      <c r="B1444" s="11" t="s">
        <v>1211</v>
      </c>
      <c r="D1444" s="84" t="s">
        <v>276</v>
      </c>
      <c r="E1444" s="104" t="s">
        <v>1500</v>
      </c>
      <c r="G1444" s="20">
        <v>1447</v>
      </c>
      <c r="H1444" s="13" t="s">
        <v>2175</v>
      </c>
      <c r="I1444" s="13" t="str">
        <f t="shared" si="44"/>
        <v>SE 12TH ST &amp; SE 10TH Av  (SE 17TH ST to SE 17TH ST)</v>
      </c>
      <c r="J1444" s="12" t="s">
        <v>29</v>
      </c>
      <c r="K1444" s="13" t="str">
        <f>VLOOKUP(J1444,'Data-ProjectTypes'!A$3:B$13,2,FALSE)</f>
        <v>Program</v>
      </c>
      <c r="L1444" s="12" t="s">
        <v>1667</v>
      </c>
      <c r="M1444" s="105" t="s">
        <v>1245</v>
      </c>
      <c r="N1444" s="12" t="s">
        <v>1245</v>
      </c>
      <c r="Q1444" s="72">
        <v>0.8</v>
      </c>
      <c r="R1444" s="23">
        <f>ROUND(Q1444*'Data-CostAssumptions'!$C$25,-1)</f>
        <v>134720</v>
      </c>
      <c r="Z1444" s="18">
        <f>ROUND(R1444*'Data-CostAssumptions'!$C$8,-3)</f>
        <v>135000</v>
      </c>
      <c r="AA1444" s="11">
        <f t="shared" si="45"/>
        <v>0</v>
      </c>
      <c r="AB1444" s="11">
        <v>2041</v>
      </c>
      <c r="AC1444" s="11">
        <v>2041</v>
      </c>
      <c r="AD1444" s="11">
        <v>2041</v>
      </c>
      <c r="AE1444" s="11">
        <v>2041</v>
      </c>
      <c r="AF1444" s="11">
        <v>0</v>
      </c>
      <c r="AG1444" s="19">
        <f>ROUND((Z1444*'Data-CostAssumptions'!$G$5)*(1+'Data-CostAssumptions'!$G$3)^(AC1444-'Data-CostAssumptions'!$G$4),-3)</f>
        <v>76000</v>
      </c>
      <c r="AH1444" s="19">
        <f>ROUND((Z1444)*(1+'Data-CostAssumptions'!$G$3)^(AE1444-'Data-CostAssumptions'!$G$4),-3)</f>
        <v>346000</v>
      </c>
    </row>
    <row r="1445" spans="2:34" ht="15" customHeight="1" x14ac:dyDescent="0.2">
      <c r="B1445" s="11" t="s">
        <v>1211</v>
      </c>
      <c r="D1445" s="84" t="s">
        <v>276</v>
      </c>
      <c r="E1445" s="104" t="s">
        <v>1502</v>
      </c>
      <c r="G1445" s="20">
        <v>1448</v>
      </c>
      <c r="H1445" s="13" t="s">
        <v>1592</v>
      </c>
      <c r="I1445" s="13" t="str">
        <f t="shared" si="44"/>
        <v>SE 14TH CT  (SW 14TH ST  to S ANDREWS Av)</v>
      </c>
      <c r="J1445" s="12" t="s">
        <v>29</v>
      </c>
      <c r="K1445" s="13" t="str">
        <f>VLOOKUP(J1445,'Data-ProjectTypes'!A$3:B$13,2,FALSE)</f>
        <v>Program</v>
      </c>
      <c r="L1445" s="12" t="s">
        <v>1667</v>
      </c>
      <c r="M1445" s="105" t="s">
        <v>1703</v>
      </c>
      <c r="N1445" s="12" t="s">
        <v>2626</v>
      </c>
      <c r="Q1445" s="72">
        <v>0.3</v>
      </c>
      <c r="R1445" s="23">
        <f>ROUND(Q1445*'Data-CostAssumptions'!$C$25,-1)</f>
        <v>50520</v>
      </c>
      <c r="Z1445" s="18">
        <f>ROUND(R1445*'Data-CostAssumptions'!$C$8,-3)</f>
        <v>51000</v>
      </c>
      <c r="AA1445" s="11">
        <f t="shared" si="45"/>
        <v>0</v>
      </c>
      <c r="AB1445" s="11">
        <v>2041</v>
      </c>
      <c r="AC1445" s="11">
        <v>2041</v>
      </c>
      <c r="AD1445" s="11">
        <v>2041</v>
      </c>
      <c r="AE1445" s="11">
        <v>2041</v>
      </c>
      <c r="AF1445" s="11">
        <v>0</v>
      </c>
      <c r="AG1445" s="19">
        <f>ROUND((Z1445*'Data-CostAssumptions'!$G$5)*(1+'Data-CostAssumptions'!$G$3)^(AC1445-'Data-CostAssumptions'!$G$4),-3)</f>
        <v>29000</v>
      </c>
      <c r="AH1445" s="19">
        <f>ROUND((Z1445)*(1+'Data-CostAssumptions'!$G$3)^(AE1445-'Data-CostAssumptions'!$G$4),-3)</f>
        <v>131000</v>
      </c>
    </row>
    <row r="1446" spans="2:34" ht="15" customHeight="1" x14ac:dyDescent="0.2">
      <c r="B1446" s="11" t="s">
        <v>1211</v>
      </c>
      <c r="D1446" s="84" t="s">
        <v>276</v>
      </c>
      <c r="E1446" s="104" t="s">
        <v>1511</v>
      </c>
      <c r="G1446" s="20">
        <v>1449</v>
      </c>
      <c r="H1446" s="13" t="s">
        <v>2176</v>
      </c>
      <c r="I1446" s="13" t="str">
        <f t="shared" si="44"/>
        <v>SE 15TH Av  (SW 32ND CT  to SW 20TH ST )</v>
      </c>
      <c r="J1446" s="12" t="s">
        <v>29</v>
      </c>
      <c r="K1446" s="13" t="str">
        <f>VLOOKUP(J1446,'Data-ProjectTypes'!A$3:B$13,2,FALSE)</f>
        <v>Program</v>
      </c>
      <c r="L1446" s="12" t="s">
        <v>1667</v>
      </c>
      <c r="M1446" s="105" t="s">
        <v>1709</v>
      </c>
      <c r="N1446" s="12" t="s">
        <v>1596</v>
      </c>
      <c r="Q1446" s="72">
        <v>1</v>
      </c>
      <c r="R1446" s="23">
        <f>ROUND(Q1446*'Data-CostAssumptions'!$C$25,-1)</f>
        <v>168400</v>
      </c>
      <c r="Z1446" s="18">
        <f>ROUND(R1446*'Data-CostAssumptions'!$C$8,-3)</f>
        <v>168000</v>
      </c>
      <c r="AA1446" s="11">
        <f t="shared" si="45"/>
        <v>0</v>
      </c>
      <c r="AB1446" s="11">
        <v>2041</v>
      </c>
      <c r="AC1446" s="11">
        <v>2041</v>
      </c>
      <c r="AD1446" s="11">
        <v>2041</v>
      </c>
      <c r="AE1446" s="11">
        <v>2041</v>
      </c>
      <c r="AF1446" s="11">
        <v>0</v>
      </c>
      <c r="AG1446" s="19">
        <f>ROUND((Z1446*'Data-CostAssumptions'!$G$5)*(1+'Data-CostAssumptions'!$G$3)^(AC1446-'Data-CostAssumptions'!$G$4),-3)</f>
        <v>95000</v>
      </c>
      <c r="AH1446" s="19">
        <f>ROUND((Z1446)*(1+'Data-CostAssumptions'!$G$3)^(AE1446-'Data-CostAssumptions'!$G$4),-3)</f>
        <v>431000</v>
      </c>
    </row>
    <row r="1447" spans="2:34" ht="15" customHeight="1" x14ac:dyDescent="0.2">
      <c r="B1447" s="11" t="s">
        <v>1211</v>
      </c>
      <c r="D1447" s="84" t="s">
        <v>276</v>
      </c>
      <c r="E1447" s="104" t="s">
        <v>1549</v>
      </c>
      <c r="G1447" s="20">
        <v>1450</v>
      </c>
      <c r="H1447" s="13" t="s">
        <v>2177</v>
      </c>
      <c r="I1447" s="13" t="str">
        <f t="shared" si="44"/>
        <v>SE 17TH Av  (E BROWARD Bl  to SE 2ND ST )</v>
      </c>
      <c r="J1447" s="12" t="s">
        <v>29</v>
      </c>
      <c r="K1447" s="13" t="str">
        <f>VLOOKUP(J1447,'Data-ProjectTypes'!A$3:B$13,2,FALSE)</f>
        <v>Program</v>
      </c>
      <c r="L1447" s="12" t="s">
        <v>1667</v>
      </c>
      <c r="M1447" s="105" t="s">
        <v>2309</v>
      </c>
      <c r="N1447" s="12" t="s">
        <v>1722</v>
      </c>
      <c r="Q1447" s="72">
        <v>0.3</v>
      </c>
      <c r="R1447" s="23">
        <f>ROUND(Q1447*'Data-CostAssumptions'!$C$25,-1)</f>
        <v>50520</v>
      </c>
      <c r="Z1447" s="18">
        <f>ROUND(R1447*'Data-CostAssumptions'!$C$8,-3)</f>
        <v>51000</v>
      </c>
      <c r="AA1447" s="11">
        <f t="shared" si="45"/>
        <v>0</v>
      </c>
      <c r="AB1447" s="11">
        <v>2041</v>
      </c>
      <c r="AC1447" s="11">
        <v>2041</v>
      </c>
      <c r="AD1447" s="11">
        <v>2041</v>
      </c>
      <c r="AE1447" s="11">
        <v>2041</v>
      </c>
      <c r="AF1447" s="11">
        <v>0</v>
      </c>
      <c r="AG1447" s="19">
        <f>ROUND((Z1447*'Data-CostAssumptions'!$G$5)*(1+'Data-CostAssumptions'!$G$3)^(AC1447-'Data-CostAssumptions'!$G$4),-3)</f>
        <v>29000</v>
      </c>
      <c r="AH1447" s="19">
        <f>ROUND((Z1447)*(1+'Data-CostAssumptions'!$G$3)^(AE1447-'Data-CostAssumptions'!$G$4),-3)</f>
        <v>131000</v>
      </c>
    </row>
    <row r="1448" spans="2:34" ht="15" customHeight="1" x14ac:dyDescent="0.2">
      <c r="B1448" s="11" t="s">
        <v>1211</v>
      </c>
      <c r="D1448" s="84" t="s">
        <v>276</v>
      </c>
      <c r="E1448" s="104">
        <v>80</v>
      </c>
      <c r="G1448" s="20">
        <v>1451</v>
      </c>
      <c r="H1448" s="13" t="s">
        <v>1245</v>
      </c>
      <c r="I1448" s="13" t="str">
        <f t="shared" si="44"/>
        <v>SE 17TH ST (US 1 to EISENHOWER Bl)</v>
      </c>
      <c r="J1448" s="12" t="s">
        <v>29</v>
      </c>
      <c r="K1448" s="13" t="str">
        <f>VLOOKUP(J1448,'Data-ProjectTypes'!A$3:B$13,2,FALSE)</f>
        <v>Program</v>
      </c>
      <c r="L1448" s="12" t="s">
        <v>1377</v>
      </c>
      <c r="M1448" s="105" t="s">
        <v>98</v>
      </c>
      <c r="N1448" s="12" t="s">
        <v>1993</v>
      </c>
      <c r="Q1448" s="72">
        <v>0.8</v>
      </c>
      <c r="R1448" s="23">
        <v>1293000</v>
      </c>
      <c r="Z1448" s="18">
        <f>ROUND(R1448*'Data-CostAssumptions'!$C$8,-3)</f>
        <v>1293000</v>
      </c>
      <c r="AA1448" s="11">
        <f t="shared" si="45"/>
        <v>0</v>
      </c>
      <c r="AB1448" s="11">
        <v>2041</v>
      </c>
      <c r="AC1448" s="11">
        <v>2041</v>
      </c>
      <c r="AD1448" s="11">
        <v>2041</v>
      </c>
      <c r="AE1448" s="11">
        <v>2041</v>
      </c>
      <c r="AF1448" s="11">
        <v>0</v>
      </c>
      <c r="AG1448" s="19">
        <f>ROUND((Z1448*'Data-CostAssumptions'!$G$5)*(1+'Data-CostAssumptions'!$G$3)^(AC1448-'Data-CostAssumptions'!$G$4),-3)</f>
        <v>729000</v>
      </c>
      <c r="AH1448" s="19">
        <f>ROUND((Z1448)*(1+'Data-CostAssumptions'!$G$3)^(AE1448-'Data-CostAssumptions'!$G$4),-3)</f>
        <v>3315000</v>
      </c>
    </row>
    <row r="1449" spans="2:34" ht="15" customHeight="1" x14ac:dyDescent="0.2">
      <c r="B1449" s="11" t="s">
        <v>1211</v>
      </c>
      <c r="D1449" s="84" t="s">
        <v>276</v>
      </c>
      <c r="E1449" s="104" t="s">
        <v>1499</v>
      </c>
      <c r="G1449" s="20">
        <v>1452</v>
      </c>
      <c r="H1449" s="13" t="s">
        <v>1591</v>
      </c>
      <c r="I1449" s="13" t="str">
        <f t="shared" si="44"/>
        <v>SE 19TH PL &amp; BARBARA DR  (A1A to GRACE DR )</v>
      </c>
      <c r="J1449" s="12" t="s">
        <v>29</v>
      </c>
      <c r="K1449" s="13" t="str">
        <f>VLOOKUP(J1449,'Data-ProjectTypes'!A$3:B$13,2,FALSE)</f>
        <v>Program</v>
      </c>
      <c r="L1449" s="12" t="s">
        <v>1667</v>
      </c>
      <c r="M1449" s="105" t="s">
        <v>205</v>
      </c>
      <c r="N1449" s="12" t="s">
        <v>1701</v>
      </c>
      <c r="Q1449" s="72">
        <v>0.6</v>
      </c>
      <c r="R1449" s="23">
        <f>ROUND(Q1449*'Data-CostAssumptions'!$C$25,-1)</f>
        <v>101040</v>
      </c>
      <c r="Z1449" s="18">
        <f>ROUND(R1449*'Data-CostAssumptions'!$C$8,-3)</f>
        <v>101000</v>
      </c>
      <c r="AA1449" s="11">
        <f t="shared" si="45"/>
        <v>0</v>
      </c>
      <c r="AB1449" s="11">
        <v>2041</v>
      </c>
      <c r="AC1449" s="11">
        <v>2041</v>
      </c>
      <c r="AD1449" s="11">
        <v>2041</v>
      </c>
      <c r="AE1449" s="11">
        <v>2041</v>
      </c>
      <c r="AF1449" s="11">
        <v>0</v>
      </c>
      <c r="AG1449" s="19">
        <f>ROUND((Z1449*'Data-CostAssumptions'!$G$5)*(1+'Data-CostAssumptions'!$G$3)^(AC1449-'Data-CostAssumptions'!$G$4),-3)</f>
        <v>57000</v>
      </c>
      <c r="AH1449" s="19">
        <f>ROUND((Z1449)*(1+'Data-CostAssumptions'!$G$3)^(AE1449-'Data-CostAssumptions'!$G$4),-3)</f>
        <v>259000</v>
      </c>
    </row>
    <row r="1450" spans="2:34" ht="15" customHeight="1" x14ac:dyDescent="0.2">
      <c r="B1450" s="11" t="s">
        <v>1211</v>
      </c>
      <c r="D1450" s="84" t="s">
        <v>276</v>
      </c>
      <c r="E1450" s="104">
        <v>83</v>
      </c>
      <c r="G1450" s="20">
        <v>1453</v>
      </c>
      <c r="H1450" s="13" t="s">
        <v>1246</v>
      </c>
      <c r="I1450" s="13" t="str">
        <f t="shared" si="44"/>
        <v>SE 30TH ST (ANDREWS Av to US 1)</v>
      </c>
      <c r="J1450" s="12" t="s">
        <v>29</v>
      </c>
      <c r="K1450" s="13" t="str">
        <f>VLOOKUP(J1450,'Data-ProjectTypes'!A$3:B$13,2,FALSE)</f>
        <v>Program</v>
      </c>
      <c r="L1450" s="12" t="s">
        <v>1340</v>
      </c>
      <c r="M1450" s="105" t="s">
        <v>2139</v>
      </c>
      <c r="N1450" s="12" t="s">
        <v>98</v>
      </c>
      <c r="Q1450" s="72">
        <v>0.2</v>
      </c>
      <c r="R1450" s="23">
        <v>94950</v>
      </c>
      <c r="Z1450" s="18">
        <f>ROUND(R1450*'Data-CostAssumptions'!$C$8,-3)</f>
        <v>95000</v>
      </c>
      <c r="AA1450" s="11">
        <f t="shared" si="45"/>
        <v>0</v>
      </c>
      <c r="AB1450" s="11">
        <v>2041</v>
      </c>
      <c r="AC1450" s="11">
        <v>2041</v>
      </c>
      <c r="AD1450" s="11">
        <v>2041</v>
      </c>
      <c r="AE1450" s="11">
        <v>2041</v>
      </c>
      <c r="AF1450" s="11">
        <v>0</v>
      </c>
      <c r="AG1450" s="19">
        <f>ROUND((Z1450*'Data-CostAssumptions'!$G$5)*(1+'Data-CostAssumptions'!$G$3)^(AC1450-'Data-CostAssumptions'!$G$4),-3)</f>
        <v>54000</v>
      </c>
      <c r="AH1450" s="19">
        <f>ROUND((Z1450)*(1+'Data-CostAssumptions'!$G$3)^(AE1450-'Data-CostAssumptions'!$G$4),-3)</f>
        <v>244000</v>
      </c>
    </row>
    <row r="1451" spans="2:34" ht="15" customHeight="1" x14ac:dyDescent="0.2">
      <c r="B1451" s="11" t="s">
        <v>1211</v>
      </c>
      <c r="D1451" s="84" t="s">
        <v>276</v>
      </c>
      <c r="E1451" s="104">
        <v>81</v>
      </c>
      <c r="G1451" s="20">
        <v>1454</v>
      </c>
      <c r="H1451" s="13" t="s">
        <v>2179</v>
      </c>
      <c r="I1451" s="13" t="str">
        <f t="shared" si="44"/>
        <v>SE 3RD Av (SE 17TH ST to DAVIE Bl)</v>
      </c>
      <c r="J1451" s="12" t="s">
        <v>29</v>
      </c>
      <c r="K1451" s="13" t="str">
        <f>VLOOKUP(J1451,'Data-ProjectTypes'!A$3:B$13,2,FALSE)</f>
        <v>Program</v>
      </c>
      <c r="L1451" s="12" t="s">
        <v>1372</v>
      </c>
      <c r="M1451" s="105" t="s">
        <v>1245</v>
      </c>
      <c r="N1451" s="12" t="s">
        <v>1991</v>
      </c>
      <c r="Q1451" s="72">
        <v>0.5</v>
      </c>
      <c r="R1451" s="23">
        <v>252900</v>
      </c>
      <c r="Z1451" s="18">
        <f>ROUND(R1451*'Data-CostAssumptions'!$C$8,-3)</f>
        <v>253000</v>
      </c>
      <c r="AA1451" s="11">
        <f t="shared" si="45"/>
        <v>0</v>
      </c>
      <c r="AB1451" s="11">
        <v>2041</v>
      </c>
      <c r="AC1451" s="11">
        <v>2041</v>
      </c>
      <c r="AD1451" s="11">
        <v>2041</v>
      </c>
      <c r="AE1451" s="11">
        <v>2041</v>
      </c>
      <c r="AF1451" s="11">
        <v>0</v>
      </c>
      <c r="AG1451" s="19">
        <f>ROUND((Z1451*'Data-CostAssumptions'!$G$5)*(1+'Data-CostAssumptions'!$G$3)^(AC1451-'Data-CostAssumptions'!$G$4),-3)</f>
        <v>143000</v>
      </c>
      <c r="AH1451" s="19">
        <f>ROUND((Z1451)*(1+'Data-CostAssumptions'!$G$3)^(AE1451-'Data-CostAssumptions'!$G$4),-3)</f>
        <v>649000</v>
      </c>
    </row>
    <row r="1452" spans="2:34" ht="15" customHeight="1" x14ac:dyDescent="0.2">
      <c r="B1452" s="11" t="s">
        <v>1211</v>
      </c>
      <c r="D1452" s="84" t="s">
        <v>276</v>
      </c>
      <c r="E1452" s="104" t="s">
        <v>1504</v>
      </c>
      <c r="G1452" s="20">
        <v>1455</v>
      </c>
      <c r="H1452" s="13" t="s">
        <v>2180</v>
      </c>
      <c r="I1452" s="13" t="str">
        <f t="shared" si="44"/>
        <v>SE 4TH Av  (SE 17TH ST  to SE 17TH ST )</v>
      </c>
      <c r="J1452" s="12" t="s">
        <v>29</v>
      </c>
      <c r="K1452" s="13" t="str">
        <f>VLOOKUP(J1452,'Data-ProjectTypes'!A$3:B$13,2,FALSE)</f>
        <v>Program</v>
      </c>
      <c r="L1452" s="12" t="s">
        <v>1667</v>
      </c>
      <c r="M1452" s="105" t="s">
        <v>1704</v>
      </c>
      <c r="N1452" s="12" t="s">
        <v>1704</v>
      </c>
      <c r="Q1452" s="72">
        <v>1.3</v>
      </c>
      <c r="R1452" s="23">
        <f>ROUND(Q1452*'Data-CostAssumptions'!$C$25,-1)</f>
        <v>218920</v>
      </c>
      <c r="Z1452" s="18">
        <f>ROUND(R1452*'Data-CostAssumptions'!$C$8,-3)</f>
        <v>219000</v>
      </c>
      <c r="AA1452" s="11">
        <f t="shared" si="45"/>
        <v>0</v>
      </c>
      <c r="AB1452" s="11">
        <v>2041</v>
      </c>
      <c r="AC1452" s="11">
        <v>2041</v>
      </c>
      <c r="AD1452" s="11">
        <v>2041</v>
      </c>
      <c r="AE1452" s="11">
        <v>2041</v>
      </c>
      <c r="AF1452" s="11">
        <v>0</v>
      </c>
      <c r="AG1452" s="19">
        <f>ROUND((Z1452*'Data-CostAssumptions'!$G$5)*(1+'Data-CostAssumptions'!$G$3)^(AC1452-'Data-CostAssumptions'!$G$4),-3)</f>
        <v>124000</v>
      </c>
      <c r="AH1452" s="19">
        <f>ROUND((Z1452)*(1+'Data-CostAssumptions'!$G$3)^(AE1452-'Data-CostAssumptions'!$G$4),-3)</f>
        <v>562000</v>
      </c>
    </row>
    <row r="1453" spans="2:34" ht="15" customHeight="1" x14ac:dyDescent="0.2">
      <c r="B1453" s="11" t="s">
        <v>1211</v>
      </c>
      <c r="D1453" s="84" t="s">
        <v>276</v>
      </c>
      <c r="E1453" s="104" t="s">
        <v>1506</v>
      </c>
      <c r="G1453" s="20">
        <v>1456</v>
      </c>
      <c r="H1453" s="13" t="s">
        <v>2181</v>
      </c>
      <c r="I1453" s="13" t="str">
        <f t="shared" si="44"/>
        <v>SE 6TH Av &amp; SW 33RD ST  (ELLER DR to SE 6TH Av)</v>
      </c>
      <c r="J1453" s="12" t="s">
        <v>29</v>
      </c>
      <c r="K1453" s="13" t="str">
        <f>VLOOKUP(J1453,'Data-ProjectTypes'!A$3:B$13,2,FALSE)</f>
        <v>Program</v>
      </c>
      <c r="L1453" s="12" t="s">
        <v>1667</v>
      </c>
      <c r="M1453" s="105" t="s">
        <v>1434</v>
      </c>
      <c r="N1453" s="12" t="s">
        <v>2628</v>
      </c>
      <c r="Q1453" s="72">
        <v>0.8</v>
      </c>
      <c r="R1453" s="23">
        <f>ROUND(Q1453*'Data-CostAssumptions'!$C$25,-1)</f>
        <v>134720</v>
      </c>
      <c r="Z1453" s="18">
        <f>ROUND(R1453*'Data-CostAssumptions'!$C$8,-3)</f>
        <v>135000</v>
      </c>
      <c r="AA1453" s="11">
        <f t="shared" si="45"/>
        <v>0</v>
      </c>
      <c r="AB1453" s="11">
        <v>2041</v>
      </c>
      <c r="AC1453" s="11">
        <v>2041</v>
      </c>
      <c r="AD1453" s="11">
        <v>2041</v>
      </c>
      <c r="AE1453" s="11">
        <v>2041</v>
      </c>
      <c r="AF1453" s="11">
        <v>0</v>
      </c>
      <c r="AG1453" s="19">
        <f>ROUND((Z1453*'Data-CostAssumptions'!$G$5)*(1+'Data-CostAssumptions'!$G$3)^(AC1453-'Data-CostAssumptions'!$G$4),-3)</f>
        <v>76000</v>
      </c>
      <c r="AH1453" s="19">
        <f>ROUND((Z1453)*(1+'Data-CostAssumptions'!$G$3)^(AE1453-'Data-CostAssumptions'!$G$4),-3)</f>
        <v>346000</v>
      </c>
    </row>
    <row r="1454" spans="2:34" ht="15" customHeight="1" x14ac:dyDescent="0.2">
      <c r="B1454" s="11" t="s">
        <v>1211</v>
      </c>
      <c r="D1454" s="84" t="s">
        <v>276</v>
      </c>
      <c r="E1454" s="104" t="s">
        <v>1552</v>
      </c>
      <c r="G1454" s="20">
        <v>1457</v>
      </c>
      <c r="H1454" s="13" t="s">
        <v>2182</v>
      </c>
      <c r="I1454" s="13" t="str">
        <f t="shared" si="44"/>
        <v>SE 8TH Av  (E LAS OLAS Bl  to E BROWARD Bl )</v>
      </c>
      <c r="J1454" s="12" t="s">
        <v>29</v>
      </c>
      <c r="K1454" s="13" t="str">
        <f>VLOOKUP(J1454,'Data-ProjectTypes'!A$3:B$13,2,FALSE)</f>
        <v>Program</v>
      </c>
      <c r="L1454" s="12" t="s">
        <v>1667</v>
      </c>
      <c r="M1454" s="105" t="s">
        <v>2311</v>
      </c>
      <c r="N1454" s="12" t="s">
        <v>2309</v>
      </c>
      <c r="Q1454" s="72">
        <v>0.2</v>
      </c>
      <c r="R1454" s="23">
        <f>ROUND(Q1454*'Data-CostAssumptions'!$C$25,-1)</f>
        <v>33680</v>
      </c>
      <c r="Z1454" s="18">
        <f>ROUND(R1454*'Data-CostAssumptions'!$C$8,-3)</f>
        <v>34000</v>
      </c>
      <c r="AA1454" s="11">
        <f t="shared" si="45"/>
        <v>0</v>
      </c>
      <c r="AB1454" s="11">
        <v>2041</v>
      </c>
      <c r="AC1454" s="11">
        <v>2041</v>
      </c>
      <c r="AD1454" s="11">
        <v>2041</v>
      </c>
      <c r="AE1454" s="11">
        <v>2041</v>
      </c>
      <c r="AF1454" s="11">
        <v>0</v>
      </c>
      <c r="AG1454" s="19">
        <f>ROUND((Z1454*'Data-CostAssumptions'!$G$5)*(1+'Data-CostAssumptions'!$G$3)^(AC1454-'Data-CostAssumptions'!$G$4),-3)</f>
        <v>19000</v>
      </c>
      <c r="AH1454" s="19">
        <f>ROUND((Z1454)*(1+'Data-CostAssumptions'!$G$3)^(AE1454-'Data-CostAssumptions'!$G$4),-3)</f>
        <v>87000</v>
      </c>
    </row>
    <row r="1455" spans="2:34" ht="15" customHeight="1" x14ac:dyDescent="0.2">
      <c r="B1455" s="11" t="s">
        <v>1211</v>
      </c>
      <c r="D1455" s="84" t="s">
        <v>276</v>
      </c>
      <c r="E1455" s="104">
        <v>82</v>
      </c>
      <c r="G1455" s="20">
        <v>1458</v>
      </c>
      <c r="H1455" s="13" t="s">
        <v>2183</v>
      </c>
      <c r="I1455" s="13" t="str">
        <f t="shared" si="44"/>
        <v>SE/NE 3RD Av (DAVIE Bl to NE 6TH ST)</v>
      </c>
      <c r="J1455" s="12" t="s">
        <v>29</v>
      </c>
      <c r="K1455" s="13" t="str">
        <f>VLOOKUP(J1455,'Data-ProjectTypes'!A$3:B$13,2,FALSE)</f>
        <v>Program</v>
      </c>
      <c r="L1455" s="12" t="s">
        <v>1374</v>
      </c>
      <c r="M1455" s="105" t="s">
        <v>1991</v>
      </c>
      <c r="N1455" s="12" t="s">
        <v>1230</v>
      </c>
      <c r="Q1455" s="72">
        <v>1.5</v>
      </c>
      <c r="R1455" s="23">
        <v>770300</v>
      </c>
      <c r="Z1455" s="18">
        <f>ROUND(R1455*'Data-CostAssumptions'!$C$8,-3)</f>
        <v>770000</v>
      </c>
      <c r="AA1455" s="11">
        <f t="shared" si="45"/>
        <v>0</v>
      </c>
      <c r="AB1455" s="11">
        <v>2041</v>
      </c>
      <c r="AC1455" s="11">
        <v>2041</v>
      </c>
      <c r="AD1455" s="11">
        <v>2041</v>
      </c>
      <c r="AE1455" s="11">
        <v>2041</v>
      </c>
      <c r="AF1455" s="11">
        <v>0</v>
      </c>
      <c r="AG1455" s="19">
        <f>ROUND((Z1455*'Data-CostAssumptions'!$G$5)*(1+'Data-CostAssumptions'!$G$3)^(AC1455-'Data-CostAssumptions'!$G$4),-3)</f>
        <v>434000</v>
      </c>
      <c r="AH1455" s="19">
        <f>ROUND((Z1455)*(1+'Data-CostAssumptions'!$G$3)^(AE1455-'Data-CostAssumptions'!$G$4),-3)</f>
        <v>1974000</v>
      </c>
    </row>
    <row r="1456" spans="2:34" ht="15" customHeight="1" x14ac:dyDescent="0.2">
      <c r="B1456" s="11" t="s">
        <v>1211</v>
      </c>
      <c r="D1456" s="84" t="s">
        <v>276</v>
      </c>
      <c r="E1456" s="104">
        <v>84</v>
      </c>
      <c r="G1456" s="20">
        <v>1459</v>
      </c>
      <c r="H1456" s="13" t="s">
        <v>2000</v>
      </c>
      <c r="I1456" s="13" t="str">
        <f t="shared" si="44"/>
        <v>SEABREEZE Bl (SR A1A SOUTHBOUND) (SEVILLA ST to BAHIA MAR HOTEL/SR A1A)</v>
      </c>
      <c r="J1456" s="12" t="s">
        <v>29</v>
      </c>
      <c r="K1456" s="13" t="str">
        <f>VLOOKUP(J1456,'Data-ProjectTypes'!A$3:B$13,2,FALSE)</f>
        <v>Program</v>
      </c>
      <c r="L1456" s="12" t="s">
        <v>1377</v>
      </c>
      <c r="M1456" s="105" t="s">
        <v>1453</v>
      </c>
      <c r="N1456" s="12" t="s">
        <v>1452</v>
      </c>
      <c r="Q1456" s="72">
        <v>0.9</v>
      </c>
      <c r="R1456" s="23">
        <v>1454000</v>
      </c>
      <c r="Z1456" s="18">
        <f>ROUND(R1456*'Data-CostAssumptions'!$C$8,-3)</f>
        <v>1454000</v>
      </c>
      <c r="AA1456" s="11">
        <f t="shared" si="45"/>
        <v>0</v>
      </c>
      <c r="AB1456" s="11">
        <v>2041</v>
      </c>
      <c r="AC1456" s="11">
        <v>2041</v>
      </c>
      <c r="AD1456" s="11">
        <v>2041</v>
      </c>
      <c r="AE1456" s="11">
        <v>2041</v>
      </c>
      <c r="AF1456" s="11">
        <v>0</v>
      </c>
      <c r="AG1456" s="19">
        <f>ROUND((Z1456*'Data-CostAssumptions'!$G$5)*(1+'Data-CostAssumptions'!$G$3)^(AC1456-'Data-CostAssumptions'!$G$4),-3)</f>
        <v>820000</v>
      </c>
      <c r="AH1456" s="19">
        <f>ROUND((Z1456)*(1+'Data-CostAssumptions'!$G$3)^(AE1456-'Data-CostAssumptions'!$G$4),-3)</f>
        <v>3728000</v>
      </c>
    </row>
    <row r="1457" spans="2:34" ht="15" customHeight="1" x14ac:dyDescent="0.2">
      <c r="B1457" s="11" t="s">
        <v>1211</v>
      </c>
      <c r="D1457" s="84" t="s">
        <v>276</v>
      </c>
      <c r="E1457" s="104" t="s">
        <v>1497</v>
      </c>
      <c r="G1457" s="20">
        <v>1460</v>
      </c>
      <c r="H1457" s="13" t="s">
        <v>1590</v>
      </c>
      <c r="I1457" s="13" t="str">
        <f t="shared" si="44"/>
        <v>SOUTH BEACH BOARDWALK (LAS OLA Bl  to FORT LAUDERDALE BEACH PARK ENTRANCE )</v>
      </c>
      <c r="J1457" s="12" t="s">
        <v>29</v>
      </c>
      <c r="K1457" s="13" t="str">
        <f>VLOOKUP(J1457,'Data-ProjectTypes'!A$3:B$13,2,FALSE)</f>
        <v>Program</v>
      </c>
      <c r="L1457" s="12" t="s">
        <v>1667</v>
      </c>
      <c r="M1457" s="105" t="s">
        <v>2319</v>
      </c>
      <c r="N1457" s="12" t="s">
        <v>1700</v>
      </c>
      <c r="Q1457" s="72">
        <v>1.6</v>
      </c>
      <c r="R1457" s="23">
        <f>ROUND(Q1457*'Data-CostAssumptions'!$C$25,-1)</f>
        <v>269440</v>
      </c>
      <c r="Z1457" s="18">
        <f>ROUND(R1457*'Data-CostAssumptions'!$C$8,-3)</f>
        <v>269000</v>
      </c>
      <c r="AA1457" s="11">
        <f t="shared" si="45"/>
        <v>0</v>
      </c>
      <c r="AB1457" s="11">
        <v>2041</v>
      </c>
      <c r="AC1457" s="11">
        <v>2041</v>
      </c>
      <c r="AD1457" s="11">
        <v>2041</v>
      </c>
      <c r="AE1457" s="11">
        <v>2041</v>
      </c>
      <c r="AF1457" s="11">
        <v>0</v>
      </c>
      <c r="AG1457" s="19">
        <f>ROUND((Z1457*'Data-CostAssumptions'!$G$5)*(1+'Data-CostAssumptions'!$G$3)^(AC1457-'Data-CostAssumptions'!$G$4),-3)</f>
        <v>152000</v>
      </c>
      <c r="AH1457" s="19">
        <f>ROUND((Z1457)*(1+'Data-CostAssumptions'!$G$3)^(AE1457-'Data-CostAssumptions'!$G$4),-3)</f>
        <v>690000</v>
      </c>
    </row>
    <row r="1458" spans="2:34" ht="15" customHeight="1" x14ac:dyDescent="0.2">
      <c r="B1458" s="11" t="s">
        <v>1211</v>
      </c>
      <c r="D1458" s="84" t="s">
        <v>276</v>
      </c>
      <c r="E1458" s="104">
        <v>105</v>
      </c>
      <c r="G1458" s="20">
        <v>1461</v>
      </c>
      <c r="H1458" s="13" t="s">
        <v>2209</v>
      </c>
      <c r="I1458" s="13" t="str">
        <f t="shared" si="44"/>
        <v>SR 5/ US 1 (BROWARD Bl to NE 6TH ST)</v>
      </c>
      <c r="J1458" s="12" t="s">
        <v>29</v>
      </c>
      <c r="K1458" s="13" t="str">
        <f>VLOOKUP(J1458,'Data-ProjectTypes'!A$3:B$13,2,FALSE)</f>
        <v>Program</v>
      </c>
      <c r="L1458" s="12" t="s">
        <v>1413</v>
      </c>
      <c r="M1458" s="105" t="s">
        <v>1988</v>
      </c>
      <c r="N1458" s="12" t="s">
        <v>1230</v>
      </c>
      <c r="Q1458" s="72">
        <v>0.5</v>
      </c>
      <c r="R1458" s="23">
        <v>328050</v>
      </c>
      <c r="Z1458" s="18">
        <f>ROUND(R1458*'Data-CostAssumptions'!$C$8,-3)</f>
        <v>328000</v>
      </c>
      <c r="AA1458" s="11">
        <f t="shared" si="45"/>
        <v>0</v>
      </c>
      <c r="AB1458" s="11">
        <v>2041</v>
      </c>
      <c r="AC1458" s="11">
        <v>2041</v>
      </c>
      <c r="AD1458" s="11">
        <v>2041</v>
      </c>
      <c r="AE1458" s="11">
        <v>2041</v>
      </c>
      <c r="AF1458" s="11">
        <v>0</v>
      </c>
      <c r="AG1458" s="19">
        <f>ROUND((Z1458*'Data-CostAssumptions'!$G$5)*(1+'Data-CostAssumptions'!$G$3)^(AC1458-'Data-CostAssumptions'!$G$4),-3)</f>
        <v>185000</v>
      </c>
      <c r="AH1458" s="19">
        <f>ROUND((Z1458)*(1+'Data-CostAssumptions'!$G$3)^(AE1458-'Data-CostAssumptions'!$G$4),-3)</f>
        <v>841000</v>
      </c>
    </row>
    <row r="1459" spans="2:34" ht="15" customHeight="1" x14ac:dyDescent="0.2">
      <c r="B1459" s="11" t="s">
        <v>1211</v>
      </c>
      <c r="D1459" s="84" t="s">
        <v>276</v>
      </c>
      <c r="E1459" s="104">
        <v>104</v>
      </c>
      <c r="G1459" s="20">
        <v>1462</v>
      </c>
      <c r="H1459" s="13" t="s">
        <v>2209</v>
      </c>
      <c r="I1459" s="13" t="str">
        <f t="shared" si="44"/>
        <v>SR 5/ US 1 (DAVIE Bl to BROWARD Bl)</v>
      </c>
      <c r="J1459" s="12" t="s">
        <v>29</v>
      </c>
      <c r="K1459" s="13" t="str">
        <f>VLOOKUP(J1459,'Data-ProjectTypes'!A$3:B$13,2,FALSE)</f>
        <v>Program</v>
      </c>
      <c r="L1459" s="12" t="s">
        <v>1411</v>
      </c>
      <c r="M1459" s="105" t="s">
        <v>1991</v>
      </c>
      <c r="N1459" s="12" t="s">
        <v>1988</v>
      </c>
      <c r="Q1459" s="72">
        <v>1</v>
      </c>
      <c r="R1459" s="23">
        <v>643950</v>
      </c>
      <c r="Z1459" s="18">
        <f>ROUND(R1459*'Data-CostAssumptions'!$C$8,-3)</f>
        <v>644000</v>
      </c>
      <c r="AA1459" s="11">
        <f t="shared" si="45"/>
        <v>0</v>
      </c>
      <c r="AB1459" s="11">
        <v>2041</v>
      </c>
      <c r="AC1459" s="11">
        <v>2041</v>
      </c>
      <c r="AD1459" s="11">
        <v>2041</v>
      </c>
      <c r="AE1459" s="11">
        <v>2041</v>
      </c>
      <c r="AF1459" s="11">
        <v>0</v>
      </c>
      <c r="AG1459" s="19">
        <f>ROUND((Z1459*'Data-CostAssumptions'!$G$5)*(1+'Data-CostAssumptions'!$G$3)^(AC1459-'Data-CostAssumptions'!$G$4),-3)</f>
        <v>363000</v>
      </c>
      <c r="AH1459" s="19">
        <f>ROUND((Z1459)*(1+'Data-CostAssumptions'!$G$3)^(AE1459-'Data-CostAssumptions'!$G$4),-3)</f>
        <v>1651000</v>
      </c>
    </row>
    <row r="1460" spans="2:34" ht="15" customHeight="1" x14ac:dyDescent="0.2">
      <c r="B1460" s="11" t="s">
        <v>1211</v>
      </c>
      <c r="D1460" s="84" t="s">
        <v>276</v>
      </c>
      <c r="E1460" s="104">
        <v>77</v>
      </c>
      <c r="G1460" s="20">
        <v>1463</v>
      </c>
      <c r="H1460" s="13" t="s">
        <v>2209</v>
      </c>
      <c r="I1460" s="13" t="str">
        <f t="shared" si="44"/>
        <v>SR 5/ US 1 (I-595 to SE 24TH ST/SR 84)</v>
      </c>
      <c r="J1460" s="12" t="s">
        <v>29</v>
      </c>
      <c r="K1460" s="13" t="str">
        <f>VLOOKUP(J1460,'Data-ProjectTypes'!A$3:B$13,2,FALSE)</f>
        <v>Program</v>
      </c>
      <c r="L1460" s="12" t="s">
        <v>1408</v>
      </c>
      <c r="M1460" s="105" t="s">
        <v>34</v>
      </c>
      <c r="N1460" s="12" t="s">
        <v>1437</v>
      </c>
      <c r="Q1460" s="72">
        <v>0.8</v>
      </c>
      <c r="R1460" s="23">
        <v>522450</v>
      </c>
      <c r="Z1460" s="18">
        <f>ROUND(R1460*'Data-CostAssumptions'!$C$8,-3)</f>
        <v>522000</v>
      </c>
      <c r="AA1460" s="11">
        <f t="shared" si="45"/>
        <v>0</v>
      </c>
      <c r="AB1460" s="11">
        <v>2041</v>
      </c>
      <c r="AC1460" s="11">
        <v>2041</v>
      </c>
      <c r="AD1460" s="11">
        <v>2041</v>
      </c>
      <c r="AE1460" s="11">
        <v>2041</v>
      </c>
      <c r="AF1460" s="11">
        <v>0</v>
      </c>
      <c r="AG1460" s="19">
        <f>ROUND((Z1460*'Data-CostAssumptions'!$G$5)*(1+'Data-CostAssumptions'!$G$3)^(AC1460-'Data-CostAssumptions'!$G$4),-3)</f>
        <v>294000</v>
      </c>
      <c r="AH1460" s="19">
        <f>ROUND((Z1460)*(1+'Data-CostAssumptions'!$G$3)^(AE1460-'Data-CostAssumptions'!$G$4),-3)</f>
        <v>1338000</v>
      </c>
    </row>
    <row r="1461" spans="2:34" ht="15" customHeight="1" x14ac:dyDescent="0.2">
      <c r="B1461" s="11" t="s">
        <v>1211</v>
      </c>
      <c r="D1461" s="84" t="s">
        <v>276</v>
      </c>
      <c r="E1461" s="104">
        <v>108</v>
      </c>
      <c r="G1461" s="20">
        <v>1464</v>
      </c>
      <c r="H1461" s="13" t="s">
        <v>2209</v>
      </c>
      <c r="I1461" s="13" t="str">
        <f t="shared" si="44"/>
        <v>SR 5/ US 1 (NE 13TH ST to MCNAB RD)</v>
      </c>
      <c r="J1461" s="12" t="s">
        <v>29</v>
      </c>
      <c r="K1461" s="13" t="str">
        <f>VLOOKUP(J1461,'Data-ProjectTypes'!A$3:B$13,2,FALSE)</f>
        <v>Program</v>
      </c>
      <c r="L1461" s="12" t="s">
        <v>1417</v>
      </c>
      <c r="M1461" s="105" t="s">
        <v>1432</v>
      </c>
      <c r="N1461" s="12" t="s">
        <v>1227</v>
      </c>
      <c r="Q1461" s="72">
        <v>5</v>
      </c>
      <c r="R1461" s="23">
        <v>3195450</v>
      </c>
      <c r="Z1461" s="18">
        <f>ROUND(R1461*'Data-CostAssumptions'!$C$8,-3)</f>
        <v>3195000</v>
      </c>
      <c r="AA1461" s="11">
        <f t="shared" si="45"/>
        <v>0</v>
      </c>
      <c r="AB1461" s="11">
        <v>2041</v>
      </c>
      <c r="AC1461" s="11">
        <v>2041</v>
      </c>
      <c r="AD1461" s="11">
        <v>2041</v>
      </c>
      <c r="AE1461" s="11">
        <v>2041</v>
      </c>
      <c r="AF1461" s="11">
        <v>0</v>
      </c>
      <c r="AG1461" s="19">
        <f>ROUND((Z1461*'Data-CostAssumptions'!$G$5)*(1+'Data-CostAssumptions'!$G$3)^(AC1461-'Data-CostAssumptions'!$G$4),-3)</f>
        <v>1802000</v>
      </c>
      <c r="AH1461" s="19">
        <f>ROUND((Z1461)*(1+'Data-CostAssumptions'!$G$3)^(AE1461-'Data-CostAssumptions'!$G$4),-3)</f>
        <v>8192000</v>
      </c>
    </row>
    <row r="1462" spans="2:34" ht="15" customHeight="1" x14ac:dyDescent="0.2">
      <c r="B1462" s="11" t="s">
        <v>1211</v>
      </c>
      <c r="D1462" s="84" t="s">
        <v>276</v>
      </c>
      <c r="E1462" s="104">
        <v>107</v>
      </c>
      <c r="G1462" s="20">
        <v>1465</v>
      </c>
      <c r="H1462" s="13" t="s">
        <v>2209</v>
      </c>
      <c r="I1462" s="13" t="str">
        <f t="shared" si="44"/>
        <v>SR 5/ US 1 (NE 15TH Av to NE 13TH ST)</v>
      </c>
      <c r="J1462" s="12" t="s">
        <v>29</v>
      </c>
      <c r="K1462" s="13" t="str">
        <f>VLOOKUP(J1462,'Data-ProjectTypes'!A$3:B$13,2,FALSE)</f>
        <v>Program</v>
      </c>
      <c r="L1462" s="12" t="s">
        <v>1417</v>
      </c>
      <c r="M1462" s="105" t="s">
        <v>2143</v>
      </c>
      <c r="N1462" s="12" t="s">
        <v>1432</v>
      </c>
      <c r="Q1462" s="72">
        <v>1</v>
      </c>
      <c r="R1462" s="23">
        <v>546750</v>
      </c>
      <c r="Z1462" s="18">
        <f>ROUND(R1462*'Data-CostAssumptions'!$C$8,-3)</f>
        <v>547000</v>
      </c>
      <c r="AA1462" s="11">
        <f t="shared" si="45"/>
        <v>0</v>
      </c>
      <c r="AB1462" s="11">
        <v>2041</v>
      </c>
      <c r="AC1462" s="11">
        <v>2041</v>
      </c>
      <c r="AD1462" s="11">
        <v>2041</v>
      </c>
      <c r="AE1462" s="11">
        <v>2041</v>
      </c>
      <c r="AF1462" s="11">
        <v>0</v>
      </c>
      <c r="AG1462" s="19">
        <f>ROUND((Z1462*'Data-CostAssumptions'!$G$5)*(1+'Data-CostAssumptions'!$G$3)^(AC1462-'Data-CostAssumptions'!$G$4),-3)</f>
        <v>309000</v>
      </c>
      <c r="AH1462" s="19">
        <f>ROUND((Z1462)*(1+'Data-CostAssumptions'!$G$3)^(AE1462-'Data-CostAssumptions'!$G$4),-3)</f>
        <v>1402000</v>
      </c>
    </row>
    <row r="1463" spans="2:34" ht="15" customHeight="1" x14ac:dyDescent="0.2">
      <c r="B1463" s="11" t="s">
        <v>1211</v>
      </c>
      <c r="D1463" s="84" t="s">
        <v>276</v>
      </c>
      <c r="E1463" s="104">
        <v>106</v>
      </c>
      <c r="G1463" s="20">
        <v>1466</v>
      </c>
      <c r="H1463" s="13" t="s">
        <v>2209</v>
      </c>
      <c r="I1463" s="13" t="str">
        <f t="shared" si="44"/>
        <v>SR 5/ US 1 (NE 6TH ST to NE 15TH Av)</v>
      </c>
      <c r="J1463" s="12" t="s">
        <v>29</v>
      </c>
      <c r="K1463" s="13" t="str">
        <f>VLOOKUP(J1463,'Data-ProjectTypes'!A$3:B$13,2,FALSE)</f>
        <v>Program</v>
      </c>
      <c r="L1463" s="12" t="s">
        <v>1415</v>
      </c>
      <c r="M1463" s="105" t="s">
        <v>1230</v>
      </c>
      <c r="N1463" s="12" t="s">
        <v>2143</v>
      </c>
      <c r="Q1463" s="72">
        <v>0.9</v>
      </c>
      <c r="R1463" s="23">
        <v>631800</v>
      </c>
      <c r="Z1463" s="18">
        <f>ROUND(R1463*'Data-CostAssumptions'!$C$8,-3)</f>
        <v>632000</v>
      </c>
      <c r="AA1463" s="11">
        <f t="shared" si="45"/>
        <v>0</v>
      </c>
      <c r="AB1463" s="11">
        <v>2041</v>
      </c>
      <c r="AC1463" s="11">
        <v>2041</v>
      </c>
      <c r="AD1463" s="11">
        <v>2041</v>
      </c>
      <c r="AE1463" s="11">
        <v>2041</v>
      </c>
      <c r="AF1463" s="11">
        <v>0</v>
      </c>
      <c r="AG1463" s="19">
        <f>ROUND((Z1463*'Data-CostAssumptions'!$G$5)*(1+'Data-CostAssumptions'!$G$3)^(AC1463-'Data-CostAssumptions'!$G$4),-3)</f>
        <v>356000</v>
      </c>
      <c r="AH1463" s="19">
        <f>ROUND((Z1463)*(1+'Data-CostAssumptions'!$G$3)^(AE1463-'Data-CostAssumptions'!$G$4),-3)</f>
        <v>1620000</v>
      </c>
    </row>
    <row r="1464" spans="2:34" ht="15" customHeight="1" x14ac:dyDescent="0.2">
      <c r="B1464" s="11" t="s">
        <v>1211</v>
      </c>
      <c r="D1464" s="84" t="s">
        <v>276</v>
      </c>
      <c r="E1464" s="104">
        <v>103</v>
      </c>
      <c r="G1464" s="20">
        <v>1467</v>
      </c>
      <c r="H1464" s="13" t="s">
        <v>2209</v>
      </c>
      <c r="I1464" s="13" t="str">
        <f t="shared" si="44"/>
        <v>SR 5/ US 1 (SR 84 to DAVIE Bl)</v>
      </c>
      <c r="J1464" s="12" t="s">
        <v>29</v>
      </c>
      <c r="K1464" s="13" t="str">
        <f>VLOOKUP(J1464,'Data-ProjectTypes'!A$3:B$13,2,FALSE)</f>
        <v>Program</v>
      </c>
      <c r="L1464" s="12" t="s">
        <v>1408</v>
      </c>
      <c r="M1464" s="105" t="s">
        <v>45</v>
      </c>
      <c r="N1464" s="12" t="s">
        <v>1991</v>
      </c>
      <c r="Q1464" s="72">
        <v>1</v>
      </c>
      <c r="R1464" s="23">
        <v>643950</v>
      </c>
      <c r="Z1464" s="18">
        <f>ROUND(R1464*'Data-CostAssumptions'!$C$8,-3)</f>
        <v>644000</v>
      </c>
      <c r="AA1464" s="11">
        <f t="shared" si="45"/>
        <v>0</v>
      </c>
      <c r="AB1464" s="11">
        <v>2041</v>
      </c>
      <c r="AC1464" s="11">
        <v>2041</v>
      </c>
      <c r="AD1464" s="11">
        <v>2041</v>
      </c>
      <c r="AE1464" s="11">
        <v>2041</v>
      </c>
      <c r="AF1464" s="11">
        <v>0</v>
      </c>
      <c r="AG1464" s="19">
        <f>ROUND((Z1464*'Data-CostAssumptions'!$G$5)*(1+'Data-CostAssumptions'!$G$3)^(AC1464-'Data-CostAssumptions'!$G$4),-3)</f>
        <v>363000</v>
      </c>
      <c r="AH1464" s="19">
        <f>ROUND((Z1464)*(1+'Data-CostAssumptions'!$G$3)^(AE1464-'Data-CostAssumptions'!$G$4),-3)</f>
        <v>1651000</v>
      </c>
    </row>
    <row r="1465" spans="2:34" ht="15" customHeight="1" x14ac:dyDescent="0.2">
      <c r="B1465" s="11" t="s">
        <v>1211</v>
      </c>
      <c r="D1465" s="84" t="s">
        <v>276</v>
      </c>
      <c r="E1465" s="104">
        <v>89</v>
      </c>
      <c r="G1465" s="20">
        <v>1468</v>
      </c>
      <c r="H1465" s="13" t="s">
        <v>57</v>
      </c>
      <c r="I1465" s="13" t="str">
        <f t="shared" si="44"/>
        <v>SR 7/US 441 (I-595 to DAVIE Bl)</v>
      </c>
      <c r="J1465" s="12" t="s">
        <v>29</v>
      </c>
      <c r="K1465" s="13" t="str">
        <f>VLOOKUP(J1465,'Data-ProjectTypes'!A$3:B$13,2,FALSE)</f>
        <v>Program</v>
      </c>
      <c r="L1465" s="12" t="s">
        <v>1385</v>
      </c>
      <c r="M1465" s="105" t="s">
        <v>34</v>
      </c>
      <c r="N1465" s="12" t="s">
        <v>1991</v>
      </c>
      <c r="Q1465" s="72">
        <v>1.4</v>
      </c>
      <c r="R1465" s="23">
        <v>936450</v>
      </c>
      <c r="Z1465" s="18">
        <f>ROUND(R1465*'Data-CostAssumptions'!$C$8,-3)</f>
        <v>936000</v>
      </c>
      <c r="AA1465" s="11">
        <f t="shared" si="45"/>
        <v>0</v>
      </c>
      <c r="AB1465" s="11">
        <v>2041</v>
      </c>
      <c r="AC1465" s="11">
        <v>2041</v>
      </c>
      <c r="AD1465" s="11">
        <v>2041</v>
      </c>
      <c r="AE1465" s="11">
        <v>2041</v>
      </c>
      <c r="AF1465" s="11">
        <v>0</v>
      </c>
      <c r="AG1465" s="19">
        <f>ROUND((Z1465*'Data-CostAssumptions'!$G$5)*(1+'Data-CostAssumptions'!$G$3)^(AC1465-'Data-CostAssumptions'!$G$4),-3)</f>
        <v>528000</v>
      </c>
      <c r="AH1465" s="19">
        <f>ROUND((Z1465)*(1+'Data-CostAssumptions'!$G$3)^(AE1465-'Data-CostAssumptions'!$G$4),-3)</f>
        <v>2400000</v>
      </c>
    </row>
    <row r="1466" spans="2:34" ht="15" customHeight="1" x14ac:dyDescent="0.2">
      <c r="B1466" s="11" t="s">
        <v>1211</v>
      </c>
      <c r="D1466" s="84" t="s">
        <v>276</v>
      </c>
      <c r="E1466" s="104">
        <v>22</v>
      </c>
      <c r="G1466" s="20">
        <v>1469</v>
      </c>
      <c r="H1466" s="13" t="s">
        <v>2755</v>
      </c>
      <c r="I1466" s="13" t="str">
        <f t="shared" si="44"/>
        <v>SR 811/Dixie Hwy (NE 13TH ST to NE 20TH DR)</v>
      </c>
      <c r="J1466" s="12" t="s">
        <v>29</v>
      </c>
      <c r="K1466" s="13" t="str">
        <f>VLOOKUP(J1466,'Data-ProjectTypes'!A$3:B$13,2,FALSE)</f>
        <v>Program</v>
      </c>
      <c r="L1466" s="12" t="s">
        <v>1286</v>
      </c>
      <c r="M1466" s="105" t="s">
        <v>1432</v>
      </c>
      <c r="N1466" s="12" t="s">
        <v>1431</v>
      </c>
      <c r="Q1466" s="72">
        <v>0.9</v>
      </c>
      <c r="R1466" s="23">
        <v>618000</v>
      </c>
      <c r="Z1466" s="18">
        <f>ROUND(R1466*'Data-CostAssumptions'!$C$8,-3)</f>
        <v>618000</v>
      </c>
      <c r="AA1466" s="11">
        <f t="shared" si="45"/>
        <v>0</v>
      </c>
      <c r="AB1466" s="11">
        <v>2041</v>
      </c>
      <c r="AC1466" s="11">
        <v>2041</v>
      </c>
      <c r="AD1466" s="11">
        <v>2041</v>
      </c>
      <c r="AE1466" s="11">
        <v>2041</v>
      </c>
      <c r="AF1466" s="11">
        <v>0</v>
      </c>
      <c r="AG1466" s="19">
        <f>ROUND((Z1466*'Data-CostAssumptions'!$G$5)*(1+'Data-CostAssumptions'!$G$3)^(AC1466-'Data-CostAssumptions'!$G$4),-3)</f>
        <v>349000</v>
      </c>
      <c r="AH1466" s="19">
        <f>ROUND((Z1466)*(1+'Data-CostAssumptions'!$G$3)^(AE1466-'Data-CostAssumptions'!$G$4),-3)</f>
        <v>1585000</v>
      </c>
    </row>
    <row r="1467" spans="2:34" ht="15" customHeight="1" x14ac:dyDescent="0.2">
      <c r="B1467" s="11" t="s">
        <v>1211</v>
      </c>
      <c r="D1467" s="84" t="s">
        <v>276</v>
      </c>
      <c r="E1467" s="104" t="s">
        <v>1479</v>
      </c>
      <c r="G1467" s="20">
        <v>1470</v>
      </c>
      <c r="H1467" s="13" t="s">
        <v>2710</v>
      </c>
      <c r="I1467" s="13" t="str">
        <f t="shared" si="44"/>
        <v>SR 816/Oakland Park Bl (US 1 to N OCEAN Bl )</v>
      </c>
      <c r="J1467" s="12" t="s">
        <v>29</v>
      </c>
      <c r="K1467" s="13" t="str">
        <f>VLOOKUP(J1467,'Data-ProjectTypes'!A$3:B$13,2,FALSE)</f>
        <v>Program</v>
      </c>
      <c r="L1467" s="12" t="s">
        <v>1667</v>
      </c>
      <c r="M1467" s="105" t="s">
        <v>98</v>
      </c>
      <c r="N1467" s="12" t="s">
        <v>2307</v>
      </c>
      <c r="Q1467" s="72">
        <v>0.2</v>
      </c>
      <c r="R1467" s="23">
        <f>ROUND(Q1467*'Data-CostAssumptions'!$C$25,-1)</f>
        <v>33680</v>
      </c>
      <c r="Z1467" s="18">
        <f>ROUND(R1467*'Data-CostAssumptions'!$C$8,-3)</f>
        <v>34000</v>
      </c>
      <c r="AA1467" s="11">
        <f t="shared" si="45"/>
        <v>0</v>
      </c>
      <c r="AB1467" s="11">
        <v>2041</v>
      </c>
      <c r="AC1467" s="11">
        <v>2041</v>
      </c>
      <c r="AD1467" s="11">
        <v>2041</v>
      </c>
      <c r="AE1467" s="11">
        <v>2041</v>
      </c>
      <c r="AF1467" s="11">
        <v>0</v>
      </c>
      <c r="AG1467" s="19">
        <f>ROUND((Z1467*'Data-CostAssumptions'!$G$5)*(1+'Data-CostAssumptions'!$G$3)^(AC1467-'Data-CostAssumptions'!$G$4),-3)</f>
        <v>19000</v>
      </c>
      <c r="AH1467" s="19">
        <f>ROUND((Z1467)*(1+'Data-CostAssumptions'!$G$3)^(AE1467-'Data-CostAssumptions'!$G$4),-3)</f>
        <v>87000</v>
      </c>
    </row>
    <row r="1468" spans="2:34" ht="15" customHeight="1" x14ac:dyDescent="0.2">
      <c r="B1468" s="11" t="s">
        <v>1211</v>
      </c>
      <c r="D1468" s="84" t="s">
        <v>276</v>
      </c>
      <c r="E1468" s="104">
        <v>71</v>
      </c>
      <c r="G1468" s="20">
        <v>1471</v>
      </c>
      <c r="H1468" s="13" t="s">
        <v>2710</v>
      </c>
      <c r="I1468" s="13" t="str">
        <f t="shared" si="44"/>
        <v>SR 816/Oakland Park Bl (US 1/SR 5 to SR A1A/OCEAN Bl)</v>
      </c>
      <c r="J1468" s="12" t="s">
        <v>29</v>
      </c>
      <c r="K1468" s="13" t="str">
        <f>VLOOKUP(J1468,'Data-ProjectTypes'!A$3:B$13,2,FALSE)</f>
        <v>Program</v>
      </c>
      <c r="L1468" s="12" t="s">
        <v>1360</v>
      </c>
      <c r="M1468" s="105" t="s">
        <v>1422</v>
      </c>
      <c r="N1468" s="12" t="s">
        <v>2306</v>
      </c>
      <c r="Q1468" s="72">
        <v>1</v>
      </c>
      <c r="R1468" s="23">
        <v>659950</v>
      </c>
      <c r="Z1468" s="18">
        <f>ROUND(R1468*'Data-CostAssumptions'!$C$8,-3)</f>
        <v>660000</v>
      </c>
      <c r="AA1468" s="11">
        <f t="shared" si="45"/>
        <v>0</v>
      </c>
      <c r="AB1468" s="11">
        <v>2041</v>
      </c>
      <c r="AC1468" s="11">
        <v>2041</v>
      </c>
      <c r="AD1468" s="11">
        <v>2041</v>
      </c>
      <c r="AE1468" s="11">
        <v>2041</v>
      </c>
      <c r="AF1468" s="11">
        <v>0</v>
      </c>
      <c r="AG1468" s="19">
        <f>ROUND((Z1468*'Data-CostAssumptions'!$G$5)*(1+'Data-CostAssumptions'!$G$3)^(AC1468-'Data-CostAssumptions'!$G$4),-3)</f>
        <v>372000</v>
      </c>
      <c r="AH1468" s="19">
        <f>ROUND((Z1468)*(1+'Data-CostAssumptions'!$G$3)^(AE1468-'Data-CostAssumptions'!$G$4),-3)</f>
        <v>1692000</v>
      </c>
    </row>
    <row r="1469" spans="2:34" ht="15" customHeight="1" x14ac:dyDescent="0.2">
      <c r="B1469" s="11" t="s">
        <v>1211</v>
      </c>
      <c r="D1469" s="84" t="s">
        <v>276</v>
      </c>
      <c r="E1469" s="104">
        <v>91</v>
      </c>
      <c r="G1469" s="20">
        <v>1472</v>
      </c>
      <c r="H1469" s="13" t="s">
        <v>2728</v>
      </c>
      <c r="I1469" s="13" t="str">
        <f t="shared" si="44"/>
        <v>SR 838/Sunrise Bl (NE 26TH Av to SR A1A)</v>
      </c>
      <c r="J1469" s="12" t="s">
        <v>29</v>
      </c>
      <c r="K1469" s="13" t="str">
        <f>VLOOKUP(J1469,'Data-ProjectTypes'!A$3:B$13,2,FALSE)</f>
        <v>Program</v>
      </c>
      <c r="L1469" s="12" t="s">
        <v>1394</v>
      </c>
      <c r="M1469" s="105" t="s">
        <v>2632</v>
      </c>
      <c r="N1469" s="12" t="s">
        <v>110</v>
      </c>
      <c r="Q1469" s="72">
        <v>0.5</v>
      </c>
      <c r="R1469" s="23">
        <v>358200</v>
      </c>
      <c r="Z1469" s="18">
        <f>ROUND(R1469*'Data-CostAssumptions'!$C$8,-3)</f>
        <v>358000</v>
      </c>
      <c r="AA1469" s="11">
        <f t="shared" si="45"/>
        <v>0</v>
      </c>
      <c r="AB1469" s="11">
        <v>2041</v>
      </c>
      <c r="AC1469" s="11">
        <v>2041</v>
      </c>
      <c r="AD1469" s="11">
        <v>2041</v>
      </c>
      <c r="AE1469" s="11">
        <v>2041</v>
      </c>
      <c r="AF1469" s="11">
        <v>0</v>
      </c>
      <c r="AG1469" s="19">
        <f>ROUND((Z1469*'Data-CostAssumptions'!$G$5)*(1+'Data-CostAssumptions'!$G$3)^(AC1469-'Data-CostAssumptions'!$G$4),-3)</f>
        <v>202000</v>
      </c>
      <c r="AH1469" s="19">
        <f>ROUND((Z1469)*(1+'Data-CostAssumptions'!$G$3)^(AE1469-'Data-CostAssumptions'!$G$4),-3)</f>
        <v>918000</v>
      </c>
    </row>
    <row r="1470" spans="2:34" ht="15" customHeight="1" x14ac:dyDescent="0.2">
      <c r="B1470" s="11" t="s">
        <v>1211</v>
      </c>
      <c r="D1470" s="84" t="s">
        <v>276</v>
      </c>
      <c r="E1470" s="104">
        <v>92</v>
      </c>
      <c r="G1470" s="20">
        <v>1473</v>
      </c>
      <c r="H1470" s="13" t="s">
        <v>2728</v>
      </c>
      <c r="I1470" s="13" t="str">
        <f t="shared" ref="I1470:I1514" si="46">IF(M1470="@",H1470&amp;" ("&amp;M1470&amp;"  "&amp;N1470&amp;")",H1470&amp;" ("&amp;M1470&amp;" to "&amp;N1470&amp;")")</f>
        <v>SR 838/Sunrise Bl (NW 24TH Av to US 1)</v>
      </c>
      <c r="J1470" s="12" t="s">
        <v>29</v>
      </c>
      <c r="K1470" s="13" t="str">
        <f>VLOOKUP(J1470,'Data-ProjectTypes'!A$3:B$13,2,FALSE)</f>
        <v>Program</v>
      </c>
      <c r="L1470" s="12" t="s">
        <v>1391</v>
      </c>
      <c r="M1470" s="105" t="s">
        <v>2631</v>
      </c>
      <c r="N1470" s="12" t="s">
        <v>98</v>
      </c>
      <c r="Q1470" s="72">
        <v>1.9</v>
      </c>
      <c r="R1470" s="23">
        <v>1735200</v>
      </c>
      <c r="Z1470" s="18">
        <f>ROUND(R1470*'Data-CostAssumptions'!$C$8,-3)</f>
        <v>1735000</v>
      </c>
      <c r="AA1470" s="11">
        <f t="shared" si="45"/>
        <v>0</v>
      </c>
      <c r="AB1470" s="11">
        <v>2041</v>
      </c>
      <c r="AC1470" s="11">
        <v>2041</v>
      </c>
      <c r="AD1470" s="11">
        <v>2041</v>
      </c>
      <c r="AE1470" s="11">
        <v>2041</v>
      </c>
      <c r="AF1470" s="11">
        <v>0</v>
      </c>
      <c r="AG1470" s="19">
        <f>ROUND((Z1470*'Data-CostAssumptions'!$G$5)*(1+'Data-CostAssumptions'!$G$3)^(AC1470-'Data-CostAssumptions'!$G$4),-3)</f>
        <v>979000</v>
      </c>
      <c r="AH1470" s="19">
        <f>ROUND((Z1470)*(1+'Data-CostAssumptions'!$G$3)^(AE1470-'Data-CostAssumptions'!$G$4),-3)</f>
        <v>4448000</v>
      </c>
    </row>
    <row r="1471" spans="2:34" ht="15" customHeight="1" x14ac:dyDescent="0.2">
      <c r="B1471" s="11" t="s">
        <v>1211</v>
      </c>
      <c r="D1471" s="84" t="s">
        <v>276</v>
      </c>
      <c r="E1471" s="104">
        <v>90</v>
      </c>
      <c r="G1471" s="20">
        <v>1474</v>
      </c>
      <c r="H1471" s="13" t="s">
        <v>2728</v>
      </c>
      <c r="I1471" s="13" t="str">
        <f t="shared" si="46"/>
        <v>SR 838/Sunrise Bl (US 1  to NE 26TH Av)</v>
      </c>
      <c r="J1471" s="12" t="s">
        <v>29</v>
      </c>
      <c r="K1471" s="13" t="str">
        <f>VLOOKUP(J1471,'Data-ProjectTypes'!A$3:B$13,2,FALSE)</f>
        <v>Program</v>
      </c>
      <c r="L1471" s="12" t="s">
        <v>1393</v>
      </c>
      <c r="M1471" s="105" t="s">
        <v>1455</v>
      </c>
      <c r="N1471" s="12" t="s">
        <v>2632</v>
      </c>
      <c r="Q1471" s="72">
        <v>2.1</v>
      </c>
      <c r="R1471" s="23">
        <v>523350</v>
      </c>
      <c r="Z1471" s="18">
        <f>ROUND(R1471*'Data-CostAssumptions'!$C$8,-3)</f>
        <v>523000</v>
      </c>
      <c r="AA1471" s="11">
        <f t="shared" ref="AA1471:AA1534" si="47">IF(V1471="",IF(W1471="",0,1),1)</f>
        <v>0</v>
      </c>
      <c r="AB1471" s="11">
        <v>2041</v>
      </c>
      <c r="AC1471" s="11">
        <v>2041</v>
      </c>
      <c r="AD1471" s="11">
        <v>2041</v>
      </c>
      <c r="AE1471" s="11">
        <v>2041</v>
      </c>
      <c r="AF1471" s="11">
        <v>0</v>
      </c>
      <c r="AG1471" s="19">
        <f>ROUND((Z1471*'Data-CostAssumptions'!$G$5)*(1+'Data-CostAssumptions'!$G$3)^(AC1471-'Data-CostAssumptions'!$G$4),-3)</f>
        <v>295000</v>
      </c>
      <c r="AH1471" s="19">
        <f>ROUND((Z1471)*(1+'Data-CostAssumptions'!$G$3)^(AE1471-'Data-CostAssumptions'!$G$4),-3)</f>
        <v>1341000</v>
      </c>
    </row>
    <row r="1472" spans="2:34" ht="15" customHeight="1" x14ac:dyDescent="0.2">
      <c r="B1472" s="11" t="s">
        <v>1211</v>
      </c>
      <c r="D1472" s="84" t="s">
        <v>276</v>
      </c>
      <c r="E1472" s="104">
        <v>85</v>
      </c>
      <c r="G1472" s="20">
        <v>1475</v>
      </c>
      <c r="H1472" s="13" t="s">
        <v>45</v>
      </c>
      <c r="I1472" s="13" t="str">
        <f t="shared" si="46"/>
        <v>SR 84 (PORT ENTRANCE to US 1)</v>
      </c>
      <c r="J1472" s="12" t="s">
        <v>29</v>
      </c>
      <c r="K1472" s="13" t="str">
        <f>VLOOKUP(J1472,'Data-ProjectTypes'!A$3:B$13,2,FALSE)</f>
        <v>Program</v>
      </c>
      <c r="L1472" s="12" t="s">
        <v>1387</v>
      </c>
      <c r="M1472" s="105" t="s">
        <v>1454</v>
      </c>
      <c r="N1472" s="12" t="s">
        <v>98</v>
      </c>
      <c r="Q1472" s="72">
        <v>0.8</v>
      </c>
      <c r="R1472" s="23">
        <v>760000</v>
      </c>
      <c r="Z1472" s="18">
        <f>ROUND(R1472*'Data-CostAssumptions'!$C$8,-3)</f>
        <v>760000</v>
      </c>
      <c r="AA1472" s="11">
        <f t="shared" si="47"/>
        <v>0</v>
      </c>
      <c r="AB1472" s="11">
        <v>2041</v>
      </c>
      <c r="AC1472" s="11">
        <v>2041</v>
      </c>
      <c r="AD1472" s="11">
        <v>2041</v>
      </c>
      <c r="AE1472" s="11">
        <v>2041</v>
      </c>
      <c r="AF1472" s="11">
        <v>0</v>
      </c>
      <c r="AG1472" s="19">
        <f>ROUND((Z1472*'Data-CostAssumptions'!$G$5)*(1+'Data-CostAssumptions'!$G$3)^(AC1472-'Data-CostAssumptions'!$G$4),-3)</f>
        <v>429000</v>
      </c>
      <c r="AH1472" s="19">
        <f>ROUND((Z1472)*(1+'Data-CostAssumptions'!$G$3)^(AE1472-'Data-CostAssumptions'!$G$4),-3)</f>
        <v>1949000</v>
      </c>
    </row>
    <row r="1473" spans="1:34" ht="15" customHeight="1" x14ac:dyDescent="0.2">
      <c r="B1473" s="11" t="s">
        <v>1211</v>
      </c>
      <c r="D1473" s="84" t="s">
        <v>276</v>
      </c>
      <c r="E1473" s="104">
        <v>86</v>
      </c>
      <c r="G1473" s="20">
        <v>1476</v>
      </c>
      <c r="H1473" s="13" t="s">
        <v>45</v>
      </c>
      <c r="I1473" s="13" t="str">
        <f t="shared" si="46"/>
        <v>SR 84 (US 1 to I-95)</v>
      </c>
      <c r="J1473" s="12" t="s">
        <v>29</v>
      </c>
      <c r="K1473" s="13" t="str">
        <f>VLOOKUP(J1473,'Data-ProjectTypes'!A$3:B$13,2,FALSE)</f>
        <v>Program</v>
      </c>
      <c r="L1473" s="12" t="s">
        <v>1389</v>
      </c>
      <c r="M1473" s="105" t="s">
        <v>98</v>
      </c>
      <c r="N1473" s="12" t="s">
        <v>41</v>
      </c>
      <c r="Q1473" s="72">
        <v>2</v>
      </c>
      <c r="R1473" s="23">
        <v>3231000</v>
      </c>
      <c r="Z1473" s="18">
        <f>ROUND(R1473*'Data-CostAssumptions'!$C$8,-3)</f>
        <v>3231000</v>
      </c>
      <c r="AA1473" s="11">
        <f t="shared" si="47"/>
        <v>0</v>
      </c>
      <c r="AB1473" s="11">
        <v>2041</v>
      </c>
      <c r="AC1473" s="11">
        <v>2041</v>
      </c>
      <c r="AD1473" s="11">
        <v>2041</v>
      </c>
      <c r="AE1473" s="11">
        <v>2041</v>
      </c>
      <c r="AF1473" s="11">
        <v>0</v>
      </c>
      <c r="AG1473" s="19">
        <f>ROUND((Z1473*'Data-CostAssumptions'!$G$5)*(1+'Data-CostAssumptions'!$G$3)^(AC1473-'Data-CostAssumptions'!$G$4),-3)</f>
        <v>1823000</v>
      </c>
      <c r="AH1473" s="19">
        <f>ROUND((Z1473)*(1+'Data-CostAssumptions'!$G$3)^(AE1473-'Data-CostAssumptions'!$G$4),-3)</f>
        <v>8284000</v>
      </c>
    </row>
    <row r="1474" spans="1:34" ht="15" customHeight="1" x14ac:dyDescent="0.2">
      <c r="A1474" s="11"/>
      <c r="B1474" s="11" t="s">
        <v>1211</v>
      </c>
      <c r="C1474" s="11"/>
      <c r="D1474" s="84" t="s">
        <v>276</v>
      </c>
      <c r="E1474" s="14">
        <v>10</v>
      </c>
      <c r="F1474" s="14"/>
      <c r="G1474" s="20">
        <v>1477</v>
      </c>
      <c r="H1474" s="13" t="s">
        <v>2798</v>
      </c>
      <c r="I1474" s="13" t="str">
        <f t="shared" si="46"/>
        <v>SR 842/Broward Bl (I-95 to SR 7/US 441)</v>
      </c>
      <c r="J1474" s="11" t="s">
        <v>29</v>
      </c>
      <c r="K1474" s="13" t="str">
        <f>VLOOKUP(J1474,'Data-ProjectTypes'!A$3:B$13,2,FALSE)</f>
        <v>Program</v>
      </c>
      <c r="L1474" s="11" t="s">
        <v>1267</v>
      </c>
      <c r="M1474" s="106" t="s">
        <v>41</v>
      </c>
      <c r="N1474" s="84" t="s">
        <v>57</v>
      </c>
      <c r="O1474" s="11"/>
      <c r="P1474" s="11"/>
      <c r="Q1474" s="107">
        <v>2.1</v>
      </c>
      <c r="R1474" s="23">
        <v>400950</v>
      </c>
      <c r="S1474" s="11"/>
      <c r="T1474" s="11"/>
      <c r="U1474" s="11"/>
      <c r="V1474" s="11"/>
      <c r="W1474" s="11"/>
      <c r="X1474" s="11"/>
      <c r="Z1474" s="18">
        <f>ROUND(R1474*'Data-CostAssumptions'!$C$8,-3)</f>
        <v>401000</v>
      </c>
      <c r="AA1474" s="11">
        <f t="shared" si="47"/>
        <v>0</v>
      </c>
      <c r="AB1474" s="11">
        <v>2041</v>
      </c>
      <c r="AC1474" s="11">
        <v>2041</v>
      </c>
      <c r="AD1474" s="11">
        <v>2041</v>
      </c>
      <c r="AE1474" s="11">
        <v>2041</v>
      </c>
      <c r="AF1474" s="11">
        <v>0</v>
      </c>
      <c r="AG1474" s="19">
        <f>ROUND((Z1474*'Data-CostAssumptions'!$G$5)*(1+'Data-CostAssumptions'!$G$3)^(AC1474-'Data-CostAssumptions'!$G$4),-3)</f>
        <v>226000</v>
      </c>
      <c r="AH1474" s="19">
        <f>ROUND((Z1474)*(1+'Data-CostAssumptions'!$G$3)^(AE1474-'Data-CostAssumptions'!$G$4),-3)</f>
        <v>1028000</v>
      </c>
    </row>
    <row r="1475" spans="1:34" ht="15" customHeight="1" x14ac:dyDescent="0.2">
      <c r="A1475" s="11"/>
      <c r="B1475" s="11" t="s">
        <v>1211</v>
      </c>
      <c r="C1475" s="11"/>
      <c r="D1475" s="84" t="s">
        <v>276</v>
      </c>
      <c r="E1475" s="14">
        <v>7</v>
      </c>
      <c r="F1475" s="14"/>
      <c r="G1475" s="20">
        <v>1478</v>
      </c>
      <c r="H1475" s="13" t="s">
        <v>2798</v>
      </c>
      <c r="I1475" s="13" t="str">
        <f t="shared" si="46"/>
        <v>SR 842/Broward Bl (NE/SE 15TH Av to SR-5/US-1)</v>
      </c>
      <c r="J1475" s="11" t="s">
        <v>29</v>
      </c>
      <c r="K1475" s="13" t="str">
        <f>VLOOKUP(J1475,'Data-ProjectTypes'!A$3:B$13,2,FALSE)</f>
        <v>Program</v>
      </c>
      <c r="L1475" s="11" t="s">
        <v>1254</v>
      </c>
      <c r="M1475" s="106" t="s">
        <v>2600</v>
      </c>
      <c r="N1475" s="84" t="s">
        <v>1423</v>
      </c>
      <c r="O1475" s="11"/>
      <c r="P1475" s="11"/>
      <c r="Q1475" s="107">
        <v>0.5</v>
      </c>
      <c r="R1475" s="23">
        <v>20000</v>
      </c>
      <c r="S1475" s="11"/>
      <c r="T1475" s="11"/>
      <c r="U1475" s="11"/>
      <c r="V1475" s="11"/>
      <c r="W1475" s="11"/>
      <c r="X1475" s="11"/>
      <c r="Z1475" s="18">
        <f>ROUND(R1475*'Data-CostAssumptions'!$C$8,-3)</f>
        <v>20000</v>
      </c>
      <c r="AA1475" s="11">
        <f t="shared" si="47"/>
        <v>0</v>
      </c>
      <c r="AB1475" s="11">
        <v>2041</v>
      </c>
      <c r="AC1475" s="11">
        <v>2041</v>
      </c>
      <c r="AD1475" s="11">
        <v>2041</v>
      </c>
      <c r="AE1475" s="11">
        <v>2041</v>
      </c>
      <c r="AF1475" s="11">
        <v>0</v>
      </c>
      <c r="AG1475" s="19">
        <f>ROUND((Z1475*'Data-CostAssumptions'!$G$5)*(1+'Data-CostAssumptions'!$G$3)^(AC1475-'Data-CostAssumptions'!$G$4),-3)</f>
        <v>11000</v>
      </c>
      <c r="AH1475" s="19">
        <f>ROUND((Z1475)*(1+'Data-CostAssumptions'!$G$3)^(AE1475-'Data-CostAssumptions'!$G$4),-3)</f>
        <v>51000</v>
      </c>
    </row>
    <row r="1476" spans="1:34" ht="15" customHeight="1" x14ac:dyDescent="0.2">
      <c r="A1476" s="11"/>
      <c r="B1476" s="11" t="s">
        <v>1211</v>
      </c>
      <c r="C1476" s="11"/>
      <c r="D1476" s="84" t="s">
        <v>276</v>
      </c>
      <c r="E1476" s="14">
        <v>8</v>
      </c>
      <c r="F1476" s="14"/>
      <c r="G1476" s="20">
        <v>1479</v>
      </c>
      <c r="H1476" s="13" t="s">
        <v>2798</v>
      </c>
      <c r="I1476" s="13" t="str">
        <f t="shared" si="46"/>
        <v>SR 842/Broward Bl (NW 7TH Av to I-95)</v>
      </c>
      <c r="J1476" s="11" t="s">
        <v>29</v>
      </c>
      <c r="K1476" s="13" t="str">
        <f>VLOOKUP(J1476,'Data-ProjectTypes'!A$3:B$13,2,FALSE)</f>
        <v>Program</v>
      </c>
      <c r="L1476" s="11" t="s">
        <v>1266</v>
      </c>
      <c r="M1476" s="106" t="s">
        <v>2601</v>
      </c>
      <c r="N1476" s="84" t="s">
        <v>41</v>
      </c>
      <c r="O1476" s="11"/>
      <c r="P1476" s="11"/>
      <c r="Q1476" s="107">
        <v>1.2</v>
      </c>
      <c r="R1476" s="23">
        <v>692550</v>
      </c>
      <c r="S1476" s="11"/>
      <c r="T1476" s="11"/>
      <c r="U1476" s="11"/>
      <c r="V1476" s="11"/>
      <c r="W1476" s="11"/>
      <c r="X1476" s="11"/>
      <c r="Z1476" s="18">
        <f>ROUND(R1476*'Data-CostAssumptions'!$C$8,-3)</f>
        <v>693000</v>
      </c>
      <c r="AA1476" s="11">
        <f t="shared" si="47"/>
        <v>0</v>
      </c>
      <c r="AB1476" s="11">
        <v>2041</v>
      </c>
      <c r="AC1476" s="11">
        <v>2041</v>
      </c>
      <c r="AD1476" s="11">
        <v>2041</v>
      </c>
      <c r="AE1476" s="11">
        <v>2041</v>
      </c>
      <c r="AF1476" s="11">
        <v>0</v>
      </c>
      <c r="AG1476" s="19">
        <f>ROUND((Z1476*'Data-CostAssumptions'!$G$5)*(1+'Data-CostAssumptions'!$G$3)^(AC1476-'Data-CostAssumptions'!$G$4),-3)</f>
        <v>391000</v>
      </c>
      <c r="AH1476" s="19">
        <f>ROUND((Z1476)*(1+'Data-CostAssumptions'!$G$3)^(AE1476-'Data-CostAssumptions'!$G$4),-3)</f>
        <v>1777000</v>
      </c>
    </row>
    <row r="1477" spans="1:34" ht="15" customHeight="1" x14ac:dyDescent="0.2">
      <c r="A1477" s="11"/>
      <c r="B1477" s="11" t="s">
        <v>1211</v>
      </c>
      <c r="C1477" s="11"/>
      <c r="D1477" s="84" t="s">
        <v>276</v>
      </c>
      <c r="E1477" s="14">
        <v>9</v>
      </c>
      <c r="F1477" s="14"/>
      <c r="G1477" s="20">
        <v>1480</v>
      </c>
      <c r="H1477" s="13" t="s">
        <v>2798</v>
      </c>
      <c r="I1477" s="13" t="str">
        <f t="shared" si="46"/>
        <v>SR 842/Broward Bl (SR 5/US 1 to NW 7TH Av)</v>
      </c>
      <c r="J1477" s="11" t="s">
        <v>29</v>
      </c>
      <c r="K1477" s="13" t="str">
        <f>VLOOKUP(J1477,'Data-ProjectTypes'!A$3:B$13,2,FALSE)</f>
        <v>Program</v>
      </c>
      <c r="L1477" s="11" t="s">
        <v>1264</v>
      </c>
      <c r="M1477" s="106" t="s">
        <v>1424</v>
      </c>
      <c r="N1477" s="84" t="s">
        <v>2601</v>
      </c>
      <c r="O1477" s="11"/>
      <c r="P1477" s="11"/>
      <c r="Q1477" s="107">
        <v>0.8</v>
      </c>
      <c r="R1477" s="23">
        <v>522450</v>
      </c>
      <c r="S1477" s="11"/>
      <c r="T1477" s="11"/>
      <c r="U1477" s="11"/>
      <c r="V1477" s="11"/>
      <c r="W1477" s="11"/>
      <c r="X1477" s="11"/>
      <c r="Z1477" s="18">
        <f>ROUND(R1477*'Data-CostAssumptions'!$C$8,-3)</f>
        <v>522000</v>
      </c>
      <c r="AA1477" s="11">
        <f t="shared" si="47"/>
        <v>0</v>
      </c>
      <c r="AB1477" s="11">
        <v>2041</v>
      </c>
      <c r="AC1477" s="11">
        <v>2041</v>
      </c>
      <c r="AD1477" s="11">
        <v>2041</v>
      </c>
      <c r="AE1477" s="11">
        <v>2041</v>
      </c>
      <c r="AF1477" s="11">
        <v>0</v>
      </c>
      <c r="AG1477" s="19">
        <f>ROUND((Z1477*'Data-CostAssumptions'!$G$5)*(1+'Data-CostAssumptions'!$G$3)^(AC1477-'Data-CostAssumptions'!$G$4),-3)</f>
        <v>294000</v>
      </c>
      <c r="AH1477" s="19">
        <f>ROUND((Z1477)*(1+'Data-CostAssumptions'!$G$3)^(AE1477-'Data-CostAssumptions'!$G$4),-3)</f>
        <v>1338000</v>
      </c>
    </row>
    <row r="1478" spans="1:34" ht="15" customHeight="1" x14ac:dyDescent="0.2">
      <c r="A1478" s="11"/>
      <c r="B1478" s="11" t="s">
        <v>1211</v>
      </c>
      <c r="C1478" s="11"/>
      <c r="D1478" s="84" t="s">
        <v>276</v>
      </c>
      <c r="E1478" s="14">
        <v>112</v>
      </c>
      <c r="F1478" s="14"/>
      <c r="G1478" s="20">
        <v>1481</v>
      </c>
      <c r="H1478" s="13" t="s">
        <v>2798</v>
      </c>
      <c r="I1478" s="13" t="str">
        <f t="shared" si="46"/>
        <v>SR 842/Broward Bl (VICTORIA PARK RD to NE/SE 15TH Av)</v>
      </c>
      <c r="J1478" s="11" t="s">
        <v>29</v>
      </c>
      <c r="K1478" s="13" t="str">
        <f>VLOOKUP(J1478,'Data-ProjectTypes'!A$3:B$13,2,FALSE)</f>
        <v>Program</v>
      </c>
      <c r="L1478" s="11" t="s">
        <v>1254</v>
      </c>
      <c r="M1478" s="106" t="s">
        <v>1252</v>
      </c>
      <c r="N1478" s="84" t="s">
        <v>2600</v>
      </c>
      <c r="O1478" s="11"/>
      <c r="P1478" s="11"/>
      <c r="Q1478" s="107">
        <v>0.2</v>
      </c>
      <c r="R1478" s="23">
        <v>228000</v>
      </c>
      <c r="S1478" s="11"/>
      <c r="T1478" s="11"/>
      <c r="U1478" s="11"/>
      <c r="V1478" s="11"/>
      <c r="W1478" s="11"/>
      <c r="X1478" s="38"/>
      <c r="Z1478" s="18">
        <f>ROUND(R1478*'Data-CostAssumptions'!$C$8,-3)</f>
        <v>228000</v>
      </c>
      <c r="AA1478" s="11">
        <f t="shared" si="47"/>
        <v>0</v>
      </c>
      <c r="AB1478" s="11">
        <v>2041</v>
      </c>
      <c r="AC1478" s="11">
        <v>2041</v>
      </c>
      <c r="AD1478" s="11">
        <v>2041</v>
      </c>
      <c r="AE1478" s="11">
        <v>2041</v>
      </c>
      <c r="AF1478" s="11">
        <v>0</v>
      </c>
      <c r="AG1478" s="19">
        <f>ROUND((Z1478*'Data-CostAssumptions'!$G$5)*(1+'Data-CostAssumptions'!$G$3)^(AC1478-'Data-CostAssumptions'!$G$4),-3)</f>
        <v>129000</v>
      </c>
      <c r="AH1478" s="19">
        <f>ROUND((Z1478)*(1+'Data-CostAssumptions'!$G$3)^(AE1478-'Data-CostAssumptions'!$G$4),-3)</f>
        <v>585000</v>
      </c>
    </row>
    <row r="1479" spans="1:34" ht="15" customHeight="1" x14ac:dyDescent="0.2">
      <c r="A1479" s="11"/>
      <c r="B1479" s="11" t="s">
        <v>1211</v>
      </c>
      <c r="C1479" s="11"/>
      <c r="D1479" s="84" t="s">
        <v>276</v>
      </c>
      <c r="E1479" s="14">
        <v>12</v>
      </c>
      <c r="F1479" s="14"/>
      <c r="G1479" s="20">
        <v>1482</v>
      </c>
      <c r="H1479" s="13" t="s">
        <v>2803</v>
      </c>
      <c r="I1479" s="13" t="str">
        <f t="shared" si="46"/>
        <v>SR 870/Commercial Bl (I-95 to SR 7)</v>
      </c>
      <c r="J1479" s="11" t="s">
        <v>29</v>
      </c>
      <c r="K1479" s="13" t="str">
        <f>VLOOKUP(J1479,'Data-ProjectTypes'!A$3:B$13,2,FALSE)</f>
        <v>Program</v>
      </c>
      <c r="L1479" s="11" t="s">
        <v>1271</v>
      </c>
      <c r="M1479" s="106" t="s">
        <v>41</v>
      </c>
      <c r="N1479" s="84" t="s">
        <v>53</v>
      </c>
      <c r="O1479" s="11"/>
      <c r="P1479" s="11"/>
      <c r="Q1479" s="107">
        <v>3</v>
      </c>
      <c r="R1479" s="23">
        <v>3213000</v>
      </c>
      <c r="S1479" s="11"/>
      <c r="T1479" s="11"/>
      <c r="U1479" s="11"/>
      <c r="V1479" s="11"/>
      <c r="W1479" s="11"/>
      <c r="X1479" s="11"/>
      <c r="Z1479" s="18">
        <f>ROUND(R1479*'Data-CostAssumptions'!$C$8,-3)</f>
        <v>3213000</v>
      </c>
      <c r="AA1479" s="11">
        <f t="shared" si="47"/>
        <v>0</v>
      </c>
      <c r="AB1479" s="11">
        <v>2041</v>
      </c>
      <c r="AC1479" s="11">
        <v>2041</v>
      </c>
      <c r="AD1479" s="11">
        <v>2041</v>
      </c>
      <c r="AE1479" s="11">
        <v>2041</v>
      </c>
      <c r="AF1479" s="11">
        <v>0</v>
      </c>
      <c r="AG1479" s="19">
        <f>ROUND((Z1479*'Data-CostAssumptions'!$G$5)*(1+'Data-CostAssumptions'!$G$3)^(AC1479-'Data-CostAssumptions'!$G$4),-3)</f>
        <v>1812000</v>
      </c>
      <c r="AH1479" s="19">
        <f>ROUND((Z1479)*(1+'Data-CostAssumptions'!$G$3)^(AE1479-'Data-CostAssumptions'!$G$4),-3)</f>
        <v>8238000</v>
      </c>
    </row>
    <row r="1480" spans="1:34" ht="15" customHeight="1" x14ac:dyDescent="0.2">
      <c r="A1480" s="11"/>
      <c r="B1480" s="11" t="s">
        <v>1211</v>
      </c>
      <c r="C1480" s="11"/>
      <c r="D1480" s="84" t="s">
        <v>276</v>
      </c>
      <c r="E1480" s="14">
        <v>11</v>
      </c>
      <c r="F1480" s="14"/>
      <c r="G1480" s="20">
        <v>1483</v>
      </c>
      <c r="H1480" s="13" t="s">
        <v>2803</v>
      </c>
      <c r="I1480" s="13" t="str">
        <f t="shared" si="46"/>
        <v>SR 870/Commercial Bl (SR A1A/OCEAN DR to US 1/SR 5/FEDERAL HWY)</v>
      </c>
      <c r="J1480" s="11" t="s">
        <v>29</v>
      </c>
      <c r="K1480" s="13" t="str">
        <f>VLOOKUP(J1480,'Data-ProjectTypes'!A$3:B$13,2,FALSE)</f>
        <v>Program</v>
      </c>
      <c r="L1480" s="11" t="s">
        <v>1268</v>
      </c>
      <c r="M1480" s="106" t="s">
        <v>1426</v>
      </c>
      <c r="N1480" s="84" t="s">
        <v>1425</v>
      </c>
      <c r="O1480" s="11"/>
      <c r="P1480" s="11"/>
      <c r="Q1480" s="107">
        <v>1.1000000000000001</v>
      </c>
      <c r="R1480" s="23">
        <v>721850</v>
      </c>
      <c r="S1480" s="11"/>
      <c r="T1480" s="11"/>
      <c r="U1480" s="11"/>
      <c r="V1480" s="11"/>
      <c r="W1480" s="11"/>
      <c r="X1480" s="11"/>
      <c r="Z1480" s="18">
        <f>ROUND(R1480*'Data-CostAssumptions'!$C$8,-3)</f>
        <v>722000</v>
      </c>
      <c r="AA1480" s="11">
        <f t="shared" si="47"/>
        <v>0</v>
      </c>
      <c r="AB1480" s="11">
        <v>2041</v>
      </c>
      <c r="AC1480" s="11">
        <v>2041</v>
      </c>
      <c r="AD1480" s="11">
        <v>2041</v>
      </c>
      <c r="AE1480" s="11">
        <v>2041</v>
      </c>
      <c r="AF1480" s="11">
        <v>0</v>
      </c>
      <c r="AG1480" s="19">
        <f>ROUND((Z1480*'Data-CostAssumptions'!$G$5)*(1+'Data-CostAssumptions'!$G$3)^(AC1480-'Data-CostAssumptions'!$G$4),-3)</f>
        <v>407000</v>
      </c>
      <c r="AH1480" s="19">
        <f>ROUND((Z1480)*(1+'Data-CostAssumptions'!$G$3)^(AE1480-'Data-CostAssumptions'!$G$4),-3)</f>
        <v>1851000</v>
      </c>
    </row>
    <row r="1481" spans="1:34" ht="15" customHeight="1" x14ac:dyDescent="0.2">
      <c r="A1481" s="11"/>
      <c r="B1481" s="11" t="s">
        <v>1211</v>
      </c>
      <c r="C1481" s="11"/>
      <c r="D1481" s="84" t="s">
        <v>276</v>
      </c>
      <c r="E1481" s="14">
        <v>13</v>
      </c>
      <c r="F1481" s="14"/>
      <c r="G1481" s="20">
        <v>1484</v>
      </c>
      <c r="H1481" s="13" t="s">
        <v>2803</v>
      </c>
      <c r="I1481" s="13" t="str">
        <f t="shared" si="46"/>
        <v>SR 870/Commercial Bl (US 1/SR 5/FEDERAL HWY to NE 15TH TER)</v>
      </c>
      <c r="J1481" s="11" t="s">
        <v>29</v>
      </c>
      <c r="K1481" s="13" t="str">
        <f>VLOOKUP(J1481,'Data-ProjectTypes'!A$3:B$13,2,FALSE)</f>
        <v>Program</v>
      </c>
      <c r="L1481" s="11" t="s">
        <v>1267</v>
      </c>
      <c r="M1481" s="106" t="s">
        <v>1425</v>
      </c>
      <c r="N1481" s="84" t="s">
        <v>1427</v>
      </c>
      <c r="O1481" s="11"/>
      <c r="P1481" s="11"/>
      <c r="Q1481" s="107">
        <v>0.7</v>
      </c>
      <c r="R1481" s="23">
        <v>315900</v>
      </c>
      <c r="S1481" s="11"/>
      <c r="T1481" s="11"/>
      <c r="U1481" s="11"/>
      <c r="V1481" s="11"/>
      <c r="W1481" s="11"/>
      <c r="X1481" s="11"/>
      <c r="Z1481" s="18">
        <f>ROUND(R1481*'Data-CostAssumptions'!$C$8,-3)</f>
        <v>316000</v>
      </c>
      <c r="AA1481" s="11">
        <f t="shared" si="47"/>
        <v>0</v>
      </c>
      <c r="AB1481" s="11">
        <v>2041</v>
      </c>
      <c r="AC1481" s="11">
        <v>2041</v>
      </c>
      <c r="AD1481" s="11">
        <v>2041</v>
      </c>
      <c r="AE1481" s="11">
        <v>2041</v>
      </c>
      <c r="AF1481" s="11">
        <v>0</v>
      </c>
      <c r="AG1481" s="19">
        <f>ROUND((Z1481*'Data-CostAssumptions'!$G$5)*(1+'Data-CostAssumptions'!$G$3)^(AC1481-'Data-CostAssumptions'!$G$4),-3)</f>
        <v>178000</v>
      </c>
      <c r="AH1481" s="19">
        <f>ROUND((Z1481)*(1+'Data-CostAssumptions'!$G$3)^(AE1481-'Data-CostAssumptions'!$G$4),-3)</f>
        <v>810000</v>
      </c>
    </row>
    <row r="1482" spans="1:34" ht="15" customHeight="1" x14ac:dyDescent="0.2">
      <c r="B1482" s="11" t="s">
        <v>1211</v>
      </c>
      <c r="D1482" s="84" t="s">
        <v>276</v>
      </c>
      <c r="E1482" s="104">
        <v>88</v>
      </c>
      <c r="G1482" s="20">
        <v>1485</v>
      </c>
      <c r="H1482" s="13" t="s">
        <v>110</v>
      </c>
      <c r="I1482" s="13" t="str">
        <f t="shared" si="46"/>
        <v>SR A1A (EISENHOWER Bl to LAS OLAS Bl)</v>
      </c>
      <c r="J1482" s="12" t="s">
        <v>29</v>
      </c>
      <c r="K1482" s="13" t="str">
        <f>VLOOKUP(J1482,'Data-ProjectTypes'!A$3:B$13,2,FALSE)</f>
        <v>Program</v>
      </c>
      <c r="L1482" s="12" t="s">
        <v>1383</v>
      </c>
      <c r="M1482" s="105" t="s">
        <v>1993</v>
      </c>
      <c r="N1482" s="12" t="s">
        <v>1997</v>
      </c>
      <c r="Q1482" s="72">
        <v>2.2000000000000002</v>
      </c>
      <c r="R1482" s="23">
        <v>3555000</v>
      </c>
      <c r="Z1482" s="18">
        <f>ROUND(R1482*'Data-CostAssumptions'!$C$8,-3)</f>
        <v>3555000</v>
      </c>
      <c r="AA1482" s="11">
        <f t="shared" si="47"/>
        <v>0</v>
      </c>
      <c r="AB1482" s="11">
        <v>2041</v>
      </c>
      <c r="AC1482" s="11">
        <v>2041</v>
      </c>
      <c r="AD1482" s="11">
        <v>2041</v>
      </c>
      <c r="AE1482" s="11">
        <v>2041</v>
      </c>
      <c r="AF1482" s="11">
        <v>0</v>
      </c>
      <c r="AG1482" s="19">
        <f>ROUND((Z1482*'Data-CostAssumptions'!$G$5)*(1+'Data-CostAssumptions'!$G$3)^(AC1482-'Data-CostAssumptions'!$G$4),-3)</f>
        <v>2005000</v>
      </c>
      <c r="AH1482" s="19">
        <f>ROUND((Z1482)*(1+'Data-CostAssumptions'!$G$3)^(AE1482-'Data-CostAssumptions'!$G$4),-3)</f>
        <v>9115000</v>
      </c>
    </row>
    <row r="1483" spans="1:34" ht="15" customHeight="1" x14ac:dyDescent="0.2">
      <c r="B1483" s="11" t="s">
        <v>1211</v>
      </c>
      <c r="D1483" s="84" t="s">
        <v>276</v>
      </c>
      <c r="E1483" s="104">
        <v>87</v>
      </c>
      <c r="G1483" s="20">
        <v>1486</v>
      </c>
      <c r="H1483" s="13" t="s">
        <v>110</v>
      </c>
      <c r="I1483" s="13" t="str">
        <f t="shared" si="46"/>
        <v>SR A1A (LAS OLAS Bl to FLAMINGO Av)</v>
      </c>
      <c r="J1483" s="12" t="s">
        <v>29</v>
      </c>
      <c r="K1483" s="13" t="str">
        <f>VLOOKUP(J1483,'Data-ProjectTypes'!A$3:B$13,2,FALSE)</f>
        <v>Program</v>
      </c>
      <c r="L1483" s="12" t="s">
        <v>1381</v>
      </c>
      <c r="M1483" s="105" t="s">
        <v>1997</v>
      </c>
      <c r="N1483" s="12" t="s">
        <v>2630</v>
      </c>
      <c r="Q1483" s="72">
        <v>4.4000000000000004</v>
      </c>
      <c r="R1483" s="23">
        <v>7109000</v>
      </c>
      <c r="Z1483" s="18">
        <f>ROUND(R1483*'Data-CostAssumptions'!$C$8,-3)</f>
        <v>7109000</v>
      </c>
      <c r="AA1483" s="11">
        <f t="shared" si="47"/>
        <v>0</v>
      </c>
      <c r="AB1483" s="11">
        <v>2041</v>
      </c>
      <c r="AC1483" s="11">
        <v>2041</v>
      </c>
      <c r="AD1483" s="11">
        <v>2041</v>
      </c>
      <c r="AE1483" s="11">
        <v>2041</v>
      </c>
      <c r="AF1483" s="11">
        <v>0</v>
      </c>
      <c r="AG1483" s="19">
        <f>ROUND((Z1483*'Data-CostAssumptions'!$G$5)*(1+'Data-CostAssumptions'!$G$3)^(AC1483-'Data-CostAssumptions'!$G$4),-3)</f>
        <v>4010000</v>
      </c>
      <c r="AH1483" s="19">
        <f>ROUND((Z1483)*(1+'Data-CostAssumptions'!$G$3)^(AE1483-'Data-CostAssumptions'!$G$4),-3)</f>
        <v>18227000</v>
      </c>
    </row>
    <row r="1484" spans="1:34" ht="15" customHeight="1" x14ac:dyDescent="0.2">
      <c r="B1484" s="11" t="s">
        <v>1211</v>
      </c>
      <c r="D1484" s="84" t="s">
        <v>276</v>
      </c>
      <c r="E1484" s="104" t="s">
        <v>1521</v>
      </c>
      <c r="G1484" s="20">
        <v>1487</v>
      </c>
      <c r="H1484" s="13" t="s">
        <v>1600</v>
      </c>
      <c r="I1484" s="13" t="str">
        <f t="shared" si="46"/>
        <v>SW 10TH ST  (SW 27ST Av  to SW 27ST Av )</v>
      </c>
      <c r="J1484" s="12" t="s">
        <v>29</v>
      </c>
      <c r="K1484" s="13" t="str">
        <f>VLOOKUP(J1484,'Data-ProjectTypes'!A$3:B$13,2,FALSE)</f>
        <v>Program</v>
      </c>
      <c r="L1484" s="12" t="s">
        <v>1667</v>
      </c>
      <c r="M1484" s="105" t="s">
        <v>2635</v>
      </c>
      <c r="N1484" s="12" t="s">
        <v>2635</v>
      </c>
      <c r="Q1484" s="72">
        <v>0.3</v>
      </c>
      <c r="R1484" s="23">
        <f>ROUND(Q1484*'Data-CostAssumptions'!$C$25,-1)</f>
        <v>50520</v>
      </c>
      <c r="Z1484" s="18">
        <f>ROUND(R1484*'Data-CostAssumptions'!$C$8,-3)</f>
        <v>51000</v>
      </c>
      <c r="AA1484" s="11">
        <f t="shared" si="47"/>
        <v>0</v>
      </c>
      <c r="AB1484" s="11">
        <v>2041</v>
      </c>
      <c r="AC1484" s="11">
        <v>2041</v>
      </c>
      <c r="AD1484" s="11">
        <v>2041</v>
      </c>
      <c r="AE1484" s="11">
        <v>2041</v>
      </c>
      <c r="AF1484" s="11">
        <v>0</v>
      </c>
      <c r="AG1484" s="19">
        <f>ROUND((Z1484*'Data-CostAssumptions'!$G$5)*(1+'Data-CostAssumptions'!$G$3)^(AC1484-'Data-CostAssumptions'!$G$4),-3)</f>
        <v>29000</v>
      </c>
      <c r="AH1484" s="19">
        <f>ROUND((Z1484)*(1+'Data-CostAssumptions'!$G$3)^(AE1484-'Data-CostAssumptions'!$G$4),-3)</f>
        <v>131000</v>
      </c>
    </row>
    <row r="1485" spans="1:34" ht="15" customHeight="1" x14ac:dyDescent="0.2">
      <c r="B1485" s="11" t="s">
        <v>1211</v>
      </c>
      <c r="D1485" s="84" t="s">
        <v>276</v>
      </c>
      <c r="E1485" s="104" t="s">
        <v>1515</v>
      </c>
      <c r="G1485" s="20">
        <v>1488</v>
      </c>
      <c r="H1485" s="13" t="s">
        <v>1597</v>
      </c>
      <c r="I1485" s="13" t="str">
        <f t="shared" si="46"/>
        <v>SW 16TH ST  (SW 31ST Av  to SR 7)</v>
      </c>
      <c r="J1485" s="12" t="s">
        <v>29</v>
      </c>
      <c r="K1485" s="13" t="str">
        <f>VLOOKUP(J1485,'Data-ProjectTypes'!A$3:B$13,2,FALSE)</f>
        <v>Program</v>
      </c>
      <c r="L1485" s="12" t="s">
        <v>1667</v>
      </c>
      <c r="M1485" s="105" t="s">
        <v>2610</v>
      </c>
      <c r="N1485" s="12" t="s">
        <v>53</v>
      </c>
      <c r="Q1485" s="72">
        <v>1</v>
      </c>
      <c r="R1485" s="23">
        <f>ROUND(Q1485*'Data-CostAssumptions'!$C$25,-1)</f>
        <v>168400</v>
      </c>
      <c r="Z1485" s="18">
        <f>ROUND(R1485*'Data-CostAssumptions'!$C$8,-3)</f>
        <v>168000</v>
      </c>
      <c r="AA1485" s="11">
        <f t="shared" si="47"/>
        <v>0</v>
      </c>
      <c r="AB1485" s="11">
        <v>2041</v>
      </c>
      <c r="AC1485" s="11">
        <v>2041</v>
      </c>
      <c r="AD1485" s="11">
        <v>2041</v>
      </c>
      <c r="AE1485" s="11">
        <v>2041</v>
      </c>
      <c r="AF1485" s="11">
        <v>0</v>
      </c>
      <c r="AG1485" s="19">
        <f>ROUND((Z1485*'Data-CostAssumptions'!$G$5)*(1+'Data-CostAssumptions'!$G$3)^(AC1485-'Data-CostAssumptions'!$G$4),-3)</f>
        <v>95000</v>
      </c>
      <c r="AH1485" s="19">
        <f>ROUND((Z1485)*(1+'Data-CostAssumptions'!$G$3)^(AE1485-'Data-CostAssumptions'!$G$4),-3)</f>
        <v>431000</v>
      </c>
    </row>
    <row r="1486" spans="1:34" ht="15" customHeight="1" x14ac:dyDescent="0.2">
      <c r="B1486" s="11" t="s">
        <v>1211</v>
      </c>
      <c r="D1486" s="84" t="s">
        <v>276</v>
      </c>
      <c r="E1486" s="104" t="s">
        <v>1556</v>
      </c>
      <c r="G1486" s="20">
        <v>1489</v>
      </c>
      <c r="H1486" s="13" t="s">
        <v>2184</v>
      </c>
      <c r="I1486" s="13" t="str">
        <f t="shared" si="46"/>
        <v>SW 17TH Av LOOP (SW 6TH ST  to DAVIE Bl )</v>
      </c>
      <c r="J1486" s="12" t="s">
        <v>29</v>
      </c>
      <c r="K1486" s="13" t="str">
        <f>VLOOKUP(J1486,'Data-ProjectTypes'!A$3:B$13,2,FALSE)</f>
        <v>Program</v>
      </c>
      <c r="L1486" s="12" t="s">
        <v>1667</v>
      </c>
      <c r="M1486" s="105" t="s">
        <v>1726</v>
      </c>
      <c r="N1486" s="12" t="s">
        <v>2296</v>
      </c>
      <c r="Q1486" s="72">
        <v>1.3</v>
      </c>
      <c r="R1486" s="23">
        <f>ROUND(Q1486*'Data-CostAssumptions'!$C$25,-1)</f>
        <v>218920</v>
      </c>
      <c r="Z1486" s="18">
        <f>ROUND(R1486*'Data-CostAssumptions'!$C$8,-3)</f>
        <v>219000</v>
      </c>
      <c r="AA1486" s="11">
        <f t="shared" si="47"/>
        <v>0</v>
      </c>
      <c r="AB1486" s="11">
        <v>2041</v>
      </c>
      <c r="AC1486" s="11">
        <v>2041</v>
      </c>
      <c r="AD1486" s="11">
        <v>2041</v>
      </c>
      <c r="AE1486" s="11">
        <v>2041</v>
      </c>
      <c r="AF1486" s="11">
        <v>0</v>
      </c>
      <c r="AG1486" s="19">
        <f>ROUND((Z1486*'Data-CostAssumptions'!$G$5)*(1+'Data-CostAssumptions'!$G$3)^(AC1486-'Data-CostAssumptions'!$G$4),-3)</f>
        <v>124000</v>
      </c>
      <c r="AH1486" s="19">
        <f>ROUND((Z1486)*(1+'Data-CostAssumptions'!$G$3)^(AE1486-'Data-CostAssumptions'!$G$4),-3)</f>
        <v>562000</v>
      </c>
    </row>
    <row r="1487" spans="1:34" ht="15" customHeight="1" x14ac:dyDescent="0.2">
      <c r="B1487" s="11" t="s">
        <v>1211</v>
      </c>
      <c r="D1487" s="84" t="s">
        <v>276</v>
      </c>
      <c r="E1487" s="104">
        <v>93</v>
      </c>
      <c r="G1487" s="20">
        <v>1490</v>
      </c>
      <c r="H1487" s="13" t="s">
        <v>1249</v>
      </c>
      <c r="I1487" s="13" t="str">
        <f t="shared" si="46"/>
        <v>SW 17TH ST (SW 9TH Av to SW 4TH Av)</v>
      </c>
      <c r="J1487" s="12" t="s">
        <v>29</v>
      </c>
      <c r="K1487" s="13" t="str">
        <f>VLOOKUP(J1487,'Data-ProjectTypes'!A$3:B$13,2,FALSE)</f>
        <v>Program</v>
      </c>
      <c r="L1487" s="12" t="s">
        <v>1403</v>
      </c>
      <c r="M1487" s="105" t="s">
        <v>2196</v>
      </c>
      <c r="N1487" s="12" t="s">
        <v>2194</v>
      </c>
      <c r="Q1487" s="72">
        <v>0.4</v>
      </c>
      <c r="R1487" s="23">
        <v>130000</v>
      </c>
      <c r="Z1487" s="18">
        <f>ROUND(R1487*'Data-CostAssumptions'!$C$8,-3)</f>
        <v>130000</v>
      </c>
      <c r="AA1487" s="11">
        <f t="shared" si="47"/>
        <v>0</v>
      </c>
      <c r="AB1487" s="11">
        <v>2041</v>
      </c>
      <c r="AC1487" s="11">
        <v>2041</v>
      </c>
      <c r="AD1487" s="11">
        <v>2041</v>
      </c>
      <c r="AE1487" s="11">
        <v>2041</v>
      </c>
      <c r="AF1487" s="11">
        <v>0</v>
      </c>
      <c r="AG1487" s="19">
        <f>ROUND((Z1487*'Data-CostAssumptions'!$G$5)*(1+'Data-CostAssumptions'!$G$3)^(AC1487-'Data-CostAssumptions'!$G$4),-3)</f>
        <v>73000</v>
      </c>
      <c r="AH1487" s="19">
        <f>ROUND((Z1487)*(1+'Data-CostAssumptions'!$G$3)^(AE1487-'Data-CostAssumptions'!$G$4),-3)</f>
        <v>333000</v>
      </c>
    </row>
    <row r="1488" spans="1:34" ht="15" customHeight="1" x14ac:dyDescent="0.2">
      <c r="B1488" s="11" t="s">
        <v>1211</v>
      </c>
      <c r="D1488" s="84" t="s">
        <v>276</v>
      </c>
      <c r="E1488" s="104" t="s">
        <v>1523</v>
      </c>
      <c r="G1488" s="20">
        <v>1491</v>
      </c>
      <c r="H1488" s="13" t="s">
        <v>2186</v>
      </c>
      <c r="I1488" s="13" t="str">
        <f t="shared" si="46"/>
        <v>SW 18TH Av &amp; SW 16TH Av  (DAVIE Bl  to W BROWARD Bl )</v>
      </c>
      <c r="J1488" s="12" t="s">
        <v>29</v>
      </c>
      <c r="K1488" s="13" t="str">
        <f>VLOOKUP(J1488,'Data-ProjectTypes'!A$3:B$13,2,FALSE)</f>
        <v>Program</v>
      </c>
      <c r="L1488" s="12" t="s">
        <v>1667</v>
      </c>
      <c r="M1488" s="105" t="s">
        <v>2296</v>
      </c>
      <c r="N1488" s="12" t="s">
        <v>2310</v>
      </c>
      <c r="Q1488" s="72">
        <v>1.2</v>
      </c>
      <c r="R1488" s="23">
        <f>ROUND(Q1488*'Data-CostAssumptions'!$C$25,-1)</f>
        <v>202080</v>
      </c>
      <c r="Z1488" s="18">
        <f>ROUND(R1488*'Data-CostAssumptions'!$C$8,-3)</f>
        <v>202000</v>
      </c>
      <c r="AA1488" s="11">
        <f t="shared" si="47"/>
        <v>0</v>
      </c>
      <c r="AB1488" s="11">
        <v>2041</v>
      </c>
      <c r="AC1488" s="11">
        <v>2041</v>
      </c>
      <c r="AD1488" s="11">
        <v>2041</v>
      </c>
      <c r="AE1488" s="11">
        <v>2041</v>
      </c>
      <c r="AF1488" s="11">
        <v>0</v>
      </c>
      <c r="AG1488" s="19">
        <f>ROUND((Z1488*'Data-CostAssumptions'!$G$5)*(1+'Data-CostAssumptions'!$G$3)^(AC1488-'Data-CostAssumptions'!$G$4),-3)</f>
        <v>114000</v>
      </c>
      <c r="AH1488" s="19">
        <f>ROUND((Z1488)*(1+'Data-CostAssumptions'!$G$3)^(AE1488-'Data-CostAssumptions'!$G$4),-3)</f>
        <v>518000</v>
      </c>
    </row>
    <row r="1489" spans="2:34" ht="15" customHeight="1" x14ac:dyDescent="0.2">
      <c r="B1489" s="11" t="s">
        <v>1211</v>
      </c>
      <c r="D1489" s="84" t="s">
        <v>276</v>
      </c>
      <c r="E1489" s="104" t="s">
        <v>1503</v>
      </c>
      <c r="G1489" s="20">
        <v>1492</v>
      </c>
      <c r="H1489" s="13" t="s">
        <v>2187</v>
      </c>
      <c r="I1489" s="13" t="str">
        <f t="shared" si="46"/>
        <v>SW 1ST Av (SE 3RD Av to SW 14TH ST )</v>
      </c>
      <c r="J1489" s="12" t="s">
        <v>29</v>
      </c>
      <c r="K1489" s="13" t="str">
        <f>VLOOKUP(J1489,'Data-ProjectTypes'!A$3:B$13,2,FALSE)</f>
        <v>Program</v>
      </c>
      <c r="L1489" s="12" t="s">
        <v>1667</v>
      </c>
      <c r="M1489" s="105" t="s">
        <v>2179</v>
      </c>
      <c r="N1489" s="12" t="s">
        <v>1703</v>
      </c>
      <c r="Q1489" s="72">
        <v>0.3</v>
      </c>
      <c r="R1489" s="23">
        <f>ROUND(Q1489*'Data-CostAssumptions'!$C$25,-1)</f>
        <v>50520</v>
      </c>
      <c r="Z1489" s="18">
        <f>ROUND(R1489*'Data-CostAssumptions'!$C$8,-3)</f>
        <v>51000</v>
      </c>
      <c r="AA1489" s="11">
        <f t="shared" si="47"/>
        <v>0</v>
      </c>
      <c r="AB1489" s="11">
        <v>2041</v>
      </c>
      <c r="AC1489" s="11">
        <v>2041</v>
      </c>
      <c r="AD1489" s="11">
        <v>2041</v>
      </c>
      <c r="AE1489" s="11">
        <v>2041</v>
      </c>
      <c r="AF1489" s="11">
        <v>0</v>
      </c>
      <c r="AG1489" s="19">
        <f>ROUND((Z1489*'Data-CostAssumptions'!$G$5)*(1+'Data-CostAssumptions'!$G$3)^(AC1489-'Data-CostAssumptions'!$G$4),-3)</f>
        <v>29000</v>
      </c>
      <c r="AH1489" s="19">
        <f>ROUND((Z1489)*(1+'Data-CostAssumptions'!$G$3)^(AE1489-'Data-CostAssumptions'!$G$4),-3)</f>
        <v>131000</v>
      </c>
    </row>
    <row r="1490" spans="2:34" ht="15" customHeight="1" x14ac:dyDescent="0.2">
      <c r="B1490" s="11" t="s">
        <v>1211</v>
      </c>
      <c r="D1490" s="84" t="s">
        <v>276</v>
      </c>
      <c r="E1490" s="104" t="s">
        <v>1514</v>
      </c>
      <c r="G1490" s="20">
        <v>1493</v>
      </c>
      <c r="H1490" s="13" t="s">
        <v>2188</v>
      </c>
      <c r="I1490" s="13" t="str">
        <f t="shared" si="46"/>
        <v>SW 20TH Av  (SW 20TH ST  to SW 35TH Av )</v>
      </c>
      <c r="J1490" s="12" t="s">
        <v>29</v>
      </c>
      <c r="K1490" s="13" t="str">
        <f>VLOOKUP(J1490,'Data-ProjectTypes'!A$3:B$13,2,FALSE)</f>
        <v>Program</v>
      </c>
      <c r="L1490" s="12" t="s">
        <v>1667</v>
      </c>
      <c r="M1490" s="105" t="s">
        <v>1596</v>
      </c>
      <c r="N1490" s="12" t="s">
        <v>2193</v>
      </c>
      <c r="Q1490" s="72">
        <v>0.5</v>
      </c>
      <c r="R1490" s="23">
        <f>ROUND(Q1490*'Data-CostAssumptions'!$C$25,-1)</f>
        <v>84200</v>
      </c>
      <c r="Z1490" s="18">
        <f>ROUND(R1490*'Data-CostAssumptions'!$C$8,-3)</f>
        <v>84000</v>
      </c>
      <c r="AA1490" s="11">
        <f t="shared" si="47"/>
        <v>0</v>
      </c>
      <c r="AB1490" s="11">
        <v>2041</v>
      </c>
      <c r="AC1490" s="11">
        <v>2041</v>
      </c>
      <c r="AD1490" s="11">
        <v>2041</v>
      </c>
      <c r="AE1490" s="11">
        <v>2041</v>
      </c>
      <c r="AF1490" s="11">
        <v>0</v>
      </c>
      <c r="AG1490" s="19">
        <f>ROUND((Z1490*'Data-CostAssumptions'!$G$5)*(1+'Data-CostAssumptions'!$G$3)^(AC1490-'Data-CostAssumptions'!$G$4),-3)</f>
        <v>47000</v>
      </c>
      <c r="AH1490" s="19">
        <f>ROUND((Z1490)*(1+'Data-CostAssumptions'!$G$3)^(AE1490-'Data-CostAssumptions'!$G$4),-3)</f>
        <v>215000</v>
      </c>
    </row>
    <row r="1491" spans="2:34" ht="15" customHeight="1" x14ac:dyDescent="0.2">
      <c r="B1491" s="11" t="s">
        <v>1211</v>
      </c>
      <c r="D1491" s="84" t="s">
        <v>276</v>
      </c>
      <c r="E1491" s="104" t="s">
        <v>1512</v>
      </c>
      <c r="G1491" s="20">
        <v>1494</v>
      </c>
      <c r="H1491" s="13" t="s">
        <v>1596</v>
      </c>
      <c r="I1491" s="13" t="str">
        <f t="shared" si="46"/>
        <v>SW 20TH ST  (SW 33RD ST  to SW 15TH Av )</v>
      </c>
      <c r="J1491" s="12" t="s">
        <v>29</v>
      </c>
      <c r="K1491" s="13" t="str">
        <f>VLOOKUP(J1491,'Data-ProjectTypes'!A$3:B$13,2,FALSE)</f>
        <v>Program</v>
      </c>
      <c r="L1491" s="12" t="s">
        <v>1667</v>
      </c>
      <c r="M1491" s="105" t="s">
        <v>1710</v>
      </c>
      <c r="N1491" s="12" t="s">
        <v>2636</v>
      </c>
      <c r="Q1491" s="72">
        <v>0.9</v>
      </c>
      <c r="R1491" s="23">
        <f>ROUND(Q1491*'Data-CostAssumptions'!$C$25,-1)</f>
        <v>151560</v>
      </c>
      <c r="Z1491" s="18">
        <f>ROUND(R1491*'Data-CostAssumptions'!$C$8,-3)</f>
        <v>152000</v>
      </c>
      <c r="AA1491" s="11">
        <f t="shared" si="47"/>
        <v>0</v>
      </c>
      <c r="AB1491" s="11">
        <v>2041</v>
      </c>
      <c r="AC1491" s="11">
        <v>2041</v>
      </c>
      <c r="AD1491" s="11">
        <v>2041</v>
      </c>
      <c r="AE1491" s="11">
        <v>2041</v>
      </c>
      <c r="AF1491" s="11">
        <v>0</v>
      </c>
      <c r="AG1491" s="19">
        <f>ROUND((Z1491*'Data-CostAssumptions'!$G$5)*(1+'Data-CostAssumptions'!$G$3)^(AC1491-'Data-CostAssumptions'!$G$4),-3)</f>
        <v>86000</v>
      </c>
      <c r="AH1491" s="19">
        <f>ROUND((Z1491)*(1+'Data-CostAssumptions'!$G$3)^(AE1491-'Data-CostAssumptions'!$G$4),-3)</f>
        <v>390000</v>
      </c>
    </row>
    <row r="1492" spans="2:34" ht="15" customHeight="1" x14ac:dyDescent="0.2">
      <c r="B1492" s="11" t="s">
        <v>1211</v>
      </c>
      <c r="D1492" s="84" t="s">
        <v>276</v>
      </c>
      <c r="E1492" s="104" t="s">
        <v>1522</v>
      </c>
      <c r="G1492" s="20">
        <v>1495</v>
      </c>
      <c r="H1492" s="13" t="s">
        <v>2189</v>
      </c>
      <c r="I1492" s="13" t="str">
        <f t="shared" si="46"/>
        <v>SW 24TH Av  (SW 24TH Av to W BROWARD Bl )</v>
      </c>
      <c r="J1492" s="12" t="s">
        <v>29</v>
      </c>
      <c r="K1492" s="13" t="str">
        <f>VLOOKUP(J1492,'Data-ProjectTypes'!A$3:B$13,2,FALSE)</f>
        <v>Program</v>
      </c>
      <c r="L1492" s="12" t="s">
        <v>1667</v>
      </c>
      <c r="M1492" s="105" t="s">
        <v>2637</v>
      </c>
      <c r="N1492" s="12" t="s">
        <v>2310</v>
      </c>
      <c r="Q1492" s="72">
        <v>1</v>
      </c>
      <c r="R1492" s="23">
        <f>ROUND(Q1492*'Data-CostAssumptions'!$C$25,-1)</f>
        <v>168400</v>
      </c>
      <c r="Z1492" s="18">
        <f>ROUND(R1492*'Data-CostAssumptions'!$C$8,-3)</f>
        <v>168000</v>
      </c>
      <c r="AA1492" s="11">
        <f t="shared" si="47"/>
        <v>0</v>
      </c>
      <c r="AB1492" s="11">
        <v>2041</v>
      </c>
      <c r="AC1492" s="11">
        <v>2041</v>
      </c>
      <c r="AD1492" s="11">
        <v>2041</v>
      </c>
      <c r="AE1492" s="11">
        <v>2041</v>
      </c>
      <c r="AF1492" s="11">
        <v>0</v>
      </c>
      <c r="AG1492" s="19">
        <f>ROUND((Z1492*'Data-CostAssumptions'!$G$5)*(1+'Data-CostAssumptions'!$G$3)^(AC1492-'Data-CostAssumptions'!$G$4),-3)</f>
        <v>95000</v>
      </c>
      <c r="AH1492" s="19">
        <f>ROUND((Z1492)*(1+'Data-CostAssumptions'!$G$3)^(AE1492-'Data-CostAssumptions'!$G$4),-3)</f>
        <v>431000</v>
      </c>
    </row>
    <row r="1493" spans="2:34" ht="15" customHeight="1" x14ac:dyDescent="0.2">
      <c r="B1493" s="11" t="s">
        <v>1211</v>
      </c>
      <c r="D1493" s="84" t="s">
        <v>276</v>
      </c>
      <c r="E1493" s="104">
        <v>79</v>
      </c>
      <c r="G1493" s="20">
        <v>1496</v>
      </c>
      <c r="H1493" s="13" t="s">
        <v>2190</v>
      </c>
      <c r="I1493" s="13" t="str">
        <f t="shared" si="46"/>
        <v>SW 27TH Av (DAVIE Bl to BROWARD Bl)</v>
      </c>
      <c r="J1493" s="12" t="s">
        <v>29</v>
      </c>
      <c r="K1493" s="13" t="str">
        <f>VLOOKUP(J1493,'Data-ProjectTypes'!A$3:B$13,2,FALSE)</f>
        <v>Program</v>
      </c>
      <c r="L1493" s="12" t="s">
        <v>1370</v>
      </c>
      <c r="M1493" s="105" t="s">
        <v>1991</v>
      </c>
      <c r="N1493" s="12" t="s">
        <v>1988</v>
      </c>
      <c r="Q1493" s="72">
        <v>1</v>
      </c>
      <c r="R1493" s="23">
        <v>668250</v>
      </c>
      <c r="Z1493" s="18">
        <f>ROUND(R1493*'Data-CostAssumptions'!$C$8,-3)</f>
        <v>668000</v>
      </c>
      <c r="AA1493" s="11">
        <f t="shared" si="47"/>
        <v>0</v>
      </c>
      <c r="AB1493" s="11">
        <v>2041</v>
      </c>
      <c r="AC1493" s="11">
        <v>2041</v>
      </c>
      <c r="AD1493" s="11">
        <v>2041</v>
      </c>
      <c r="AE1493" s="11">
        <v>2041</v>
      </c>
      <c r="AF1493" s="11">
        <v>0</v>
      </c>
      <c r="AG1493" s="19">
        <f>ROUND((Z1493*'Data-CostAssumptions'!$G$5)*(1+'Data-CostAssumptions'!$G$3)^(AC1493-'Data-CostAssumptions'!$G$4),-3)</f>
        <v>377000</v>
      </c>
      <c r="AH1493" s="19">
        <f>ROUND((Z1493)*(1+'Data-CostAssumptions'!$G$3)^(AE1493-'Data-CostAssumptions'!$G$4),-3)</f>
        <v>1713000</v>
      </c>
    </row>
    <row r="1494" spans="2:34" ht="15" customHeight="1" x14ac:dyDescent="0.2">
      <c r="B1494" s="11" t="s">
        <v>1211</v>
      </c>
      <c r="D1494" s="84" t="s">
        <v>276</v>
      </c>
      <c r="E1494" s="104" t="s">
        <v>1508</v>
      </c>
      <c r="G1494" s="20">
        <v>1497</v>
      </c>
      <c r="H1494" s="13" t="s">
        <v>1594</v>
      </c>
      <c r="I1494" s="13" t="str">
        <f t="shared" si="46"/>
        <v>SW 28TH ST (E PERIMTETER RD  to SW 12TH ST )</v>
      </c>
      <c r="J1494" s="12" t="s">
        <v>29</v>
      </c>
      <c r="K1494" s="13" t="str">
        <f>VLOOKUP(J1494,'Data-ProjectTypes'!A$3:B$13,2,FALSE)</f>
        <v>Program</v>
      </c>
      <c r="L1494" s="12" t="s">
        <v>1667</v>
      </c>
      <c r="M1494" s="105" t="s">
        <v>1707</v>
      </c>
      <c r="N1494" s="12" t="s">
        <v>1706</v>
      </c>
      <c r="Q1494" s="72">
        <v>0.6</v>
      </c>
      <c r="R1494" s="23">
        <f>ROUND(Q1494*'Data-CostAssumptions'!$C$25,-1)</f>
        <v>101040</v>
      </c>
      <c r="Z1494" s="18">
        <f>ROUND(R1494*'Data-CostAssumptions'!$C$8,-3)</f>
        <v>101000</v>
      </c>
      <c r="AA1494" s="11">
        <f t="shared" si="47"/>
        <v>0</v>
      </c>
      <c r="AB1494" s="11">
        <v>2041</v>
      </c>
      <c r="AC1494" s="11">
        <v>2041</v>
      </c>
      <c r="AD1494" s="11">
        <v>2041</v>
      </c>
      <c r="AE1494" s="11">
        <v>2041</v>
      </c>
      <c r="AF1494" s="11">
        <v>0</v>
      </c>
      <c r="AG1494" s="19">
        <f>ROUND((Z1494*'Data-CostAssumptions'!$G$5)*(1+'Data-CostAssumptions'!$G$3)^(AC1494-'Data-CostAssumptions'!$G$4),-3)</f>
        <v>57000</v>
      </c>
      <c r="AH1494" s="19">
        <f>ROUND((Z1494)*(1+'Data-CostAssumptions'!$G$3)^(AE1494-'Data-CostAssumptions'!$G$4),-3)</f>
        <v>259000</v>
      </c>
    </row>
    <row r="1495" spans="2:34" ht="15" customHeight="1" x14ac:dyDescent="0.2">
      <c r="B1495" s="11" t="s">
        <v>1211</v>
      </c>
      <c r="D1495" s="84" t="s">
        <v>276</v>
      </c>
      <c r="E1495" s="104">
        <v>96</v>
      </c>
      <c r="G1495" s="20">
        <v>1498</v>
      </c>
      <c r="H1495" s="13" t="s">
        <v>2191</v>
      </c>
      <c r="I1495" s="13" t="str">
        <f t="shared" si="46"/>
        <v>SW 31ST Av (RIVERLAND RD to BROWARD Bl)</v>
      </c>
      <c r="J1495" s="12" t="s">
        <v>29</v>
      </c>
      <c r="K1495" s="13" t="str">
        <f>VLOOKUP(J1495,'Data-ProjectTypes'!A$3:B$13,2,FALSE)</f>
        <v>Program</v>
      </c>
      <c r="L1495" s="12" t="s">
        <v>1401</v>
      </c>
      <c r="M1495" s="105" t="s">
        <v>1243</v>
      </c>
      <c r="N1495" s="12" t="s">
        <v>1988</v>
      </c>
      <c r="Q1495" s="72">
        <v>0.9</v>
      </c>
      <c r="R1495" s="23">
        <v>686700</v>
      </c>
      <c r="Z1495" s="18">
        <f>ROUND(R1495*'Data-CostAssumptions'!$C$8,-3)</f>
        <v>687000</v>
      </c>
      <c r="AA1495" s="11">
        <f t="shared" si="47"/>
        <v>0</v>
      </c>
      <c r="AB1495" s="11">
        <v>2041</v>
      </c>
      <c r="AC1495" s="11">
        <v>2041</v>
      </c>
      <c r="AD1495" s="11">
        <v>2041</v>
      </c>
      <c r="AE1495" s="11">
        <v>2041</v>
      </c>
      <c r="AF1495" s="11">
        <v>0</v>
      </c>
      <c r="AG1495" s="19">
        <f>ROUND((Z1495*'Data-CostAssumptions'!$G$5)*(1+'Data-CostAssumptions'!$G$3)^(AC1495-'Data-CostAssumptions'!$G$4),-3)</f>
        <v>388000</v>
      </c>
      <c r="AH1495" s="19">
        <f>ROUND((Z1495)*(1+'Data-CostAssumptions'!$G$3)^(AE1495-'Data-CostAssumptions'!$G$4),-3)</f>
        <v>1761000</v>
      </c>
    </row>
    <row r="1496" spans="2:34" ht="15" customHeight="1" x14ac:dyDescent="0.2">
      <c r="B1496" s="11" t="s">
        <v>1211</v>
      </c>
      <c r="D1496" s="84" t="s">
        <v>276</v>
      </c>
      <c r="E1496" s="104" t="s">
        <v>1510</v>
      </c>
      <c r="G1496" s="20">
        <v>1499</v>
      </c>
      <c r="H1496" s="13" t="s">
        <v>2192</v>
      </c>
      <c r="I1496" s="13" t="str">
        <f t="shared" si="46"/>
        <v>SW 32TH Av  (SW 12TH Av  to SW 28TH ST )</v>
      </c>
      <c r="J1496" s="12" t="s">
        <v>29</v>
      </c>
      <c r="K1496" s="13" t="str">
        <f>VLOOKUP(J1496,'Data-ProjectTypes'!A$3:B$13,2,FALSE)</f>
        <v>Program</v>
      </c>
      <c r="L1496" s="12" t="s">
        <v>1667</v>
      </c>
      <c r="M1496" s="105" t="s">
        <v>2638</v>
      </c>
      <c r="N1496" s="12" t="s">
        <v>1708</v>
      </c>
      <c r="Q1496" s="72">
        <v>0.3</v>
      </c>
      <c r="R1496" s="23">
        <f>ROUND(Q1496*'Data-CostAssumptions'!$C$25,-1)</f>
        <v>50520</v>
      </c>
      <c r="Z1496" s="18">
        <f>ROUND(R1496*'Data-CostAssumptions'!$C$8,-3)</f>
        <v>51000</v>
      </c>
      <c r="AA1496" s="11">
        <f t="shared" si="47"/>
        <v>0</v>
      </c>
      <c r="AB1496" s="11">
        <v>2041</v>
      </c>
      <c r="AC1496" s="11">
        <v>2041</v>
      </c>
      <c r="AD1496" s="11">
        <v>2041</v>
      </c>
      <c r="AE1496" s="11">
        <v>2041</v>
      </c>
      <c r="AF1496" s="11">
        <v>0</v>
      </c>
      <c r="AG1496" s="19">
        <f>ROUND((Z1496*'Data-CostAssumptions'!$G$5)*(1+'Data-CostAssumptions'!$G$3)^(AC1496-'Data-CostAssumptions'!$G$4),-3)</f>
        <v>29000</v>
      </c>
      <c r="AH1496" s="19">
        <f>ROUND((Z1496)*(1+'Data-CostAssumptions'!$G$3)^(AE1496-'Data-CostAssumptions'!$G$4),-3)</f>
        <v>131000</v>
      </c>
    </row>
    <row r="1497" spans="2:34" ht="15" customHeight="1" x14ac:dyDescent="0.2">
      <c r="B1497" s="11" t="s">
        <v>1211</v>
      </c>
      <c r="D1497" s="84" t="s">
        <v>276</v>
      </c>
      <c r="E1497" s="104" t="s">
        <v>1509</v>
      </c>
      <c r="G1497" s="20">
        <v>1500</v>
      </c>
      <c r="H1497" s="13" t="s">
        <v>1595</v>
      </c>
      <c r="I1497" s="13" t="str">
        <f t="shared" si="46"/>
        <v>SW 33RD CT (SW 4TH Av  to SW 15TH Av )</v>
      </c>
      <c r="J1497" s="12" t="s">
        <v>29</v>
      </c>
      <c r="K1497" s="13" t="str">
        <f>VLOOKUP(J1497,'Data-ProjectTypes'!A$3:B$13,2,FALSE)</f>
        <v>Program</v>
      </c>
      <c r="L1497" s="12" t="s">
        <v>1667</v>
      </c>
      <c r="M1497" s="105" t="s">
        <v>2616</v>
      </c>
      <c r="N1497" s="12" t="s">
        <v>2636</v>
      </c>
      <c r="Q1497" s="72">
        <v>0.3</v>
      </c>
      <c r="R1497" s="23">
        <f>ROUND(Q1497*'Data-CostAssumptions'!$C$25,-1)</f>
        <v>50520</v>
      </c>
      <c r="Z1497" s="18">
        <f>ROUND(R1497*'Data-CostAssumptions'!$C$8,-3)</f>
        <v>51000</v>
      </c>
      <c r="AA1497" s="11">
        <f t="shared" si="47"/>
        <v>0</v>
      </c>
      <c r="AB1497" s="11">
        <v>2041</v>
      </c>
      <c r="AC1497" s="11">
        <v>2041</v>
      </c>
      <c r="AD1497" s="11">
        <v>2041</v>
      </c>
      <c r="AE1497" s="11">
        <v>2041</v>
      </c>
      <c r="AF1497" s="11">
        <v>0</v>
      </c>
      <c r="AG1497" s="19">
        <f>ROUND((Z1497*'Data-CostAssumptions'!$G$5)*(1+'Data-CostAssumptions'!$G$3)^(AC1497-'Data-CostAssumptions'!$G$4),-3)</f>
        <v>29000</v>
      </c>
      <c r="AH1497" s="19">
        <f>ROUND((Z1497)*(1+'Data-CostAssumptions'!$G$3)^(AE1497-'Data-CostAssumptions'!$G$4),-3)</f>
        <v>131000</v>
      </c>
    </row>
    <row r="1498" spans="2:34" ht="15" customHeight="1" x14ac:dyDescent="0.2">
      <c r="B1498" s="11" t="s">
        <v>1211</v>
      </c>
      <c r="D1498" s="84" t="s">
        <v>276</v>
      </c>
      <c r="E1498" s="104" t="s">
        <v>1507</v>
      </c>
      <c r="G1498" s="20">
        <v>1501</v>
      </c>
      <c r="H1498" s="13" t="s">
        <v>1593</v>
      </c>
      <c r="I1498" s="13" t="str">
        <f t="shared" si="46"/>
        <v>SW 34TH ST  (SW 34TH ST  to SW 2ND Av )</v>
      </c>
      <c r="J1498" s="12" t="s">
        <v>29</v>
      </c>
      <c r="K1498" s="13" t="str">
        <f>VLOOKUP(J1498,'Data-ProjectTypes'!A$3:B$13,2,FALSE)</f>
        <v>Program</v>
      </c>
      <c r="L1498" s="12" t="s">
        <v>1667</v>
      </c>
      <c r="M1498" s="105" t="s">
        <v>1593</v>
      </c>
      <c r="N1498" s="12" t="s">
        <v>2639</v>
      </c>
      <c r="Q1498" s="72">
        <v>0.2</v>
      </c>
      <c r="R1498" s="23">
        <f>ROUND(Q1498*'Data-CostAssumptions'!$C$25,-1)</f>
        <v>33680</v>
      </c>
      <c r="Z1498" s="18">
        <f>ROUND(R1498*'Data-CostAssumptions'!$C$8,-3)</f>
        <v>34000</v>
      </c>
      <c r="AA1498" s="11">
        <f t="shared" si="47"/>
        <v>0</v>
      </c>
      <c r="AB1498" s="11">
        <v>2041</v>
      </c>
      <c r="AC1498" s="11">
        <v>2041</v>
      </c>
      <c r="AD1498" s="11">
        <v>2041</v>
      </c>
      <c r="AE1498" s="11">
        <v>2041</v>
      </c>
      <c r="AF1498" s="11">
        <v>0</v>
      </c>
      <c r="AG1498" s="19">
        <f>ROUND((Z1498*'Data-CostAssumptions'!$G$5)*(1+'Data-CostAssumptions'!$G$3)^(AC1498-'Data-CostAssumptions'!$G$4),-3)</f>
        <v>19000</v>
      </c>
      <c r="AH1498" s="19">
        <f>ROUND((Z1498)*(1+'Data-CostAssumptions'!$G$3)^(AE1498-'Data-CostAssumptions'!$G$4),-3)</f>
        <v>87000</v>
      </c>
    </row>
    <row r="1499" spans="2:34" ht="15" customHeight="1" x14ac:dyDescent="0.2">
      <c r="B1499" s="11" t="s">
        <v>1211</v>
      </c>
      <c r="D1499" s="84" t="s">
        <v>276</v>
      </c>
      <c r="E1499" s="104" t="s">
        <v>1513</v>
      </c>
      <c r="G1499" s="20">
        <v>1502</v>
      </c>
      <c r="H1499" s="13" t="s">
        <v>2193</v>
      </c>
      <c r="I1499" s="13" t="str">
        <f t="shared" si="46"/>
        <v>SW 35TH Av  (SW 4TH Av  to DAVIE Bl )</v>
      </c>
      <c r="J1499" s="12" t="s">
        <v>29</v>
      </c>
      <c r="K1499" s="13" t="str">
        <f>VLOOKUP(J1499,'Data-ProjectTypes'!A$3:B$13,2,FALSE)</f>
        <v>Program</v>
      </c>
      <c r="L1499" s="12" t="s">
        <v>1667</v>
      </c>
      <c r="M1499" s="105" t="s">
        <v>2616</v>
      </c>
      <c r="N1499" s="12" t="s">
        <v>2296</v>
      </c>
      <c r="Q1499" s="72">
        <v>0.9</v>
      </c>
      <c r="R1499" s="23">
        <f>ROUND(Q1499*'Data-CostAssumptions'!$C$25,-1)</f>
        <v>151560</v>
      </c>
      <c r="Z1499" s="18">
        <f>ROUND(R1499*'Data-CostAssumptions'!$C$8,-3)</f>
        <v>152000</v>
      </c>
      <c r="AA1499" s="11">
        <f t="shared" si="47"/>
        <v>0</v>
      </c>
      <c r="AB1499" s="11">
        <v>2041</v>
      </c>
      <c r="AC1499" s="11">
        <v>2041</v>
      </c>
      <c r="AD1499" s="11">
        <v>2041</v>
      </c>
      <c r="AE1499" s="11">
        <v>2041</v>
      </c>
      <c r="AF1499" s="11">
        <v>0</v>
      </c>
      <c r="AG1499" s="19">
        <f>ROUND((Z1499*'Data-CostAssumptions'!$G$5)*(1+'Data-CostAssumptions'!$G$3)^(AC1499-'Data-CostAssumptions'!$G$4),-3)</f>
        <v>86000</v>
      </c>
      <c r="AH1499" s="19">
        <f>ROUND((Z1499)*(1+'Data-CostAssumptions'!$G$3)^(AE1499-'Data-CostAssumptions'!$G$4),-3)</f>
        <v>390000</v>
      </c>
    </row>
    <row r="1500" spans="2:34" ht="15" customHeight="1" x14ac:dyDescent="0.2">
      <c r="B1500" s="11" t="s">
        <v>1211</v>
      </c>
      <c r="D1500" s="84" t="s">
        <v>276</v>
      </c>
      <c r="E1500" s="104" t="s">
        <v>1555</v>
      </c>
      <c r="G1500" s="20">
        <v>1503</v>
      </c>
      <c r="H1500" s="13" t="s">
        <v>1615</v>
      </c>
      <c r="I1500" s="13" t="str">
        <f t="shared" si="46"/>
        <v>SW 3RD &amp; SW 4 (SE 3RD Av  to S NEW RIVER PATH )</v>
      </c>
      <c r="J1500" s="12" t="s">
        <v>29</v>
      </c>
      <c r="K1500" s="13" t="str">
        <f>VLOOKUP(J1500,'Data-ProjectTypes'!A$3:B$13,2,FALSE)</f>
        <v>Program</v>
      </c>
      <c r="L1500" s="12" t="s">
        <v>1667</v>
      </c>
      <c r="M1500" s="105" t="s">
        <v>2640</v>
      </c>
      <c r="N1500" s="12" t="s">
        <v>1725</v>
      </c>
      <c r="Q1500" s="72">
        <v>0.4</v>
      </c>
      <c r="R1500" s="23">
        <f>ROUND(Q1500*'Data-CostAssumptions'!$C$25,-1)</f>
        <v>67360</v>
      </c>
      <c r="Z1500" s="18">
        <f>ROUND(R1500*'Data-CostAssumptions'!$C$8,-3)</f>
        <v>67000</v>
      </c>
      <c r="AA1500" s="11">
        <f t="shared" si="47"/>
        <v>0</v>
      </c>
      <c r="AB1500" s="11">
        <v>2041</v>
      </c>
      <c r="AC1500" s="11">
        <v>2041</v>
      </c>
      <c r="AD1500" s="11">
        <v>2041</v>
      </c>
      <c r="AE1500" s="11">
        <v>2041</v>
      </c>
      <c r="AF1500" s="11">
        <v>0</v>
      </c>
      <c r="AG1500" s="19">
        <f>ROUND((Z1500*'Data-CostAssumptions'!$G$5)*(1+'Data-CostAssumptions'!$G$3)^(AC1500-'Data-CostAssumptions'!$G$4),-3)</f>
        <v>38000</v>
      </c>
      <c r="AH1500" s="19">
        <f>ROUND((Z1500)*(1+'Data-CostAssumptions'!$G$3)^(AE1500-'Data-CostAssumptions'!$G$4),-3)</f>
        <v>172000</v>
      </c>
    </row>
    <row r="1501" spans="2:34" ht="15" customHeight="1" x14ac:dyDescent="0.2">
      <c r="B1501" s="11" t="s">
        <v>1211</v>
      </c>
      <c r="D1501" s="84" t="s">
        <v>276</v>
      </c>
      <c r="E1501" s="104" t="s">
        <v>1524</v>
      </c>
      <c r="G1501" s="20">
        <v>1504</v>
      </c>
      <c r="H1501" s="13" t="s">
        <v>2808</v>
      </c>
      <c r="I1501" s="13" t="str">
        <f t="shared" si="46"/>
        <v>SW 4TH Av/CT (DAVIE Bl  to W BROWARD Bl )</v>
      </c>
      <c r="J1501" s="12" t="s">
        <v>29</v>
      </c>
      <c r="K1501" s="13" t="str">
        <f>VLOOKUP(J1501,'Data-ProjectTypes'!A$3:B$13,2,FALSE)</f>
        <v>Program</v>
      </c>
      <c r="L1501" s="12" t="s">
        <v>1667</v>
      </c>
      <c r="M1501" s="105" t="s">
        <v>2296</v>
      </c>
      <c r="N1501" s="12" t="s">
        <v>2310</v>
      </c>
      <c r="Q1501" s="72">
        <v>0.7</v>
      </c>
      <c r="R1501" s="23">
        <f>ROUND(Q1501*'Data-CostAssumptions'!$C$25,-1)</f>
        <v>117880</v>
      </c>
      <c r="Z1501" s="18">
        <f>ROUND(R1501*'Data-CostAssumptions'!$C$8,-3)</f>
        <v>118000</v>
      </c>
      <c r="AA1501" s="11">
        <f t="shared" si="47"/>
        <v>0</v>
      </c>
      <c r="AB1501" s="11">
        <v>2041</v>
      </c>
      <c r="AC1501" s="11">
        <v>2041</v>
      </c>
      <c r="AD1501" s="11">
        <v>2041</v>
      </c>
      <c r="AE1501" s="11">
        <v>2041</v>
      </c>
      <c r="AF1501" s="11">
        <v>0</v>
      </c>
      <c r="AG1501" s="19">
        <f>ROUND((Z1501*'Data-CostAssumptions'!$G$5)*(1+'Data-CostAssumptions'!$G$3)^(AC1501-'Data-CostAssumptions'!$G$4),-3)</f>
        <v>67000</v>
      </c>
      <c r="AH1501" s="19">
        <f>ROUND((Z1501)*(1+'Data-CostAssumptions'!$G$3)^(AE1501-'Data-CostAssumptions'!$G$4),-3)</f>
        <v>303000</v>
      </c>
    </row>
    <row r="1502" spans="2:34" ht="15" customHeight="1" x14ac:dyDescent="0.2">
      <c r="B1502" s="11" t="s">
        <v>1211</v>
      </c>
      <c r="D1502" s="84" t="s">
        <v>276</v>
      </c>
      <c r="E1502" s="104" t="s">
        <v>1526</v>
      </c>
      <c r="G1502" s="20">
        <v>1505</v>
      </c>
      <c r="H1502" s="13" t="s">
        <v>1601</v>
      </c>
      <c r="I1502" s="13" t="str">
        <f t="shared" si="46"/>
        <v>SW 4TH PL (SW 16TH Av  to SW 11TH Av )</v>
      </c>
      <c r="J1502" s="12" t="s">
        <v>29</v>
      </c>
      <c r="K1502" s="13" t="str">
        <f>VLOOKUP(J1502,'Data-ProjectTypes'!A$3:B$13,2,FALSE)</f>
        <v>Program</v>
      </c>
      <c r="L1502" s="12" t="s">
        <v>1667</v>
      </c>
      <c r="M1502" s="105" t="s">
        <v>2642</v>
      </c>
      <c r="N1502" s="12" t="s">
        <v>2641</v>
      </c>
      <c r="Q1502" s="72">
        <v>0.6</v>
      </c>
      <c r="R1502" s="23">
        <f>ROUND(Q1502*'Data-CostAssumptions'!$C$25,-1)</f>
        <v>101040</v>
      </c>
      <c r="Z1502" s="18">
        <f>ROUND(R1502*'Data-CostAssumptions'!$C$8,-3)</f>
        <v>101000</v>
      </c>
      <c r="AA1502" s="11">
        <f t="shared" si="47"/>
        <v>0</v>
      </c>
      <c r="AB1502" s="11">
        <v>2041</v>
      </c>
      <c r="AC1502" s="11">
        <v>2041</v>
      </c>
      <c r="AD1502" s="11">
        <v>2041</v>
      </c>
      <c r="AE1502" s="11">
        <v>2041</v>
      </c>
      <c r="AF1502" s="11">
        <v>0</v>
      </c>
      <c r="AG1502" s="19">
        <f>ROUND((Z1502*'Data-CostAssumptions'!$G$5)*(1+'Data-CostAssumptions'!$G$3)^(AC1502-'Data-CostAssumptions'!$G$4),-3)</f>
        <v>57000</v>
      </c>
      <c r="AH1502" s="19">
        <f>ROUND((Z1502)*(1+'Data-CostAssumptions'!$G$3)^(AE1502-'Data-CostAssumptions'!$G$4),-3)</f>
        <v>259000</v>
      </c>
    </row>
    <row r="1503" spans="2:34" ht="15" customHeight="1" x14ac:dyDescent="0.2">
      <c r="B1503" s="11" t="s">
        <v>1211</v>
      </c>
      <c r="D1503" s="84" t="s">
        <v>276</v>
      </c>
      <c r="E1503" s="104" t="s">
        <v>1554</v>
      </c>
      <c r="G1503" s="20">
        <v>1506</v>
      </c>
      <c r="H1503" s="13" t="s">
        <v>1614</v>
      </c>
      <c r="I1503" s="13" t="str">
        <f t="shared" si="46"/>
        <v>SW 6TH ST (US 1 to SW 7TH Av )</v>
      </c>
      <c r="J1503" s="12" t="s">
        <v>29</v>
      </c>
      <c r="K1503" s="13" t="str">
        <f>VLOOKUP(J1503,'Data-ProjectTypes'!A$3:B$13,2,FALSE)</f>
        <v>Program</v>
      </c>
      <c r="L1503" s="12" t="s">
        <v>1667</v>
      </c>
      <c r="M1503" s="105" t="s">
        <v>98</v>
      </c>
      <c r="N1503" s="12" t="s">
        <v>2612</v>
      </c>
      <c r="Q1503" s="72">
        <v>0.6</v>
      </c>
      <c r="R1503" s="23">
        <f>ROUND(Q1503*'Data-CostAssumptions'!$C$25,-1)</f>
        <v>101040</v>
      </c>
      <c r="Z1503" s="18">
        <f>ROUND(R1503*'Data-CostAssumptions'!$C$8,-3)</f>
        <v>101000</v>
      </c>
      <c r="AA1503" s="11">
        <f t="shared" si="47"/>
        <v>0</v>
      </c>
      <c r="AB1503" s="11">
        <v>2041</v>
      </c>
      <c r="AC1503" s="11">
        <v>2041</v>
      </c>
      <c r="AD1503" s="11">
        <v>2041</v>
      </c>
      <c r="AE1503" s="11">
        <v>2041</v>
      </c>
      <c r="AF1503" s="11">
        <v>0</v>
      </c>
      <c r="AG1503" s="19">
        <f>ROUND((Z1503*'Data-CostAssumptions'!$G$5)*(1+'Data-CostAssumptions'!$G$3)^(AC1503-'Data-CostAssumptions'!$G$4),-3)</f>
        <v>57000</v>
      </c>
      <c r="AH1503" s="19">
        <f>ROUND((Z1503)*(1+'Data-CostAssumptions'!$G$3)^(AE1503-'Data-CostAssumptions'!$G$4),-3)</f>
        <v>259000</v>
      </c>
    </row>
    <row r="1504" spans="2:34" ht="15" customHeight="1" x14ac:dyDescent="0.2">
      <c r="B1504" s="11" t="s">
        <v>1211</v>
      </c>
      <c r="D1504" s="84" t="s">
        <v>276</v>
      </c>
      <c r="E1504" s="104" t="s">
        <v>1520</v>
      </c>
      <c r="G1504" s="20">
        <v>1507</v>
      </c>
      <c r="H1504" s="13" t="s">
        <v>1599</v>
      </c>
      <c r="I1504" s="13" t="str">
        <f t="shared" si="46"/>
        <v>SW 7TH ST  (SW 2 ND CT  to SW 31ST Av )</v>
      </c>
      <c r="J1504" s="12" t="s">
        <v>29</v>
      </c>
      <c r="K1504" s="13" t="str">
        <f>VLOOKUP(J1504,'Data-ProjectTypes'!A$3:B$13,2,FALSE)</f>
        <v>Program</v>
      </c>
      <c r="L1504" s="12" t="s">
        <v>1667</v>
      </c>
      <c r="M1504" s="105" t="s">
        <v>1711</v>
      </c>
      <c r="N1504" s="12" t="s">
        <v>2610</v>
      </c>
      <c r="Q1504" s="72">
        <v>0.5</v>
      </c>
      <c r="R1504" s="23">
        <f>ROUND(Q1504*'Data-CostAssumptions'!$C$25,-1)</f>
        <v>84200</v>
      </c>
      <c r="Z1504" s="18">
        <f>ROUND(R1504*'Data-CostAssumptions'!$C$8,-3)</f>
        <v>84000</v>
      </c>
      <c r="AA1504" s="11">
        <f t="shared" si="47"/>
        <v>0</v>
      </c>
      <c r="AB1504" s="11">
        <v>2041</v>
      </c>
      <c r="AC1504" s="11">
        <v>2041</v>
      </c>
      <c r="AD1504" s="11">
        <v>2041</v>
      </c>
      <c r="AE1504" s="11">
        <v>2041</v>
      </c>
      <c r="AF1504" s="11">
        <v>0</v>
      </c>
      <c r="AG1504" s="19">
        <f>ROUND((Z1504*'Data-CostAssumptions'!$G$5)*(1+'Data-CostAssumptions'!$G$3)^(AC1504-'Data-CostAssumptions'!$G$4),-3)</f>
        <v>47000</v>
      </c>
      <c r="AH1504" s="19">
        <f>ROUND((Z1504)*(1+'Data-CostAssumptions'!$G$3)^(AE1504-'Data-CostAssumptions'!$G$4),-3)</f>
        <v>215000</v>
      </c>
    </row>
    <row r="1505" spans="1:39" ht="15" customHeight="1" x14ac:dyDescent="0.2">
      <c r="B1505" s="11" t="s">
        <v>1211</v>
      </c>
      <c r="D1505" s="84" t="s">
        <v>276</v>
      </c>
      <c r="E1505" s="104">
        <v>100</v>
      </c>
      <c r="G1505" s="20">
        <v>1508</v>
      </c>
      <c r="H1505" s="13" t="s">
        <v>2196</v>
      </c>
      <c r="I1505" s="13" t="str">
        <f t="shared" si="46"/>
        <v>SW 9TH Av (SR 84 to DAVIE Bl)</v>
      </c>
      <c r="J1505" s="12" t="s">
        <v>29</v>
      </c>
      <c r="K1505" s="13" t="str">
        <f>VLOOKUP(J1505,'Data-ProjectTypes'!A$3:B$13,2,FALSE)</f>
        <v>Program</v>
      </c>
      <c r="L1505" s="12" t="s">
        <v>1401</v>
      </c>
      <c r="M1505" s="105" t="s">
        <v>45</v>
      </c>
      <c r="N1505" s="12" t="s">
        <v>1991</v>
      </c>
      <c r="Q1505" s="72">
        <v>1.4</v>
      </c>
      <c r="R1505" s="23">
        <v>558000</v>
      </c>
      <c r="Z1505" s="18">
        <f>ROUND(R1505*'Data-CostAssumptions'!$C$8,-3)</f>
        <v>558000</v>
      </c>
      <c r="AA1505" s="11">
        <f t="shared" si="47"/>
        <v>0</v>
      </c>
      <c r="AB1505" s="11">
        <v>2041</v>
      </c>
      <c r="AC1505" s="11">
        <v>2041</v>
      </c>
      <c r="AD1505" s="11">
        <v>2041</v>
      </c>
      <c r="AE1505" s="11">
        <v>2041</v>
      </c>
      <c r="AF1505" s="11">
        <v>0</v>
      </c>
      <c r="AG1505" s="19">
        <f>ROUND((Z1505*'Data-CostAssumptions'!$G$5)*(1+'Data-CostAssumptions'!$G$3)^(AC1505-'Data-CostAssumptions'!$G$4),-3)</f>
        <v>315000</v>
      </c>
      <c r="AH1505" s="19">
        <f>ROUND((Z1505)*(1+'Data-CostAssumptions'!$G$3)^(AE1505-'Data-CostAssumptions'!$G$4),-3)</f>
        <v>1431000</v>
      </c>
    </row>
    <row r="1506" spans="1:39" ht="15" customHeight="1" x14ac:dyDescent="0.2">
      <c r="B1506" s="11" t="s">
        <v>1211</v>
      </c>
      <c r="D1506" s="84" t="s">
        <v>276</v>
      </c>
      <c r="E1506" s="104" t="s">
        <v>1525</v>
      </c>
      <c r="G1506" s="20">
        <v>1509</v>
      </c>
      <c r="H1506" s="13" t="s">
        <v>2197</v>
      </c>
      <c r="I1506" s="13" t="str">
        <f t="shared" si="46"/>
        <v>SW 9TH Av &amp; SW 10TH Av  (SW 11TH Av  to W BROWARD Bl )</v>
      </c>
      <c r="J1506" s="12" t="s">
        <v>29</v>
      </c>
      <c r="K1506" s="13" t="str">
        <f>VLOOKUP(J1506,'Data-ProjectTypes'!A$3:B$13,2,FALSE)</f>
        <v>Program</v>
      </c>
      <c r="L1506" s="12" t="s">
        <v>1667</v>
      </c>
      <c r="M1506" s="105" t="s">
        <v>2641</v>
      </c>
      <c r="N1506" s="12" t="s">
        <v>2310</v>
      </c>
      <c r="Q1506" s="72">
        <v>1.3</v>
      </c>
      <c r="R1506" s="23">
        <f>ROUND(Q1506*'Data-CostAssumptions'!$C$25,-1)</f>
        <v>218920</v>
      </c>
      <c r="Z1506" s="18">
        <f>ROUND(R1506*'Data-CostAssumptions'!$C$8,-3)</f>
        <v>219000</v>
      </c>
      <c r="AA1506" s="11">
        <f t="shared" si="47"/>
        <v>0</v>
      </c>
      <c r="AB1506" s="11">
        <v>2041</v>
      </c>
      <c r="AC1506" s="11">
        <v>2041</v>
      </c>
      <c r="AD1506" s="11">
        <v>2041</v>
      </c>
      <c r="AE1506" s="11">
        <v>2041</v>
      </c>
      <c r="AF1506" s="11">
        <v>0</v>
      </c>
      <c r="AG1506" s="19">
        <f>ROUND((Z1506*'Data-CostAssumptions'!$G$5)*(1+'Data-CostAssumptions'!$G$3)^(AC1506-'Data-CostAssumptions'!$G$4),-3)</f>
        <v>124000</v>
      </c>
      <c r="AH1506" s="19">
        <f>ROUND((Z1506)*(1+'Data-CostAssumptions'!$G$3)^(AE1506-'Data-CostAssumptions'!$G$4),-3)</f>
        <v>562000</v>
      </c>
    </row>
    <row r="1507" spans="1:39" ht="15" customHeight="1" x14ac:dyDescent="0.2">
      <c r="B1507" s="11" t="s">
        <v>1211</v>
      </c>
      <c r="D1507" s="84" t="s">
        <v>276</v>
      </c>
      <c r="E1507" s="104" t="s">
        <v>1501</v>
      </c>
      <c r="G1507" s="20">
        <v>1510</v>
      </c>
      <c r="H1507" s="13" t="s">
        <v>2198</v>
      </c>
      <c r="I1507" s="13" t="str">
        <f t="shared" si="46"/>
        <v>SW FLAGLER Av  (US 1 to NE 2ND ST )</v>
      </c>
      <c r="J1507" s="12" t="s">
        <v>29</v>
      </c>
      <c r="K1507" s="13" t="str">
        <f>VLOOKUP(J1507,'Data-ProjectTypes'!A$3:B$13,2,FALSE)</f>
        <v>Program</v>
      </c>
      <c r="L1507" s="12" t="s">
        <v>1667</v>
      </c>
      <c r="M1507" s="105" t="s">
        <v>98</v>
      </c>
      <c r="N1507" s="12" t="s">
        <v>1702</v>
      </c>
      <c r="Q1507" s="72">
        <v>1.4</v>
      </c>
      <c r="R1507" s="23">
        <f>ROUND(Q1507*'Data-CostAssumptions'!$C$25,-1)</f>
        <v>235760</v>
      </c>
      <c r="Z1507" s="18">
        <f>ROUND(R1507*'Data-CostAssumptions'!$C$8,-3)</f>
        <v>236000</v>
      </c>
      <c r="AA1507" s="11">
        <f t="shared" si="47"/>
        <v>0</v>
      </c>
      <c r="AB1507" s="11">
        <v>2041</v>
      </c>
      <c r="AC1507" s="11">
        <v>2041</v>
      </c>
      <c r="AD1507" s="11">
        <v>2041</v>
      </c>
      <c r="AE1507" s="11">
        <v>2041</v>
      </c>
      <c r="AF1507" s="11">
        <v>0</v>
      </c>
      <c r="AG1507" s="19">
        <f>ROUND((Z1507*'Data-CostAssumptions'!$G$5)*(1+'Data-CostAssumptions'!$G$3)^(AC1507-'Data-CostAssumptions'!$G$4),-3)</f>
        <v>133000</v>
      </c>
      <c r="AH1507" s="19">
        <f>ROUND((Z1507)*(1+'Data-CostAssumptions'!$G$3)^(AE1507-'Data-CostAssumptions'!$G$4),-3)</f>
        <v>605000</v>
      </c>
    </row>
    <row r="1508" spans="1:39" ht="15" customHeight="1" x14ac:dyDescent="0.2">
      <c r="B1508" s="11" t="s">
        <v>1211</v>
      </c>
      <c r="D1508" s="84" t="s">
        <v>276</v>
      </c>
      <c r="E1508" s="104">
        <v>102</v>
      </c>
      <c r="G1508" s="20">
        <v>1511</v>
      </c>
      <c r="H1508" s="13" t="s">
        <v>1250</v>
      </c>
      <c r="I1508" s="13" t="str">
        <f t="shared" si="46"/>
        <v>SW/SE 17TH ST (SW 4TH Av to US 1/SR 5)</v>
      </c>
      <c r="J1508" s="12" t="s">
        <v>29</v>
      </c>
      <c r="K1508" s="13" t="str">
        <f>VLOOKUP(J1508,'Data-ProjectTypes'!A$3:B$13,2,FALSE)</f>
        <v>Program</v>
      </c>
      <c r="L1508" s="12" t="s">
        <v>1405</v>
      </c>
      <c r="M1508" s="105" t="s">
        <v>2194</v>
      </c>
      <c r="N1508" s="12" t="s">
        <v>1422</v>
      </c>
      <c r="Q1508" s="72">
        <v>0.7</v>
      </c>
      <c r="R1508" s="23">
        <v>347400</v>
      </c>
      <c r="Z1508" s="18">
        <f>ROUND(R1508*'Data-CostAssumptions'!$C$8,-3)</f>
        <v>347000</v>
      </c>
      <c r="AA1508" s="11">
        <f t="shared" si="47"/>
        <v>0</v>
      </c>
      <c r="AB1508" s="11">
        <v>2041</v>
      </c>
      <c r="AC1508" s="11">
        <v>2041</v>
      </c>
      <c r="AD1508" s="11">
        <v>2041</v>
      </c>
      <c r="AE1508" s="11">
        <v>2041</v>
      </c>
      <c r="AF1508" s="11">
        <v>0</v>
      </c>
      <c r="AG1508" s="19">
        <f>ROUND((Z1508*'Data-CostAssumptions'!$G$5)*(1+'Data-CostAssumptions'!$G$3)^(AC1508-'Data-CostAssumptions'!$G$4),-3)</f>
        <v>196000</v>
      </c>
      <c r="AH1508" s="19">
        <f>ROUND((Z1508)*(1+'Data-CostAssumptions'!$G$3)^(AE1508-'Data-CostAssumptions'!$G$4),-3)</f>
        <v>890000</v>
      </c>
    </row>
    <row r="1509" spans="1:39" ht="15" customHeight="1" x14ac:dyDescent="0.2">
      <c r="B1509" s="11" t="s">
        <v>1211</v>
      </c>
      <c r="D1509" s="84" t="s">
        <v>276</v>
      </c>
      <c r="E1509" s="104">
        <v>95</v>
      </c>
      <c r="G1509" s="20">
        <v>1512</v>
      </c>
      <c r="H1509" s="13" t="s">
        <v>1247</v>
      </c>
      <c r="I1509" s="13" t="str">
        <f t="shared" si="46"/>
        <v>SW/SE 2ND ST (BRICKELL Av to US 1)</v>
      </c>
      <c r="J1509" s="12" t="s">
        <v>29</v>
      </c>
      <c r="K1509" s="13" t="str">
        <f>VLOOKUP(J1509,'Data-ProjectTypes'!A$3:B$13,2,FALSE)</f>
        <v>Program</v>
      </c>
      <c r="L1509" s="12" t="s">
        <v>1396</v>
      </c>
      <c r="M1509" s="105" t="s">
        <v>2608</v>
      </c>
      <c r="N1509" s="12" t="s">
        <v>98</v>
      </c>
      <c r="Q1509" s="72">
        <v>0.5</v>
      </c>
      <c r="R1509" s="23">
        <v>17000</v>
      </c>
      <c r="Z1509" s="18">
        <f>ROUND(R1509*'Data-CostAssumptions'!$C$8,-3)</f>
        <v>17000</v>
      </c>
      <c r="AA1509" s="11">
        <f t="shared" si="47"/>
        <v>0</v>
      </c>
      <c r="AB1509" s="11">
        <v>2041</v>
      </c>
      <c r="AC1509" s="11">
        <v>2041</v>
      </c>
      <c r="AD1509" s="11">
        <v>2041</v>
      </c>
      <c r="AE1509" s="11">
        <v>2041</v>
      </c>
      <c r="AF1509" s="11">
        <v>0</v>
      </c>
      <c r="AG1509" s="19">
        <f>ROUND((Z1509*'Data-CostAssumptions'!$G$5)*(1+'Data-CostAssumptions'!$G$3)^(AC1509-'Data-CostAssumptions'!$G$4),-3)</f>
        <v>10000</v>
      </c>
      <c r="AH1509" s="19">
        <f>ROUND((Z1509)*(1+'Data-CostAssumptions'!$G$3)^(AE1509-'Data-CostAssumptions'!$G$4),-3)</f>
        <v>44000</v>
      </c>
    </row>
    <row r="1510" spans="1:39" ht="15" customHeight="1" x14ac:dyDescent="0.2">
      <c r="B1510" s="11" t="s">
        <v>1211</v>
      </c>
      <c r="D1510" s="84" t="s">
        <v>276</v>
      </c>
      <c r="E1510" s="104" t="s">
        <v>1550</v>
      </c>
      <c r="G1510" s="20">
        <v>1513</v>
      </c>
      <c r="H1510" s="13" t="s">
        <v>1612</v>
      </c>
      <c r="I1510" s="13" t="str">
        <f t="shared" si="46"/>
        <v>TARPON DR 7 S BRICKELL DR (BRICKELL DR to E LAS OLAS Bl )</v>
      </c>
      <c r="J1510" s="12" t="s">
        <v>29</v>
      </c>
      <c r="K1510" s="13" t="str">
        <f>VLOOKUP(J1510,'Data-ProjectTypes'!A$3:B$13,2,FALSE)</f>
        <v>Program</v>
      </c>
      <c r="L1510" s="12" t="s">
        <v>1667</v>
      </c>
      <c r="M1510" s="105" t="s">
        <v>1723</v>
      </c>
      <c r="N1510" s="12" t="s">
        <v>2311</v>
      </c>
      <c r="Q1510" s="72">
        <v>0.3</v>
      </c>
      <c r="R1510" s="23">
        <f>ROUND(Q1510*'Data-CostAssumptions'!$C$25,-1)</f>
        <v>50520</v>
      </c>
      <c r="Z1510" s="18">
        <f>ROUND(R1510*'Data-CostAssumptions'!$C$8,-3)</f>
        <v>51000</v>
      </c>
      <c r="AA1510" s="11">
        <f t="shared" si="47"/>
        <v>0</v>
      </c>
      <c r="AB1510" s="11">
        <v>2041</v>
      </c>
      <c r="AC1510" s="11">
        <v>2041</v>
      </c>
      <c r="AD1510" s="11">
        <v>2041</v>
      </c>
      <c r="AE1510" s="11">
        <v>2041</v>
      </c>
      <c r="AF1510" s="11">
        <v>0</v>
      </c>
      <c r="AG1510" s="19">
        <f>ROUND((Z1510*'Data-CostAssumptions'!$G$5)*(1+'Data-CostAssumptions'!$G$3)^(AC1510-'Data-CostAssumptions'!$G$4),-3)</f>
        <v>29000</v>
      </c>
      <c r="AH1510" s="19">
        <f>ROUND((Z1510)*(1+'Data-CostAssumptions'!$G$3)^(AE1510-'Data-CostAssumptions'!$G$4),-3)</f>
        <v>131000</v>
      </c>
    </row>
    <row r="1511" spans="1:39" ht="15" customHeight="1" x14ac:dyDescent="0.2">
      <c r="B1511" s="11" t="s">
        <v>1211</v>
      </c>
      <c r="D1511" s="84" t="s">
        <v>276</v>
      </c>
      <c r="E1511" s="104" t="s">
        <v>1493</v>
      </c>
      <c r="G1511" s="20">
        <v>1514</v>
      </c>
      <c r="H1511" s="13" t="s">
        <v>2729</v>
      </c>
      <c r="I1511" s="13" t="str">
        <f t="shared" si="46"/>
        <v>Terramar St (A1A to BAYSHORE DR )</v>
      </c>
      <c r="J1511" s="12" t="s">
        <v>29</v>
      </c>
      <c r="K1511" s="13" t="str">
        <f>VLOOKUP(J1511,'Data-ProjectTypes'!A$3:B$13,2,FALSE)</f>
        <v>Program</v>
      </c>
      <c r="L1511" s="12" t="s">
        <v>1667</v>
      </c>
      <c r="M1511" s="105" t="s">
        <v>205</v>
      </c>
      <c r="N1511" s="12" t="s">
        <v>1587</v>
      </c>
      <c r="Q1511" s="72">
        <v>0.3</v>
      </c>
      <c r="R1511" s="23">
        <f>ROUND(Q1511*'Data-CostAssumptions'!$C$25,-1)</f>
        <v>50520</v>
      </c>
      <c r="Z1511" s="18">
        <f>ROUND(R1511*'Data-CostAssumptions'!$C$8,-3)</f>
        <v>51000</v>
      </c>
      <c r="AA1511" s="11">
        <f t="shared" si="47"/>
        <v>0</v>
      </c>
      <c r="AB1511" s="11">
        <v>2041</v>
      </c>
      <c r="AC1511" s="11">
        <v>2041</v>
      </c>
      <c r="AD1511" s="11">
        <v>2041</v>
      </c>
      <c r="AE1511" s="11">
        <v>2041</v>
      </c>
      <c r="AF1511" s="11">
        <v>0</v>
      </c>
      <c r="AG1511" s="19">
        <f>ROUND((Z1511*'Data-CostAssumptions'!$G$5)*(1+'Data-CostAssumptions'!$G$3)^(AC1511-'Data-CostAssumptions'!$G$4),-3)</f>
        <v>29000</v>
      </c>
      <c r="AH1511" s="19">
        <f>ROUND((Z1511)*(1+'Data-CostAssumptions'!$G$3)^(AE1511-'Data-CostAssumptions'!$G$4),-3)</f>
        <v>131000</v>
      </c>
    </row>
    <row r="1512" spans="1:39" ht="15" customHeight="1" x14ac:dyDescent="0.2">
      <c r="B1512" s="11" t="s">
        <v>1211</v>
      </c>
      <c r="D1512" s="84" t="s">
        <v>276</v>
      </c>
      <c r="E1512" s="104">
        <v>109</v>
      </c>
      <c r="G1512" s="20">
        <v>1515</v>
      </c>
      <c r="H1512" s="13" t="s">
        <v>1868</v>
      </c>
      <c r="I1512" s="13" t="str">
        <f t="shared" si="46"/>
        <v>Victoria Park Rd (BROWARD Bl to NE 7TH ST)</v>
      </c>
      <c r="J1512" s="12" t="s">
        <v>29</v>
      </c>
      <c r="K1512" s="13" t="str">
        <f>VLOOKUP(J1512,'Data-ProjectTypes'!A$3:B$13,2,FALSE)</f>
        <v>Program</v>
      </c>
      <c r="L1512" s="12" t="s">
        <v>1418</v>
      </c>
      <c r="M1512" s="105" t="s">
        <v>1988</v>
      </c>
      <c r="N1512" s="12" t="s">
        <v>1458</v>
      </c>
      <c r="Q1512" s="72">
        <v>0.7</v>
      </c>
      <c r="R1512" s="23">
        <v>311850</v>
      </c>
      <c r="Z1512" s="18">
        <f>ROUND(R1512*'Data-CostAssumptions'!$C$8,-3)</f>
        <v>312000</v>
      </c>
      <c r="AA1512" s="11">
        <f t="shared" si="47"/>
        <v>0</v>
      </c>
      <c r="AB1512" s="11">
        <v>2041</v>
      </c>
      <c r="AC1512" s="11">
        <v>2041</v>
      </c>
      <c r="AD1512" s="11">
        <v>2041</v>
      </c>
      <c r="AE1512" s="11">
        <v>2041</v>
      </c>
      <c r="AF1512" s="11">
        <v>0</v>
      </c>
      <c r="AG1512" s="19">
        <f>ROUND((Z1512*'Data-CostAssumptions'!$G$5)*(1+'Data-CostAssumptions'!$G$3)^(AC1512-'Data-CostAssumptions'!$G$4),-3)</f>
        <v>176000</v>
      </c>
      <c r="AH1512" s="19">
        <f>ROUND((Z1512)*(1+'Data-CostAssumptions'!$G$3)^(AE1512-'Data-CostAssumptions'!$G$4),-3)</f>
        <v>800000</v>
      </c>
    </row>
    <row r="1513" spans="1:39" ht="15" customHeight="1" x14ac:dyDescent="0.2">
      <c r="B1513" s="11" t="s">
        <v>1211</v>
      </c>
      <c r="D1513" s="84" t="s">
        <v>276</v>
      </c>
      <c r="E1513" s="104" t="s">
        <v>1488</v>
      </c>
      <c r="G1513" s="20">
        <v>1516</v>
      </c>
      <c r="H1513" s="13" t="s">
        <v>2809</v>
      </c>
      <c r="I1513" s="13" t="str">
        <f t="shared" si="46"/>
        <v>Vistamar St (LAS OLAS CIR  to BAYSHORE DR )</v>
      </c>
      <c r="J1513" s="12" t="s">
        <v>29</v>
      </c>
      <c r="K1513" s="13" t="str">
        <f>VLOOKUP(J1513,'Data-ProjectTypes'!A$3:B$13,2,FALSE)</f>
        <v>Program</v>
      </c>
      <c r="L1513" s="12" t="s">
        <v>1667</v>
      </c>
      <c r="M1513" s="105" t="s">
        <v>1698</v>
      </c>
      <c r="N1513" s="12" t="s">
        <v>1587</v>
      </c>
      <c r="Q1513" s="72">
        <v>0.3</v>
      </c>
      <c r="R1513" s="23">
        <f>ROUND(Q1513*'Data-CostAssumptions'!$C$25,-1)</f>
        <v>50520</v>
      </c>
      <c r="Z1513" s="18">
        <f>ROUND(R1513*'Data-CostAssumptions'!$C$8,-3)</f>
        <v>51000</v>
      </c>
      <c r="AA1513" s="11">
        <f t="shared" si="47"/>
        <v>0</v>
      </c>
      <c r="AB1513" s="11">
        <v>2041</v>
      </c>
      <c r="AC1513" s="11">
        <v>2041</v>
      </c>
      <c r="AD1513" s="11">
        <v>2041</v>
      </c>
      <c r="AE1513" s="11">
        <v>2041</v>
      </c>
      <c r="AF1513" s="11">
        <v>0</v>
      </c>
      <c r="AG1513" s="19">
        <f>ROUND((Z1513*'Data-CostAssumptions'!$G$5)*(1+'Data-CostAssumptions'!$G$3)^(AC1513-'Data-CostAssumptions'!$G$4),-3)</f>
        <v>29000</v>
      </c>
      <c r="AH1513" s="19">
        <f>ROUND((Z1513)*(1+'Data-CostAssumptions'!$G$3)^(AE1513-'Data-CostAssumptions'!$G$4),-3)</f>
        <v>131000</v>
      </c>
    </row>
    <row r="1514" spans="1:39" ht="15" customHeight="1" x14ac:dyDescent="0.2">
      <c r="B1514" s="11" t="s">
        <v>1211</v>
      </c>
      <c r="D1514" s="84" t="s">
        <v>276</v>
      </c>
      <c r="E1514" s="104" t="s">
        <v>1561</v>
      </c>
      <c r="G1514" s="20">
        <v>1517</v>
      </c>
      <c r="H1514" s="13" t="s">
        <v>1619</v>
      </c>
      <c r="I1514" s="13" t="str">
        <f t="shared" si="46"/>
        <v>WESTSIDE - EX AIRPORT LOOP (NW 7TH Av to NE 62ND ST )</v>
      </c>
      <c r="J1514" s="12" t="s">
        <v>29</v>
      </c>
      <c r="K1514" s="13" t="str">
        <f>VLOOKUP(J1514,'Data-ProjectTypes'!A$3:B$13,2,FALSE)</f>
        <v>Program</v>
      </c>
      <c r="L1514" s="12" t="s">
        <v>1667</v>
      </c>
      <c r="M1514" s="105" t="s">
        <v>2601</v>
      </c>
      <c r="N1514" s="12" t="s">
        <v>1731</v>
      </c>
      <c r="Q1514" s="72">
        <v>2.2000000000000002</v>
      </c>
      <c r="R1514" s="23">
        <f>ROUND(Q1514*'Data-CostAssumptions'!$C$25,-1)</f>
        <v>370480</v>
      </c>
      <c r="Z1514" s="18">
        <f>ROUND(R1514*'Data-CostAssumptions'!$C$8,-3)</f>
        <v>370000</v>
      </c>
      <c r="AA1514" s="11">
        <f t="shared" si="47"/>
        <v>0</v>
      </c>
      <c r="AB1514" s="11">
        <v>2041</v>
      </c>
      <c r="AC1514" s="11">
        <v>2041</v>
      </c>
      <c r="AD1514" s="11">
        <v>2041</v>
      </c>
      <c r="AE1514" s="11">
        <v>2041</v>
      </c>
      <c r="AF1514" s="11">
        <v>0</v>
      </c>
      <c r="AG1514" s="19">
        <f>ROUND((Z1514*'Data-CostAssumptions'!$G$5)*(1+'Data-CostAssumptions'!$G$3)^(AC1514-'Data-CostAssumptions'!$G$4),-3)</f>
        <v>209000</v>
      </c>
      <c r="AH1514" s="19">
        <f>ROUND((Z1514)*(1+'Data-CostAssumptions'!$G$3)^(AE1514-'Data-CostAssumptions'!$G$4),-3)</f>
        <v>949000</v>
      </c>
    </row>
    <row r="1515" spans="1:39" ht="15" customHeight="1" x14ac:dyDescent="0.2">
      <c r="A1515" s="109"/>
      <c r="B1515" s="109" t="s">
        <v>1211</v>
      </c>
      <c r="C1515" s="109"/>
      <c r="D1515" s="109" t="s">
        <v>276</v>
      </c>
      <c r="E1515" s="110"/>
      <c r="F1515" s="110">
        <v>141</v>
      </c>
      <c r="G1515" s="20">
        <v>1518</v>
      </c>
      <c r="H1515" s="111" t="s">
        <v>3020</v>
      </c>
      <c r="I1515" s="111" t="s">
        <v>3024</v>
      </c>
      <c r="J1515" s="109" t="s">
        <v>29</v>
      </c>
      <c r="K1515" s="109" t="s">
        <v>1208</v>
      </c>
      <c r="L1515" s="111" t="s">
        <v>3023</v>
      </c>
      <c r="M1515" s="112" t="s">
        <v>1245</v>
      </c>
      <c r="N1515" s="113" t="s">
        <v>3026</v>
      </c>
      <c r="Q1515" s="114">
        <v>0.2</v>
      </c>
      <c r="R1515" s="115">
        <v>63360</v>
      </c>
      <c r="S1515" s="109"/>
      <c r="V1515" s="116"/>
      <c r="Y1515" s="117"/>
      <c r="Z1515" s="118">
        <f>ROUND(R1515*'Data-CostAssumptions'!$C$8,-3)</f>
        <v>63000</v>
      </c>
      <c r="AA1515" s="11">
        <f t="shared" si="47"/>
        <v>0</v>
      </c>
      <c r="AB1515" s="11">
        <v>2041</v>
      </c>
      <c r="AC1515" s="11">
        <v>2041</v>
      </c>
      <c r="AD1515" s="11">
        <v>2041</v>
      </c>
      <c r="AE1515" s="11">
        <v>2041</v>
      </c>
      <c r="AF1515" s="11">
        <v>0</v>
      </c>
      <c r="AG1515" s="19">
        <f>ROUND((Z1515*'Data-CostAssumptions'!$G$5)*(1+'Data-CostAssumptions'!$G$3)^(AC1515-'Data-CostAssumptions'!$G$4),-3)</f>
        <v>36000</v>
      </c>
      <c r="AH1515" s="19">
        <f>ROUND((Z1515)*(1+'Data-CostAssumptions'!$G$3)^(AE1515-'Data-CostAssumptions'!$G$4),-3)</f>
        <v>162000</v>
      </c>
      <c r="AI1515" s="119"/>
      <c r="AJ1515" s="119"/>
      <c r="AK1515" s="119"/>
      <c r="AL1515" s="119"/>
      <c r="AM1515" s="119"/>
    </row>
    <row r="1516" spans="1:39" ht="15" customHeight="1" x14ac:dyDescent="0.2">
      <c r="A1516" s="109"/>
      <c r="B1516" s="109" t="s">
        <v>1211</v>
      </c>
      <c r="C1516" s="109"/>
      <c r="D1516" s="109" t="s">
        <v>276</v>
      </c>
      <c r="E1516" s="110"/>
      <c r="F1516" s="110">
        <v>143</v>
      </c>
      <c r="G1516" s="20">
        <v>1519</v>
      </c>
      <c r="H1516" s="111" t="s">
        <v>3021</v>
      </c>
      <c r="I1516" s="111" t="s">
        <v>3025</v>
      </c>
      <c r="J1516" s="109" t="s">
        <v>29</v>
      </c>
      <c r="K1516" s="109" t="s">
        <v>1208</v>
      </c>
      <c r="L1516" s="111" t="s">
        <v>3023</v>
      </c>
      <c r="M1516" s="112" t="s">
        <v>3020</v>
      </c>
      <c r="N1516" s="113" t="s">
        <v>3026</v>
      </c>
      <c r="Q1516" s="114">
        <v>0.3</v>
      </c>
      <c r="R1516" s="115">
        <v>95040</v>
      </c>
      <c r="S1516" s="109"/>
      <c r="V1516" s="116"/>
      <c r="Y1516" s="117"/>
      <c r="Z1516" s="118">
        <f>ROUND(R1516*'Data-CostAssumptions'!$C$8,-3)</f>
        <v>95000</v>
      </c>
      <c r="AA1516" s="11">
        <f t="shared" si="47"/>
        <v>0</v>
      </c>
      <c r="AB1516" s="11">
        <v>2041</v>
      </c>
      <c r="AC1516" s="11">
        <v>2041</v>
      </c>
      <c r="AD1516" s="11">
        <v>2041</v>
      </c>
      <c r="AE1516" s="11">
        <v>2041</v>
      </c>
      <c r="AF1516" s="11">
        <v>0</v>
      </c>
      <c r="AG1516" s="19">
        <f>ROUND((Z1516*'Data-CostAssumptions'!$G$5)*(1+'Data-CostAssumptions'!$G$3)^(AC1516-'Data-CostAssumptions'!$G$4),-3)</f>
        <v>54000</v>
      </c>
      <c r="AH1516" s="19">
        <f>ROUND((Z1516)*(1+'Data-CostAssumptions'!$G$3)^(AE1516-'Data-CostAssumptions'!$G$4),-3)</f>
        <v>244000</v>
      </c>
      <c r="AI1516" s="119"/>
      <c r="AJ1516" s="119"/>
      <c r="AK1516" s="119"/>
      <c r="AL1516" s="119"/>
      <c r="AM1516" s="119"/>
    </row>
    <row r="1517" spans="1:39" ht="15" customHeight="1" x14ac:dyDescent="0.2">
      <c r="A1517" s="11"/>
      <c r="B1517" s="11" t="s">
        <v>1211</v>
      </c>
      <c r="C1517" s="11">
        <v>215</v>
      </c>
      <c r="D1517" s="84" t="s">
        <v>276</v>
      </c>
      <c r="E1517" s="14">
        <v>364</v>
      </c>
      <c r="F1517" s="14">
        <v>152</v>
      </c>
      <c r="G1517" s="20">
        <v>1520</v>
      </c>
      <c r="H1517" s="13" t="s">
        <v>2014</v>
      </c>
      <c r="I1517" s="13" t="str">
        <f t="shared" ref="I1517:I1548" si="48">IF(M1517="@",H1517&amp;" ("&amp;M1517&amp;"  "&amp;N1517&amp;")",H1517&amp;" ("&amp;M1517&amp;" to "&amp;N1517&amp;")")</f>
        <v>Andrews Av (New River Dr to Las Olas Bl)</v>
      </c>
      <c r="J1517" s="11" t="s">
        <v>27</v>
      </c>
      <c r="K1517" s="13" t="str">
        <f>VLOOKUP(J1517,'Data-ProjectTypes'!A$3:B$13,2,FALSE)</f>
        <v>Program</v>
      </c>
      <c r="L1517" s="11" t="s">
        <v>1219</v>
      </c>
      <c r="M1517" s="106" t="s">
        <v>2645</v>
      </c>
      <c r="N1517" s="84" t="s">
        <v>1823</v>
      </c>
      <c r="O1517" s="11" t="s">
        <v>273</v>
      </c>
      <c r="P1517" s="11" t="s">
        <v>273</v>
      </c>
      <c r="Q1517" s="107">
        <v>0.1</v>
      </c>
      <c r="R1517" s="23">
        <v>41532</v>
      </c>
      <c r="S1517" s="11"/>
      <c r="T1517" s="11"/>
      <c r="U1517" s="11"/>
      <c r="V1517" s="11"/>
      <c r="W1517" s="11"/>
      <c r="X1517" s="11"/>
      <c r="Z1517" s="18">
        <f>ROUND(R1517*'Data-CostAssumptions'!$C$8,-3)</f>
        <v>42000</v>
      </c>
      <c r="AA1517" s="11">
        <f t="shared" si="47"/>
        <v>0</v>
      </c>
      <c r="AB1517" s="11">
        <v>2041</v>
      </c>
      <c r="AC1517" s="11">
        <v>2041</v>
      </c>
      <c r="AD1517" s="11">
        <v>2041</v>
      </c>
      <c r="AE1517" s="11">
        <v>2041</v>
      </c>
      <c r="AF1517" s="11">
        <v>0</v>
      </c>
      <c r="AG1517" s="19">
        <f>ROUND((Z1517*'Data-CostAssumptions'!$G$5)*(1+'Data-CostAssumptions'!$G$3)^(AC1517-'Data-CostAssumptions'!$G$4),-3)</f>
        <v>24000</v>
      </c>
      <c r="AH1517" s="19">
        <f>ROUND((Z1517)*(1+'Data-CostAssumptions'!$G$3)^(AE1517-'Data-CostAssumptions'!$G$4),-3)</f>
        <v>108000</v>
      </c>
    </row>
    <row r="1518" spans="1:39" ht="15" customHeight="1" x14ac:dyDescent="0.2">
      <c r="A1518" s="11"/>
      <c r="B1518" s="11" t="s">
        <v>1211</v>
      </c>
      <c r="C1518" s="11">
        <v>216</v>
      </c>
      <c r="D1518" s="84" t="s">
        <v>276</v>
      </c>
      <c r="E1518" s="14">
        <v>380</v>
      </c>
      <c r="F1518" s="14">
        <v>152</v>
      </c>
      <c r="G1518" s="20">
        <v>1521</v>
      </c>
      <c r="H1518" s="13" t="s">
        <v>1901</v>
      </c>
      <c r="I1518" s="13" t="str">
        <f t="shared" si="48"/>
        <v>NE 62nd St/Cypress Creek Rd (Just east of Corporate Dr to I-95 Ramp)</v>
      </c>
      <c r="J1518" s="11" t="s">
        <v>27</v>
      </c>
      <c r="K1518" s="13" t="str">
        <f>VLOOKUP(J1518,'Data-ProjectTypes'!A$3:B$13,2,FALSE)</f>
        <v>Program</v>
      </c>
      <c r="L1518" s="11" t="s">
        <v>1221</v>
      </c>
      <c r="M1518" s="106" t="s">
        <v>2660</v>
      </c>
      <c r="N1518" s="84" t="s">
        <v>142</v>
      </c>
      <c r="O1518" s="11" t="s">
        <v>273</v>
      </c>
      <c r="P1518" s="11" t="s">
        <v>273</v>
      </c>
      <c r="Q1518" s="107">
        <v>0.1</v>
      </c>
      <c r="R1518" s="23">
        <v>26244</v>
      </c>
      <c r="S1518" s="11"/>
      <c r="T1518" s="11"/>
      <c r="U1518" s="11"/>
      <c r="V1518" s="11"/>
      <c r="W1518" s="11"/>
      <c r="X1518" s="11"/>
      <c r="Z1518" s="18">
        <f>ROUND(R1518*'Data-CostAssumptions'!$C$8,-3)</f>
        <v>26000</v>
      </c>
      <c r="AA1518" s="11">
        <f t="shared" si="47"/>
        <v>0</v>
      </c>
      <c r="AB1518" s="11">
        <v>2041</v>
      </c>
      <c r="AC1518" s="11">
        <v>2041</v>
      </c>
      <c r="AD1518" s="11">
        <v>2041</v>
      </c>
      <c r="AE1518" s="11">
        <v>2041</v>
      </c>
      <c r="AF1518" s="11">
        <v>0</v>
      </c>
      <c r="AG1518" s="19">
        <f>ROUND((Z1518*'Data-CostAssumptions'!$G$5)*(1+'Data-CostAssumptions'!$G$3)^(AC1518-'Data-CostAssumptions'!$G$4),-3)</f>
        <v>15000</v>
      </c>
      <c r="AH1518" s="19">
        <f>ROUND((Z1518)*(1+'Data-CostAssumptions'!$G$3)^(AE1518-'Data-CostAssumptions'!$G$4),-3)</f>
        <v>67000</v>
      </c>
    </row>
    <row r="1519" spans="1:39" ht="15" customHeight="1" x14ac:dyDescent="0.2">
      <c r="A1519" s="11"/>
      <c r="B1519" s="11" t="s">
        <v>1211</v>
      </c>
      <c r="C1519" s="11">
        <v>325</v>
      </c>
      <c r="D1519" s="84" t="s">
        <v>276</v>
      </c>
      <c r="E1519" s="14">
        <v>309</v>
      </c>
      <c r="F1519" s="14">
        <v>158</v>
      </c>
      <c r="G1519" s="20">
        <v>1522</v>
      </c>
      <c r="H1519" s="13" t="s">
        <v>1902</v>
      </c>
      <c r="I1519" s="13" t="str">
        <f t="shared" si="48"/>
        <v>NE 6th St (US 1/Federal Hwy to Andrews Av)</v>
      </c>
      <c r="J1519" s="11" t="s">
        <v>27</v>
      </c>
      <c r="K1519" s="13" t="str">
        <f>VLOOKUP(J1519,'Data-ProjectTypes'!A$3:B$13,2,FALSE)</f>
        <v>Program</v>
      </c>
      <c r="L1519" s="11" t="s">
        <v>1220</v>
      </c>
      <c r="M1519" s="106" t="s">
        <v>2594</v>
      </c>
      <c r="N1519" s="84" t="s">
        <v>2014</v>
      </c>
      <c r="O1519" s="11" t="s">
        <v>276</v>
      </c>
      <c r="P1519" s="11" t="s">
        <v>276</v>
      </c>
      <c r="Q1519" s="107">
        <v>0.4</v>
      </c>
      <c r="R1519" s="23">
        <v>140187</v>
      </c>
      <c r="S1519" s="11"/>
      <c r="T1519" s="11"/>
      <c r="U1519" s="11"/>
      <c r="V1519" s="11"/>
      <c r="W1519" s="11"/>
      <c r="X1519" s="11"/>
      <c r="Z1519" s="18">
        <f>ROUND(R1519*'Data-CostAssumptions'!$C$8,-3)</f>
        <v>140000</v>
      </c>
      <c r="AA1519" s="11">
        <f t="shared" si="47"/>
        <v>0</v>
      </c>
      <c r="AB1519" s="11">
        <v>2041</v>
      </c>
      <c r="AC1519" s="11">
        <v>2041</v>
      </c>
      <c r="AD1519" s="11">
        <v>2041</v>
      </c>
      <c r="AE1519" s="11">
        <v>2041</v>
      </c>
      <c r="AF1519" s="11">
        <v>0</v>
      </c>
      <c r="AG1519" s="19">
        <f>ROUND((Z1519*'Data-CostAssumptions'!$G$5)*(1+'Data-CostAssumptions'!$G$3)^(AC1519-'Data-CostAssumptions'!$G$4),-3)</f>
        <v>79000</v>
      </c>
      <c r="AH1519" s="19">
        <f>ROUND((Z1519)*(1+'Data-CostAssumptions'!$G$3)^(AE1519-'Data-CostAssumptions'!$G$4),-3)</f>
        <v>359000</v>
      </c>
    </row>
    <row r="1520" spans="1:39" ht="15" customHeight="1" x14ac:dyDescent="0.2">
      <c r="A1520" s="11"/>
      <c r="B1520" s="11" t="s">
        <v>1211</v>
      </c>
      <c r="C1520" s="11">
        <v>10163</v>
      </c>
      <c r="D1520" s="84" t="s">
        <v>276</v>
      </c>
      <c r="E1520" s="14" t="s">
        <v>298</v>
      </c>
      <c r="F1520" s="14">
        <v>149</v>
      </c>
      <c r="G1520" s="20">
        <v>1523</v>
      </c>
      <c r="H1520" s="13" t="s">
        <v>140</v>
      </c>
      <c r="I1520" s="13" t="str">
        <f t="shared" si="48"/>
        <v>Snook Creek (I-95 to Powerline Rd)</v>
      </c>
      <c r="J1520" s="11" t="s">
        <v>27</v>
      </c>
      <c r="K1520" s="13" t="str">
        <f>VLOOKUP(J1520,'Data-ProjectTypes'!A$3:B$13,2,FALSE)</f>
        <v>Program</v>
      </c>
      <c r="L1520" s="11" t="s">
        <v>1223</v>
      </c>
      <c r="M1520" s="106" t="s">
        <v>41</v>
      </c>
      <c r="N1520" s="84" t="s">
        <v>1858</v>
      </c>
      <c r="O1520" s="11" t="s">
        <v>270</v>
      </c>
      <c r="P1520" s="11" t="s">
        <v>270</v>
      </c>
      <c r="Q1520" s="107">
        <v>0.5</v>
      </c>
      <c r="R1520" s="23">
        <v>511200</v>
      </c>
      <c r="S1520" s="11"/>
      <c r="T1520" s="11"/>
      <c r="U1520" s="11"/>
      <c r="V1520" s="11"/>
      <c r="W1520" s="11"/>
      <c r="X1520" s="11"/>
      <c r="Y1520" s="12" t="s">
        <v>1742</v>
      </c>
      <c r="Z1520" s="18">
        <f>ROUND(R1520*'Data-CostAssumptions'!$C$8,-3)</f>
        <v>511000</v>
      </c>
      <c r="AA1520" s="11">
        <f t="shared" si="47"/>
        <v>0</v>
      </c>
      <c r="AB1520" s="11">
        <v>2041</v>
      </c>
      <c r="AC1520" s="11">
        <v>2041</v>
      </c>
      <c r="AD1520" s="11">
        <v>2041</v>
      </c>
      <c r="AE1520" s="11">
        <v>2041</v>
      </c>
      <c r="AF1520" s="11">
        <v>0</v>
      </c>
      <c r="AG1520" s="19">
        <f>ROUND((Z1520*'Data-CostAssumptions'!$G$5)*(1+'Data-CostAssumptions'!$G$3)^(AC1520-'Data-CostAssumptions'!$G$4),-3)</f>
        <v>288000</v>
      </c>
      <c r="AH1520" s="19">
        <f>ROUND((Z1520)*(1+'Data-CostAssumptions'!$G$3)^(AE1520-'Data-CostAssumptions'!$G$4),-3)</f>
        <v>1310000</v>
      </c>
    </row>
    <row r="1521" spans="1:34" ht="15" customHeight="1" x14ac:dyDescent="0.2">
      <c r="B1521" s="11" t="s">
        <v>1211</v>
      </c>
      <c r="D1521" s="84" t="s">
        <v>276</v>
      </c>
      <c r="E1521" s="104">
        <v>130</v>
      </c>
      <c r="G1521" s="20">
        <v>1524</v>
      </c>
      <c r="H1521" s="13" t="s">
        <v>2926</v>
      </c>
      <c r="I1521" s="13" t="str">
        <f t="shared" si="48"/>
        <v>Almond Av (LAS OLAS Bl to POINSETTA ST)</v>
      </c>
      <c r="J1521" s="12" t="s">
        <v>27</v>
      </c>
      <c r="K1521" s="13" t="str">
        <f>VLOOKUP(J1521,'Data-ProjectTypes'!A$3:B$13,2,FALSE)</f>
        <v>Program</v>
      </c>
      <c r="L1521" s="12" t="s">
        <v>1642</v>
      </c>
      <c r="M1521" s="105" t="s">
        <v>1997</v>
      </c>
      <c r="N1521" s="12" t="s">
        <v>1675</v>
      </c>
      <c r="Q1521" s="72">
        <v>0.11</v>
      </c>
      <c r="R1521" s="23">
        <v>2635500</v>
      </c>
      <c r="Z1521" s="18">
        <f>ROUND(R1521*'Data-CostAssumptions'!$C$8,-3)</f>
        <v>2636000</v>
      </c>
      <c r="AA1521" s="11">
        <f t="shared" si="47"/>
        <v>0</v>
      </c>
      <c r="AB1521" s="11">
        <v>2041</v>
      </c>
      <c r="AC1521" s="11">
        <v>2041</v>
      </c>
      <c r="AD1521" s="11">
        <v>2041</v>
      </c>
      <c r="AE1521" s="11">
        <v>2041</v>
      </c>
      <c r="AF1521" s="11">
        <v>0</v>
      </c>
      <c r="AG1521" s="19">
        <f>ROUND((Z1521*'Data-CostAssumptions'!$G$5)*(1+'Data-CostAssumptions'!$G$3)^(AC1521-'Data-CostAssumptions'!$G$4),-3)</f>
        <v>1487000</v>
      </c>
      <c r="AH1521" s="19">
        <f>ROUND((Z1521)*(1+'Data-CostAssumptions'!$G$3)^(AE1521-'Data-CostAssumptions'!$G$4),-3)</f>
        <v>6759000</v>
      </c>
    </row>
    <row r="1522" spans="1:34" ht="15" customHeight="1" x14ac:dyDescent="0.2">
      <c r="A1522" s="11"/>
      <c r="B1522" s="11" t="s">
        <v>1211</v>
      </c>
      <c r="C1522" s="11"/>
      <c r="D1522" s="84" t="s">
        <v>276</v>
      </c>
      <c r="E1522" s="14">
        <v>4</v>
      </c>
      <c r="F1522" s="14"/>
      <c r="G1522" s="20">
        <v>1525</v>
      </c>
      <c r="H1522" s="13" t="s">
        <v>2014</v>
      </c>
      <c r="I1522" s="13" t="str">
        <f t="shared" si="48"/>
        <v>Andrews Av (NE 60th ST to MCNAB Rd)</v>
      </c>
      <c r="J1522" s="11" t="s">
        <v>27</v>
      </c>
      <c r="K1522" s="13" t="str">
        <f>VLOOKUP(J1522,'Data-ProjectTypes'!A$3:B$13,2,FALSE)</f>
        <v>Program</v>
      </c>
      <c r="L1522" s="11" t="s">
        <v>1256</v>
      </c>
      <c r="M1522" s="106" t="s">
        <v>1421</v>
      </c>
      <c r="N1522" s="84" t="s">
        <v>2400</v>
      </c>
      <c r="O1522" s="11"/>
      <c r="P1522" s="11"/>
      <c r="Q1522" s="107">
        <v>0.8</v>
      </c>
      <c r="R1522" s="23">
        <v>1836000</v>
      </c>
      <c r="S1522" s="11"/>
      <c r="T1522" s="11"/>
      <c r="U1522" s="11"/>
      <c r="V1522" s="11"/>
      <c r="W1522" s="11"/>
      <c r="X1522" s="11"/>
      <c r="Z1522" s="18">
        <f>ROUND(R1522*'Data-CostAssumptions'!$C$8,-3)</f>
        <v>1836000</v>
      </c>
      <c r="AA1522" s="11">
        <f t="shared" si="47"/>
        <v>0</v>
      </c>
      <c r="AB1522" s="11">
        <v>2041</v>
      </c>
      <c r="AC1522" s="11">
        <v>2041</v>
      </c>
      <c r="AD1522" s="11">
        <v>2041</v>
      </c>
      <c r="AE1522" s="11">
        <v>2041</v>
      </c>
      <c r="AF1522" s="11">
        <v>0</v>
      </c>
      <c r="AG1522" s="19">
        <f>ROUND((Z1522*'Data-CostAssumptions'!$G$5)*(1+'Data-CostAssumptions'!$G$3)^(AC1522-'Data-CostAssumptions'!$G$4),-3)</f>
        <v>1036000</v>
      </c>
      <c r="AH1522" s="19">
        <f>ROUND((Z1522)*(1+'Data-CostAssumptions'!$G$3)^(AE1522-'Data-CostAssumptions'!$G$4),-3)</f>
        <v>4707000</v>
      </c>
    </row>
    <row r="1523" spans="1:34" ht="15" customHeight="1" x14ac:dyDescent="0.2">
      <c r="A1523" s="11"/>
      <c r="B1523" s="11" t="s">
        <v>1211</v>
      </c>
      <c r="C1523" s="11"/>
      <c r="D1523" s="84" t="s">
        <v>276</v>
      </c>
      <c r="E1523" s="14">
        <v>2</v>
      </c>
      <c r="F1523" s="14"/>
      <c r="G1523" s="20">
        <v>1526</v>
      </c>
      <c r="H1523" s="13" t="s">
        <v>2014</v>
      </c>
      <c r="I1523" s="13" t="str">
        <f t="shared" si="48"/>
        <v>Andrews Av (SE/SW 9TH ST to SUNRISE Bl)</v>
      </c>
      <c r="J1523" s="11" t="s">
        <v>27</v>
      </c>
      <c r="K1523" s="13" t="str">
        <f>VLOOKUP(J1523,'Data-ProjectTypes'!A$3:B$13,2,FALSE)</f>
        <v>Program</v>
      </c>
      <c r="L1523" s="11" t="s">
        <v>1253</v>
      </c>
      <c r="M1523" s="106" t="s">
        <v>1420</v>
      </c>
      <c r="N1523" s="84" t="s">
        <v>2002</v>
      </c>
      <c r="O1523" s="11"/>
      <c r="P1523" s="11"/>
      <c r="Q1523" s="107">
        <v>1.8</v>
      </c>
      <c r="R1523" s="23">
        <v>2057000</v>
      </c>
      <c r="S1523" s="11"/>
      <c r="T1523" s="11"/>
      <c r="U1523" s="11"/>
      <c r="V1523" s="11"/>
      <c r="W1523" s="11"/>
      <c r="X1523" s="11"/>
      <c r="Z1523" s="18">
        <f>ROUND(R1523*'Data-CostAssumptions'!$C$8,-3)</f>
        <v>2057000</v>
      </c>
      <c r="AA1523" s="11">
        <f t="shared" si="47"/>
        <v>0</v>
      </c>
      <c r="AB1523" s="11">
        <v>2041</v>
      </c>
      <c r="AC1523" s="11">
        <v>2041</v>
      </c>
      <c r="AD1523" s="11">
        <v>2041</v>
      </c>
      <c r="AE1523" s="11">
        <v>2041</v>
      </c>
      <c r="AF1523" s="11">
        <v>0</v>
      </c>
      <c r="AG1523" s="19">
        <f>ROUND((Z1523*'Data-CostAssumptions'!$G$5)*(1+'Data-CostAssumptions'!$G$3)^(AC1523-'Data-CostAssumptions'!$G$4),-3)</f>
        <v>1160000</v>
      </c>
      <c r="AH1523" s="19">
        <f>ROUND((Z1523)*(1+'Data-CostAssumptions'!$G$3)^(AE1523-'Data-CostAssumptions'!$G$4),-3)</f>
        <v>5274000</v>
      </c>
    </row>
    <row r="1524" spans="1:34" ht="15" customHeight="1" x14ac:dyDescent="0.2">
      <c r="A1524" s="11"/>
      <c r="B1524" s="11" t="s">
        <v>1211</v>
      </c>
      <c r="C1524" s="11"/>
      <c r="D1524" s="84" t="s">
        <v>276</v>
      </c>
      <c r="E1524" s="14">
        <v>1</v>
      </c>
      <c r="F1524" s="14"/>
      <c r="G1524" s="20">
        <v>1527</v>
      </c>
      <c r="H1524" s="13" t="s">
        <v>2014</v>
      </c>
      <c r="I1524" s="13" t="str">
        <f t="shared" si="48"/>
        <v>Andrews Av (SR 84/SW 24TH ST to SE/SW 9TH ST)</v>
      </c>
      <c r="J1524" s="11" t="s">
        <v>27</v>
      </c>
      <c r="K1524" s="13" t="str">
        <f>VLOOKUP(J1524,'Data-ProjectTypes'!A$3:B$13,2,FALSE)</f>
        <v>Program</v>
      </c>
      <c r="L1524" s="11" t="s">
        <v>1253</v>
      </c>
      <c r="M1524" s="106" t="s">
        <v>1419</v>
      </c>
      <c r="N1524" s="84" t="s">
        <v>1420</v>
      </c>
      <c r="O1524" s="11"/>
      <c r="P1524" s="11"/>
      <c r="Q1524" s="107">
        <v>1.3</v>
      </c>
      <c r="R1524" s="23">
        <v>1562000</v>
      </c>
      <c r="S1524" s="11"/>
      <c r="T1524" s="11"/>
      <c r="U1524" s="11"/>
      <c r="V1524" s="11"/>
      <c r="W1524" s="11"/>
      <c r="X1524" s="11"/>
      <c r="Z1524" s="18">
        <f>ROUND(R1524*'Data-CostAssumptions'!$C$8,-3)</f>
        <v>1562000</v>
      </c>
      <c r="AA1524" s="11">
        <f t="shared" si="47"/>
        <v>0</v>
      </c>
      <c r="AB1524" s="11">
        <v>2041</v>
      </c>
      <c r="AC1524" s="11">
        <v>2041</v>
      </c>
      <c r="AD1524" s="11">
        <v>2041</v>
      </c>
      <c r="AE1524" s="11">
        <v>2041</v>
      </c>
      <c r="AF1524" s="11">
        <v>0</v>
      </c>
      <c r="AG1524" s="19">
        <f>ROUND((Z1524*'Data-CostAssumptions'!$G$5)*(1+'Data-CostAssumptions'!$G$3)^(AC1524-'Data-CostAssumptions'!$G$4),-3)</f>
        <v>881000</v>
      </c>
      <c r="AH1524" s="19">
        <f>ROUND((Z1524)*(1+'Data-CostAssumptions'!$G$3)^(AE1524-'Data-CostAssumptions'!$G$4),-3)</f>
        <v>4005000</v>
      </c>
    </row>
    <row r="1525" spans="1:34" ht="15" customHeight="1" x14ac:dyDescent="0.2">
      <c r="A1525" s="11"/>
      <c r="B1525" s="11" t="s">
        <v>1211</v>
      </c>
      <c r="C1525" s="11"/>
      <c r="D1525" s="84" t="s">
        <v>276</v>
      </c>
      <c r="E1525" s="14">
        <v>3</v>
      </c>
      <c r="F1525" s="14"/>
      <c r="G1525" s="20">
        <v>1528</v>
      </c>
      <c r="H1525" s="13" t="s">
        <v>2014</v>
      </c>
      <c r="I1525" s="13" t="str">
        <f t="shared" si="48"/>
        <v>Andrews Av (SUNRISE Bl to NW 19TH ST)</v>
      </c>
      <c r="J1525" s="11" t="s">
        <v>27</v>
      </c>
      <c r="K1525" s="13" t="str">
        <f>VLOOKUP(J1525,'Data-ProjectTypes'!A$3:B$13,2,FALSE)</f>
        <v>Program</v>
      </c>
      <c r="L1525" s="11" t="s">
        <v>1255</v>
      </c>
      <c r="M1525" s="106" t="s">
        <v>2002</v>
      </c>
      <c r="N1525" s="84" t="s">
        <v>1240</v>
      </c>
      <c r="O1525" s="11"/>
      <c r="P1525" s="11"/>
      <c r="Q1525" s="107">
        <v>1</v>
      </c>
      <c r="R1525" s="23">
        <v>756000</v>
      </c>
      <c r="S1525" s="11"/>
      <c r="T1525" s="11"/>
      <c r="U1525" s="11"/>
      <c r="V1525" s="11"/>
      <c r="W1525" s="11"/>
      <c r="X1525" s="11"/>
      <c r="Z1525" s="18">
        <f>ROUND(R1525*'Data-CostAssumptions'!$C$8,-3)</f>
        <v>756000</v>
      </c>
      <c r="AA1525" s="11">
        <f t="shared" si="47"/>
        <v>0</v>
      </c>
      <c r="AB1525" s="11">
        <v>2041</v>
      </c>
      <c r="AC1525" s="11">
        <v>2041</v>
      </c>
      <c r="AD1525" s="11">
        <v>2041</v>
      </c>
      <c r="AE1525" s="11">
        <v>2041</v>
      </c>
      <c r="AF1525" s="11">
        <v>0</v>
      </c>
      <c r="AG1525" s="19">
        <f>ROUND((Z1525*'Data-CostAssumptions'!$G$5)*(1+'Data-CostAssumptions'!$G$3)^(AC1525-'Data-CostAssumptions'!$G$4),-3)</f>
        <v>426000</v>
      </c>
      <c r="AH1525" s="19">
        <f>ROUND((Z1525)*(1+'Data-CostAssumptions'!$G$3)^(AE1525-'Data-CostAssumptions'!$G$4),-3)</f>
        <v>1938000</v>
      </c>
    </row>
    <row r="1526" spans="1:34" ht="15" customHeight="1" x14ac:dyDescent="0.2">
      <c r="A1526" s="11"/>
      <c r="B1526" s="11" t="s">
        <v>1211</v>
      </c>
      <c r="C1526" s="11"/>
      <c r="D1526" s="84" t="s">
        <v>276</v>
      </c>
      <c r="E1526" s="14">
        <v>110</v>
      </c>
      <c r="F1526" s="14"/>
      <c r="G1526" s="20">
        <v>1529</v>
      </c>
      <c r="H1526" s="13" t="s">
        <v>2014</v>
      </c>
      <c r="I1526" s="13" t="str">
        <f t="shared" si="48"/>
        <v>Andrews Av (US1/SE 6TH Av to SR 84/SW 24TH ST)</v>
      </c>
      <c r="J1526" s="11" t="s">
        <v>27</v>
      </c>
      <c r="K1526" s="13" t="str">
        <f>VLOOKUP(J1526,'Data-ProjectTypes'!A$3:B$13,2,FALSE)</f>
        <v>Program</v>
      </c>
      <c r="L1526" s="11" t="s">
        <v>1253</v>
      </c>
      <c r="M1526" s="106" t="s">
        <v>2599</v>
      </c>
      <c r="N1526" s="84" t="s">
        <v>1419</v>
      </c>
      <c r="O1526" s="11"/>
      <c r="P1526" s="11"/>
      <c r="Q1526" s="107">
        <v>0.7</v>
      </c>
      <c r="R1526" s="23">
        <v>877000</v>
      </c>
      <c r="S1526" s="11"/>
      <c r="T1526" s="11"/>
      <c r="U1526" s="11"/>
      <c r="V1526" s="11"/>
      <c r="W1526" s="11"/>
      <c r="X1526" s="11"/>
      <c r="Z1526" s="18">
        <f>ROUND(R1526*'Data-CostAssumptions'!$C$8,-3)</f>
        <v>877000</v>
      </c>
      <c r="AA1526" s="11">
        <f t="shared" si="47"/>
        <v>0</v>
      </c>
      <c r="AB1526" s="11">
        <v>2041</v>
      </c>
      <c r="AC1526" s="11">
        <v>2041</v>
      </c>
      <c r="AD1526" s="11">
        <v>2041</v>
      </c>
      <c r="AE1526" s="11">
        <v>2041</v>
      </c>
      <c r="AF1526" s="11">
        <v>0</v>
      </c>
      <c r="AG1526" s="19">
        <f>ROUND((Z1526*'Data-CostAssumptions'!$G$5)*(1+'Data-CostAssumptions'!$G$3)^(AC1526-'Data-CostAssumptions'!$G$4),-3)</f>
        <v>495000</v>
      </c>
      <c r="AH1526" s="19">
        <f>ROUND((Z1526)*(1+'Data-CostAssumptions'!$G$3)^(AE1526-'Data-CostAssumptions'!$G$4),-3)</f>
        <v>2249000</v>
      </c>
    </row>
    <row r="1527" spans="1:34" ht="15" customHeight="1" x14ac:dyDescent="0.2">
      <c r="A1527" s="11"/>
      <c r="B1527" s="11" t="s">
        <v>1211</v>
      </c>
      <c r="C1527" s="11"/>
      <c r="D1527" s="84" t="s">
        <v>276</v>
      </c>
      <c r="E1527" s="14">
        <v>5</v>
      </c>
      <c r="F1527" s="14"/>
      <c r="G1527" s="20">
        <v>1530</v>
      </c>
      <c r="H1527" s="13" t="s">
        <v>1781</v>
      </c>
      <c r="I1527" s="13" t="str">
        <f t="shared" si="48"/>
        <v>Bayview Dr (OAKLAND PARK Bl/SR 816 to US 1/SR 5)</v>
      </c>
      <c r="J1527" s="11" t="s">
        <v>27</v>
      </c>
      <c r="K1527" s="13" t="str">
        <f>VLOOKUP(J1527,'Data-ProjectTypes'!A$3:B$13,2,FALSE)</f>
        <v>Program</v>
      </c>
      <c r="L1527" s="11" t="s">
        <v>1259</v>
      </c>
      <c r="M1527" s="106" t="s">
        <v>2293</v>
      </c>
      <c r="N1527" s="84" t="s">
        <v>1422</v>
      </c>
      <c r="O1527" s="11"/>
      <c r="P1527" s="11"/>
      <c r="Q1527" s="107">
        <v>2.7</v>
      </c>
      <c r="R1527" s="23">
        <v>1287000</v>
      </c>
      <c r="S1527" s="11"/>
      <c r="T1527" s="11"/>
      <c r="U1527" s="11"/>
      <c r="V1527" s="11"/>
      <c r="W1527" s="11"/>
      <c r="X1527" s="11"/>
      <c r="Z1527" s="18">
        <f>ROUND(R1527*'Data-CostAssumptions'!$C$8,-3)</f>
        <v>1287000</v>
      </c>
      <c r="AA1527" s="11">
        <f t="shared" si="47"/>
        <v>0</v>
      </c>
      <c r="AB1527" s="11">
        <v>2041</v>
      </c>
      <c r="AC1527" s="11">
        <v>2041</v>
      </c>
      <c r="AD1527" s="11">
        <v>2041</v>
      </c>
      <c r="AE1527" s="11">
        <v>2041</v>
      </c>
      <c r="AF1527" s="11">
        <v>0</v>
      </c>
      <c r="AG1527" s="19">
        <f>ROUND((Z1527*'Data-CostAssumptions'!$G$5)*(1+'Data-CostAssumptions'!$G$3)^(AC1527-'Data-CostAssumptions'!$G$4),-3)</f>
        <v>726000</v>
      </c>
      <c r="AH1527" s="19">
        <f>ROUND((Z1527)*(1+'Data-CostAssumptions'!$G$3)^(AE1527-'Data-CostAssumptions'!$G$4),-3)</f>
        <v>3300000</v>
      </c>
    </row>
    <row r="1528" spans="1:34" ht="15" customHeight="1" x14ac:dyDescent="0.2">
      <c r="A1528" s="11"/>
      <c r="B1528" s="11" t="s">
        <v>1211</v>
      </c>
      <c r="C1528" s="11"/>
      <c r="D1528" s="84" t="s">
        <v>276</v>
      </c>
      <c r="E1528" s="14">
        <v>6</v>
      </c>
      <c r="F1528" s="14"/>
      <c r="G1528" s="20">
        <v>1531</v>
      </c>
      <c r="H1528" s="13" t="s">
        <v>1781</v>
      </c>
      <c r="I1528" s="13" t="str">
        <f t="shared" si="48"/>
        <v>Bayview Dr (SUNRISE Bl/SR 838 to OAKLAND PARK Bl/SR 816)</v>
      </c>
      <c r="J1528" s="11" t="s">
        <v>27</v>
      </c>
      <c r="K1528" s="13" t="str">
        <f>VLOOKUP(J1528,'Data-ProjectTypes'!A$3:B$13,2,FALSE)</f>
        <v>Program</v>
      </c>
      <c r="L1528" s="11" t="s">
        <v>1258</v>
      </c>
      <c r="M1528" s="106" t="s">
        <v>2305</v>
      </c>
      <c r="N1528" s="84" t="s">
        <v>2293</v>
      </c>
      <c r="O1528" s="11"/>
      <c r="P1528" s="11"/>
      <c r="Q1528" s="107">
        <v>2.2000000000000002</v>
      </c>
      <c r="R1528" s="23">
        <v>1017000</v>
      </c>
      <c r="S1528" s="11"/>
      <c r="T1528" s="11"/>
      <c r="U1528" s="11"/>
      <c r="V1528" s="11"/>
      <c r="W1528" s="11"/>
      <c r="X1528" s="38"/>
      <c r="Z1528" s="18">
        <f>ROUND(R1528*'Data-CostAssumptions'!$C$8,-3)</f>
        <v>1017000</v>
      </c>
      <c r="AA1528" s="11">
        <f t="shared" si="47"/>
        <v>0</v>
      </c>
      <c r="AB1528" s="11">
        <v>2041</v>
      </c>
      <c r="AC1528" s="11">
        <v>2041</v>
      </c>
      <c r="AD1528" s="11">
        <v>2041</v>
      </c>
      <c r="AE1528" s="11">
        <v>2041</v>
      </c>
      <c r="AF1528" s="11">
        <v>0</v>
      </c>
      <c r="AG1528" s="19">
        <f>ROUND((Z1528*'Data-CostAssumptions'!$G$5)*(1+'Data-CostAssumptions'!$G$3)^(AC1528-'Data-CostAssumptions'!$G$4),-3)</f>
        <v>574000</v>
      </c>
      <c r="AH1528" s="19">
        <f>ROUND((Z1528)*(1+'Data-CostAssumptions'!$G$3)^(AE1528-'Data-CostAssumptions'!$G$4),-3)</f>
        <v>2608000</v>
      </c>
    </row>
    <row r="1529" spans="1:34" ht="15" customHeight="1" x14ac:dyDescent="0.2">
      <c r="B1529" s="11" t="s">
        <v>1211</v>
      </c>
      <c r="D1529" s="84" t="s">
        <v>276</v>
      </c>
      <c r="E1529" s="104">
        <v>132</v>
      </c>
      <c r="G1529" s="20">
        <v>1532</v>
      </c>
      <c r="H1529" s="13" t="s">
        <v>1568</v>
      </c>
      <c r="I1529" s="13" t="str">
        <f t="shared" si="48"/>
        <v>CHANNEL SQUARE (CHANNEL SQUARE to CHANNEL SQUARE)</v>
      </c>
      <c r="J1529" s="12" t="s">
        <v>27</v>
      </c>
      <c r="K1529" s="13" t="str">
        <f>VLOOKUP(J1529,'Data-ProjectTypes'!A$3:B$13,2,FALSE)</f>
        <v>Program</v>
      </c>
      <c r="L1529" s="12" t="s">
        <v>1644</v>
      </c>
      <c r="M1529" s="105" t="s">
        <v>1568</v>
      </c>
      <c r="N1529" s="12" t="s">
        <v>1568</v>
      </c>
      <c r="Q1529" s="72">
        <v>0.1</v>
      </c>
      <c r="R1529" s="23">
        <v>4900100</v>
      </c>
      <c r="Z1529" s="18">
        <f>ROUND(R1529*'Data-CostAssumptions'!$C$8,-3)</f>
        <v>4900000</v>
      </c>
      <c r="AA1529" s="11">
        <f t="shared" si="47"/>
        <v>0</v>
      </c>
      <c r="AB1529" s="11">
        <v>2041</v>
      </c>
      <c r="AC1529" s="11">
        <v>2041</v>
      </c>
      <c r="AD1529" s="11">
        <v>2041</v>
      </c>
      <c r="AE1529" s="11">
        <v>2041</v>
      </c>
      <c r="AF1529" s="11">
        <v>0</v>
      </c>
      <c r="AG1529" s="19">
        <f>ROUND((Z1529*'Data-CostAssumptions'!$G$5)*(1+'Data-CostAssumptions'!$G$3)^(AC1529-'Data-CostAssumptions'!$G$4),-3)</f>
        <v>2764000</v>
      </c>
      <c r="AH1529" s="19">
        <f>ROUND((Z1529)*(1+'Data-CostAssumptions'!$G$3)^(AE1529-'Data-CostAssumptions'!$G$4),-3)</f>
        <v>12563000</v>
      </c>
    </row>
    <row r="1530" spans="1:34" ht="15" customHeight="1" x14ac:dyDescent="0.2">
      <c r="B1530" s="11" t="s">
        <v>1211</v>
      </c>
      <c r="D1530" s="84" t="s">
        <v>276</v>
      </c>
      <c r="E1530" s="104" t="s">
        <v>1459</v>
      </c>
      <c r="G1530" s="20">
        <v>1533</v>
      </c>
      <c r="H1530" s="13" t="s">
        <v>1562</v>
      </c>
      <c r="I1530" s="13" t="str">
        <f t="shared" si="48"/>
        <v>CITY-WIDE PREMIUM TRANSIT CORRIDOR PEDESTRIAN ACCOMMODATIONS (CITY-WIDE to CITY-WIDE)</v>
      </c>
      <c r="J1530" s="12" t="s">
        <v>27</v>
      </c>
      <c r="K1530" s="13" t="str">
        <f>VLOOKUP(J1530,'Data-ProjectTypes'!A$3:B$13,2,FALSE)</f>
        <v>Program</v>
      </c>
      <c r="L1530" s="12" t="s">
        <v>1620</v>
      </c>
      <c r="M1530" s="105" t="s">
        <v>1668</v>
      </c>
      <c r="N1530" s="12" t="s">
        <v>1668</v>
      </c>
      <c r="Q1530" s="72">
        <v>366</v>
      </c>
      <c r="R1530" s="23">
        <v>53205521</v>
      </c>
      <c r="Z1530" s="18">
        <f>ROUND(R1530*'Data-CostAssumptions'!$C$8,-3)</f>
        <v>53206000</v>
      </c>
      <c r="AA1530" s="11">
        <f t="shared" si="47"/>
        <v>0</v>
      </c>
      <c r="AB1530" s="11">
        <v>2041</v>
      </c>
      <c r="AC1530" s="11">
        <v>2041</v>
      </c>
      <c r="AD1530" s="11">
        <v>2041</v>
      </c>
      <c r="AE1530" s="11">
        <v>2041</v>
      </c>
      <c r="AF1530" s="11">
        <v>0</v>
      </c>
      <c r="AG1530" s="19">
        <f>ROUND((Z1530*'Data-CostAssumptions'!$G$5)*(1+'Data-CostAssumptions'!$G$3)^(AC1530-'Data-CostAssumptions'!$G$4),-3)</f>
        <v>30012000</v>
      </c>
      <c r="AH1530" s="19">
        <f>ROUND((Z1530)*(1+'Data-CostAssumptions'!$G$3)^(AE1530-'Data-CostAssumptions'!$G$4),-3)</f>
        <v>136417000</v>
      </c>
    </row>
    <row r="1531" spans="1:34" ht="15" customHeight="1" x14ac:dyDescent="0.2">
      <c r="B1531" s="11" t="s">
        <v>1211</v>
      </c>
      <c r="D1531" s="84" t="s">
        <v>276</v>
      </c>
      <c r="E1531" s="104" t="s">
        <v>1471</v>
      </c>
      <c r="G1531" s="20">
        <v>1534</v>
      </c>
      <c r="H1531" s="13" t="s">
        <v>1565</v>
      </c>
      <c r="I1531" s="13" t="str">
        <f t="shared" si="48"/>
        <v>CITY-WIDE SIDEWALKS, NON-PREMIUM TRANSIT CORRIDORS (CITY-WIDE to CITY-WIDE)</v>
      </c>
      <c r="J1531" s="12" t="s">
        <v>27</v>
      </c>
      <c r="K1531" s="13" t="str">
        <f>VLOOKUP(J1531,'Data-ProjectTypes'!A$3:B$13,2,FALSE)</f>
        <v>Program</v>
      </c>
      <c r="L1531" s="12" t="s">
        <v>1633</v>
      </c>
      <c r="M1531" s="105" t="s">
        <v>1668</v>
      </c>
      <c r="N1531" s="12" t="s">
        <v>1668</v>
      </c>
      <c r="Q1531" s="72">
        <v>218</v>
      </c>
      <c r="R1531" s="23">
        <v>31690718</v>
      </c>
      <c r="X1531" s="34"/>
      <c r="Z1531" s="18">
        <f>ROUND(R1531*'Data-CostAssumptions'!$C$8,-3)</f>
        <v>31691000</v>
      </c>
      <c r="AA1531" s="11">
        <f t="shared" si="47"/>
        <v>0</v>
      </c>
      <c r="AB1531" s="11">
        <v>2041</v>
      </c>
      <c r="AC1531" s="11">
        <v>2041</v>
      </c>
      <c r="AD1531" s="11">
        <v>2041</v>
      </c>
      <c r="AE1531" s="11">
        <v>2041</v>
      </c>
      <c r="AF1531" s="11">
        <v>0</v>
      </c>
      <c r="AG1531" s="19">
        <f>ROUND((Z1531*'Data-CostAssumptions'!$G$5)*(1+'Data-CostAssumptions'!$G$3)^(AC1531-'Data-CostAssumptions'!$G$4),-3)</f>
        <v>17876000</v>
      </c>
      <c r="AH1531" s="19">
        <f>ROUND((Z1531)*(1+'Data-CostAssumptions'!$G$3)^(AE1531-'Data-CostAssumptions'!$G$4),-3)</f>
        <v>81254000</v>
      </c>
    </row>
    <row r="1532" spans="1:34" ht="15" customHeight="1" x14ac:dyDescent="0.2">
      <c r="A1532" s="11"/>
      <c r="B1532" s="11" t="s">
        <v>1211</v>
      </c>
      <c r="C1532" s="11"/>
      <c r="D1532" s="84" t="s">
        <v>276</v>
      </c>
      <c r="E1532" s="14">
        <v>16</v>
      </c>
      <c r="F1532" s="14"/>
      <c r="G1532" s="20">
        <v>1535</v>
      </c>
      <c r="H1532" s="13" t="s">
        <v>1842</v>
      </c>
      <c r="I1532" s="13" t="str">
        <f t="shared" si="48"/>
        <v>Cypress Creek Rd (ANDREWS Av to SR 845/POWER-LINE RD)</v>
      </c>
      <c r="J1532" s="11" t="s">
        <v>27</v>
      </c>
      <c r="K1532" s="13" t="str">
        <f>VLOOKUP(J1532,'Data-ProjectTypes'!A$3:B$13,2,FALSE)</f>
        <v>Program</v>
      </c>
      <c r="L1532" s="11" t="s">
        <v>1263</v>
      </c>
      <c r="M1532" s="106" t="s">
        <v>2139</v>
      </c>
      <c r="N1532" s="84" t="s">
        <v>1428</v>
      </c>
      <c r="O1532" s="11"/>
      <c r="P1532" s="11"/>
      <c r="Q1532" s="107">
        <v>0.4</v>
      </c>
      <c r="R1532" s="23">
        <v>564300</v>
      </c>
      <c r="S1532" s="11"/>
      <c r="T1532" s="11"/>
      <c r="U1532" s="11"/>
      <c r="V1532" s="11"/>
      <c r="W1532" s="11"/>
      <c r="X1532" s="11"/>
      <c r="Z1532" s="18">
        <f>ROUND(R1532*'Data-CostAssumptions'!$C$8,-3)</f>
        <v>564000</v>
      </c>
      <c r="AA1532" s="11">
        <f t="shared" si="47"/>
        <v>0</v>
      </c>
      <c r="AB1532" s="11">
        <v>2041</v>
      </c>
      <c r="AC1532" s="11">
        <v>2041</v>
      </c>
      <c r="AD1532" s="11">
        <v>2041</v>
      </c>
      <c r="AE1532" s="11">
        <v>2041</v>
      </c>
      <c r="AF1532" s="11">
        <v>0</v>
      </c>
      <c r="AG1532" s="19">
        <f>ROUND((Z1532*'Data-CostAssumptions'!$G$5)*(1+'Data-CostAssumptions'!$G$3)^(AC1532-'Data-CostAssumptions'!$G$4),-3)</f>
        <v>318000</v>
      </c>
      <c r="AH1532" s="19">
        <f>ROUND((Z1532)*(1+'Data-CostAssumptions'!$G$3)^(AE1532-'Data-CostAssumptions'!$G$4),-3)</f>
        <v>1446000</v>
      </c>
    </row>
    <row r="1533" spans="1:34" ht="15" customHeight="1" x14ac:dyDescent="0.2">
      <c r="A1533" s="11"/>
      <c r="B1533" s="11" t="s">
        <v>1211</v>
      </c>
      <c r="C1533" s="11"/>
      <c r="D1533" s="84" t="s">
        <v>276</v>
      </c>
      <c r="E1533" s="14">
        <v>15</v>
      </c>
      <c r="F1533" s="14"/>
      <c r="G1533" s="20">
        <v>1536</v>
      </c>
      <c r="H1533" s="13" t="s">
        <v>1842</v>
      </c>
      <c r="I1533" s="13" t="str">
        <f t="shared" si="48"/>
        <v>Cypress Creek Rd (NE 18TH Av to NE 6TH Av)</v>
      </c>
      <c r="J1533" s="11" t="s">
        <v>27</v>
      </c>
      <c r="K1533" s="13" t="str">
        <f>VLOOKUP(J1533,'Data-ProjectTypes'!A$3:B$13,2,FALSE)</f>
        <v>Program</v>
      </c>
      <c r="L1533" s="11" t="s">
        <v>1274</v>
      </c>
      <c r="M1533" s="106" t="s">
        <v>2146</v>
      </c>
      <c r="N1533" s="84" t="s">
        <v>2606</v>
      </c>
      <c r="O1533" s="11"/>
      <c r="P1533" s="11"/>
      <c r="Q1533" s="107">
        <v>0.8</v>
      </c>
      <c r="R1533" s="23">
        <v>1153800</v>
      </c>
      <c r="S1533" s="11"/>
      <c r="T1533" s="11"/>
      <c r="U1533" s="11"/>
      <c r="V1533" s="11"/>
      <c r="W1533" s="11"/>
      <c r="X1533" s="11"/>
      <c r="Z1533" s="18">
        <f>ROUND(R1533*'Data-CostAssumptions'!$C$8,-3)</f>
        <v>1154000</v>
      </c>
      <c r="AA1533" s="11">
        <f t="shared" si="47"/>
        <v>0</v>
      </c>
      <c r="AB1533" s="11">
        <v>2041</v>
      </c>
      <c r="AC1533" s="11">
        <v>2041</v>
      </c>
      <c r="AD1533" s="11">
        <v>2041</v>
      </c>
      <c r="AE1533" s="11">
        <v>2041</v>
      </c>
      <c r="AF1533" s="11">
        <v>0</v>
      </c>
      <c r="AG1533" s="19">
        <f>ROUND((Z1533*'Data-CostAssumptions'!$G$5)*(1+'Data-CostAssumptions'!$G$3)^(AC1533-'Data-CostAssumptions'!$G$4),-3)</f>
        <v>651000</v>
      </c>
      <c r="AH1533" s="19">
        <f>ROUND((Z1533)*(1+'Data-CostAssumptions'!$G$3)^(AE1533-'Data-CostAssumptions'!$G$4),-3)</f>
        <v>2959000</v>
      </c>
    </row>
    <row r="1534" spans="1:34" ht="15" customHeight="1" x14ac:dyDescent="0.2">
      <c r="A1534" s="11"/>
      <c r="B1534" s="11" t="s">
        <v>1211</v>
      </c>
      <c r="C1534" s="11"/>
      <c r="D1534" s="84" t="s">
        <v>276</v>
      </c>
      <c r="E1534" s="14">
        <v>111</v>
      </c>
      <c r="F1534" s="14"/>
      <c r="G1534" s="20">
        <v>1537</v>
      </c>
      <c r="H1534" s="13" t="s">
        <v>1842</v>
      </c>
      <c r="I1534" s="13" t="str">
        <f t="shared" si="48"/>
        <v>Cypress Creek Rd (NW 21ST Av to TURNPIKE)</v>
      </c>
      <c r="J1534" s="11" t="s">
        <v>27</v>
      </c>
      <c r="K1534" s="13" t="str">
        <f>VLOOKUP(J1534,'Data-ProjectTypes'!A$3:B$13,2,FALSE)</f>
        <v>Program</v>
      </c>
      <c r="L1534" s="11" t="s">
        <v>1276</v>
      </c>
      <c r="M1534" s="106" t="s">
        <v>2164</v>
      </c>
      <c r="N1534" s="84" t="s">
        <v>1429</v>
      </c>
      <c r="O1534" s="11"/>
      <c r="P1534" s="11"/>
      <c r="Q1534" s="107">
        <v>1.8</v>
      </c>
      <c r="R1534" s="23">
        <v>1743300</v>
      </c>
      <c r="S1534" s="11"/>
      <c r="T1534" s="11"/>
      <c r="U1534" s="11"/>
      <c r="V1534" s="11"/>
      <c r="W1534" s="11"/>
      <c r="X1534" s="11"/>
      <c r="Z1534" s="18">
        <f>ROUND(R1534*'Data-CostAssumptions'!$C$8,-3)</f>
        <v>1743000</v>
      </c>
      <c r="AA1534" s="11">
        <f t="shared" si="47"/>
        <v>0</v>
      </c>
      <c r="AB1534" s="11">
        <v>2041</v>
      </c>
      <c r="AC1534" s="11">
        <v>2041</v>
      </c>
      <c r="AD1534" s="11">
        <v>2041</v>
      </c>
      <c r="AE1534" s="11">
        <v>2041</v>
      </c>
      <c r="AF1534" s="11">
        <v>0</v>
      </c>
      <c r="AG1534" s="19">
        <f>ROUND((Z1534*'Data-CostAssumptions'!$G$5)*(1+'Data-CostAssumptions'!$G$3)^(AC1534-'Data-CostAssumptions'!$G$4),-3)</f>
        <v>983000</v>
      </c>
      <c r="AH1534" s="19">
        <f>ROUND((Z1534)*(1+'Data-CostAssumptions'!$G$3)^(AE1534-'Data-CostAssumptions'!$G$4),-3)</f>
        <v>4469000</v>
      </c>
    </row>
    <row r="1535" spans="1:34" ht="15" customHeight="1" x14ac:dyDescent="0.2">
      <c r="A1535" s="11"/>
      <c r="B1535" s="11" t="s">
        <v>1211</v>
      </c>
      <c r="C1535" s="11"/>
      <c r="D1535" s="84" t="s">
        <v>276</v>
      </c>
      <c r="E1535" s="14">
        <v>17</v>
      </c>
      <c r="F1535" s="14"/>
      <c r="G1535" s="20">
        <v>1538</v>
      </c>
      <c r="H1535" s="13" t="s">
        <v>1842</v>
      </c>
      <c r="I1535" s="13" t="str">
        <f t="shared" si="48"/>
        <v>Cypress Creek Rd (SR 845/POWER-LINE RD to NW 21ST Av)</v>
      </c>
      <c r="J1535" s="11" t="s">
        <v>27</v>
      </c>
      <c r="K1535" s="13" t="str">
        <f>VLOOKUP(J1535,'Data-ProjectTypes'!A$3:B$13,2,FALSE)</f>
        <v>Program</v>
      </c>
      <c r="L1535" s="11" t="s">
        <v>1275</v>
      </c>
      <c r="M1535" s="106" t="s">
        <v>1428</v>
      </c>
      <c r="N1535" s="84" t="s">
        <v>2164</v>
      </c>
      <c r="O1535" s="11"/>
      <c r="P1535" s="11"/>
      <c r="Q1535" s="107">
        <v>1</v>
      </c>
      <c r="R1535" s="23">
        <v>901350</v>
      </c>
      <c r="S1535" s="11"/>
      <c r="T1535" s="11"/>
      <c r="U1535" s="11"/>
      <c r="V1535" s="11"/>
      <c r="W1535" s="11"/>
      <c r="X1535" s="11"/>
      <c r="Z1535" s="18">
        <f>ROUND(R1535*'Data-CostAssumptions'!$C$8,-3)</f>
        <v>901000</v>
      </c>
      <c r="AA1535" s="11">
        <f t="shared" ref="AA1535:AA1598" si="49">IF(V1535="",IF(W1535="",0,1),1)</f>
        <v>0</v>
      </c>
      <c r="AB1535" s="11">
        <v>2041</v>
      </c>
      <c r="AC1535" s="11">
        <v>2041</v>
      </c>
      <c r="AD1535" s="11">
        <v>2041</v>
      </c>
      <c r="AE1535" s="11">
        <v>2041</v>
      </c>
      <c r="AF1535" s="11">
        <v>0</v>
      </c>
      <c r="AG1535" s="19">
        <f>ROUND((Z1535*'Data-CostAssumptions'!$G$5)*(1+'Data-CostAssumptions'!$G$3)^(AC1535-'Data-CostAssumptions'!$G$4),-3)</f>
        <v>508000</v>
      </c>
      <c r="AH1535" s="19">
        <f>ROUND((Z1535)*(1+'Data-CostAssumptions'!$G$3)^(AE1535-'Data-CostAssumptions'!$G$4),-3)</f>
        <v>2310000</v>
      </c>
    </row>
    <row r="1536" spans="1:34" ht="15" customHeight="1" x14ac:dyDescent="0.2">
      <c r="A1536" s="11"/>
      <c r="B1536" s="11" t="s">
        <v>1211</v>
      </c>
      <c r="C1536" s="11"/>
      <c r="D1536" s="84" t="s">
        <v>276</v>
      </c>
      <c r="E1536" s="14">
        <v>14</v>
      </c>
      <c r="F1536" s="14"/>
      <c r="G1536" s="20">
        <v>1539</v>
      </c>
      <c r="H1536" s="13" t="s">
        <v>1842</v>
      </c>
      <c r="I1536" s="13" t="str">
        <f t="shared" si="48"/>
        <v>Cypress Creek Rd (US 1/SR 5 to NE 18TH Av)</v>
      </c>
      <c r="J1536" s="11" t="s">
        <v>27</v>
      </c>
      <c r="K1536" s="13" t="str">
        <f>VLOOKUP(J1536,'Data-ProjectTypes'!A$3:B$13,2,FALSE)</f>
        <v>Program</v>
      </c>
      <c r="L1536" s="11" t="s">
        <v>1272</v>
      </c>
      <c r="M1536" s="106" t="s">
        <v>1422</v>
      </c>
      <c r="N1536" s="84" t="s">
        <v>2146</v>
      </c>
      <c r="O1536" s="11"/>
      <c r="P1536" s="11"/>
      <c r="Q1536" s="107">
        <v>0.9</v>
      </c>
      <c r="R1536" s="23">
        <v>478000</v>
      </c>
      <c r="S1536" s="11"/>
      <c r="T1536" s="11"/>
      <c r="U1536" s="11"/>
      <c r="V1536" s="11"/>
      <c r="W1536" s="11"/>
      <c r="X1536" s="11"/>
      <c r="Z1536" s="18">
        <f>ROUND(R1536*'Data-CostAssumptions'!$C$8,-3)</f>
        <v>478000</v>
      </c>
      <c r="AA1536" s="11">
        <f t="shared" si="49"/>
        <v>0</v>
      </c>
      <c r="AB1536" s="11">
        <v>2041</v>
      </c>
      <c r="AC1536" s="11">
        <v>2041</v>
      </c>
      <c r="AD1536" s="11">
        <v>2041</v>
      </c>
      <c r="AE1536" s="11">
        <v>2041</v>
      </c>
      <c r="AF1536" s="11">
        <v>0</v>
      </c>
      <c r="AG1536" s="19">
        <f>ROUND((Z1536*'Data-CostAssumptions'!$G$5)*(1+'Data-CostAssumptions'!$G$3)^(AC1536-'Data-CostAssumptions'!$G$4),-3)</f>
        <v>270000</v>
      </c>
      <c r="AH1536" s="19">
        <f>ROUND((Z1536)*(1+'Data-CostAssumptions'!$G$3)^(AE1536-'Data-CostAssumptions'!$G$4),-3)</f>
        <v>1226000</v>
      </c>
    </row>
    <row r="1537" spans="2:34" ht="15" customHeight="1" x14ac:dyDescent="0.2">
      <c r="B1537" s="11" t="s">
        <v>1211</v>
      </c>
      <c r="D1537" s="84" t="s">
        <v>276</v>
      </c>
      <c r="E1537" s="104">
        <v>19</v>
      </c>
      <c r="G1537" s="20">
        <v>1540</v>
      </c>
      <c r="H1537" s="13" t="s">
        <v>1816</v>
      </c>
      <c r="I1537" s="13" t="str">
        <f t="shared" si="48"/>
        <v>Davie Bl (I-95 to SW 31ST Av)</v>
      </c>
      <c r="J1537" s="12" t="s">
        <v>27</v>
      </c>
      <c r="K1537" s="13" t="str">
        <f>VLOOKUP(J1537,'Data-ProjectTypes'!A$3:B$13,2,FALSE)</f>
        <v>Program</v>
      </c>
      <c r="L1537" s="12" t="s">
        <v>1281</v>
      </c>
      <c r="M1537" s="105" t="s">
        <v>41</v>
      </c>
      <c r="N1537" s="12" t="s">
        <v>2191</v>
      </c>
      <c r="Q1537" s="72">
        <v>1.1000000000000001</v>
      </c>
      <c r="R1537" s="23">
        <v>778000</v>
      </c>
      <c r="Z1537" s="18">
        <f>ROUND(R1537*'Data-CostAssumptions'!$C$8,-3)</f>
        <v>778000</v>
      </c>
      <c r="AA1537" s="11">
        <f t="shared" si="49"/>
        <v>0</v>
      </c>
      <c r="AB1537" s="11">
        <v>2041</v>
      </c>
      <c r="AC1537" s="11">
        <v>2041</v>
      </c>
      <c r="AD1537" s="11">
        <v>2041</v>
      </c>
      <c r="AE1537" s="11">
        <v>2041</v>
      </c>
      <c r="AF1537" s="11">
        <v>0</v>
      </c>
      <c r="AG1537" s="19">
        <f>ROUND((Z1537*'Data-CostAssumptions'!$G$5)*(1+'Data-CostAssumptions'!$G$3)^(AC1537-'Data-CostAssumptions'!$G$4),-3)</f>
        <v>439000</v>
      </c>
      <c r="AH1537" s="19">
        <f>ROUND((Z1537)*(1+'Data-CostAssumptions'!$G$3)^(AE1537-'Data-CostAssumptions'!$G$4),-3)</f>
        <v>1995000</v>
      </c>
    </row>
    <row r="1538" spans="2:34" ht="15" customHeight="1" x14ac:dyDescent="0.2">
      <c r="B1538" s="11" t="s">
        <v>1211</v>
      </c>
      <c r="D1538" s="84" t="s">
        <v>276</v>
      </c>
      <c r="E1538" s="104">
        <v>18</v>
      </c>
      <c r="G1538" s="20">
        <v>1541</v>
      </c>
      <c r="H1538" s="13" t="s">
        <v>1816</v>
      </c>
      <c r="I1538" s="13" t="str">
        <f t="shared" si="48"/>
        <v>Davie Bl (SW 31ST Av to US 441/SR 7)</v>
      </c>
      <c r="J1538" s="12" t="s">
        <v>27</v>
      </c>
      <c r="K1538" s="13" t="str">
        <f>VLOOKUP(J1538,'Data-ProjectTypes'!A$3:B$13,2,FALSE)</f>
        <v>Program</v>
      </c>
      <c r="L1538" s="12" t="s">
        <v>1283</v>
      </c>
      <c r="M1538" s="105" t="s">
        <v>2191</v>
      </c>
      <c r="N1538" s="12" t="s">
        <v>1430</v>
      </c>
      <c r="Q1538" s="72">
        <v>1</v>
      </c>
      <c r="R1538" s="23">
        <v>787000</v>
      </c>
      <c r="Z1538" s="18">
        <f>ROUND(R1538*'Data-CostAssumptions'!$C$8,-3)</f>
        <v>787000</v>
      </c>
      <c r="AA1538" s="11">
        <f t="shared" si="49"/>
        <v>0</v>
      </c>
      <c r="AB1538" s="11">
        <v>2041</v>
      </c>
      <c r="AC1538" s="11">
        <v>2041</v>
      </c>
      <c r="AD1538" s="11">
        <v>2041</v>
      </c>
      <c r="AE1538" s="11">
        <v>2041</v>
      </c>
      <c r="AF1538" s="11">
        <v>0</v>
      </c>
      <c r="AG1538" s="19">
        <f>ROUND((Z1538*'Data-CostAssumptions'!$G$5)*(1+'Data-CostAssumptions'!$G$3)^(AC1538-'Data-CostAssumptions'!$G$4),-3)</f>
        <v>444000</v>
      </c>
      <c r="AH1538" s="19">
        <f>ROUND((Z1538)*(1+'Data-CostAssumptions'!$G$3)^(AE1538-'Data-CostAssumptions'!$G$4),-3)</f>
        <v>2018000</v>
      </c>
    </row>
    <row r="1539" spans="2:34" ht="15" customHeight="1" x14ac:dyDescent="0.2">
      <c r="B1539" s="11" t="s">
        <v>1211</v>
      </c>
      <c r="D1539" s="84" t="s">
        <v>276</v>
      </c>
      <c r="E1539" s="104">
        <v>20</v>
      </c>
      <c r="G1539" s="20">
        <v>1542</v>
      </c>
      <c r="H1539" s="13" t="s">
        <v>1816</v>
      </c>
      <c r="I1539" s="13" t="str">
        <f t="shared" si="48"/>
        <v>Davie Bl (SW 4TH Av to I-95)</v>
      </c>
      <c r="J1539" s="12" t="s">
        <v>27</v>
      </c>
      <c r="K1539" s="13" t="str">
        <f>VLOOKUP(J1539,'Data-ProjectTypes'!A$3:B$13,2,FALSE)</f>
        <v>Program</v>
      </c>
      <c r="L1539" s="12" t="s">
        <v>1279</v>
      </c>
      <c r="M1539" s="105" t="s">
        <v>2194</v>
      </c>
      <c r="N1539" s="12" t="s">
        <v>41</v>
      </c>
      <c r="Q1539" s="72">
        <v>1.3</v>
      </c>
      <c r="R1539" s="23">
        <v>995000</v>
      </c>
      <c r="X1539" s="34"/>
      <c r="Z1539" s="18">
        <f>ROUND(R1539*'Data-CostAssumptions'!$C$8,-3)</f>
        <v>995000</v>
      </c>
      <c r="AA1539" s="11">
        <f t="shared" si="49"/>
        <v>0</v>
      </c>
      <c r="AB1539" s="11">
        <v>2041</v>
      </c>
      <c r="AC1539" s="11">
        <v>2041</v>
      </c>
      <c r="AD1539" s="11">
        <v>2041</v>
      </c>
      <c r="AE1539" s="11">
        <v>2041</v>
      </c>
      <c r="AF1539" s="11">
        <v>0</v>
      </c>
      <c r="AG1539" s="19">
        <f>ROUND((Z1539*'Data-CostAssumptions'!$G$5)*(1+'Data-CostAssumptions'!$G$3)^(AC1539-'Data-CostAssumptions'!$G$4),-3)</f>
        <v>561000</v>
      </c>
      <c r="AH1539" s="19">
        <f>ROUND((Z1539)*(1+'Data-CostAssumptions'!$G$3)^(AE1539-'Data-CostAssumptions'!$G$4),-3)</f>
        <v>2551000</v>
      </c>
    </row>
    <row r="1540" spans="2:34" ht="15" customHeight="1" x14ac:dyDescent="0.2">
      <c r="B1540" s="11" t="s">
        <v>1211</v>
      </c>
      <c r="D1540" s="84" t="s">
        <v>276</v>
      </c>
      <c r="E1540" s="104">
        <v>21</v>
      </c>
      <c r="G1540" s="20">
        <v>1543</v>
      </c>
      <c r="H1540" s="13" t="s">
        <v>1816</v>
      </c>
      <c r="I1540" s="13" t="str">
        <f t="shared" si="48"/>
        <v>Davie Bl (US 1/SR 5/FEDERAL HWY to SW 4TH Av)</v>
      </c>
      <c r="J1540" s="12" t="s">
        <v>27</v>
      </c>
      <c r="K1540" s="13" t="str">
        <f>VLOOKUP(J1540,'Data-ProjectTypes'!A$3:B$13,2,FALSE)</f>
        <v>Program</v>
      </c>
      <c r="L1540" s="12" t="s">
        <v>1277</v>
      </c>
      <c r="M1540" s="105" t="s">
        <v>1425</v>
      </c>
      <c r="N1540" s="12" t="s">
        <v>2194</v>
      </c>
      <c r="Q1540" s="72">
        <v>0.6</v>
      </c>
      <c r="R1540" s="23">
        <v>403000</v>
      </c>
      <c r="Z1540" s="18">
        <f>ROUND(R1540*'Data-CostAssumptions'!$C$8,-3)</f>
        <v>403000</v>
      </c>
      <c r="AA1540" s="11">
        <f t="shared" si="49"/>
        <v>0</v>
      </c>
      <c r="AB1540" s="11">
        <v>2041</v>
      </c>
      <c r="AC1540" s="11">
        <v>2041</v>
      </c>
      <c r="AD1540" s="11">
        <v>2041</v>
      </c>
      <c r="AE1540" s="11">
        <v>2041</v>
      </c>
      <c r="AF1540" s="11">
        <v>0</v>
      </c>
      <c r="AG1540" s="19">
        <f>ROUND((Z1540*'Data-CostAssumptions'!$G$5)*(1+'Data-CostAssumptions'!$G$3)^(AC1540-'Data-CostAssumptions'!$G$4),-3)</f>
        <v>227000</v>
      </c>
      <c r="AH1540" s="19">
        <f>ROUND((Z1540)*(1+'Data-CostAssumptions'!$G$3)^(AE1540-'Data-CostAssumptions'!$G$4),-3)</f>
        <v>1033000</v>
      </c>
    </row>
    <row r="1541" spans="2:34" ht="15" customHeight="1" x14ac:dyDescent="0.2">
      <c r="B1541" s="11" t="s">
        <v>1211</v>
      </c>
      <c r="D1541" s="84" t="s">
        <v>276</v>
      </c>
      <c r="E1541" s="104">
        <v>26</v>
      </c>
      <c r="G1541" s="20">
        <v>1544</v>
      </c>
      <c r="H1541" s="13" t="s">
        <v>1817</v>
      </c>
      <c r="I1541" s="13" t="str">
        <f t="shared" si="48"/>
        <v>Eisenhower Bl (SE 17TH ST to ELLER DR)</v>
      </c>
      <c r="J1541" s="12" t="s">
        <v>27</v>
      </c>
      <c r="K1541" s="13" t="str">
        <f>VLOOKUP(J1541,'Data-ProjectTypes'!A$3:B$13,2,FALSE)</f>
        <v>Program</v>
      </c>
      <c r="L1541" s="12" t="s">
        <v>1293</v>
      </c>
      <c r="M1541" s="105" t="s">
        <v>1245</v>
      </c>
      <c r="N1541" s="12" t="s">
        <v>1434</v>
      </c>
      <c r="Q1541" s="72">
        <v>2.4</v>
      </c>
      <c r="R1541" s="23">
        <v>1939000</v>
      </c>
      <c r="Z1541" s="18">
        <f>ROUND(R1541*'Data-CostAssumptions'!$C$8,-3)</f>
        <v>1939000</v>
      </c>
      <c r="AA1541" s="11">
        <f t="shared" si="49"/>
        <v>0</v>
      </c>
      <c r="AB1541" s="11">
        <v>2041</v>
      </c>
      <c r="AC1541" s="11">
        <v>2041</v>
      </c>
      <c r="AD1541" s="11">
        <v>2041</v>
      </c>
      <c r="AE1541" s="11">
        <v>2041</v>
      </c>
      <c r="AF1541" s="11">
        <v>0</v>
      </c>
      <c r="AG1541" s="19">
        <f>ROUND((Z1541*'Data-CostAssumptions'!$G$5)*(1+'Data-CostAssumptions'!$G$3)^(AC1541-'Data-CostAssumptions'!$G$4),-3)</f>
        <v>1094000</v>
      </c>
      <c r="AH1541" s="19">
        <f>ROUND((Z1541)*(1+'Data-CostAssumptions'!$G$3)^(AE1541-'Data-CostAssumptions'!$G$4),-3)</f>
        <v>4971000</v>
      </c>
    </row>
    <row r="1542" spans="2:34" ht="15" customHeight="1" x14ac:dyDescent="0.2">
      <c r="B1542" s="11" t="s">
        <v>1211</v>
      </c>
      <c r="D1542" s="84" t="s">
        <v>276</v>
      </c>
      <c r="E1542" s="104">
        <v>134</v>
      </c>
      <c r="G1542" s="20">
        <v>1545</v>
      </c>
      <c r="H1542" s="13" t="s">
        <v>1569</v>
      </c>
      <c r="I1542" s="13" t="str">
        <f t="shared" si="48"/>
        <v>FAT VILLAGE CORRIDOR IMPROVEMENTS (NW 6TH ST  to NW 5TH ST)</v>
      </c>
      <c r="J1542" s="12" t="s">
        <v>27</v>
      </c>
      <c r="K1542" s="13" t="str">
        <f>VLOOKUP(J1542,'Data-ProjectTypes'!A$3:B$13,2,FALSE)</f>
        <v>Program</v>
      </c>
      <c r="L1542" s="12" t="s">
        <v>1646</v>
      </c>
      <c r="M1542" s="105" t="s">
        <v>1679</v>
      </c>
      <c r="N1542" s="12" t="s">
        <v>1602</v>
      </c>
      <c r="Q1542" s="72">
        <v>0.2</v>
      </c>
      <c r="R1542" s="23">
        <v>540000</v>
      </c>
      <c r="Z1542" s="18">
        <f>ROUND(R1542*'Data-CostAssumptions'!$C$8,-3)</f>
        <v>540000</v>
      </c>
      <c r="AA1542" s="11">
        <f t="shared" si="49"/>
        <v>0</v>
      </c>
      <c r="AB1542" s="11">
        <v>2041</v>
      </c>
      <c r="AC1542" s="11">
        <v>2041</v>
      </c>
      <c r="AD1542" s="11">
        <v>2041</v>
      </c>
      <c r="AE1542" s="11">
        <v>2041</v>
      </c>
      <c r="AF1542" s="11">
        <v>0</v>
      </c>
      <c r="AG1542" s="19">
        <f>ROUND((Z1542*'Data-CostAssumptions'!$G$5)*(1+'Data-CostAssumptions'!$G$3)^(AC1542-'Data-CostAssumptions'!$G$4),-3)</f>
        <v>305000</v>
      </c>
      <c r="AH1542" s="19">
        <f>ROUND((Z1542)*(1+'Data-CostAssumptions'!$G$3)^(AE1542-'Data-CostAssumptions'!$G$4),-3)</f>
        <v>1385000</v>
      </c>
    </row>
    <row r="1543" spans="2:34" ht="15" customHeight="1" x14ac:dyDescent="0.2">
      <c r="B1543" s="11" t="s">
        <v>1211</v>
      </c>
      <c r="D1543" s="84" t="s">
        <v>276</v>
      </c>
      <c r="E1543" s="104">
        <v>27</v>
      </c>
      <c r="G1543" s="20">
        <v>1546</v>
      </c>
      <c r="H1543" s="13" t="s">
        <v>1847</v>
      </c>
      <c r="I1543" s="13" t="str">
        <f t="shared" si="48"/>
        <v>Floranada Rd (SR 811/OLD DIXIE HWY to US 1/SR 5)</v>
      </c>
      <c r="J1543" s="12" t="s">
        <v>27</v>
      </c>
      <c r="K1543" s="13" t="str">
        <f>VLOOKUP(J1543,'Data-ProjectTypes'!A$3:B$13,2,FALSE)</f>
        <v>Program</v>
      </c>
      <c r="L1543" s="12" t="s">
        <v>1295</v>
      </c>
      <c r="M1543" s="105" t="s">
        <v>2850</v>
      </c>
      <c r="N1543" s="12" t="s">
        <v>1422</v>
      </c>
      <c r="Q1543" s="72">
        <v>1</v>
      </c>
      <c r="R1543" s="23">
        <v>1010000</v>
      </c>
      <c r="Z1543" s="18">
        <f>ROUND(R1543*'Data-CostAssumptions'!$C$8,-3)</f>
        <v>1010000</v>
      </c>
      <c r="AA1543" s="11">
        <f t="shared" si="49"/>
        <v>0</v>
      </c>
      <c r="AB1543" s="11">
        <v>2041</v>
      </c>
      <c r="AC1543" s="11">
        <v>2041</v>
      </c>
      <c r="AD1543" s="11">
        <v>2041</v>
      </c>
      <c r="AE1543" s="11">
        <v>2041</v>
      </c>
      <c r="AF1543" s="11">
        <v>0</v>
      </c>
      <c r="AG1543" s="19">
        <f>ROUND((Z1543*'Data-CostAssumptions'!$G$5)*(1+'Data-CostAssumptions'!$G$3)^(AC1543-'Data-CostAssumptions'!$G$4),-3)</f>
        <v>570000</v>
      </c>
      <c r="AH1543" s="19">
        <f>ROUND((Z1543)*(1+'Data-CostAssumptions'!$G$3)^(AE1543-'Data-CostAssumptions'!$G$4),-3)</f>
        <v>2590000</v>
      </c>
    </row>
    <row r="1544" spans="2:34" ht="15" customHeight="1" x14ac:dyDescent="0.2">
      <c r="B1544" s="11" t="s">
        <v>1211</v>
      </c>
      <c r="D1544" s="84" t="s">
        <v>276</v>
      </c>
      <c r="E1544" s="104">
        <v>24</v>
      </c>
      <c r="G1544" s="20">
        <v>1547</v>
      </c>
      <c r="H1544" s="13" t="s">
        <v>1823</v>
      </c>
      <c r="I1544" s="13" t="str">
        <f t="shared" si="48"/>
        <v>Las Olas Bl (SE 15TH Av to US 1/SR 5/FEDERAL HWY)</v>
      </c>
      <c r="J1544" s="12" t="s">
        <v>27</v>
      </c>
      <c r="K1544" s="13" t="str">
        <f>VLOOKUP(J1544,'Data-ProjectTypes'!A$3:B$13,2,FALSE)</f>
        <v>Program</v>
      </c>
      <c r="L1544" s="12" t="s">
        <v>1289</v>
      </c>
      <c r="M1544" s="105" t="s">
        <v>2607</v>
      </c>
      <c r="N1544" s="12" t="s">
        <v>1425</v>
      </c>
      <c r="Q1544" s="72">
        <v>0.5</v>
      </c>
      <c r="R1544" s="23">
        <v>419400</v>
      </c>
      <c r="Z1544" s="18">
        <f>ROUND(R1544*'Data-CostAssumptions'!$C$8,-3)</f>
        <v>419000</v>
      </c>
      <c r="AA1544" s="11">
        <f t="shared" si="49"/>
        <v>0</v>
      </c>
      <c r="AB1544" s="11">
        <v>2041</v>
      </c>
      <c r="AC1544" s="11">
        <v>2041</v>
      </c>
      <c r="AD1544" s="11">
        <v>2041</v>
      </c>
      <c r="AE1544" s="11">
        <v>2041</v>
      </c>
      <c r="AF1544" s="11">
        <v>0</v>
      </c>
      <c r="AG1544" s="19">
        <f>ROUND((Z1544*'Data-CostAssumptions'!$G$5)*(1+'Data-CostAssumptions'!$G$3)^(AC1544-'Data-CostAssumptions'!$G$4),-3)</f>
        <v>236000</v>
      </c>
      <c r="AH1544" s="19">
        <f>ROUND((Z1544)*(1+'Data-CostAssumptions'!$G$3)^(AE1544-'Data-CostAssumptions'!$G$4),-3)</f>
        <v>1074000</v>
      </c>
    </row>
    <row r="1545" spans="2:34" ht="15" customHeight="1" x14ac:dyDescent="0.2">
      <c r="B1545" s="11" t="s">
        <v>1211</v>
      </c>
      <c r="D1545" s="84" t="s">
        <v>276</v>
      </c>
      <c r="E1545" s="104">
        <v>125</v>
      </c>
      <c r="G1545" s="20">
        <v>1548</v>
      </c>
      <c r="H1545" s="13" t="s">
        <v>1823</v>
      </c>
      <c r="I1545" s="13" t="str">
        <f t="shared" si="48"/>
        <v>Las Olas Bl (SR 5/US 1 to SR 5/US 1)</v>
      </c>
      <c r="J1545" s="12" t="s">
        <v>27</v>
      </c>
      <c r="K1545" s="13" t="str">
        <f>VLOOKUP(J1545,'Data-ProjectTypes'!A$3:B$13,2,FALSE)</f>
        <v>Program</v>
      </c>
      <c r="L1545" s="12" t="s">
        <v>1639</v>
      </c>
      <c r="M1545" s="105" t="s">
        <v>1424</v>
      </c>
      <c r="N1545" s="12" t="s">
        <v>1424</v>
      </c>
      <c r="Q1545" s="72">
        <v>0.02</v>
      </c>
      <c r="R1545" s="23">
        <v>1638000</v>
      </c>
      <c r="Z1545" s="18">
        <f>ROUND(R1545*'Data-CostAssumptions'!$C$8,-3)</f>
        <v>1638000</v>
      </c>
      <c r="AA1545" s="11">
        <f t="shared" si="49"/>
        <v>0</v>
      </c>
      <c r="AB1545" s="11">
        <v>2041</v>
      </c>
      <c r="AC1545" s="11">
        <v>2041</v>
      </c>
      <c r="AD1545" s="11">
        <v>2041</v>
      </c>
      <c r="AE1545" s="11">
        <v>2041</v>
      </c>
      <c r="AF1545" s="11">
        <v>0</v>
      </c>
      <c r="AG1545" s="19">
        <f>ROUND((Z1545*'Data-CostAssumptions'!$G$5)*(1+'Data-CostAssumptions'!$G$3)^(AC1545-'Data-CostAssumptions'!$G$4),-3)</f>
        <v>924000</v>
      </c>
      <c r="AH1545" s="19">
        <f>ROUND((Z1545)*(1+'Data-CostAssumptions'!$G$3)^(AE1545-'Data-CostAssumptions'!$G$4),-3)</f>
        <v>4200000</v>
      </c>
    </row>
    <row r="1546" spans="2:34" ht="15" customHeight="1" x14ac:dyDescent="0.2">
      <c r="B1546" s="11" t="s">
        <v>1211</v>
      </c>
      <c r="D1546" s="84" t="s">
        <v>276</v>
      </c>
      <c r="E1546" s="104">
        <v>25</v>
      </c>
      <c r="G1546" s="20">
        <v>1549</v>
      </c>
      <c r="H1546" s="13" t="s">
        <v>1823</v>
      </c>
      <c r="I1546" s="13" t="str">
        <f t="shared" si="48"/>
        <v>Las Olas Bl (SR A1A NB to SE 15TH Av)</v>
      </c>
      <c r="J1546" s="12" t="s">
        <v>27</v>
      </c>
      <c r="K1546" s="13" t="str">
        <f>VLOOKUP(J1546,'Data-ProjectTypes'!A$3:B$13,2,FALSE)</f>
        <v>Program</v>
      </c>
      <c r="L1546" s="12" t="s">
        <v>1287</v>
      </c>
      <c r="M1546" s="105" t="s">
        <v>1433</v>
      </c>
      <c r="N1546" s="12" t="s">
        <v>2607</v>
      </c>
      <c r="Q1546" s="72">
        <v>1.5</v>
      </c>
      <c r="R1546" s="23">
        <v>835000</v>
      </c>
      <c r="Z1546" s="18">
        <f>ROUND(R1546*'Data-CostAssumptions'!$C$8,-3)</f>
        <v>835000</v>
      </c>
      <c r="AA1546" s="11">
        <f t="shared" si="49"/>
        <v>0</v>
      </c>
      <c r="AB1546" s="11">
        <v>2041</v>
      </c>
      <c r="AC1546" s="11">
        <v>2041</v>
      </c>
      <c r="AD1546" s="11">
        <v>2041</v>
      </c>
      <c r="AE1546" s="11">
        <v>2041</v>
      </c>
      <c r="AF1546" s="11">
        <v>0</v>
      </c>
      <c r="AG1546" s="19">
        <f>ROUND((Z1546*'Data-CostAssumptions'!$G$5)*(1+'Data-CostAssumptions'!$G$3)^(AC1546-'Data-CostAssumptions'!$G$4),-3)</f>
        <v>471000</v>
      </c>
      <c r="AH1546" s="19">
        <f>ROUND((Z1546)*(1+'Data-CostAssumptions'!$G$3)^(AE1546-'Data-CostAssumptions'!$G$4),-3)</f>
        <v>2141000</v>
      </c>
    </row>
    <row r="1547" spans="2:34" ht="15" customHeight="1" x14ac:dyDescent="0.2">
      <c r="B1547" s="11" t="s">
        <v>1211</v>
      </c>
      <c r="D1547" s="84" t="s">
        <v>276</v>
      </c>
      <c r="E1547" s="104">
        <v>23</v>
      </c>
      <c r="G1547" s="20">
        <v>1550</v>
      </c>
      <c r="H1547" s="13" t="s">
        <v>1823</v>
      </c>
      <c r="I1547" s="13" t="str">
        <f t="shared" si="48"/>
        <v>Las Olas Bl (US 1/SR 5/FEDERAL HWY to SW 1ST Av)</v>
      </c>
      <c r="J1547" s="12" t="s">
        <v>27</v>
      </c>
      <c r="K1547" s="13" t="str">
        <f>VLOOKUP(J1547,'Data-ProjectTypes'!A$3:B$13,2,FALSE)</f>
        <v>Program</v>
      </c>
      <c r="L1547" s="12" t="s">
        <v>1291</v>
      </c>
      <c r="M1547" s="105" t="s">
        <v>1425</v>
      </c>
      <c r="N1547" s="12" t="s">
        <v>2187</v>
      </c>
      <c r="Q1547" s="72">
        <v>0.3</v>
      </c>
      <c r="R1547" s="23">
        <v>216000</v>
      </c>
      <c r="Z1547" s="18">
        <f>ROUND(R1547*'Data-CostAssumptions'!$C$8,-3)</f>
        <v>216000</v>
      </c>
      <c r="AA1547" s="11">
        <f t="shared" si="49"/>
        <v>0</v>
      </c>
      <c r="AB1547" s="11">
        <v>2041</v>
      </c>
      <c r="AC1547" s="11">
        <v>2041</v>
      </c>
      <c r="AD1547" s="11">
        <v>2041</v>
      </c>
      <c r="AE1547" s="11">
        <v>2041</v>
      </c>
      <c r="AF1547" s="11">
        <v>0</v>
      </c>
      <c r="AG1547" s="19">
        <f>ROUND((Z1547*'Data-CostAssumptions'!$G$5)*(1+'Data-CostAssumptions'!$G$3)^(AC1547-'Data-CostAssumptions'!$G$4),-3)</f>
        <v>122000</v>
      </c>
      <c r="AH1547" s="19">
        <f>ROUND((Z1547)*(1+'Data-CostAssumptions'!$G$3)^(AE1547-'Data-CostAssumptions'!$G$4),-3)</f>
        <v>554000</v>
      </c>
    </row>
    <row r="1548" spans="2:34" ht="15" customHeight="1" x14ac:dyDescent="0.2">
      <c r="B1548" s="11" t="s">
        <v>1211</v>
      </c>
      <c r="D1548" s="84" t="s">
        <v>276</v>
      </c>
      <c r="E1548" s="104">
        <v>135</v>
      </c>
      <c r="G1548" s="20">
        <v>1551</v>
      </c>
      <c r="H1548" s="13" t="s">
        <v>2863</v>
      </c>
      <c r="I1548" s="13" t="str">
        <f t="shared" si="48"/>
        <v>Las Olas Bl Safety Project (SE 15TH Av to ANDREWS Av)</v>
      </c>
      <c r="J1548" s="12" t="s">
        <v>27</v>
      </c>
      <c r="K1548" s="13" t="str">
        <f>VLOOKUP(J1548,'Data-ProjectTypes'!A$3:B$13,2,FALSE)</f>
        <v>Program</v>
      </c>
      <c r="L1548" s="12" t="s">
        <v>1647</v>
      </c>
      <c r="M1548" s="105" t="s">
        <v>2607</v>
      </c>
      <c r="N1548" s="12" t="s">
        <v>2139</v>
      </c>
      <c r="Q1548" s="72">
        <v>0.9</v>
      </c>
      <c r="R1548" s="23">
        <v>3341282</v>
      </c>
      <c r="Z1548" s="18">
        <f>ROUND(R1548*'Data-CostAssumptions'!$C$8,-3)</f>
        <v>3341000</v>
      </c>
      <c r="AA1548" s="11">
        <f t="shared" si="49"/>
        <v>0</v>
      </c>
      <c r="AB1548" s="11">
        <v>2041</v>
      </c>
      <c r="AC1548" s="11">
        <v>2041</v>
      </c>
      <c r="AD1548" s="11">
        <v>2041</v>
      </c>
      <c r="AE1548" s="11">
        <v>2041</v>
      </c>
      <c r="AF1548" s="11">
        <v>0</v>
      </c>
      <c r="AG1548" s="19">
        <f>ROUND((Z1548*'Data-CostAssumptions'!$G$5)*(1+'Data-CostAssumptions'!$G$3)^(AC1548-'Data-CostAssumptions'!$G$4),-3)</f>
        <v>1885000</v>
      </c>
      <c r="AH1548" s="19">
        <f>ROUND((Z1548)*(1+'Data-CostAssumptions'!$G$3)^(AE1548-'Data-CostAssumptions'!$G$4),-3)</f>
        <v>8566000</v>
      </c>
    </row>
    <row r="1549" spans="2:34" ht="15" customHeight="1" x14ac:dyDescent="0.2">
      <c r="B1549" s="11" t="s">
        <v>1211</v>
      </c>
      <c r="D1549" s="84" t="s">
        <v>276</v>
      </c>
      <c r="E1549" s="104">
        <v>131</v>
      </c>
      <c r="G1549" s="20">
        <v>1552</v>
      </c>
      <c r="H1549" s="13" t="s">
        <v>1567</v>
      </c>
      <c r="I1549" s="13" t="str">
        <f t="shared" ref="I1549:I1580" si="50">IF(M1549="@",H1549&amp;" ("&amp;M1549&amp;"  "&amp;N1549&amp;")",H1549&amp;" ("&amp;M1549&amp;" to "&amp;N1549&amp;")")</f>
        <v>LAS OLAS INTRACOASTAL PROMENADE (BIRCH RD to LAS OLAS CIRCLE)</v>
      </c>
      <c r="J1549" s="12" t="s">
        <v>27</v>
      </c>
      <c r="K1549" s="13" t="str">
        <f>VLOOKUP(J1549,'Data-ProjectTypes'!A$3:B$13,2,FALSE)</f>
        <v>Program</v>
      </c>
      <c r="L1549" s="12" t="s">
        <v>1643</v>
      </c>
      <c r="M1549" s="105" t="s">
        <v>1677</v>
      </c>
      <c r="N1549" s="12" t="s">
        <v>1676</v>
      </c>
      <c r="Q1549" s="72">
        <v>0.4</v>
      </c>
      <c r="R1549" s="23">
        <v>7280000</v>
      </c>
      <c r="Z1549" s="18">
        <f>ROUND(R1549*'Data-CostAssumptions'!$C$8,-3)</f>
        <v>7280000</v>
      </c>
      <c r="AA1549" s="11">
        <f t="shared" si="49"/>
        <v>0</v>
      </c>
      <c r="AB1549" s="11">
        <v>2041</v>
      </c>
      <c r="AC1549" s="11">
        <v>2041</v>
      </c>
      <c r="AD1549" s="11">
        <v>2041</v>
      </c>
      <c r="AE1549" s="11">
        <v>2041</v>
      </c>
      <c r="AF1549" s="11">
        <v>0</v>
      </c>
      <c r="AG1549" s="19">
        <f>ROUND((Z1549*'Data-CostAssumptions'!$G$5)*(1+'Data-CostAssumptions'!$G$3)^(AC1549-'Data-CostAssumptions'!$G$4),-3)</f>
        <v>4106000</v>
      </c>
      <c r="AH1549" s="19">
        <f>ROUND((Z1549)*(1+'Data-CostAssumptions'!$G$3)^(AE1549-'Data-CostAssumptions'!$G$4),-3)</f>
        <v>18666000</v>
      </c>
    </row>
    <row r="1550" spans="2:34" ht="15" customHeight="1" x14ac:dyDescent="0.2">
      <c r="B1550" s="11" t="s">
        <v>1211</v>
      </c>
      <c r="D1550" s="84" t="s">
        <v>276</v>
      </c>
      <c r="E1550" s="104">
        <v>30</v>
      </c>
      <c r="G1550" s="20">
        <v>1553</v>
      </c>
      <c r="H1550" s="13" t="s">
        <v>1854</v>
      </c>
      <c r="I1550" s="13" t="str">
        <f t="shared" si="50"/>
        <v>McNab Rd (NW 31ST Av to NE 69TH ST)</v>
      </c>
      <c r="J1550" s="12" t="s">
        <v>27</v>
      </c>
      <c r="K1550" s="13" t="str">
        <f>VLOOKUP(J1550,'Data-ProjectTypes'!A$3:B$13,2,FALSE)</f>
        <v>Program</v>
      </c>
      <c r="L1550" s="12" t="s">
        <v>1298</v>
      </c>
      <c r="M1550" s="105" t="s">
        <v>2167</v>
      </c>
      <c r="N1550" s="12" t="s">
        <v>1435</v>
      </c>
      <c r="Q1550" s="72">
        <v>2.5</v>
      </c>
      <c r="R1550" s="23">
        <v>2852600</v>
      </c>
      <c r="Z1550" s="18">
        <f>ROUND(R1550*'Data-CostAssumptions'!$C$8,-3)</f>
        <v>2853000</v>
      </c>
      <c r="AA1550" s="11">
        <f t="shared" si="49"/>
        <v>0</v>
      </c>
      <c r="AB1550" s="11">
        <v>2041</v>
      </c>
      <c r="AC1550" s="11">
        <v>2041</v>
      </c>
      <c r="AD1550" s="11">
        <v>2041</v>
      </c>
      <c r="AE1550" s="11">
        <v>2041</v>
      </c>
      <c r="AF1550" s="11">
        <v>0</v>
      </c>
      <c r="AG1550" s="19">
        <f>ROUND((Z1550*'Data-CostAssumptions'!$G$5)*(1+'Data-CostAssumptions'!$G$3)^(AC1550-'Data-CostAssumptions'!$G$4),-3)</f>
        <v>1609000</v>
      </c>
      <c r="AH1550" s="19">
        <f>ROUND((Z1550)*(1+'Data-CostAssumptions'!$G$3)^(AE1550-'Data-CostAssumptions'!$G$4),-3)</f>
        <v>7315000</v>
      </c>
    </row>
    <row r="1551" spans="2:34" ht="15" customHeight="1" x14ac:dyDescent="0.2">
      <c r="B1551" s="11" t="s">
        <v>1211</v>
      </c>
      <c r="D1551" s="84" t="s">
        <v>276</v>
      </c>
      <c r="E1551" s="104">
        <v>31</v>
      </c>
      <c r="G1551" s="20">
        <v>1554</v>
      </c>
      <c r="H1551" s="13" t="s">
        <v>2451</v>
      </c>
      <c r="I1551" s="13" t="str">
        <f t="shared" si="50"/>
        <v>Miami Rd (SE 17TH ST to SE 12TH ST)</v>
      </c>
      <c r="J1551" s="12" t="s">
        <v>27</v>
      </c>
      <c r="K1551" s="13" t="str">
        <f>VLOOKUP(J1551,'Data-ProjectTypes'!A$3:B$13,2,FALSE)</f>
        <v>Program</v>
      </c>
      <c r="L1551" s="12" t="s">
        <v>1295</v>
      </c>
      <c r="M1551" s="105" t="s">
        <v>1245</v>
      </c>
      <c r="N1551" s="12" t="s">
        <v>1436</v>
      </c>
      <c r="Q1551" s="72">
        <v>0.5</v>
      </c>
      <c r="R1551" s="23">
        <v>365000</v>
      </c>
      <c r="Z1551" s="18">
        <f>ROUND(R1551*'Data-CostAssumptions'!$C$8,-3)</f>
        <v>365000</v>
      </c>
      <c r="AA1551" s="11">
        <f t="shared" si="49"/>
        <v>0</v>
      </c>
      <c r="AB1551" s="11">
        <v>2041</v>
      </c>
      <c r="AC1551" s="11">
        <v>2041</v>
      </c>
      <c r="AD1551" s="11">
        <v>2041</v>
      </c>
      <c r="AE1551" s="11">
        <v>2041</v>
      </c>
      <c r="AF1551" s="11">
        <v>0</v>
      </c>
      <c r="AG1551" s="19">
        <f>ROUND((Z1551*'Data-CostAssumptions'!$G$5)*(1+'Data-CostAssumptions'!$G$3)^(AC1551-'Data-CostAssumptions'!$G$4),-3)</f>
        <v>206000</v>
      </c>
      <c r="AH1551" s="19">
        <f>ROUND((Z1551)*(1+'Data-CostAssumptions'!$G$3)^(AE1551-'Data-CostAssumptions'!$G$4),-3)</f>
        <v>936000</v>
      </c>
    </row>
    <row r="1552" spans="2:34" ht="15" customHeight="1" x14ac:dyDescent="0.2">
      <c r="B1552" s="11" t="s">
        <v>1211</v>
      </c>
      <c r="D1552" s="84" t="s">
        <v>276</v>
      </c>
      <c r="E1552" s="104">
        <v>32</v>
      </c>
      <c r="G1552" s="20">
        <v>1555</v>
      </c>
      <c r="H1552" s="13" t="s">
        <v>2451</v>
      </c>
      <c r="I1552" s="13" t="str">
        <f t="shared" si="50"/>
        <v>Miami Rd (SE 24TH ST/SR 84 to SE 17TH ST)</v>
      </c>
      <c r="J1552" s="12" t="s">
        <v>27</v>
      </c>
      <c r="K1552" s="13" t="str">
        <f>VLOOKUP(J1552,'Data-ProjectTypes'!A$3:B$13,2,FALSE)</f>
        <v>Program</v>
      </c>
      <c r="L1552" s="12" t="s">
        <v>1295</v>
      </c>
      <c r="M1552" s="105" t="s">
        <v>1437</v>
      </c>
      <c r="N1552" s="12" t="s">
        <v>1245</v>
      </c>
      <c r="Q1552" s="72">
        <v>0.5</v>
      </c>
      <c r="R1552" s="23">
        <v>353000</v>
      </c>
      <c r="Z1552" s="18">
        <f>ROUND(R1552*'Data-CostAssumptions'!$C$8,-3)</f>
        <v>353000</v>
      </c>
      <c r="AA1552" s="11">
        <f t="shared" si="49"/>
        <v>0</v>
      </c>
      <c r="AB1552" s="11">
        <v>2041</v>
      </c>
      <c r="AC1552" s="11">
        <v>2041</v>
      </c>
      <c r="AD1552" s="11">
        <v>2041</v>
      </c>
      <c r="AE1552" s="11">
        <v>2041</v>
      </c>
      <c r="AF1552" s="11">
        <v>0</v>
      </c>
      <c r="AG1552" s="19">
        <f>ROUND((Z1552*'Data-CostAssumptions'!$G$5)*(1+'Data-CostAssumptions'!$G$3)^(AC1552-'Data-CostAssumptions'!$G$4),-3)</f>
        <v>199000</v>
      </c>
      <c r="AH1552" s="19">
        <f>ROUND((Z1552)*(1+'Data-CostAssumptions'!$G$3)^(AE1552-'Data-CostAssumptions'!$G$4),-3)</f>
        <v>905000</v>
      </c>
    </row>
    <row r="1553" spans="2:34" ht="15" customHeight="1" x14ac:dyDescent="0.2">
      <c r="B1553" s="11" t="s">
        <v>1211</v>
      </c>
      <c r="D1553" s="84" t="s">
        <v>276</v>
      </c>
      <c r="E1553" s="104">
        <v>94</v>
      </c>
      <c r="G1553" s="20">
        <v>1556</v>
      </c>
      <c r="H1553" s="13" t="s">
        <v>2646</v>
      </c>
      <c r="I1553" s="13" t="str">
        <f t="shared" si="50"/>
        <v>Middle River Dr (OAKLAND PARK Bl/SR 816 to BAYVIEW DR)</v>
      </c>
      <c r="J1553" s="12" t="s">
        <v>27</v>
      </c>
      <c r="K1553" s="13" t="str">
        <f>VLOOKUP(J1553,'Data-ProjectTypes'!A$3:B$13,2,FALSE)</f>
        <v>Program</v>
      </c>
      <c r="L1553" s="12" t="s">
        <v>1300</v>
      </c>
      <c r="M1553" s="105" t="s">
        <v>2293</v>
      </c>
      <c r="N1553" s="12" t="s">
        <v>1224</v>
      </c>
      <c r="Q1553" s="72">
        <v>2</v>
      </c>
      <c r="R1553" s="23">
        <v>580000</v>
      </c>
      <c r="Z1553" s="18">
        <f>ROUND(R1553*'Data-CostAssumptions'!$C$8,-3)</f>
        <v>580000</v>
      </c>
      <c r="AA1553" s="11">
        <f t="shared" si="49"/>
        <v>0</v>
      </c>
      <c r="AB1553" s="11">
        <v>2041</v>
      </c>
      <c r="AC1553" s="11">
        <v>2041</v>
      </c>
      <c r="AD1553" s="11">
        <v>2041</v>
      </c>
      <c r="AE1553" s="11">
        <v>2041</v>
      </c>
      <c r="AF1553" s="11">
        <v>0</v>
      </c>
      <c r="AG1553" s="19">
        <f>ROUND((Z1553*'Data-CostAssumptions'!$G$5)*(1+'Data-CostAssumptions'!$G$3)^(AC1553-'Data-CostAssumptions'!$G$4),-3)</f>
        <v>327000</v>
      </c>
      <c r="AH1553" s="19">
        <f>ROUND((Z1553)*(1+'Data-CostAssumptions'!$G$3)^(AE1553-'Data-CostAssumptions'!$G$4),-3)</f>
        <v>1487000</v>
      </c>
    </row>
    <row r="1554" spans="2:34" ht="15" customHeight="1" x14ac:dyDescent="0.2">
      <c r="B1554" s="11" t="s">
        <v>1211</v>
      </c>
      <c r="D1554" s="84" t="s">
        <v>276</v>
      </c>
      <c r="E1554" s="104">
        <v>34</v>
      </c>
      <c r="G1554" s="20">
        <v>1557</v>
      </c>
      <c r="H1554" s="13" t="s">
        <v>2143</v>
      </c>
      <c r="I1554" s="13" t="str">
        <f t="shared" si="50"/>
        <v>NE 15TH Av (LAS OLAS Bl to SUNRISE Bl)</v>
      </c>
      <c r="J1554" s="12" t="s">
        <v>27</v>
      </c>
      <c r="K1554" s="13" t="str">
        <f>VLOOKUP(J1554,'Data-ProjectTypes'!A$3:B$13,2,FALSE)</f>
        <v>Program</v>
      </c>
      <c r="L1554" s="12" t="s">
        <v>1308</v>
      </c>
      <c r="M1554" s="105" t="s">
        <v>1997</v>
      </c>
      <c r="N1554" s="12" t="s">
        <v>2002</v>
      </c>
      <c r="Q1554" s="72">
        <v>1.3</v>
      </c>
      <c r="R1554" s="23">
        <v>1071000</v>
      </c>
      <c r="Z1554" s="18">
        <f>ROUND(R1554*'Data-CostAssumptions'!$C$8,-3)</f>
        <v>1071000</v>
      </c>
      <c r="AA1554" s="11">
        <f t="shared" si="49"/>
        <v>0</v>
      </c>
      <c r="AB1554" s="11">
        <v>2041</v>
      </c>
      <c r="AC1554" s="11">
        <v>2041</v>
      </c>
      <c r="AD1554" s="11">
        <v>2041</v>
      </c>
      <c r="AE1554" s="11">
        <v>2041</v>
      </c>
      <c r="AF1554" s="11">
        <v>0</v>
      </c>
      <c r="AG1554" s="19">
        <f>ROUND((Z1554*'Data-CostAssumptions'!$G$5)*(1+'Data-CostAssumptions'!$G$3)^(AC1554-'Data-CostAssumptions'!$G$4),-3)</f>
        <v>604000</v>
      </c>
      <c r="AH1554" s="19">
        <f>ROUND((Z1554)*(1+'Data-CostAssumptions'!$G$3)^(AE1554-'Data-CostAssumptions'!$G$4),-3)</f>
        <v>2746000</v>
      </c>
    </row>
    <row r="1555" spans="2:34" ht="15" customHeight="1" x14ac:dyDescent="0.2">
      <c r="B1555" s="11" t="s">
        <v>1211</v>
      </c>
      <c r="D1555" s="84" t="s">
        <v>276</v>
      </c>
      <c r="E1555" s="104">
        <v>35</v>
      </c>
      <c r="G1555" s="20">
        <v>1558</v>
      </c>
      <c r="H1555" s="13" t="s">
        <v>2143</v>
      </c>
      <c r="I1555" s="13" t="str">
        <f t="shared" si="50"/>
        <v>NE 15TH Av (SUNRISE Bl to NE 19TH ST)</v>
      </c>
      <c r="J1555" s="12" t="s">
        <v>27</v>
      </c>
      <c r="K1555" s="13" t="str">
        <f>VLOOKUP(J1555,'Data-ProjectTypes'!A$3:B$13,2,FALSE)</f>
        <v>Program</v>
      </c>
      <c r="L1555" s="12" t="s">
        <v>1313</v>
      </c>
      <c r="M1555" s="105" t="s">
        <v>2002</v>
      </c>
      <c r="N1555" s="12" t="s">
        <v>1439</v>
      </c>
      <c r="Q1555" s="72">
        <v>1</v>
      </c>
      <c r="R1555" s="23">
        <v>1726150</v>
      </c>
      <c r="Z1555" s="18">
        <f>ROUND(R1555*'Data-CostAssumptions'!$C$8,-3)</f>
        <v>1726000</v>
      </c>
      <c r="AA1555" s="11">
        <f t="shared" si="49"/>
        <v>0</v>
      </c>
      <c r="AB1555" s="11">
        <v>2041</v>
      </c>
      <c r="AC1555" s="11">
        <v>2041</v>
      </c>
      <c r="AD1555" s="11">
        <v>2041</v>
      </c>
      <c r="AE1555" s="11">
        <v>2041</v>
      </c>
      <c r="AF1555" s="11">
        <v>0</v>
      </c>
      <c r="AG1555" s="19">
        <f>ROUND((Z1555*'Data-CostAssumptions'!$G$5)*(1+'Data-CostAssumptions'!$G$3)^(AC1555-'Data-CostAssumptions'!$G$4),-3)</f>
        <v>974000</v>
      </c>
      <c r="AH1555" s="19">
        <f>ROUND((Z1555)*(1+'Data-CostAssumptions'!$G$3)^(AE1555-'Data-CostAssumptions'!$G$4),-3)</f>
        <v>4425000</v>
      </c>
    </row>
    <row r="1556" spans="2:34" ht="15" customHeight="1" x14ac:dyDescent="0.2">
      <c r="B1556" s="11" t="s">
        <v>1211</v>
      </c>
      <c r="D1556" s="84" t="s">
        <v>276</v>
      </c>
      <c r="E1556" s="104">
        <v>36</v>
      </c>
      <c r="G1556" s="20">
        <v>1559</v>
      </c>
      <c r="H1556" s="13" t="s">
        <v>2146</v>
      </c>
      <c r="I1556" s="13" t="str">
        <f t="shared" si="50"/>
        <v>NE 18TH Av (COMMERCIAL Bl to MCNAB Rd)</v>
      </c>
      <c r="J1556" s="12" t="s">
        <v>27</v>
      </c>
      <c r="K1556" s="13" t="str">
        <f>VLOOKUP(J1556,'Data-ProjectTypes'!A$3:B$13,2,FALSE)</f>
        <v>Program</v>
      </c>
      <c r="L1556" s="12" t="s">
        <v>1315</v>
      </c>
      <c r="M1556" s="105" t="s">
        <v>1990</v>
      </c>
      <c r="N1556" s="12" t="s">
        <v>2400</v>
      </c>
      <c r="Q1556" s="72">
        <v>1.3</v>
      </c>
      <c r="R1556" s="23">
        <v>1485000</v>
      </c>
      <c r="Z1556" s="18">
        <f>ROUND(R1556*'Data-CostAssumptions'!$C$8,-3)</f>
        <v>1485000</v>
      </c>
      <c r="AA1556" s="11">
        <f t="shared" si="49"/>
        <v>0</v>
      </c>
      <c r="AB1556" s="11">
        <v>2041</v>
      </c>
      <c r="AC1556" s="11">
        <v>2041</v>
      </c>
      <c r="AD1556" s="11">
        <v>2041</v>
      </c>
      <c r="AE1556" s="11">
        <v>2041</v>
      </c>
      <c r="AF1556" s="11">
        <v>0</v>
      </c>
      <c r="AG1556" s="19">
        <f>ROUND((Z1556*'Data-CostAssumptions'!$G$5)*(1+'Data-CostAssumptions'!$G$3)^(AC1556-'Data-CostAssumptions'!$G$4),-3)</f>
        <v>838000</v>
      </c>
      <c r="AH1556" s="19">
        <f>ROUND((Z1556)*(1+'Data-CostAssumptions'!$G$3)^(AE1556-'Data-CostAssumptions'!$G$4),-3)</f>
        <v>3807000</v>
      </c>
    </row>
    <row r="1557" spans="2:34" ht="15" customHeight="1" x14ac:dyDescent="0.2">
      <c r="B1557" s="11" t="s">
        <v>1211</v>
      </c>
      <c r="D1557" s="84" t="s">
        <v>276</v>
      </c>
      <c r="E1557" s="104">
        <v>41</v>
      </c>
      <c r="G1557" s="20">
        <v>1560</v>
      </c>
      <c r="H1557" s="13" t="s">
        <v>1231</v>
      </c>
      <c r="I1557" s="13" t="str">
        <f t="shared" si="50"/>
        <v>NE 26TH ST (US 1/SR 5/FEDERAL HWY to BAYVIEW DR)</v>
      </c>
      <c r="J1557" s="12" t="s">
        <v>27</v>
      </c>
      <c r="K1557" s="13" t="str">
        <f>VLOOKUP(J1557,'Data-ProjectTypes'!A$3:B$13,2,FALSE)</f>
        <v>Program</v>
      </c>
      <c r="L1557" s="12" t="s">
        <v>1316</v>
      </c>
      <c r="M1557" s="105" t="s">
        <v>1425</v>
      </c>
      <c r="N1557" s="12" t="s">
        <v>1224</v>
      </c>
      <c r="Q1557" s="72">
        <v>0.5</v>
      </c>
      <c r="R1557" s="23">
        <v>290000</v>
      </c>
      <c r="Z1557" s="18">
        <f>ROUND(R1557*'Data-CostAssumptions'!$C$8,-3)</f>
        <v>290000</v>
      </c>
      <c r="AA1557" s="11">
        <f t="shared" si="49"/>
        <v>0</v>
      </c>
      <c r="AB1557" s="11">
        <v>2041</v>
      </c>
      <c r="AC1557" s="11">
        <v>2041</v>
      </c>
      <c r="AD1557" s="11">
        <v>2041</v>
      </c>
      <c r="AE1557" s="11">
        <v>2041</v>
      </c>
      <c r="AF1557" s="11">
        <v>0</v>
      </c>
      <c r="AG1557" s="19">
        <f>ROUND((Z1557*'Data-CostAssumptions'!$G$5)*(1+'Data-CostAssumptions'!$G$3)^(AC1557-'Data-CostAssumptions'!$G$4),-3)</f>
        <v>164000</v>
      </c>
      <c r="AH1557" s="19">
        <f>ROUND((Z1557)*(1+'Data-CostAssumptions'!$G$3)^(AE1557-'Data-CostAssumptions'!$G$4),-3)</f>
        <v>744000</v>
      </c>
    </row>
    <row r="1558" spans="2:34" ht="15" customHeight="1" x14ac:dyDescent="0.2">
      <c r="B1558" s="11" t="s">
        <v>1211</v>
      </c>
      <c r="D1558" s="84" t="s">
        <v>276</v>
      </c>
      <c r="E1558" s="104">
        <v>40</v>
      </c>
      <c r="G1558" s="20">
        <v>1561</v>
      </c>
      <c r="H1558" s="13" t="s">
        <v>1228</v>
      </c>
      <c r="I1558" s="13" t="str">
        <f t="shared" si="50"/>
        <v>NE 2ND ST (US 1/SR 5/FEDERAL HW to NE 16TH Av)</v>
      </c>
      <c r="J1558" s="12" t="s">
        <v>27</v>
      </c>
      <c r="K1558" s="13" t="str">
        <f>VLOOKUP(J1558,'Data-ProjectTypes'!A$3:B$13,2,FALSE)</f>
        <v>Program</v>
      </c>
      <c r="L1558" s="12" t="s">
        <v>1301</v>
      </c>
      <c r="M1558" s="105" t="s">
        <v>1438</v>
      </c>
      <c r="N1558" s="12" t="s">
        <v>2614</v>
      </c>
      <c r="Q1558" s="72">
        <v>0.6</v>
      </c>
      <c r="R1558" s="23">
        <v>354000</v>
      </c>
      <c r="Z1558" s="18">
        <f>ROUND(R1558*'Data-CostAssumptions'!$C$8,-3)</f>
        <v>354000</v>
      </c>
      <c r="AA1558" s="11">
        <f t="shared" si="49"/>
        <v>0</v>
      </c>
      <c r="AB1558" s="11">
        <v>2041</v>
      </c>
      <c r="AC1558" s="11">
        <v>2041</v>
      </c>
      <c r="AD1558" s="11">
        <v>2041</v>
      </c>
      <c r="AE1558" s="11">
        <v>2041</v>
      </c>
      <c r="AF1558" s="11">
        <v>0</v>
      </c>
      <c r="AG1558" s="19">
        <f>ROUND((Z1558*'Data-CostAssumptions'!$G$5)*(1+'Data-CostAssumptions'!$G$3)^(AC1558-'Data-CostAssumptions'!$G$4),-3)</f>
        <v>200000</v>
      </c>
      <c r="AH1558" s="19">
        <f>ROUND((Z1558)*(1+'Data-CostAssumptions'!$G$3)^(AE1558-'Data-CostAssumptions'!$G$4),-3)</f>
        <v>908000</v>
      </c>
    </row>
    <row r="1559" spans="2:34" ht="15" customHeight="1" x14ac:dyDescent="0.2">
      <c r="B1559" s="11" t="s">
        <v>1211</v>
      </c>
      <c r="D1559" s="84" t="s">
        <v>276</v>
      </c>
      <c r="E1559" s="104">
        <v>42</v>
      </c>
      <c r="G1559" s="20">
        <v>1562</v>
      </c>
      <c r="H1559" s="13" t="s">
        <v>2153</v>
      </c>
      <c r="I1559" s="13" t="str">
        <f t="shared" si="50"/>
        <v>NE 3RD/4TH Av (NE 6TH ST/SISTRUNK Bl to SR 838/SUNRISE Bl)</v>
      </c>
      <c r="J1559" s="12" t="s">
        <v>27</v>
      </c>
      <c r="K1559" s="13" t="str">
        <f>VLOOKUP(J1559,'Data-ProjectTypes'!A$3:B$13,2,FALSE)</f>
        <v>Program</v>
      </c>
      <c r="L1559" s="12" t="s">
        <v>1303</v>
      </c>
      <c r="M1559" s="105" t="s">
        <v>2291</v>
      </c>
      <c r="N1559" s="12" t="s">
        <v>2302</v>
      </c>
      <c r="Q1559" s="72">
        <v>0.5</v>
      </c>
      <c r="R1559" s="23">
        <v>508400</v>
      </c>
      <c r="Z1559" s="18">
        <f>ROUND(R1559*'Data-CostAssumptions'!$C$8,-3)</f>
        <v>508000</v>
      </c>
      <c r="AA1559" s="11">
        <f t="shared" si="49"/>
        <v>0</v>
      </c>
      <c r="AB1559" s="11">
        <v>2041</v>
      </c>
      <c r="AC1559" s="11">
        <v>2041</v>
      </c>
      <c r="AD1559" s="11">
        <v>2041</v>
      </c>
      <c r="AE1559" s="11">
        <v>2041</v>
      </c>
      <c r="AF1559" s="11">
        <v>0</v>
      </c>
      <c r="AG1559" s="19">
        <f>ROUND((Z1559*'Data-CostAssumptions'!$G$5)*(1+'Data-CostAssumptions'!$G$3)^(AC1559-'Data-CostAssumptions'!$G$4),-3)</f>
        <v>287000</v>
      </c>
      <c r="AH1559" s="19">
        <f>ROUND((Z1559)*(1+'Data-CostAssumptions'!$G$3)^(AE1559-'Data-CostAssumptions'!$G$4),-3)</f>
        <v>1302000</v>
      </c>
    </row>
    <row r="1560" spans="2:34" ht="15" customHeight="1" x14ac:dyDescent="0.2">
      <c r="B1560" s="11" t="s">
        <v>1211</v>
      </c>
      <c r="D1560" s="84" t="s">
        <v>276</v>
      </c>
      <c r="E1560" s="104">
        <v>115</v>
      </c>
      <c r="G1560" s="20">
        <v>1563</v>
      </c>
      <c r="H1560" s="13" t="s">
        <v>2154</v>
      </c>
      <c r="I1560" s="13" t="str">
        <f t="shared" si="50"/>
        <v>NE 4TH Av  (SUNRISE Bl to NE 19TH ST)</v>
      </c>
      <c r="J1560" s="12" t="s">
        <v>27</v>
      </c>
      <c r="K1560" s="13" t="str">
        <f>VLOOKUP(J1560,'Data-ProjectTypes'!A$3:B$13,2,FALSE)</f>
        <v>Program</v>
      </c>
      <c r="L1560" s="12" t="s">
        <v>1306</v>
      </c>
      <c r="M1560" s="105" t="s">
        <v>2002</v>
      </c>
      <c r="N1560" s="12" t="s">
        <v>1439</v>
      </c>
      <c r="Q1560" s="72">
        <v>1</v>
      </c>
      <c r="R1560" s="23">
        <v>682400</v>
      </c>
      <c r="Z1560" s="18">
        <f>ROUND(R1560*'Data-CostAssumptions'!$C$8,-3)</f>
        <v>682000</v>
      </c>
      <c r="AA1560" s="11">
        <f t="shared" si="49"/>
        <v>0</v>
      </c>
      <c r="AB1560" s="11">
        <v>2041</v>
      </c>
      <c r="AC1560" s="11">
        <v>2041</v>
      </c>
      <c r="AD1560" s="11">
        <v>2041</v>
      </c>
      <c r="AE1560" s="11">
        <v>2041</v>
      </c>
      <c r="AF1560" s="11">
        <v>0</v>
      </c>
      <c r="AG1560" s="19">
        <f>ROUND((Z1560*'Data-CostAssumptions'!$G$5)*(1+'Data-CostAssumptions'!$G$3)^(AC1560-'Data-CostAssumptions'!$G$4),-3)</f>
        <v>385000</v>
      </c>
      <c r="AH1560" s="19">
        <f>ROUND((Z1560)*(1+'Data-CostAssumptions'!$G$3)^(AE1560-'Data-CostAssumptions'!$G$4),-3)</f>
        <v>1749000</v>
      </c>
    </row>
    <row r="1561" spans="2:34" ht="15" customHeight="1" x14ac:dyDescent="0.2">
      <c r="B1561" s="11" t="s">
        <v>1211</v>
      </c>
      <c r="D1561" s="84" t="s">
        <v>276</v>
      </c>
      <c r="E1561" s="104">
        <v>45</v>
      </c>
      <c r="G1561" s="20">
        <v>1564</v>
      </c>
      <c r="H1561" s="13" t="s">
        <v>1229</v>
      </c>
      <c r="I1561" s="13" t="str">
        <f t="shared" si="50"/>
        <v>NE 4TH ST (US 1/SR 5/FEDERAL HWY to NE 16TH Av)</v>
      </c>
      <c r="J1561" s="12" t="s">
        <v>27</v>
      </c>
      <c r="K1561" s="13" t="str">
        <f>VLOOKUP(J1561,'Data-ProjectTypes'!A$3:B$13,2,FALSE)</f>
        <v>Program</v>
      </c>
      <c r="L1561" s="12" t="s">
        <v>1305</v>
      </c>
      <c r="M1561" s="105" t="s">
        <v>1425</v>
      </c>
      <c r="N1561" s="12" t="s">
        <v>2614</v>
      </c>
      <c r="Q1561" s="72">
        <v>0.6</v>
      </c>
      <c r="R1561" s="23">
        <v>570000</v>
      </c>
      <c r="Z1561" s="18">
        <f>ROUND(R1561*'Data-CostAssumptions'!$C$8,-3)</f>
        <v>570000</v>
      </c>
      <c r="AA1561" s="11">
        <f t="shared" si="49"/>
        <v>0</v>
      </c>
      <c r="AB1561" s="11">
        <v>2041</v>
      </c>
      <c r="AC1561" s="11">
        <v>2041</v>
      </c>
      <c r="AD1561" s="11">
        <v>2041</v>
      </c>
      <c r="AE1561" s="11">
        <v>2041</v>
      </c>
      <c r="AF1561" s="11">
        <v>0</v>
      </c>
      <c r="AG1561" s="19">
        <f>ROUND((Z1561*'Data-CostAssumptions'!$G$5)*(1+'Data-CostAssumptions'!$G$3)^(AC1561-'Data-CostAssumptions'!$G$4),-3)</f>
        <v>322000</v>
      </c>
      <c r="AH1561" s="19">
        <f>ROUND((Z1561)*(1+'Data-CostAssumptions'!$G$3)^(AE1561-'Data-CostAssumptions'!$G$4),-3)</f>
        <v>1461000</v>
      </c>
    </row>
    <row r="1562" spans="2:34" ht="15" customHeight="1" x14ac:dyDescent="0.2">
      <c r="B1562" s="11" t="s">
        <v>1211</v>
      </c>
      <c r="D1562" s="84" t="s">
        <v>276</v>
      </c>
      <c r="E1562" s="104">
        <v>46</v>
      </c>
      <c r="G1562" s="20">
        <v>1565</v>
      </c>
      <c r="H1562" s="13" t="s">
        <v>1232</v>
      </c>
      <c r="I1562" s="13" t="str">
        <f t="shared" si="50"/>
        <v>NE 56TH ST (DIXIE HWY to US 1/SR 5/FEDERAL HWY)</v>
      </c>
      <c r="J1562" s="12" t="s">
        <v>27</v>
      </c>
      <c r="K1562" s="13" t="str">
        <f>VLOOKUP(J1562,'Data-ProjectTypes'!A$3:B$13,2,FALSE)</f>
        <v>Program</v>
      </c>
      <c r="L1562" s="12" t="s">
        <v>1318</v>
      </c>
      <c r="M1562" s="105" t="s">
        <v>1225</v>
      </c>
      <c r="N1562" s="12" t="s">
        <v>1425</v>
      </c>
      <c r="Q1562" s="72">
        <v>1.3</v>
      </c>
      <c r="R1562" s="23">
        <v>1159050</v>
      </c>
      <c r="Z1562" s="18">
        <f>ROUND(R1562*'Data-CostAssumptions'!$C$8,-3)</f>
        <v>1159000</v>
      </c>
      <c r="AA1562" s="11">
        <f t="shared" si="49"/>
        <v>0</v>
      </c>
      <c r="AB1562" s="11">
        <v>2041</v>
      </c>
      <c r="AC1562" s="11">
        <v>2041</v>
      </c>
      <c r="AD1562" s="11">
        <v>2041</v>
      </c>
      <c r="AE1562" s="11">
        <v>2041</v>
      </c>
      <c r="AF1562" s="11">
        <v>0</v>
      </c>
      <c r="AG1562" s="19">
        <f>ROUND((Z1562*'Data-CostAssumptions'!$G$5)*(1+'Data-CostAssumptions'!$G$3)^(AC1562-'Data-CostAssumptions'!$G$4),-3)</f>
        <v>654000</v>
      </c>
      <c r="AH1562" s="19">
        <f>ROUND((Z1562)*(1+'Data-CostAssumptions'!$G$3)^(AE1562-'Data-CostAssumptions'!$G$4),-3)</f>
        <v>2972000</v>
      </c>
    </row>
    <row r="1563" spans="2:34" ht="15" customHeight="1" x14ac:dyDescent="0.2">
      <c r="B1563" s="11" t="s">
        <v>1211</v>
      </c>
      <c r="D1563" s="84" t="s">
        <v>276</v>
      </c>
      <c r="E1563" s="104">
        <v>48</v>
      </c>
      <c r="G1563" s="20">
        <v>1566</v>
      </c>
      <c r="H1563" s="13" t="s">
        <v>1230</v>
      </c>
      <c r="I1563" s="13" t="str">
        <f t="shared" si="50"/>
        <v>NE 6TH ST (NE 14TH Av to VICTORIA TER)</v>
      </c>
      <c r="J1563" s="12" t="s">
        <v>27</v>
      </c>
      <c r="K1563" s="13" t="str">
        <f>VLOOKUP(J1563,'Data-ProjectTypes'!A$3:B$13,2,FALSE)</f>
        <v>Program</v>
      </c>
      <c r="L1563" s="12" t="s">
        <v>1308</v>
      </c>
      <c r="M1563" s="105" t="s">
        <v>2142</v>
      </c>
      <c r="N1563" s="12" t="s">
        <v>1441</v>
      </c>
      <c r="Q1563" s="72">
        <v>0.4</v>
      </c>
      <c r="R1563" s="23">
        <v>247000</v>
      </c>
      <c r="Z1563" s="18">
        <f>ROUND(R1563*'Data-CostAssumptions'!$C$8,-3)</f>
        <v>247000</v>
      </c>
      <c r="AA1563" s="11">
        <f t="shared" si="49"/>
        <v>0</v>
      </c>
      <c r="AB1563" s="11">
        <v>2041</v>
      </c>
      <c r="AC1563" s="11">
        <v>2041</v>
      </c>
      <c r="AD1563" s="11">
        <v>2041</v>
      </c>
      <c r="AE1563" s="11">
        <v>2041</v>
      </c>
      <c r="AF1563" s="11">
        <v>0</v>
      </c>
      <c r="AG1563" s="19">
        <f>ROUND((Z1563*'Data-CostAssumptions'!$G$5)*(1+'Data-CostAssumptions'!$G$3)^(AC1563-'Data-CostAssumptions'!$G$4),-3)</f>
        <v>139000</v>
      </c>
      <c r="AH1563" s="19">
        <f>ROUND((Z1563)*(1+'Data-CostAssumptions'!$G$3)^(AE1563-'Data-CostAssumptions'!$G$4),-3)</f>
        <v>633000</v>
      </c>
    </row>
    <row r="1564" spans="2:34" ht="15" customHeight="1" x14ac:dyDescent="0.2">
      <c r="B1564" s="11" t="s">
        <v>1211</v>
      </c>
      <c r="D1564" s="84" t="s">
        <v>276</v>
      </c>
      <c r="E1564" s="104">
        <v>118</v>
      </c>
      <c r="G1564" s="20">
        <v>1567</v>
      </c>
      <c r="H1564" s="13" t="s">
        <v>1230</v>
      </c>
      <c r="I1564" s="13" t="str">
        <f t="shared" si="50"/>
        <v>NE 6TH ST (US 1/SR 5/ FEDERAL HWY to NE 3RD Av)</v>
      </c>
      <c r="J1564" s="12" t="s">
        <v>27</v>
      </c>
      <c r="K1564" s="13" t="str">
        <f>VLOOKUP(J1564,'Data-ProjectTypes'!A$3:B$13,2,FALSE)</f>
        <v>Program</v>
      </c>
      <c r="L1564" s="12" t="s">
        <v>1325</v>
      </c>
      <c r="M1564" s="105" t="s">
        <v>1443</v>
      </c>
      <c r="N1564" s="12" t="s">
        <v>2152</v>
      </c>
      <c r="Q1564" s="72">
        <v>0.2</v>
      </c>
      <c r="R1564" s="23">
        <v>214000</v>
      </c>
      <c r="Z1564" s="18">
        <f>ROUND(R1564*'Data-CostAssumptions'!$C$8,-3)</f>
        <v>214000</v>
      </c>
      <c r="AA1564" s="11">
        <f t="shared" si="49"/>
        <v>0</v>
      </c>
      <c r="AB1564" s="11">
        <v>2041</v>
      </c>
      <c r="AC1564" s="11">
        <v>2041</v>
      </c>
      <c r="AD1564" s="11">
        <v>2041</v>
      </c>
      <c r="AE1564" s="11">
        <v>2041</v>
      </c>
      <c r="AF1564" s="11">
        <v>0</v>
      </c>
      <c r="AG1564" s="19">
        <f>ROUND((Z1564*'Data-CostAssumptions'!$G$5)*(1+'Data-CostAssumptions'!$G$3)^(AC1564-'Data-CostAssumptions'!$G$4),-3)</f>
        <v>121000</v>
      </c>
      <c r="AH1564" s="19">
        <f>ROUND((Z1564)*(1+'Data-CostAssumptions'!$G$3)^(AE1564-'Data-CostAssumptions'!$G$4),-3)</f>
        <v>549000</v>
      </c>
    </row>
    <row r="1565" spans="2:34" ht="15" customHeight="1" x14ac:dyDescent="0.2">
      <c r="B1565" s="11" t="s">
        <v>1211</v>
      </c>
      <c r="D1565" s="84" t="s">
        <v>276</v>
      </c>
      <c r="E1565" s="104">
        <v>47</v>
      </c>
      <c r="G1565" s="20">
        <v>1568</v>
      </c>
      <c r="H1565" s="13" t="s">
        <v>1230</v>
      </c>
      <c r="I1565" s="13" t="str">
        <f t="shared" si="50"/>
        <v>NE 6TH ST (US 1/SR 5/FEDERAL HWY to NE 14TH Av)</v>
      </c>
      <c r="J1565" s="12" t="s">
        <v>27</v>
      </c>
      <c r="K1565" s="13" t="str">
        <f>VLOOKUP(J1565,'Data-ProjectTypes'!A$3:B$13,2,FALSE)</f>
        <v>Program</v>
      </c>
      <c r="L1565" s="12" t="s">
        <v>1308</v>
      </c>
      <c r="M1565" s="105" t="s">
        <v>1425</v>
      </c>
      <c r="N1565" s="12" t="s">
        <v>2142</v>
      </c>
      <c r="Q1565" s="72">
        <v>0.5</v>
      </c>
      <c r="R1565" s="23">
        <v>423250</v>
      </c>
      <c r="Z1565" s="18">
        <f>ROUND(R1565*'Data-CostAssumptions'!$C$8,-3)</f>
        <v>423000</v>
      </c>
      <c r="AA1565" s="11">
        <f t="shared" si="49"/>
        <v>0</v>
      </c>
      <c r="AB1565" s="11">
        <v>2041</v>
      </c>
      <c r="AC1565" s="11">
        <v>2041</v>
      </c>
      <c r="AD1565" s="11">
        <v>2041</v>
      </c>
      <c r="AE1565" s="11">
        <v>2041</v>
      </c>
      <c r="AF1565" s="11">
        <v>0</v>
      </c>
      <c r="AG1565" s="19">
        <f>ROUND((Z1565*'Data-CostAssumptions'!$G$5)*(1+'Data-CostAssumptions'!$G$3)^(AC1565-'Data-CostAssumptions'!$G$4),-3)</f>
        <v>239000</v>
      </c>
      <c r="AH1565" s="19">
        <f>ROUND((Z1565)*(1+'Data-CostAssumptions'!$G$3)^(AE1565-'Data-CostAssumptions'!$G$4),-3)</f>
        <v>1085000</v>
      </c>
    </row>
    <row r="1566" spans="2:34" ht="15" customHeight="1" x14ac:dyDescent="0.2">
      <c r="B1566" s="11" t="s">
        <v>1211</v>
      </c>
      <c r="D1566" s="84" t="s">
        <v>276</v>
      </c>
      <c r="E1566" s="104">
        <v>49</v>
      </c>
      <c r="G1566" s="20">
        <v>1569</v>
      </c>
      <c r="H1566" s="13" t="s">
        <v>2156</v>
      </c>
      <c r="I1566" s="13" t="str">
        <f t="shared" si="50"/>
        <v>NE 7TH ST/NE 20TH Av (VICTORIA PARK RD to SUNRISE Bl)</v>
      </c>
      <c r="J1566" s="12" t="s">
        <v>27</v>
      </c>
      <c r="K1566" s="13" t="str">
        <f>VLOOKUP(J1566,'Data-ProjectTypes'!A$3:B$13,2,FALSE)</f>
        <v>Program</v>
      </c>
      <c r="L1566" s="12" t="s">
        <v>1258</v>
      </c>
      <c r="M1566" s="105" t="s">
        <v>1252</v>
      </c>
      <c r="N1566" s="12" t="s">
        <v>2002</v>
      </c>
      <c r="Q1566" s="72">
        <v>0.9</v>
      </c>
      <c r="R1566" s="23">
        <v>261000</v>
      </c>
      <c r="Z1566" s="18">
        <f>ROUND(R1566*'Data-CostAssumptions'!$C$8,-3)</f>
        <v>261000</v>
      </c>
      <c r="AA1566" s="11">
        <f t="shared" si="49"/>
        <v>0</v>
      </c>
      <c r="AB1566" s="11">
        <v>2041</v>
      </c>
      <c r="AC1566" s="11">
        <v>2041</v>
      </c>
      <c r="AD1566" s="11">
        <v>2041</v>
      </c>
      <c r="AE1566" s="11">
        <v>2041</v>
      </c>
      <c r="AF1566" s="11">
        <v>0</v>
      </c>
      <c r="AG1566" s="19">
        <f>ROUND((Z1566*'Data-CostAssumptions'!$G$5)*(1+'Data-CostAssumptions'!$G$3)^(AC1566-'Data-CostAssumptions'!$G$4),-3)</f>
        <v>147000</v>
      </c>
      <c r="AH1566" s="19">
        <f>ROUND((Z1566)*(1+'Data-CostAssumptions'!$G$3)^(AE1566-'Data-CostAssumptions'!$G$4),-3)</f>
        <v>669000</v>
      </c>
    </row>
    <row r="1567" spans="2:34" ht="15" customHeight="1" x14ac:dyDescent="0.2">
      <c r="B1567" s="11" t="s">
        <v>1211</v>
      </c>
      <c r="D1567" s="84" t="s">
        <v>276</v>
      </c>
      <c r="E1567" s="104">
        <v>50</v>
      </c>
      <c r="G1567" s="20">
        <v>1570</v>
      </c>
      <c r="H1567" s="13" t="s">
        <v>1904</v>
      </c>
      <c r="I1567" s="13" t="str">
        <f t="shared" si="50"/>
        <v>NE/NW 13TH St (NW 9TH Av/POWER-LINE RD to US 1/FEDERAL HWY)</v>
      </c>
      <c r="J1567" s="12" t="s">
        <v>27</v>
      </c>
      <c r="K1567" s="13" t="str">
        <f>VLOOKUP(J1567,'Data-ProjectTypes'!A$3:B$13,2,FALSE)</f>
        <v>Program</v>
      </c>
      <c r="L1567" s="12" t="s">
        <v>1311</v>
      </c>
      <c r="M1567" s="105" t="s">
        <v>2173</v>
      </c>
      <c r="N1567" s="12" t="s">
        <v>1442</v>
      </c>
      <c r="Q1567" s="72">
        <v>2.1</v>
      </c>
      <c r="R1567" s="23">
        <v>1792350</v>
      </c>
      <c r="Z1567" s="18">
        <f>ROUND(R1567*'Data-CostAssumptions'!$C$8,-3)</f>
        <v>1792000</v>
      </c>
      <c r="AA1567" s="11">
        <f t="shared" si="49"/>
        <v>0</v>
      </c>
      <c r="AB1567" s="11">
        <v>2041</v>
      </c>
      <c r="AC1567" s="11">
        <v>2041</v>
      </c>
      <c r="AD1567" s="11">
        <v>2041</v>
      </c>
      <c r="AE1567" s="11">
        <v>2041</v>
      </c>
      <c r="AF1567" s="11">
        <v>0</v>
      </c>
      <c r="AG1567" s="19">
        <f>ROUND((Z1567*'Data-CostAssumptions'!$G$5)*(1+'Data-CostAssumptions'!$G$3)^(AC1567-'Data-CostAssumptions'!$G$4),-3)</f>
        <v>1011000</v>
      </c>
      <c r="AH1567" s="19">
        <f>ROUND((Z1567)*(1+'Data-CostAssumptions'!$G$3)^(AE1567-'Data-CostAssumptions'!$G$4),-3)</f>
        <v>4595000</v>
      </c>
    </row>
    <row r="1568" spans="2:34" ht="15" customHeight="1" x14ac:dyDescent="0.2">
      <c r="B1568" s="11" t="s">
        <v>1211</v>
      </c>
      <c r="D1568" s="84" t="s">
        <v>276</v>
      </c>
      <c r="E1568" s="104">
        <v>61</v>
      </c>
      <c r="G1568" s="20">
        <v>1571</v>
      </c>
      <c r="H1568" s="13" t="s">
        <v>1237</v>
      </c>
      <c r="I1568" s="13" t="str">
        <f t="shared" si="50"/>
        <v>NE/NW 6TH ST (SR 5/US 1 to NW 7TH Av/AVE OF THE ARTS)</v>
      </c>
      <c r="J1568" s="12" t="s">
        <v>27</v>
      </c>
      <c r="K1568" s="13" t="str">
        <f>VLOOKUP(J1568,'Data-ProjectTypes'!A$3:B$13,2,FALSE)</f>
        <v>Program</v>
      </c>
      <c r="L1568" s="12" t="s">
        <v>1326</v>
      </c>
      <c r="M1568" s="105" t="s">
        <v>1424</v>
      </c>
      <c r="N1568" s="12" t="s">
        <v>2615</v>
      </c>
      <c r="Q1568" s="72">
        <v>0.8</v>
      </c>
      <c r="R1568" s="23">
        <v>91200</v>
      </c>
      <c r="Z1568" s="18">
        <f>ROUND(R1568*'Data-CostAssumptions'!$C$8,-3)</f>
        <v>91000</v>
      </c>
      <c r="AA1568" s="11">
        <f t="shared" si="49"/>
        <v>0</v>
      </c>
      <c r="AB1568" s="11">
        <v>2041</v>
      </c>
      <c r="AC1568" s="11">
        <v>2041</v>
      </c>
      <c r="AD1568" s="11">
        <v>2041</v>
      </c>
      <c r="AE1568" s="11">
        <v>2041</v>
      </c>
      <c r="AF1568" s="11">
        <v>0</v>
      </c>
      <c r="AG1568" s="19">
        <f>ROUND((Z1568*'Data-CostAssumptions'!$G$5)*(1+'Data-CostAssumptions'!$G$3)^(AC1568-'Data-CostAssumptions'!$G$4),-3)</f>
        <v>51000</v>
      </c>
      <c r="AH1568" s="19">
        <f>ROUND((Z1568)*(1+'Data-CostAssumptions'!$G$3)^(AE1568-'Data-CostAssumptions'!$G$4),-3)</f>
        <v>233000</v>
      </c>
    </row>
    <row r="1569" spans="2:34" ht="15" customHeight="1" x14ac:dyDescent="0.2">
      <c r="B1569" s="11" t="s">
        <v>1211</v>
      </c>
      <c r="D1569" s="84" t="s">
        <v>276</v>
      </c>
      <c r="E1569" s="104">
        <v>51</v>
      </c>
      <c r="G1569" s="20">
        <v>1572</v>
      </c>
      <c r="H1569" s="13" t="s">
        <v>2160</v>
      </c>
      <c r="I1569" s="13" t="str">
        <f t="shared" si="50"/>
        <v>NW 15TH Av (SR 838/SUNRISE Bl to NW 19TH ST)</v>
      </c>
      <c r="J1569" s="12" t="s">
        <v>27</v>
      </c>
      <c r="K1569" s="13" t="str">
        <f>VLOOKUP(J1569,'Data-ProjectTypes'!A$3:B$13,2,FALSE)</f>
        <v>Program</v>
      </c>
      <c r="L1569" s="12" t="s">
        <v>1277</v>
      </c>
      <c r="M1569" s="105" t="s">
        <v>2302</v>
      </c>
      <c r="N1569" s="12" t="s">
        <v>1240</v>
      </c>
      <c r="Q1569" s="72">
        <v>1</v>
      </c>
      <c r="R1569" s="23">
        <v>733700</v>
      </c>
      <c r="X1569" s="34"/>
      <c r="Z1569" s="18">
        <f>ROUND(R1569*'Data-CostAssumptions'!$C$8,-3)</f>
        <v>734000</v>
      </c>
      <c r="AA1569" s="11">
        <f t="shared" si="49"/>
        <v>0</v>
      </c>
      <c r="AB1569" s="11">
        <v>2041</v>
      </c>
      <c r="AC1569" s="11">
        <v>2041</v>
      </c>
      <c r="AD1569" s="11">
        <v>2041</v>
      </c>
      <c r="AE1569" s="11">
        <v>2041</v>
      </c>
      <c r="AF1569" s="11">
        <v>0</v>
      </c>
      <c r="AG1569" s="19">
        <f>ROUND((Z1569*'Data-CostAssumptions'!$G$5)*(1+'Data-CostAssumptions'!$G$3)^(AC1569-'Data-CostAssumptions'!$G$4),-3)</f>
        <v>414000</v>
      </c>
      <c r="AH1569" s="19">
        <f>ROUND((Z1569)*(1+'Data-CostAssumptions'!$G$3)^(AE1569-'Data-CostAssumptions'!$G$4),-3)</f>
        <v>1882000</v>
      </c>
    </row>
    <row r="1570" spans="2:34" ht="15" customHeight="1" x14ac:dyDescent="0.2">
      <c r="B1570" s="11" t="s">
        <v>1211</v>
      </c>
      <c r="D1570" s="84" t="s">
        <v>276</v>
      </c>
      <c r="E1570" s="104">
        <v>52</v>
      </c>
      <c r="G1570" s="20">
        <v>1573</v>
      </c>
      <c r="H1570" s="13" t="s">
        <v>1239</v>
      </c>
      <c r="I1570" s="13" t="str">
        <f t="shared" si="50"/>
        <v>NW 16TH ST (NW 9TH Av to DIXIE HWY)</v>
      </c>
      <c r="J1570" s="12" t="s">
        <v>27</v>
      </c>
      <c r="K1570" s="13" t="str">
        <f>VLOOKUP(J1570,'Data-ProjectTypes'!A$3:B$13,2,FALSE)</f>
        <v>Program</v>
      </c>
      <c r="L1570" s="12" t="s">
        <v>1344</v>
      </c>
      <c r="M1570" s="105" t="s">
        <v>2617</v>
      </c>
      <c r="N1570" s="12" t="s">
        <v>1225</v>
      </c>
      <c r="Q1570" s="72">
        <v>1.2</v>
      </c>
      <c r="R1570" s="23">
        <v>812000</v>
      </c>
      <c r="Z1570" s="18">
        <f>ROUND(R1570*'Data-CostAssumptions'!$C$8,-3)</f>
        <v>812000</v>
      </c>
      <c r="AA1570" s="11">
        <f t="shared" si="49"/>
        <v>0</v>
      </c>
      <c r="AB1570" s="11">
        <v>2041</v>
      </c>
      <c r="AC1570" s="11">
        <v>2041</v>
      </c>
      <c r="AD1570" s="11">
        <v>2041</v>
      </c>
      <c r="AE1570" s="11">
        <v>2041</v>
      </c>
      <c r="AF1570" s="11">
        <v>0</v>
      </c>
      <c r="AG1570" s="19">
        <f>ROUND((Z1570*'Data-CostAssumptions'!$G$5)*(1+'Data-CostAssumptions'!$G$3)^(AC1570-'Data-CostAssumptions'!$G$4),-3)</f>
        <v>458000</v>
      </c>
      <c r="AH1570" s="19">
        <f>ROUND((Z1570)*(1+'Data-CostAssumptions'!$G$3)^(AE1570-'Data-CostAssumptions'!$G$4),-3)</f>
        <v>2082000</v>
      </c>
    </row>
    <row r="1571" spans="2:34" ht="15" customHeight="1" x14ac:dyDescent="0.2">
      <c r="B1571" s="11" t="s">
        <v>1211</v>
      </c>
      <c r="D1571" s="84" t="s">
        <v>276</v>
      </c>
      <c r="E1571" s="104">
        <v>53</v>
      </c>
      <c r="G1571" s="20">
        <v>1574</v>
      </c>
      <c r="H1571" s="13" t="s">
        <v>1240</v>
      </c>
      <c r="I1571" s="13" t="str">
        <f t="shared" si="50"/>
        <v>NW 19TH ST (NW 33RD Av to SR 9/I-95)</v>
      </c>
      <c r="J1571" s="12" t="s">
        <v>27</v>
      </c>
      <c r="K1571" s="13" t="str">
        <f>VLOOKUP(J1571,'Data-ProjectTypes'!A$3:B$13,2,FALSE)</f>
        <v>Program</v>
      </c>
      <c r="L1571" s="12" t="s">
        <v>1345</v>
      </c>
      <c r="M1571" s="105" t="s">
        <v>2169</v>
      </c>
      <c r="N1571" s="12" t="s">
        <v>1445</v>
      </c>
      <c r="Q1571" s="72">
        <v>1.4</v>
      </c>
      <c r="R1571" s="23">
        <v>1854000</v>
      </c>
      <c r="Z1571" s="18">
        <f>ROUND(R1571*'Data-CostAssumptions'!$C$8,-3)</f>
        <v>1854000</v>
      </c>
      <c r="AA1571" s="11">
        <f t="shared" si="49"/>
        <v>0</v>
      </c>
      <c r="AB1571" s="11">
        <v>2041</v>
      </c>
      <c r="AC1571" s="11">
        <v>2041</v>
      </c>
      <c r="AD1571" s="11">
        <v>2041</v>
      </c>
      <c r="AE1571" s="11">
        <v>2041</v>
      </c>
      <c r="AF1571" s="11">
        <v>0</v>
      </c>
      <c r="AG1571" s="19">
        <f>ROUND((Z1571*'Data-CostAssumptions'!$G$5)*(1+'Data-CostAssumptions'!$G$3)^(AC1571-'Data-CostAssumptions'!$G$4),-3)</f>
        <v>1046000</v>
      </c>
      <c r="AH1571" s="19">
        <f>ROUND((Z1571)*(1+'Data-CostAssumptions'!$G$3)^(AE1571-'Data-CostAssumptions'!$G$4),-3)</f>
        <v>4754000</v>
      </c>
    </row>
    <row r="1572" spans="2:34" ht="15" customHeight="1" x14ac:dyDescent="0.2">
      <c r="B1572" s="11" t="s">
        <v>1211</v>
      </c>
      <c r="D1572" s="84" t="s">
        <v>276</v>
      </c>
      <c r="E1572" s="104">
        <v>54</v>
      </c>
      <c r="G1572" s="20">
        <v>1575</v>
      </c>
      <c r="H1572" s="13" t="s">
        <v>1240</v>
      </c>
      <c r="I1572" s="13" t="str">
        <f t="shared" si="50"/>
        <v>NW 19TH ST (SR 9/I-95 to NW 9TH Av/Powerline Rd)</v>
      </c>
      <c r="J1572" s="12" t="s">
        <v>27</v>
      </c>
      <c r="K1572" s="13" t="str">
        <f>VLOOKUP(J1572,'Data-ProjectTypes'!A$3:B$13,2,FALSE)</f>
        <v>Program</v>
      </c>
      <c r="L1572" s="12" t="s">
        <v>1347</v>
      </c>
      <c r="M1572" s="105" t="s">
        <v>1445</v>
      </c>
      <c r="N1572" s="12" t="s">
        <v>2685</v>
      </c>
      <c r="Q1572" s="72">
        <v>0.8</v>
      </c>
      <c r="R1572" s="23">
        <v>767700</v>
      </c>
      <c r="Z1572" s="18">
        <f>ROUND(R1572*'Data-CostAssumptions'!$C$8,-3)</f>
        <v>768000</v>
      </c>
      <c r="AA1572" s="11">
        <f t="shared" si="49"/>
        <v>0</v>
      </c>
      <c r="AB1572" s="11">
        <v>2041</v>
      </c>
      <c r="AC1572" s="11">
        <v>2041</v>
      </c>
      <c r="AD1572" s="11">
        <v>2041</v>
      </c>
      <c r="AE1572" s="11">
        <v>2041</v>
      </c>
      <c r="AF1572" s="11">
        <v>0</v>
      </c>
      <c r="AG1572" s="19">
        <f>ROUND((Z1572*'Data-CostAssumptions'!$G$5)*(1+'Data-CostAssumptions'!$G$3)^(AC1572-'Data-CostAssumptions'!$G$4),-3)</f>
        <v>433000</v>
      </c>
      <c r="AH1572" s="19">
        <f>ROUND((Z1572)*(1+'Data-CostAssumptions'!$G$3)^(AE1572-'Data-CostAssumptions'!$G$4),-3)</f>
        <v>1969000</v>
      </c>
    </row>
    <row r="1573" spans="2:34" ht="15" customHeight="1" x14ac:dyDescent="0.2">
      <c r="B1573" s="11" t="s">
        <v>1211</v>
      </c>
      <c r="D1573" s="84" t="s">
        <v>276</v>
      </c>
      <c r="E1573" s="104">
        <v>56</v>
      </c>
      <c r="G1573" s="20">
        <v>1576</v>
      </c>
      <c r="H1573" s="13" t="s">
        <v>2164</v>
      </c>
      <c r="I1573" s="13" t="str">
        <f t="shared" si="50"/>
        <v>NW 21ST Av (PROSPECT RD to COMMERCIAL Bl)</v>
      </c>
      <c r="J1573" s="12" t="s">
        <v>27</v>
      </c>
      <c r="K1573" s="13" t="str">
        <f>VLOOKUP(J1573,'Data-ProjectTypes'!A$3:B$13,2,FALSE)</f>
        <v>Program</v>
      </c>
      <c r="L1573" s="12" t="s">
        <v>1305</v>
      </c>
      <c r="M1573" s="105" t="s">
        <v>1242</v>
      </c>
      <c r="N1573" s="12" t="s">
        <v>1990</v>
      </c>
      <c r="Q1573" s="72">
        <v>0.3</v>
      </c>
      <c r="R1573" s="23">
        <v>205700</v>
      </c>
      <c r="Z1573" s="18">
        <f>ROUND(R1573*'Data-CostAssumptions'!$C$8,-3)</f>
        <v>206000</v>
      </c>
      <c r="AA1573" s="11">
        <f t="shared" si="49"/>
        <v>0</v>
      </c>
      <c r="AB1573" s="11">
        <v>2041</v>
      </c>
      <c r="AC1573" s="11">
        <v>2041</v>
      </c>
      <c r="AD1573" s="11">
        <v>2041</v>
      </c>
      <c r="AE1573" s="11">
        <v>2041</v>
      </c>
      <c r="AF1573" s="11">
        <v>0</v>
      </c>
      <c r="AG1573" s="19">
        <f>ROUND((Z1573*'Data-CostAssumptions'!$G$5)*(1+'Data-CostAssumptions'!$G$3)^(AC1573-'Data-CostAssumptions'!$G$4),-3)</f>
        <v>116000</v>
      </c>
      <c r="AH1573" s="19">
        <f>ROUND((Z1573)*(1+'Data-CostAssumptions'!$G$3)^(AE1573-'Data-CostAssumptions'!$G$4),-3)</f>
        <v>528000</v>
      </c>
    </row>
    <row r="1574" spans="2:34" ht="15" customHeight="1" x14ac:dyDescent="0.2">
      <c r="B1574" s="11" t="s">
        <v>1211</v>
      </c>
      <c r="D1574" s="84" t="s">
        <v>276</v>
      </c>
      <c r="E1574" s="104">
        <v>55</v>
      </c>
      <c r="G1574" s="20">
        <v>1577</v>
      </c>
      <c r="H1574" s="13" t="s">
        <v>2164</v>
      </c>
      <c r="I1574" s="13" t="str">
        <f t="shared" si="50"/>
        <v>NW 21ST Av (W CYPRESS CREEK RD to W MCNAB RD)</v>
      </c>
      <c r="J1574" s="12" t="s">
        <v>27</v>
      </c>
      <c r="K1574" s="13" t="str">
        <f>VLOOKUP(J1574,'Data-ProjectTypes'!A$3:B$13,2,FALSE)</f>
        <v>Program</v>
      </c>
      <c r="L1574" s="12" t="s">
        <v>1305</v>
      </c>
      <c r="M1574" s="105" t="s">
        <v>1447</v>
      </c>
      <c r="N1574" s="12" t="s">
        <v>1446</v>
      </c>
      <c r="Q1574" s="72">
        <v>0.5</v>
      </c>
      <c r="R1574" s="23">
        <v>428750</v>
      </c>
      <c r="Z1574" s="18">
        <f>ROUND(R1574*'Data-CostAssumptions'!$C$8,-3)</f>
        <v>429000</v>
      </c>
      <c r="AA1574" s="11">
        <f t="shared" si="49"/>
        <v>0</v>
      </c>
      <c r="AB1574" s="11">
        <v>2041</v>
      </c>
      <c r="AC1574" s="11">
        <v>2041</v>
      </c>
      <c r="AD1574" s="11">
        <v>2041</v>
      </c>
      <c r="AE1574" s="11">
        <v>2041</v>
      </c>
      <c r="AF1574" s="11">
        <v>0</v>
      </c>
      <c r="AG1574" s="19">
        <f>ROUND((Z1574*'Data-CostAssumptions'!$G$5)*(1+'Data-CostAssumptions'!$G$3)^(AC1574-'Data-CostAssumptions'!$G$4),-3)</f>
        <v>242000</v>
      </c>
      <c r="AH1574" s="19">
        <f>ROUND((Z1574)*(1+'Data-CostAssumptions'!$G$3)^(AE1574-'Data-CostAssumptions'!$G$4),-3)</f>
        <v>1100000</v>
      </c>
    </row>
    <row r="1575" spans="2:34" ht="15" customHeight="1" x14ac:dyDescent="0.2">
      <c r="B1575" s="11" t="s">
        <v>1211</v>
      </c>
      <c r="D1575" s="84" t="s">
        <v>276</v>
      </c>
      <c r="E1575" s="104">
        <v>57</v>
      </c>
      <c r="G1575" s="20">
        <v>1578</v>
      </c>
      <c r="H1575" s="13" t="s">
        <v>2166</v>
      </c>
      <c r="I1575" s="13" t="str">
        <f t="shared" si="50"/>
        <v>NW 23RD Av/NW 21ST Av (SR 838 / Sunrise Bl to NW 26TH ST)</v>
      </c>
      <c r="J1575" s="12" t="s">
        <v>27</v>
      </c>
      <c r="K1575" s="13" t="str">
        <f>VLOOKUP(J1575,'Data-ProjectTypes'!A$3:B$13,2,FALSE)</f>
        <v>Program</v>
      </c>
      <c r="L1575" s="12" t="s">
        <v>1351</v>
      </c>
      <c r="M1575" s="105" t="s">
        <v>2686</v>
      </c>
      <c r="N1575" s="12" t="s">
        <v>1241</v>
      </c>
      <c r="Q1575" s="72">
        <v>1.9</v>
      </c>
      <c r="R1575" s="23">
        <v>1663000</v>
      </c>
      <c r="Z1575" s="18">
        <f>ROUND(R1575*'Data-CostAssumptions'!$C$8,-3)</f>
        <v>1663000</v>
      </c>
      <c r="AA1575" s="11">
        <f t="shared" si="49"/>
        <v>0</v>
      </c>
      <c r="AB1575" s="11">
        <v>2041</v>
      </c>
      <c r="AC1575" s="11">
        <v>2041</v>
      </c>
      <c r="AD1575" s="11">
        <v>2041</v>
      </c>
      <c r="AE1575" s="11">
        <v>2041</v>
      </c>
      <c r="AF1575" s="11">
        <v>0</v>
      </c>
      <c r="AG1575" s="19">
        <f>ROUND((Z1575*'Data-CostAssumptions'!$G$5)*(1+'Data-CostAssumptions'!$G$3)^(AC1575-'Data-CostAssumptions'!$G$4),-3)</f>
        <v>938000</v>
      </c>
      <c r="AH1575" s="19">
        <f>ROUND((Z1575)*(1+'Data-CostAssumptions'!$G$3)^(AE1575-'Data-CostAssumptions'!$G$4),-3)</f>
        <v>4264000</v>
      </c>
    </row>
    <row r="1576" spans="2:34" ht="15" customHeight="1" x14ac:dyDescent="0.2">
      <c r="B1576" s="11" t="s">
        <v>1211</v>
      </c>
      <c r="D1576" s="84" t="s">
        <v>276</v>
      </c>
      <c r="E1576" s="104">
        <v>58</v>
      </c>
      <c r="G1576" s="20">
        <v>1579</v>
      </c>
      <c r="H1576" s="13" t="s">
        <v>1241</v>
      </c>
      <c r="I1576" s="13" t="str">
        <f t="shared" si="50"/>
        <v>NW 26TH ST (NW 31ST Av/MLK JR Av to NW 21ST Av)</v>
      </c>
      <c r="J1576" s="12" t="s">
        <v>27</v>
      </c>
      <c r="K1576" s="13" t="str">
        <f>VLOOKUP(J1576,'Data-ProjectTypes'!A$3:B$13,2,FALSE)</f>
        <v>Program</v>
      </c>
      <c r="L1576" s="12" t="s">
        <v>1305</v>
      </c>
      <c r="M1576" s="105" t="s">
        <v>2619</v>
      </c>
      <c r="N1576" s="12" t="s">
        <v>2164</v>
      </c>
      <c r="Q1576" s="72">
        <v>1</v>
      </c>
      <c r="R1576" s="23">
        <v>682000</v>
      </c>
      <c r="Z1576" s="18">
        <f>ROUND(R1576*'Data-CostAssumptions'!$C$8,-3)</f>
        <v>682000</v>
      </c>
      <c r="AA1576" s="11">
        <f t="shared" si="49"/>
        <v>0</v>
      </c>
      <c r="AB1576" s="11">
        <v>2041</v>
      </c>
      <c r="AC1576" s="11">
        <v>2041</v>
      </c>
      <c r="AD1576" s="11">
        <v>2041</v>
      </c>
      <c r="AE1576" s="11">
        <v>2041</v>
      </c>
      <c r="AF1576" s="11">
        <v>0</v>
      </c>
      <c r="AG1576" s="19">
        <f>ROUND((Z1576*'Data-CostAssumptions'!$G$5)*(1+'Data-CostAssumptions'!$G$3)^(AC1576-'Data-CostAssumptions'!$G$4),-3)</f>
        <v>385000</v>
      </c>
      <c r="AH1576" s="19">
        <f>ROUND((Z1576)*(1+'Data-CostAssumptions'!$G$3)^(AE1576-'Data-CostAssumptions'!$G$4),-3)</f>
        <v>1749000</v>
      </c>
    </row>
    <row r="1577" spans="2:34" ht="15" customHeight="1" x14ac:dyDescent="0.2">
      <c r="B1577" s="11" t="s">
        <v>1211</v>
      </c>
      <c r="D1577" s="84" t="s">
        <v>276</v>
      </c>
      <c r="E1577" s="104">
        <v>38</v>
      </c>
      <c r="G1577" s="20">
        <v>1580</v>
      </c>
      <c r="H1577" s="13" t="s">
        <v>1233</v>
      </c>
      <c r="I1577" s="13" t="str">
        <f t="shared" si="50"/>
        <v>NW 2ND ST (NW 11TH Av to NW 7TH Av/AVE OF THE ARTS)</v>
      </c>
      <c r="J1577" s="12" t="s">
        <v>27</v>
      </c>
      <c r="K1577" s="13" t="str">
        <f>VLOOKUP(J1577,'Data-ProjectTypes'!A$3:B$13,2,FALSE)</f>
        <v>Program</v>
      </c>
      <c r="L1577" s="12" t="s">
        <v>1303</v>
      </c>
      <c r="M1577" s="105" t="s">
        <v>2620</v>
      </c>
      <c r="N1577" s="12" t="s">
        <v>2615</v>
      </c>
      <c r="Q1577" s="72">
        <v>0.4</v>
      </c>
      <c r="R1577" s="23">
        <v>299000</v>
      </c>
      <c r="Z1577" s="18">
        <f>ROUND(R1577*'Data-CostAssumptions'!$C$8,-3)</f>
        <v>299000</v>
      </c>
      <c r="AA1577" s="11">
        <f t="shared" si="49"/>
        <v>0</v>
      </c>
      <c r="AB1577" s="11">
        <v>2041</v>
      </c>
      <c r="AC1577" s="11">
        <v>2041</v>
      </c>
      <c r="AD1577" s="11">
        <v>2041</v>
      </c>
      <c r="AE1577" s="11">
        <v>2041</v>
      </c>
      <c r="AF1577" s="11">
        <v>0</v>
      </c>
      <c r="AG1577" s="19">
        <f>ROUND((Z1577*'Data-CostAssumptions'!$G$5)*(1+'Data-CostAssumptions'!$G$3)^(AC1577-'Data-CostAssumptions'!$G$4),-3)</f>
        <v>169000</v>
      </c>
      <c r="AH1577" s="19">
        <f>ROUND((Z1577)*(1+'Data-CostAssumptions'!$G$3)^(AE1577-'Data-CostAssumptions'!$G$4),-3)</f>
        <v>767000</v>
      </c>
    </row>
    <row r="1578" spans="2:34" ht="15" customHeight="1" x14ac:dyDescent="0.2">
      <c r="B1578" s="11" t="s">
        <v>1211</v>
      </c>
      <c r="D1578" s="84" t="s">
        <v>276</v>
      </c>
      <c r="E1578" s="104">
        <v>37</v>
      </c>
      <c r="G1578" s="20">
        <v>1581</v>
      </c>
      <c r="H1578" s="13" t="s">
        <v>1233</v>
      </c>
      <c r="I1578" s="13" t="str">
        <f t="shared" si="50"/>
        <v>NW 2ND ST (NW 15TH Av to NW 11TH Av)</v>
      </c>
      <c r="J1578" s="12" t="s">
        <v>27</v>
      </c>
      <c r="K1578" s="13" t="str">
        <f>VLOOKUP(J1578,'Data-ProjectTypes'!A$3:B$13,2,FALSE)</f>
        <v>Program</v>
      </c>
      <c r="L1578" s="12" t="s">
        <v>1303</v>
      </c>
      <c r="M1578" s="105" t="s">
        <v>2160</v>
      </c>
      <c r="N1578" s="12" t="s">
        <v>2620</v>
      </c>
      <c r="Q1578" s="72">
        <v>0.4</v>
      </c>
      <c r="R1578" s="23">
        <v>299000</v>
      </c>
      <c r="Z1578" s="18">
        <f>ROUND(R1578*'Data-CostAssumptions'!$C$8,-3)</f>
        <v>299000</v>
      </c>
      <c r="AA1578" s="11">
        <f t="shared" si="49"/>
        <v>0</v>
      </c>
      <c r="AB1578" s="11">
        <v>2041</v>
      </c>
      <c r="AC1578" s="11">
        <v>2041</v>
      </c>
      <c r="AD1578" s="11">
        <v>2041</v>
      </c>
      <c r="AE1578" s="11">
        <v>2041</v>
      </c>
      <c r="AF1578" s="11">
        <v>0</v>
      </c>
      <c r="AG1578" s="19">
        <f>ROUND((Z1578*'Data-CostAssumptions'!$G$5)*(1+'Data-CostAssumptions'!$G$3)^(AC1578-'Data-CostAssumptions'!$G$4),-3)</f>
        <v>169000</v>
      </c>
      <c r="AH1578" s="19">
        <f>ROUND((Z1578)*(1+'Data-CostAssumptions'!$G$3)^(AE1578-'Data-CostAssumptions'!$G$4),-3)</f>
        <v>767000</v>
      </c>
    </row>
    <row r="1579" spans="2:34" ht="15" customHeight="1" x14ac:dyDescent="0.2">
      <c r="B1579" s="11" t="s">
        <v>1211</v>
      </c>
      <c r="D1579" s="84" t="s">
        <v>276</v>
      </c>
      <c r="E1579" s="104">
        <v>59</v>
      </c>
      <c r="G1579" s="20">
        <v>1582</v>
      </c>
      <c r="H1579" s="13" t="s">
        <v>2167</v>
      </c>
      <c r="I1579" s="13" t="str">
        <f t="shared" si="50"/>
        <v>NW 31ST Av (COMMERCIAL Bl to CYPRESS CREEK RD/NW 62ND ST)</v>
      </c>
      <c r="J1579" s="12" t="s">
        <v>27</v>
      </c>
      <c r="K1579" s="13" t="str">
        <f>VLOOKUP(J1579,'Data-ProjectTypes'!A$3:B$13,2,FALSE)</f>
        <v>Program</v>
      </c>
      <c r="L1579" s="12" t="s">
        <v>1356</v>
      </c>
      <c r="M1579" s="105" t="s">
        <v>1990</v>
      </c>
      <c r="N1579" s="12" t="s">
        <v>1448</v>
      </c>
      <c r="Q1579" s="72">
        <v>1.1000000000000001</v>
      </c>
      <c r="R1579" s="23">
        <v>1077450</v>
      </c>
      <c r="Z1579" s="18">
        <f>ROUND(R1579*'Data-CostAssumptions'!$C$8,-3)</f>
        <v>1077000</v>
      </c>
      <c r="AA1579" s="11">
        <f t="shared" si="49"/>
        <v>0</v>
      </c>
      <c r="AB1579" s="11">
        <v>2041</v>
      </c>
      <c r="AC1579" s="11">
        <v>2041</v>
      </c>
      <c r="AD1579" s="11">
        <v>2041</v>
      </c>
      <c r="AE1579" s="11">
        <v>2041</v>
      </c>
      <c r="AF1579" s="11">
        <v>0</v>
      </c>
      <c r="AG1579" s="19">
        <f>ROUND((Z1579*'Data-CostAssumptions'!$G$5)*(1+'Data-CostAssumptions'!$G$3)^(AC1579-'Data-CostAssumptions'!$G$4),-3)</f>
        <v>608000</v>
      </c>
      <c r="AH1579" s="19">
        <f>ROUND((Z1579)*(1+'Data-CostAssumptions'!$G$3)^(AE1579-'Data-CostAssumptions'!$G$4),-3)</f>
        <v>2761000</v>
      </c>
    </row>
    <row r="1580" spans="2:34" ht="15" customHeight="1" x14ac:dyDescent="0.2">
      <c r="B1580" s="11" t="s">
        <v>1211</v>
      </c>
      <c r="D1580" s="84" t="s">
        <v>276</v>
      </c>
      <c r="E1580" s="104">
        <v>60</v>
      </c>
      <c r="G1580" s="20">
        <v>1583</v>
      </c>
      <c r="H1580" s="13" t="s">
        <v>2167</v>
      </c>
      <c r="I1580" s="13" t="str">
        <f t="shared" si="50"/>
        <v>NW 31ST Av (NW 26TH ST  to NW 13TH ST)</v>
      </c>
      <c r="J1580" s="12" t="s">
        <v>27</v>
      </c>
      <c r="K1580" s="13" t="str">
        <f>VLOOKUP(J1580,'Data-ProjectTypes'!A$3:B$13,2,FALSE)</f>
        <v>Program</v>
      </c>
      <c r="L1580" s="12" t="s">
        <v>1358</v>
      </c>
      <c r="M1580" s="105" t="s">
        <v>1450</v>
      </c>
      <c r="N1580" s="12" t="s">
        <v>1449</v>
      </c>
      <c r="Q1580" s="72">
        <v>1.1000000000000001</v>
      </c>
      <c r="R1580" s="23">
        <v>1559250</v>
      </c>
      <c r="Z1580" s="18">
        <f>ROUND(R1580*'Data-CostAssumptions'!$C$8,-3)</f>
        <v>1559000</v>
      </c>
      <c r="AA1580" s="11">
        <f t="shared" si="49"/>
        <v>0</v>
      </c>
      <c r="AB1580" s="11">
        <v>2041</v>
      </c>
      <c r="AC1580" s="11">
        <v>2041</v>
      </c>
      <c r="AD1580" s="11">
        <v>2041</v>
      </c>
      <c r="AE1580" s="11">
        <v>2041</v>
      </c>
      <c r="AF1580" s="11">
        <v>0</v>
      </c>
      <c r="AG1580" s="19">
        <f>ROUND((Z1580*'Data-CostAssumptions'!$G$5)*(1+'Data-CostAssumptions'!$G$3)^(AC1580-'Data-CostAssumptions'!$G$4),-3)</f>
        <v>879000</v>
      </c>
      <c r="AH1580" s="19">
        <f>ROUND((Z1580)*(1+'Data-CostAssumptions'!$G$3)^(AE1580-'Data-CostAssumptions'!$G$4),-3)</f>
        <v>3997000</v>
      </c>
    </row>
    <row r="1581" spans="2:34" ht="15" customHeight="1" x14ac:dyDescent="0.2">
      <c r="B1581" s="11" t="s">
        <v>1211</v>
      </c>
      <c r="D1581" s="84" t="s">
        <v>276</v>
      </c>
      <c r="E1581" s="104">
        <v>29</v>
      </c>
      <c r="G1581" s="20">
        <v>1584</v>
      </c>
      <c r="H1581" s="13" t="s">
        <v>2168</v>
      </c>
      <c r="I1581" s="13" t="str">
        <f t="shared" ref="I1581:I1612" si="51">IF(M1581="@",H1581&amp;" ("&amp;M1581&amp;"  "&amp;N1581&amp;")",H1581&amp;" ("&amp;M1581&amp;" to "&amp;N1581&amp;")")</f>
        <v>NW 31ST Av/LYONS RD (CYPRESS CREEK RD/NW 62ND ST to MCNAB RD)</v>
      </c>
      <c r="J1581" s="12" t="s">
        <v>27</v>
      </c>
      <c r="K1581" s="13" t="str">
        <f>VLOOKUP(J1581,'Data-ProjectTypes'!A$3:B$13,2,FALSE)</f>
        <v>Program</v>
      </c>
      <c r="L1581" s="12" t="s">
        <v>1354</v>
      </c>
      <c r="M1581" s="105" t="s">
        <v>1448</v>
      </c>
      <c r="N1581" s="12" t="s">
        <v>1227</v>
      </c>
      <c r="Q1581" s="72">
        <v>0.5</v>
      </c>
      <c r="R1581" s="23">
        <v>386100</v>
      </c>
      <c r="Z1581" s="18">
        <f>ROUND(R1581*'Data-CostAssumptions'!$C$8,-3)</f>
        <v>386000</v>
      </c>
      <c r="AA1581" s="11">
        <f t="shared" si="49"/>
        <v>0</v>
      </c>
      <c r="AB1581" s="11">
        <v>2041</v>
      </c>
      <c r="AC1581" s="11">
        <v>2041</v>
      </c>
      <c r="AD1581" s="11">
        <v>2041</v>
      </c>
      <c r="AE1581" s="11">
        <v>2041</v>
      </c>
      <c r="AF1581" s="11">
        <v>0</v>
      </c>
      <c r="AG1581" s="19">
        <f>ROUND((Z1581*'Data-CostAssumptions'!$G$5)*(1+'Data-CostAssumptions'!$G$3)^(AC1581-'Data-CostAssumptions'!$G$4),-3)</f>
        <v>218000</v>
      </c>
      <c r="AH1581" s="19">
        <f>ROUND((Z1581)*(1+'Data-CostAssumptions'!$G$3)^(AE1581-'Data-CostAssumptions'!$G$4),-3)</f>
        <v>990000</v>
      </c>
    </row>
    <row r="1582" spans="2:34" ht="15" customHeight="1" x14ac:dyDescent="0.2">
      <c r="B1582" s="11" t="s">
        <v>1211</v>
      </c>
      <c r="D1582" s="84" t="s">
        <v>276</v>
      </c>
      <c r="E1582" s="104">
        <v>43</v>
      </c>
      <c r="G1582" s="20">
        <v>1585</v>
      </c>
      <c r="H1582" s="13" t="s">
        <v>1235</v>
      </c>
      <c r="I1582" s="13" t="str">
        <f t="shared" si="51"/>
        <v>NW 4TH ST (NW 18TH Av to NW 7TH Av)</v>
      </c>
      <c r="J1582" s="12" t="s">
        <v>27</v>
      </c>
      <c r="K1582" s="13" t="str">
        <f>VLOOKUP(J1582,'Data-ProjectTypes'!A$3:B$13,2,FALSE)</f>
        <v>Program</v>
      </c>
      <c r="L1582" s="12" t="s">
        <v>1322</v>
      </c>
      <c r="M1582" s="105" t="s">
        <v>2623</v>
      </c>
      <c r="N1582" s="12" t="s">
        <v>2601</v>
      </c>
      <c r="Q1582" s="72">
        <v>1</v>
      </c>
      <c r="R1582" s="23">
        <v>243000</v>
      </c>
      <c r="Z1582" s="18">
        <f>ROUND(R1582*'Data-CostAssumptions'!$C$8,-3)</f>
        <v>243000</v>
      </c>
      <c r="AA1582" s="11">
        <f t="shared" si="49"/>
        <v>0</v>
      </c>
      <c r="AB1582" s="11">
        <v>2041</v>
      </c>
      <c r="AC1582" s="11">
        <v>2041</v>
      </c>
      <c r="AD1582" s="11">
        <v>2041</v>
      </c>
      <c r="AE1582" s="11">
        <v>2041</v>
      </c>
      <c r="AF1582" s="11">
        <v>0</v>
      </c>
      <c r="AG1582" s="19">
        <f>ROUND((Z1582*'Data-CostAssumptions'!$G$5)*(1+'Data-CostAssumptions'!$G$3)^(AC1582-'Data-CostAssumptions'!$G$4),-3)</f>
        <v>137000</v>
      </c>
      <c r="AH1582" s="19">
        <f>ROUND((Z1582)*(1+'Data-CostAssumptions'!$G$3)^(AE1582-'Data-CostAssumptions'!$G$4),-3)</f>
        <v>623000</v>
      </c>
    </row>
    <row r="1583" spans="2:34" ht="15" customHeight="1" x14ac:dyDescent="0.2">
      <c r="B1583" s="11" t="s">
        <v>1211</v>
      </c>
      <c r="D1583" s="84" t="s">
        <v>276</v>
      </c>
      <c r="E1583" s="104">
        <v>63</v>
      </c>
      <c r="G1583" s="20">
        <v>1586</v>
      </c>
      <c r="H1583" s="13" t="s">
        <v>1238</v>
      </c>
      <c r="I1583" s="13" t="str">
        <f t="shared" si="51"/>
        <v>NW 6TH ST (NW 15TH Av to NW 27TH Av)</v>
      </c>
      <c r="J1583" s="12" t="s">
        <v>27</v>
      </c>
      <c r="K1583" s="13" t="str">
        <f>VLOOKUP(J1583,'Data-ProjectTypes'!A$3:B$13,2,FALSE)</f>
        <v>Program</v>
      </c>
      <c r="L1583" s="12" t="s">
        <v>1331</v>
      </c>
      <c r="M1583" s="105" t="s">
        <v>2160</v>
      </c>
      <c r="N1583" s="12" t="s">
        <v>2605</v>
      </c>
      <c r="Q1583" s="72">
        <v>1</v>
      </c>
      <c r="R1583" s="23">
        <v>424250</v>
      </c>
      <c r="Z1583" s="18">
        <f>ROUND(R1583*'Data-CostAssumptions'!$C$8,-3)</f>
        <v>424000</v>
      </c>
      <c r="AA1583" s="11">
        <f t="shared" si="49"/>
        <v>0</v>
      </c>
      <c r="AB1583" s="11">
        <v>2041</v>
      </c>
      <c r="AC1583" s="11">
        <v>2041</v>
      </c>
      <c r="AD1583" s="11">
        <v>2041</v>
      </c>
      <c r="AE1583" s="11">
        <v>2041</v>
      </c>
      <c r="AF1583" s="11">
        <v>0</v>
      </c>
      <c r="AG1583" s="19">
        <f>ROUND((Z1583*'Data-CostAssumptions'!$G$5)*(1+'Data-CostAssumptions'!$G$3)^(AC1583-'Data-CostAssumptions'!$G$4),-3)</f>
        <v>239000</v>
      </c>
      <c r="AH1583" s="19">
        <f>ROUND((Z1583)*(1+'Data-CostAssumptions'!$G$3)^(AE1583-'Data-CostAssumptions'!$G$4),-3)</f>
        <v>1087000</v>
      </c>
    </row>
    <row r="1584" spans="2:34" ht="15" customHeight="1" x14ac:dyDescent="0.2">
      <c r="B1584" s="11" t="s">
        <v>1211</v>
      </c>
      <c r="D1584" s="84" t="s">
        <v>276</v>
      </c>
      <c r="E1584" s="104">
        <v>62</v>
      </c>
      <c r="G1584" s="20">
        <v>1587</v>
      </c>
      <c r="H1584" s="13" t="s">
        <v>1238</v>
      </c>
      <c r="I1584" s="13" t="str">
        <f t="shared" si="51"/>
        <v>NW 6TH ST (NW 7TH Av/AVE OF THE ARTS to NW 15TH Av)</v>
      </c>
      <c r="J1584" s="12" t="s">
        <v>27</v>
      </c>
      <c r="K1584" s="13" t="str">
        <f>VLOOKUP(J1584,'Data-ProjectTypes'!A$3:B$13,2,FALSE)</f>
        <v>Program</v>
      </c>
      <c r="L1584" s="12" t="s">
        <v>1741</v>
      </c>
      <c r="M1584" s="105" t="s">
        <v>2615</v>
      </c>
      <c r="N1584" s="12" t="s">
        <v>2160</v>
      </c>
      <c r="Q1584" s="72">
        <v>0.7</v>
      </c>
      <c r="R1584" s="23">
        <v>99150</v>
      </c>
      <c r="Z1584" s="18">
        <f>ROUND(R1584*'Data-CostAssumptions'!$C$8,-3)</f>
        <v>99000</v>
      </c>
      <c r="AA1584" s="11">
        <f t="shared" si="49"/>
        <v>0</v>
      </c>
      <c r="AB1584" s="11">
        <v>2041</v>
      </c>
      <c r="AC1584" s="11">
        <v>2041</v>
      </c>
      <c r="AD1584" s="11">
        <v>2041</v>
      </c>
      <c r="AE1584" s="11">
        <v>2041</v>
      </c>
      <c r="AF1584" s="11">
        <v>0</v>
      </c>
      <c r="AG1584" s="19">
        <f>ROUND((Z1584*'Data-CostAssumptions'!$G$5)*(1+'Data-CostAssumptions'!$G$3)^(AC1584-'Data-CostAssumptions'!$G$4),-3)</f>
        <v>56000</v>
      </c>
      <c r="AH1584" s="19">
        <f>ROUND((Z1584)*(1+'Data-CostAssumptions'!$G$3)^(AE1584-'Data-CostAssumptions'!$G$4),-3)</f>
        <v>254000</v>
      </c>
    </row>
    <row r="1585" spans="2:34" ht="15" customHeight="1" x14ac:dyDescent="0.2">
      <c r="B1585" s="11" t="s">
        <v>1211</v>
      </c>
      <c r="D1585" s="84" t="s">
        <v>276</v>
      </c>
      <c r="E1585" s="104">
        <v>66</v>
      </c>
      <c r="G1585" s="20">
        <v>1588</v>
      </c>
      <c r="H1585" s="13" t="s">
        <v>1982</v>
      </c>
      <c r="I1585" s="13" t="str">
        <f t="shared" si="51"/>
        <v>NW 7th Av (BROWARD Bl to NW 6TH ST/SISTRUNK Bl)</v>
      </c>
      <c r="J1585" s="12" t="s">
        <v>27</v>
      </c>
      <c r="K1585" s="13" t="str">
        <f>VLOOKUP(J1585,'Data-ProjectTypes'!A$3:B$13,2,FALSE)</f>
        <v>Program</v>
      </c>
      <c r="L1585" s="12" t="s">
        <v>1334</v>
      </c>
      <c r="M1585" s="105" t="s">
        <v>1988</v>
      </c>
      <c r="N1585" s="12" t="s">
        <v>2304</v>
      </c>
      <c r="Q1585" s="72">
        <v>0.5</v>
      </c>
      <c r="R1585" s="23">
        <v>386100</v>
      </c>
      <c r="Z1585" s="18">
        <f>ROUND(R1585*'Data-CostAssumptions'!$C$8,-3)</f>
        <v>386000</v>
      </c>
      <c r="AA1585" s="11">
        <f t="shared" si="49"/>
        <v>0</v>
      </c>
      <c r="AB1585" s="11">
        <v>2041</v>
      </c>
      <c r="AC1585" s="11">
        <v>2041</v>
      </c>
      <c r="AD1585" s="11">
        <v>2041</v>
      </c>
      <c r="AE1585" s="11">
        <v>2041</v>
      </c>
      <c r="AF1585" s="11">
        <v>0</v>
      </c>
      <c r="AG1585" s="19">
        <f>ROUND((Z1585*'Data-CostAssumptions'!$G$5)*(1+'Data-CostAssumptions'!$G$3)^(AC1585-'Data-CostAssumptions'!$G$4),-3)</f>
        <v>218000</v>
      </c>
      <c r="AH1585" s="19">
        <f>ROUND((Z1585)*(1+'Data-CostAssumptions'!$G$3)^(AE1585-'Data-CostAssumptions'!$G$4),-3)</f>
        <v>990000</v>
      </c>
    </row>
    <row r="1586" spans="2:34" ht="15" customHeight="1" x14ac:dyDescent="0.2">
      <c r="B1586" s="11" t="s">
        <v>1211</v>
      </c>
      <c r="D1586" s="84" t="s">
        <v>276</v>
      </c>
      <c r="E1586" s="104">
        <v>65</v>
      </c>
      <c r="G1586" s="20">
        <v>1589</v>
      </c>
      <c r="H1586" s="13" t="s">
        <v>1982</v>
      </c>
      <c r="I1586" s="13" t="str">
        <f t="shared" si="51"/>
        <v>NW 7th Av (NW 6TH ST/SISTRUNK Bl to SUNRISE Bl/SR 838)</v>
      </c>
      <c r="J1586" s="12" t="s">
        <v>27</v>
      </c>
      <c r="K1586" s="13" t="str">
        <f>VLOOKUP(J1586,'Data-ProjectTypes'!A$3:B$13,2,FALSE)</f>
        <v>Program</v>
      </c>
      <c r="L1586" s="12" t="s">
        <v>1336</v>
      </c>
      <c r="M1586" s="105" t="s">
        <v>2304</v>
      </c>
      <c r="N1586" s="12" t="s">
        <v>2305</v>
      </c>
      <c r="Q1586" s="72">
        <v>0.5</v>
      </c>
      <c r="R1586" s="23">
        <v>371250</v>
      </c>
      <c r="Z1586" s="18">
        <f>ROUND(R1586*'Data-CostAssumptions'!$C$8,-3)</f>
        <v>371000</v>
      </c>
      <c r="AA1586" s="11">
        <f t="shared" si="49"/>
        <v>0</v>
      </c>
      <c r="AB1586" s="11">
        <v>2041</v>
      </c>
      <c r="AC1586" s="11">
        <v>2041</v>
      </c>
      <c r="AD1586" s="11">
        <v>2041</v>
      </c>
      <c r="AE1586" s="11">
        <v>2041</v>
      </c>
      <c r="AF1586" s="11">
        <v>0</v>
      </c>
      <c r="AG1586" s="19">
        <f>ROUND((Z1586*'Data-CostAssumptions'!$G$5)*(1+'Data-CostAssumptions'!$G$3)^(AC1586-'Data-CostAssumptions'!$G$4),-3)</f>
        <v>209000</v>
      </c>
      <c r="AH1586" s="19">
        <f>ROUND((Z1586)*(1+'Data-CostAssumptions'!$G$3)^(AE1586-'Data-CostAssumptions'!$G$4),-3)</f>
        <v>951000</v>
      </c>
    </row>
    <row r="1587" spans="2:34" ht="15" customHeight="1" x14ac:dyDescent="0.2">
      <c r="B1587" s="11" t="s">
        <v>1211</v>
      </c>
      <c r="D1587" s="84" t="s">
        <v>276</v>
      </c>
      <c r="E1587" s="104">
        <v>64</v>
      </c>
      <c r="G1587" s="20">
        <v>1590</v>
      </c>
      <c r="H1587" s="13" t="s">
        <v>1982</v>
      </c>
      <c r="I1587" s="13" t="str">
        <f t="shared" si="51"/>
        <v>NW 7th Av (SUNRISE Bl/SR 838 to NW 19TH ST)</v>
      </c>
      <c r="J1587" s="12" t="s">
        <v>27</v>
      </c>
      <c r="K1587" s="13" t="str">
        <f>VLOOKUP(J1587,'Data-ProjectTypes'!A$3:B$13,2,FALSE)</f>
        <v>Program</v>
      </c>
      <c r="L1587" s="12" t="s">
        <v>1338</v>
      </c>
      <c r="M1587" s="105" t="s">
        <v>2305</v>
      </c>
      <c r="N1587" s="12" t="s">
        <v>1240</v>
      </c>
      <c r="Q1587" s="72">
        <v>1</v>
      </c>
      <c r="R1587" s="23">
        <v>680000</v>
      </c>
      <c r="Z1587" s="18">
        <f>ROUND(R1587*'Data-CostAssumptions'!$C$8,-3)</f>
        <v>680000</v>
      </c>
      <c r="AA1587" s="11">
        <f t="shared" si="49"/>
        <v>0</v>
      </c>
      <c r="AB1587" s="11">
        <v>2041</v>
      </c>
      <c r="AC1587" s="11">
        <v>2041</v>
      </c>
      <c r="AD1587" s="11">
        <v>2041</v>
      </c>
      <c r="AE1587" s="11">
        <v>2041</v>
      </c>
      <c r="AF1587" s="11">
        <v>0</v>
      </c>
      <c r="AG1587" s="19">
        <f>ROUND((Z1587*'Data-CostAssumptions'!$G$5)*(1+'Data-CostAssumptions'!$G$3)^(AC1587-'Data-CostAssumptions'!$G$4),-3)</f>
        <v>384000</v>
      </c>
      <c r="AH1587" s="19">
        <f>ROUND((Z1587)*(1+'Data-CostAssumptions'!$G$3)^(AE1587-'Data-CostAssumptions'!$G$4),-3)</f>
        <v>1743000</v>
      </c>
    </row>
    <row r="1588" spans="2:34" ht="15" customHeight="1" x14ac:dyDescent="0.2">
      <c r="B1588" s="11" t="s">
        <v>1211</v>
      </c>
      <c r="D1588" s="84" t="s">
        <v>276</v>
      </c>
      <c r="E1588" s="104">
        <v>67</v>
      </c>
      <c r="G1588" s="20">
        <v>1591</v>
      </c>
      <c r="H1588" s="13" t="s">
        <v>1983</v>
      </c>
      <c r="I1588" s="13" t="str">
        <f t="shared" si="51"/>
        <v>NW 9th Av (BROWARD Bl to NW 6TH ST)</v>
      </c>
      <c r="J1588" s="12" t="s">
        <v>27</v>
      </c>
      <c r="K1588" s="13" t="str">
        <f>VLOOKUP(J1588,'Data-ProjectTypes'!A$3:B$13,2,FALSE)</f>
        <v>Program</v>
      </c>
      <c r="L1588" s="12" t="s">
        <v>1339</v>
      </c>
      <c r="M1588" s="105" t="s">
        <v>1988</v>
      </c>
      <c r="N1588" s="12" t="s">
        <v>1238</v>
      </c>
      <c r="Q1588" s="72">
        <v>1</v>
      </c>
      <c r="R1588" s="23">
        <v>334400</v>
      </c>
      <c r="Z1588" s="18">
        <f>ROUND(R1588*'Data-CostAssumptions'!$C$8,-3)</f>
        <v>334000</v>
      </c>
      <c r="AA1588" s="11">
        <f t="shared" si="49"/>
        <v>0</v>
      </c>
      <c r="AB1588" s="11">
        <v>2041</v>
      </c>
      <c r="AC1588" s="11">
        <v>2041</v>
      </c>
      <c r="AD1588" s="11">
        <v>2041</v>
      </c>
      <c r="AE1588" s="11">
        <v>2041</v>
      </c>
      <c r="AF1588" s="11">
        <v>0</v>
      </c>
      <c r="AG1588" s="19">
        <f>ROUND((Z1588*'Data-CostAssumptions'!$G$5)*(1+'Data-CostAssumptions'!$G$3)^(AC1588-'Data-CostAssumptions'!$G$4),-3)</f>
        <v>188000</v>
      </c>
      <c r="AH1588" s="19">
        <f>ROUND((Z1588)*(1+'Data-CostAssumptions'!$G$3)^(AE1588-'Data-CostAssumptions'!$G$4),-3)</f>
        <v>856000</v>
      </c>
    </row>
    <row r="1589" spans="2:34" ht="15" customHeight="1" x14ac:dyDescent="0.2">
      <c r="B1589" s="11" t="s">
        <v>1211</v>
      </c>
      <c r="D1589" s="84" t="s">
        <v>276</v>
      </c>
      <c r="E1589" s="104">
        <v>68</v>
      </c>
      <c r="G1589" s="20">
        <v>1592</v>
      </c>
      <c r="H1589" s="13" t="s">
        <v>1983</v>
      </c>
      <c r="I1589" s="13" t="str">
        <f t="shared" si="51"/>
        <v>NW 9th Av (NW 6TH ST to SUNRISE Bl)</v>
      </c>
      <c r="J1589" s="12" t="s">
        <v>27</v>
      </c>
      <c r="K1589" s="13" t="str">
        <f>VLOOKUP(J1589,'Data-ProjectTypes'!A$3:B$13,2,FALSE)</f>
        <v>Program</v>
      </c>
      <c r="L1589" s="12" t="s">
        <v>1339</v>
      </c>
      <c r="M1589" s="105" t="s">
        <v>1238</v>
      </c>
      <c r="N1589" s="12" t="s">
        <v>2002</v>
      </c>
      <c r="Q1589" s="72">
        <v>0.5</v>
      </c>
      <c r="R1589" s="23">
        <v>334400</v>
      </c>
      <c r="Z1589" s="18">
        <f>ROUND(R1589*'Data-CostAssumptions'!$C$8,-3)</f>
        <v>334000</v>
      </c>
      <c r="AA1589" s="11">
        <f t="shared" si="49"/>
        <v>0</v>
      </c>
      <c r="AB1589" s="11">
        <v>2041</v>
      </c>
      <c r="AC1589" s="11">
        <v>2041</v>
      </c>
      <c r="AD1589" s="11">
        <v>2041</v>
      </c>
      <c r="AE1589" s="11">
        <v>2041</v>
      </c>
      <c r="AF1589" s="11">
        <v>0</v>
      </c>
      <c r="AG1589" s="19">
        <f>ROUND((Z1589*'Data-CostAssumptions'!$G$5)*(1+'Data-CostAssumptions'!$G$3)^(AC1589-'Data-CostAssumptions'!$G$4),-3)</f>
        <v>188000</v>
      </c>
      <c r="AH1589" s="19">
        <f>ROUND((Z1589)*(1+'Data-CostAssumptions'!$G$3)^(AE1589-'Data-CostAssumptions'!$G$4),-3)</f>
        <v>856000</v>
      </c>
    </row>
    <row r="1590" spans="2:34" ht="15" customHeight="1" x14ac:dyDescent="0.2">
      <c r="B1590" s="11" t="s">
        <v>1211</v>
      </c>
      <c r="D1590" s="84" t="s">
        <v>276</v>
      </c>
      <c r="E1590" s="104">
        <v>69</v>
      </c>
      <c r="G1590" s="20">
        <v>1593</v>
      </c>
      <c r="H1590" s="13" t="s">
        <v>2172</v>
      </c>
      <c r="I1590" s="13" t="str">
        <f t="shared" si="51"/>
        <v>NW 9TH Av/POWERLINE RD (SUNRISE Bl to NW 23RD ST)</v>
      </c>
      <c r="J1590" s="12" t="s">
        <v>27</v>
      </c>
      <c r="K1590" s="13" t="str">
        <f>VLOOKUP(J1590,'Data-ProjectTypes'!A$3:B$13,2,FALSE)</f>
        <v>Program</v>
      </c>
      <c r="L1590" s="12" t="s">
        <v>1341</v>
      </c>
      <c r="M1590" s="105" t="s">
        <v>2002</v>
      </c>
      <c r="N1590" s="12" t="s">
        <v>1444</v>
      </c>
      <c r="Q1590" s="72">
        <v>1.4</v>
      </c>
      <c r="R1590" s="23">
        <v>1312650</v>
      </c>
      <c r="Z1590" s="18">
        <f>ROUND(R1590*'Data-CostAssumptions'!$C$8,-3)</f>
        <v>1313000</v>
      </c>
      <c r="AA1590" s="11">
        <f t="shared" si="49"/>
        <v>0</v>
      </c>
      <c r="AB1590" s="11">
        <v>2041</v>
      </c>
      <c r="AC1590" s="11">
        <v>2041</v>
      </c>
      <c r="AD1590" s="11">
        <v>2041</v>
      </c>
      <c r="AE1590" s="11">
        <v>2041</v>
      </c>
      <c r="AF1590" s="11">
        <v>0</v>
      </c>
      <c r="AG1590" s="19">
        <f>ROUND((Z1590*'Data-CostAssumptions'!$G$5)*(1+'Data-CostAssumptions'!$G$3)^(AC1590-'Data-CostAssumptions'!$G$4),-3)</f>
        <v>741000</v>
      </c>
      <c r="AH1590" s="19">
        <f>ROUND((Z1590)*(1+'Data-CostAssumptions'!$G$3)^(AE1590-'Data-CostAssumptions'!$G$4),-3)</f>
        <v>3366000</v>
      </c>
    </row>
    <row r="1591" spans="2:34" ht="15" customHeight="1" x14ac:dyDescent="0.2">
      <c r="B1591" s="11" t="s">
        <v>1211</v>
      </c>
      <c r="D1591" s="84" t="s">
        <v>276</v>
      </c>
      <c r="E1591" s="104">
        <v>70</v>
      </c>
      <c r="G1591" s="20">
        <v>1594</v>
      </c>
      <c r="H1591" s="13" t="s">
        <v>2173</v>
      </c>
      <c r="I1591" s="13" t="str">
        <f t="shared" si="51"/>
        <v>NW 9TH Av/POWER-LINE RD (PROSPECT RD to MCNAB Rd)</v>
      </c>
      <c r="J1591" s="12" t="s">
        <v>27</v>
      </c>
      <c r="K1591" s="13" t="str">
        <f>VLOOKUP(J1591,'Data-ProjectTypes'!A$3:B$13,2,FALSE)</f>
        <v>Program</v>
      </c>
      <c r="L1591" s="12" t="s">
        <v>1341</v>
      </c>
      <c r="M1591" s="105" t="s">
        <v>1242</v>
      </c>
      <c r="N1591" s="12" t="s">
        <v>2400</v>
      </c>
      <c r="Q1591" s="72">
        <v>2</v>
      </c>
      <c r="R1591" s="23">
        <v>1876950</v>
      </c>
      <c r="Z1591" s="18">
        <f>ROUND(R1591*'Data-CostAssumptions'!$C$8,-3)</f>
        <v>1877000</v>
      </c>
      <c r="AA1591" s="11">
        <f t="shared" si="49"/>
        <v>0</v>
      </c>
      <c r="AB1591" s="11">
        <v>2041</v>
      </c>
      <c r="AC1591" s="11">
        <v>2041</v>
      </c>
      <c r="AD1591" s="11">
        <v>2041</v>
      </c>
      <c r="AE1591" s="11">
        <v>2041</v>
      </c>
      <c r="AF1591" s="11">
        <v>0</v>
      </c>
      <c r="AG1591" s="19">
        <f>ROUND((Z1591*'Data-CostAssumptions'!$G$5)*(1+'Data-CostAssumptions'!$G$3)^(AC1591-'Data-CostAssumptions'!$G$4),-3)</f>
        <v>1059000</v>
      </c>
      <c r="AH1591" s="19">
        <f>ROUND((Z1591)*(1+'Data-CostAssumptions'!$G$3)^(AE1591-'Data-CostAssumptions'!$G$4),-3)</f>
        <v>4813000</v>
      </c>
    </row>
    <row r="1592" spans="2:34" ht="15" customHeight="1" x14ac:dyDescent="0.2">
      <c r="B1592" s="11" t="s">
        <v>1211</v>
      </c>
      <c r="D1592" s="84" t="s">
        <v>276</v>
      </c>
      <c r="E1592" s="104">
        <v>39</v>
      </c>
      <c r="G1592" s="20">
        <v>1595</v>
      </c>
      <c r="H1592" s="13" t="s">
        <v>1234</v>
      </c>
      <c r="I1592" s="13" t="str">
        <f t="shared" si="51"/>
        <v>NW/NE 2ND ST (NW 7TH Av/AVE OF THE ARTS to US 1/SR 5/FEDERAL HWY)</v>
      </c>
      <c r="J1592" s="12" t="s">
        <v>27</v>
      </c>
      <c r="K1592" s="13" t="str">
        <f>VLOOKUP(J1592,'Data-ProjectTypes'!A$3:B$13,2,FALSE)</f>
        <v>Program</v>
      </c>
      <c r="L1592" s="12" t="s">
        <v>1320</v>
      </c>
      <c r="M1592" s="105" t="s">
        <v>2615</v>
      </c>
      <c r="N1592" s="12" t="s">
        <v>1425</v>
      </c>
      <c r="Q1592" s="72">
        <v>0.8</v>
      </c>
      <c r="R1592" s="23">
        <v>613300</v>
      </c>
      <c r="Z1592" s="18">
        <f>ROUND(R1592*'Data-CostAssumptions'!$C$8,-3)</f>
        <v>613000</v>
      </c>
      <c r="AA1592" s="11">
        <f t="shared" si="49"/>
        <v>0</v>
      </c>
      <c r="AB1592" s="11">
        <v>2041</v>
      </c>
      <c r="AC1592" s="11">
        <v>2041</v>
      </c>
      <c r="AD1592" s="11">
        <v>2041</v>
      </c>
      <c r="AE1592" s="11">
        <v>2041</v>
      </c>
      <c r="AF1592" s="11">
        <v>0</v>
      </c>
      <c r="AG1592" s="19">
        <f>ROUND((Z1592*'Data-CostAssumptions'!$G$5)*(1+'Data-CostAssumptions'!$G$3)^(AC1592-'Data-CostAssumptions'!$G$4),-3)</f>
        <v>346000</v>
      </c>
      <c r="AH1592" s="19">
        <f>ROUND((Z1592)*(1+'Data-CostAssumptions'!$G$3)^(AE1592-'Data-CostAssumptions'!$G$4),-3)</f>
        <v>1572000</v>
      </c>
    </row>
    <row r="1593" spans="2:34" ht="15" customHeight="1" x14ac:dyDescent="0.2">
      <c r="B1593" s="11" t="s">
        <v>1211</v>
      </c>
      <c r="D1593" s="84" t="s">
        <v>276</v>
      </c>
      <c r="E1593" s="104">
        <v>44</v>
      </c>
      <c r="G1593" s="20">
        <v>1596</v>
      </c>
      <c r="H1593" s="13" t="s">
        <v>1236</v>
      </c>
      <c r="I1593" s="13" t="str">
        <f t="shared" si="51"/>
        <v>NW/NE 4TH ST (NW 7TH Av to US 1/SR 5/FEDERAL HWY)</v>
      </c>
      <c r="J1593" s="12" t="s">
        <v>27</v>
      </c>
      <c r="K1593" s="13" t="str">
        <f>VLOOKUP(J1593,'Data-ProjectTypes'!A$3:B$13,2,FALSE)</f>
        <v>Program</v>
      </c>
      <c r="L1593" s="12" t="s">
        <v>1323</v>
      </c>
      <c r="M1593" s="105" t="s">
        <v>2601</v>
      </c>
      <c r="N1593" s="12" t="s">
        <v>1425</v>
      </c>
      <c r="Q1593" s="72">
        <v>0.8</v>
      </c>
      <c r="R1593" s="23">
        <v>642000</v>
      </c>
      <c r="Z1593" s="18">
        <f>ROUND(R1593*'Data-CostAssumptions'!$C$8,-3)</f>
        <v>642000</v>
      </c>
      <c r="AA1593" s="11">
        <f t="shared" si="49"/>
        <v>0</v>
      </c>
      <c r="AB1593" s="11">
        <v>2041</v>
      </c>
      <c r="AC1593" s="11">
        <v>2041</v>
      </c>
      <c r="AD1593" s="11">
        <v>2041</v>
      </c>
      <c r="AE1593" s="11">
        <v>2041</v>
      </c>
      <c r="AF1593" s="11">
        <v>0</v>
      </c>
      <c r="AG1593" s="19">
        <f>ROUND((Z1593*'Data-CostAssumptions'!$G$5)*(1+'Data-CostAssumptions'!$G$3)^(AC1593-'Data-CostAssumptions'!$G$4),-3)</f>
        <v>362000</v>
      </c>
      <c r="AH1593" s="19">
        <f>ROUND((Z1593)*(1+'Data-CostAssumptions'!$G$3)^(AE1593-'Data-CostAssumptions'!$G$4),-3)</f>
        <v>1646000</v>
      </c>
    </row>
    <row r="1594" spans="2:34" ht="15" customHeight="1" x14ac:dyDescent="0.2">
      <c r="B1594" s="11" t="s">
        <v>1211</v>
      </c>
      <c r="D1594" s="84" t="s">
        <v>276</v>
      </c>
      <c r="E1594" s="104">
        <v>76</v>
      </c>
      <c r="G1594" s="20">
        <v>1597</v>
      </c>
      <c r="H1594" s="13" t="s">
        <v>1859</v>
      </c>
      <c r="I1594" s="13" t="str">
        <f t="shared" si="51"/>
        <v>Prospect Rd (COMMERCIAL Bl/SR 870 to NW 31ST Av)</v>
      </c>
      <c r="J1594" s="12" t="s">
        <v>27</v>
      </c>
      <c r="K1594" s="13" t="str">
        <f>VLOOKUP(J1594,'Data-ProjectTypes'!A$3:B$13,2,FALSE)</f>
        <v>Program</v>
      </c>
      <c r="L1594" s="12" t="s">
        <v>1363</v>
      </c>
      <c r="M1594" s="105" t="s">
        <v>2308</v>
      </c>
      <c r="N1594" s="12" t="s">
        <v>2167</v>
      </c>
      <c r="Q1594" s="72">
        <v>1.2</v>
      </c>
      <c r="R1594" s="23">
        <v>1267350</v>
      </c>
      <c r="Z1594" s="18">
        <f>ROUND(R1594*'Data-CostAssumptions'!$C$8,-3)</f>
        <v>1267000</v>
      </c>
      <c r="AA1594" s="11">
        <f t="shared" si="49"/>
        <v>0</v>
      </c>
      <c r="AB1594" s="11">
        <v>2041</v>
      </c>
      <c r="AC1594" s="11">
        <v>2041</v>
      </c>
      <c r="AD1594" s="11">
        <v>2041</v>
      </c>
      <c r="AE1594" s="11">
        <v>2041</v>
      </c>
      <c r="AF1594" s="11">
        <v>0</v>
      </c>
      <c r="AG1594" s="19">
        <f>ROUND((Z1594*'Data-CostAssumptions'!$G$5)*(1+'Data-CostAssumptions'!$G$3)^(AC1594-'Data-CostAssumptions'!$G$4),-3)</f>
        <v>715000</v>
      </c>
      <c r="AH1594" s="19">
        <f>ROUND((Z1594)*(1+'Data-CostAssumptions'!$G$3)^(AE1594-'Data-CostAssumptions'!$G$4),-3)</f>
        <v>3249000</v>
      </c>
    </row>
    <row r="1595" spans="2:34" ht="15" customHeight="1" x14ac:dyDescent="0.2">
      <c r="B1595" s="11" t="s">
        <v>1211</v>
      </c>
      <c r="D1595" s="84" t="s">
        <v>276</v>
      </c>
      <c r="E1595" s="104">
        <v>75</v>
      </c>
      <c r="G1595" s="20">
        <v>1598</v>
      </c>
      <c r="H1595" s="13" t="s">
        <v>1859</v>
      </c>
      <c r="I1595" s="13" t="str">
        <f t="shared" si="51"/>
        <v>Prospect Rd (NW 31ST Av to SR 7/US 441)</v>
      </c>
      <c r="J1595" s="12" t="s">
        <v>27</v>
      </c>
      <c r="K1595" s="13" t="str">
        <f>VLOOKUP(J1595,'Data-ProjectTypes'!A$3:B$13,2,FALSE)</f>
        <v>Program</v>
      </c>
      <c r="L1595" s="12" t="s">
        <v>1365</v>
      </c>
      <c r="M1595" s="105" t="s">
        <v>2167</v>
      </c>
      <c r="N1595" s="12" t="s">
        <v>57</v>
      </c>
      <c r="Q1595" s="72">
        <v>1</v>
      </c>
      <c r="R1595" s="23">
        <v>1284550</v>
      </c>
      <c r="Z1595" s="18">
        <f>ROUND(R1595*'Data-CostAssumptions'!$C$8,-3)</f>
        <v>1285000</v>
      </c>
      <c r="AA1595" s="11">
        <f t="shared" si="49"/>
        <v>0</v>
      </c>
      <c r="AB1595" s="11">
        <v>2041</v>
      </c>
      <c r="AC1595" s="11">
        <v>2041</v>
      </c>
      <c r="AD1595" s="11">
        <v>2041</v>
      </c>
      <c r="AE1595" s="11">
        <v>2041</v>
      </c>
      <c r="AF1595" s="11">
        <v>0</v>
      </c>
      <c r="AG1595" s="19">
        <f>ROUND((Z1595*'Data-CostAssumptions'!$G$5)*(1+'Data-CostAssumptions'!$G$3)^(AC1595-'Data-CostAssumptions'!$G$4),-3)</f>
        <v>725000</v>
      </c>
      <c r="AH1595" s="19">
        <f>ROUND((Z1595)*(1+'Data-CostAssumptions'!$G$3)^(AE1595-'Data-CostAssumptions'!$G$4),-3)</f>
        <v>3295000</v>
      </c>
    </row>
    <row r="1596" spans="2:34" ht="15" customHeight="1" x14ac:dyDescent="0.2">
      <c r="B1596" s="11" t="s">
        <v>1211</v>
      </c>
      <c r="D1596" s="84" t="s">
        <v>276</v>
      </c>
      <c r="E1596" s="104">
        <v>74</v>
      </c>
      <c r="G1596" s="20">
        <v>1599</v>
      </c>
      <c r="H1596" s="13" t="s">
        <v>1859</v>
      </c>
      <c r="I1596" s="13" t="str">
        <f t="shared" si="51"/>
        <v>Prospect Rd (POWERLINE RD/SR 845 to COMMERCIAL Bl/SR 870)</v>
      </c>
      <c r="J1596" s="12" t="s">
        <v>27</v>
      </c>
      <c r="K1596" s="13" t="str">
        <f>VLOOKUP(J1596,'Data-ProjectTypes'!A$3:B$13,2,FALSE)</f>
        <v>Program</v>
      </c>
      <c r="L1596" s="12" t="s">
        <v>1361</v>
      </c>
      <c r="M1596" s="105" t="s">
        <v>1451</v>
      </c>
      <c r="N1596" s="12" t="s">
        <v>2308</v>
      </c>
      <c r="Q1596" s="72">
        <v>1.5</v>
      </c>
      <c r="R1596" s="23">
        <v>1695550</v>
      </c>
      <c r="Z1596" s="18">
        <f>ROUND(R1596*'Data-CostAssumptions'!$C$8,-3)</f>
        <v>1696000</v>
      </c>
      <c r="AA1596" s="11">
        <f t="shared" si="49"/>
        <v>0</v>
      </c>
      <c r="AB1596" s="11">
        <v>2041</v>
      </c>
      <c r="AC1596" s="11">
        <v>2041</v>
      </c>
      <c r="AD1596" s="11">
        <v>2041</v>
      </c>
      <c r="AE1596" s="11">
        <v>2041</v>
      </c>
      <c r="AF1596" s="11">
        <v>0</v>
      </c>
      <c r="AG1596" s="19">
        <f>ROUND((Z1596*'Data-CostAssumptions'!$G$5)*(1+'Data-CostAssumptions'!$G$3)^(AC1596-'Data-CostAssumptions'!$G$4),-3)</f>
        <v>957000</v>
      </c>
      <c r="AH1596" s="19">
        <f>ROUND((Z1596)*(1+'Data-CostAssumptions'!$G$3)^(AE1596-'Data-CostAssumptions'!$G$4),-3)</f>
        <v>4348000</v>
      </c>
    </row>
    <row r="1597" spans="2:34" ht="15" customHeight="1" x14ac:dyDescent="0.2">
      <c r="B1597" s="11" t="s">
        <v>1211</v>
      </c>
      <c r="D1597" s="84" t="s">
        <v>276</v>
      </c>
      <c r="E1597" s="104">
        <v>78</v>
      </c>
      <c r="G1597" s="20">
        <v>1600</v>
      </c>
      <c r="H1597" s="13" t="s">
        <v>1767</v>
      </c>
      <c r="I1597" s="13" t="str">
        <f t="shared" si="51"/>
        <v>Riverland Rd (SR 7/US 441 to DAVIE Bl)</v>
      </c>
      <c r="J1597" s="12" t="s">
        <v>27</v>
      </c>
      <c r="K1597" s="13" t="str">
        <f>VLOOKUP(J1597,'Data-ProjectTypes'!A$3:B$13,2,FALSE)</f>
        <v>Program</v>
      </c>
      <c r="L1597" s="12" t="s">
        <v>1367</v>
      </c>
      <c r="M1597" s="105" t="s">
        <v>57</v>
      </c>
      <c r="N1597" s="12" t="s">
        <v>1991</v>
      </c>
      <c r="Q1597" s="72">
        <v>2.6</v>
      </c>
      <c r="R1597" s="23">
        <v>1822100</v>
      </c>
      <c r="Z1597" s="18">
        <f>ROUND(R1597*'Data-CostAssumptions'!$C$8,-3)</f>
        <v>1822000</v>
      </c>
      <c r="AA1597" s="11">
        <f t="shared" si="49"/>
        <v>0</v>
      </c>
      <c r="AB1597" s="11">
        <v>2041</v>
      </c>
      <c r="AC1597" s="11">
        <v>2041</v>
      </c>
      <c r="AD1597" s="11">
        <v>2041</v>
      </c>
      <c r="AE1597" s="11">
        <v>2041</v>
      </c>
      <c r="AF1597" s="11">
        <v>0</v>
      </c>
      <c r="AG1597" s="19">
        <f>ROUND((Z1597*'Data-CostAssumptions'!$G$5)*(1+'Data-CostAssumptions'!$G$3)^(AC1597-'Data-CostAssumptions'!$G$4),-3)</f>
        <v>1028000</v>
      </c>
      <c r="AH1597" s="19">
        <f>ROUND((Z1597)*(1+'Data-CostAssumptions'!$G$3)^(AE1597-'Data-CostAssumptions'!$G$4),-3)</f>
        <v>4672000</v>
      </c>
    </row>
    <row r="1598" spans="2:34" ht="15" customHeight="1" x14ac:dyDescent="0.2">
      <c r="B1598" s="11" t="s">
        <v>1211</v>
      </c>
      <c r="D1598" s="84" t="s">
        <v>276</v>
      </c>
      <c r="E1598" s="104" t="s">
        <v>1462</v>
      </c>
      <c r="G1598" s="20">
        <v>1601</v>
      </c>
      <c r="H1598" s="13" t="s">
        <v>2884</v>
      </c>
      <c r="I1598" s="13" t="str">
        <f t="shared" si="51"/>
        <v>Riverwalk Streetscape SEAWALL PEDESTRIAN IMPROVEMENT PROJECT (LAS OLAS Bl to NEW RIVER DR)</v>
      </c>
      <c r="J1598" s="12" t="s">
        <v>27</v>
      </c>
      <c r="K1598" s="13" t="str">
        <f>VLOOKUP(J1598,'Data-ProjectTypes'!A$3:B$13,2,FALSE)</f>
        <v>Program</v>
      </c>
      <c r="L1598" s="12" t="s">
        <v>1623</v>
      </c>
      <c r="M1598" s="105" t="s">
        <v>1997</v>
      </c>
      <c r="N1598" s="12" t="s">
        <v>1669</v>
      </c>
      <c r="R1598" s="23">
        <v>550000</v>
      </c>
      <c r="Z1598" s="18">
        <f>ROUND(R1598*'Data-CostAssumptions'!$C$8,-3)</f>
        <v>550000</v>
      </c>
      <c r="AA1598" s="11">
        <f t="shared" si="49"/>
        <v>0</v>
      </c>
      <c r="AB1598" s="11">
        <v>2041</v>
      </c>
      <c r="AC1598" s="11">
        <v>2041</v>
      </c>
      <c r="AD1598" s="11">
        <v>2041</v>
      </c>
      <c r="AE1598" s="11">
        <v>2041</v>
      </c>
      <c r="AF1598" s="11">
        <v>0</v>
      </c>
      <c r="AG1598" s="19">
        <f>ROUND((Z1598*'Data-CostAssumptions'!$G$5)*(1+'Data-CostAssumptions'!$G$3)^(AC1598-'Data-CostAssumptions'!$G$4),-3)</f>
        <v>310000</v>
      </c>
      <c r="AH1598" s="19">
        <f>ROUND((Z1598)*(1+'Data-CostAssumptions'!$G$3)^(AE1598-'Data-CostAssumptions'!$G$4),-3)</f>
        <v>1410000</v>
      </c>
    </row>
    <row r="1599" spans="2:34" ht="15" customHeight="1" x14ac:dyDescent="0.2">
      <c r="B1599" s="11" t="s">
        <v>1211</v>
      </c>
      <c r="D1599" s="84" t="s">
        <v>276</v>
      </c>
      <c r="E1599" s="104">
        <v>80</v>
      </c>
      <c r="G1599" s="20">
        <v>1602</v>
      </c>
      <c r="H1599" s="13" t="s">
        <v>1245</v>
      </c>
      <c r="I1599" s="13" t="str">
        <f t="shared" si="51"/>
        <v>SE 17TH ST (US 1 to EISENHOWER Bl)</v>
      </c>
      <c r="J1599" s="12" t="s">
        <v>27</v>
      </c>
      <c r="K1599" s="13" t="str">
        <f>VLOOKUP(J1599,'Data-ProjectTypes'!A$3:B$13,2,FALSE)</f>
        <v>Program</v>
      </c>
      <c r="L1599" s="12" t="s">
        <v>1376</v>
      </c>
      <c r="M1599" s="105" t="s">
        <v>98</v>
      </c>
      <c r="N1599" s="12" t="s">
        <v>1993</v>
      </c>
      <c r="Q1599" s="72">
        <v>0.8</v>
      </c>
      <c r="R1599" s="23">
        <v>1008000</v>
      </c>
      <c r="Z1599" s="18">
        <f>ROUND(R1599*'Data-CostAssumptions'!$C$8,-3)</f>
        <v>1008000</v>
      </c>
      <c r="AA1599" s="11">
        <f t="shared" ref="AA1599:AA1662" si="52">IF(V1599="",IF(W1599="",0,1),1)</f>
        <v>0</v>
      </c>
      <c r="AB1599" s="11">
        <v>2041</v>
      </c>
      <c r="AC1599" s="11">
        <v>2041</v>
      </c>
      <c r="AD1599" s="11">
        <v>2041</v>
      </c>
      <c r="AE1599" s="11">
        <v>2041</v>
      </c>
      <c r="AF1599" s="11">
        <v>0</v>
      </c>
      <c r="AG1599" s="19">
        <f>ROUND((Z1599*'Data-CostAssumptions'!$G$5)*(1+'Data-CostAssumptions'!$G$3)^(AC1599-'Data-CostAssumptions'!$G$4),-3)</f>
        <v>569000</v>
      </c>
      <c r="AH1599" s="19">
        <f>ROUND((Z1599)*(1+'Data-CostAssumptions'!$G$3)^(AE1599-'Data-CostAssumptions'!$G$4),-3)</f>
        <v>2584000</v>
      </c>
    </row>
    <row r="1600" spans="2:34" ht="15" customHeight="1" x14ac:dyDescent="0.2">
      <c r="B1600" s="11" t="s">
        <v>1211</v>
      </c>
      <c r="D1600" s="84" t="s">
        <v>276</v>
      </c>
      <c r="E1600" s="104">
        <v>83</v>
      </c>
      <c r="G1600" s="20">
        <v>1603</v>
      </c>
      <c r="H1600" s="13" t="s">
        <v>1246</v>
      </c>
      <c r="I1600" s="13" t="str">
        <f t="shared" si="51"/>
        <v>SE 30TH ST (ANDREWS Av to US 1)</v>
      </c>
      <c r="J1600" s="12" t="s">
        <v>27</v>
      </c>
      <c r="K1600" s="13" t="str">
        <f>VLOOKUP(J1600,'Data-ProjectTypes'!A$3:B$13,2,FALSE)</f>
        <v>Program</v>
      </c>
      <c r="L1600" s="12" t="s">
        <v>1378</v>
      </c>
      <c r="M1600" s="105" t="s">
        <v>2139</v>
      </c>
      <c r="N1600" s="12" t="s">
        <v>98</v>
      </c>
      <c r="Q1600" s="72">
        <v>0.2</v>
      </c>
      <c r="R1600" s="23">
        <v>116050</v>
      </c>
      <c r="Z1600" s="18">
        <f>ROUND(R1600*'Data-CostAssumptions'!$C$8,-3)</f>
        <v>116000</v>
      </c>
      <c r="AA1600" s="11">
        <f t="shared" si="52"/>
        <v>0</v>
      </c>
      <c r="AB1600" s="11">
        <v>2041</v>
      </c>
      <c r="AC1600" s="11">
        <v>2041</v>
      </c>
      <c r="AD1600" s="11">
        <v>2041</v>
      </c>
      <c r="AE1600" s="11">
        <v>2041</v>
      </c>
      <c r="AF1600" s="11">
        <v>0</v>
      </c>
      <c r="AG1600" s="19">
        <f>ROUND((Z1600*'Data-CostAssumptions'!$G$5)*(1+'Data-CostAssumptions'!$G$3)^(AC1600-'Data-CostAssumptions'!$G$4),-3)</f>
        <v>65000</v>
      </c>
      <c r="AH1600" s="19">
        <f>ROUND((Z1600)*(1+'Data-CostAssumptions'!$G$3)^(AE1600-'Data-CostAssumptions'!$G$4),-3)</f>
        <v>297000</v>
      </c>
    </row>
    <row r="1601" spans="2:34" ht="15" customHeight="1" x14ac:dyDescent="0.2">
      <c r="B1601" s="11" t="s">
        <v>1211</v>
      </c>
      <c r="D1601" s="84" t="s">
        <v>276</v>
      </c>
      <c r="E1601" s="104">
        <v>81</v>
      </c>
      <c r="G1601" s="20">
        <v>1604</v>
      </c>
      <c r="H1601" s="13" t="s">
        <v>2179</v>
      </c>
      <c r="I1601" s="13" t="str">
        <f t="shared" si="51"/>
        <v>SE 3RD Av (SE 17TH ST to DAVIE Bl)</v>
      </c>
      <c r="J1601" s="12" t="s">
        <v>27</v>
      </c>
      <c r="K1601" s="13" t="str">
        <f>VLOOKUP(J1601,'Data-ProjectTypes'!A$3:B$13,2,FALSE)</f>
        <v>Program</v>
      </c>
      <c r="L1601" s="12" t="s">
        <v>1371</v>
      </c>
      <c r="M1601" s="105" t="s">
        <v>1245</v>
      </c>
      <c r="N1601" s="12" t="s">
        <v>1991</v>
      </c>
      <c r="Q1601" s="72">
        <v>0.5</v>
      </c>
      <c r="R1601" s="23">
        <v>384100</v>
      </c>
      <c r="Z1601" s="18">
        <f>ROUND(R1601*'Data-CostAssumptions'!$C$8,-3)</f>
        <v>384000</v>
      </c>
      <c r="AA1601" s="11">
        <f t="shared" si="52"/>
        <v>0</v>
      </c>
      <c r="AB1601" s="11">
        <v>2041</v>
      </c>
      <c r="AC1601" s="11">
        <v>2041</v>
      </c>
      <c r="AD1601" s="11">
        <v>2041</v>
      </c>
      <c r="AE1601" s="11">
        <v>2041</v>
      </c>
      <c r="AF1601" s="11">
        <v>0</v>
      </c>
      <c r="AG1601" s="19">
        <f>ROUND((Z1601*'Data-CostAssumptions'!$G$5)*(1+'Data-CostAssumptions'!$G$3)^(AC1601-'Data-CostAssumptions'!$G$4),-3)</f>
        <v>217000</v>
      </c>
      <c r="AH1601" s="19">
        <f>ROUND((Z1601)*(1+'Data-CostAssumptions'!$G$3)^(AE1601-'Data-CostAssumptions'!$G$4),-3)</f>
        <v>985000</v>
      </c>
    </row>
    <row r="1602" spans="2:34" ht="15" customHeight="1" x14ac:dyDescent="0.2">
      <c r="B1602" s="11" t="s">
        <v>1211</v>
      </c>
      <c r="D1602" s="84" t="s">
        <v>276</v>
      </c>
      <c r="E1602" s="104">
        <v>82</v>
      </c>
      <c r="G1602" s="20">
        <v>1605</v>
      </c>
      <c r="H1602" s="13" t="s">
        <v>2183</v>
      </c>
      <c r="I1602" s="13" t="str">
        <f t="shared" si="51"/>
        <v>SE/NE 3RD Av (DAVIE Bl to NE 6TH ST)</v>
      </c>
      <c r="J1602" s="12" t="s">
        <v>27</v>
      </c>
      <c r="K1602" s="13" t="str">
        <f>VLOOKUP(J1602,'Data-ProjectTypes'!A$3:B$13,2,FALSE)</f>
        <v>Program</v>
      </c>
      <c r="L1602" s="12" t="s">
        <v>1373</v>
      </c>
      <c r="M1602" s="105" t="s">
        <v>1991</v>
      </c>
      <c r="N1602" s="12" t="s">
        <v>1230</v>
      </c>
      <c r="Q1602" s="72">
        <v>1.5</v>
      </c>
      <c r="R1602" s="23">
        <v>695700</v>
      </c>
      <c r="Z1602" s="18">
        <f>ROUND(R1602*'Data-CostAssumptions'!$C$8,-3)</f>
        <v>696000</v>
      </c>
      <c r="AA1602" s="11">
        <f t="shared" si="52"/>
        <v>0</v>
      </c>
      <c r="AB1602" s="11">
        <v>2041</v>
      </c>
      <c r="AC1602" s="11">
        <v>2041</v>
      </c>
      <c r="AD1602" s="11">
        <v>2041</v>
      </c>
      <c r="AE1602" s="11">
        <v>2041</v>
      </c>
      <c r="AF1602" s="11">
        <v>0</v>
      </c>
      <c r="AG1602" s="19">
        <f>ROUND((Z1602*'Data-CostAssumptions'!$G$5)*(1+'Data-CostAssumptions'!$G$3)^(AC1602-'Data-CostAssumptions'!$G$4),-3)</f>
        <v>393000</v>
      </c>
      <c r="AH1602" s="19">
        <f>ROUND((Z1602)*(1+'Data-CostAssumptions'!$G$3)^(AE1602-'Data-CostAssumptions'!$G$4),-3)</f>
        <v>1785000</v>
      </c>
    </row>
    <row r="1603" spans="2:34" ht="15" customHeight="1" x14ac:dyDescent="0.2">
      <c r="B1603" s="11" t="s">
        <v>1211</v>
      </c>
      <c r="D1603" s="84" t="s">
        <v>276</v>
      </c>
      <c r="E1603" s="104">
        <v>84</v>
      </c>
      <c r="G1603" s="20">
        <v>1606</v>
      </c>
      <c r="H1603" s="13" t="s">
        <v>2000</v>
      </c>
      <c r="I1603" s="13" t="str">
        <f t="shared" si="51"/>
        <v>SEABREEZE Bl (SR A1A SOUTHBOUND) (SEVILLA ST to BAHIA MAR HOTEL/SR A1A)</v>
      </c>
      <c r="J1603" s="12" t="s">
        <v>27</v>
      </c>
      <c r="K1603" s="13" t="str">
        <f>VLOOKUP(J1603,'Data-ProjectTypes'!A$3:B$13,2,FALSE)</f>
        <v>Program</v>
      </c>
      <c r="L1603" s="12" t="s">
        <v>1379</v>
      </c>
      <c r="M1603" s="105" t="s">
        <v>1453</v>
      </c>
      <c r="N1603" s="12" t="s">
        <v>1452</v>
      </c>
      <c r="Q1603" s="72">
        <v>0.9</v>
      </c>
      <c r="R1603" s="23">
        <v>617000</v>
      </c>
      <c r="Z1603" s="18">
        <f>ROUND(R1603*'Data-CostAssumptions'!$C$8,-3)</f>
        <v>617000</v>
      </c>
      <c r="AA1603" s="11">
        <f t="shared" si="52"/>
        <v>0</v>
      </c>
      <c r="AB1603" s="11">
        <v>2041</v>
      </c>
      <c r="AC1603" s="11">
        <v>2041</v>
      </c>
      <c r="AD1603" s="11">
        <v>2041</v>
      </c>
      <c r="AE1603" s="11">
        <v>2041</v>
      </c>
      <c r="AF1603" s="11">
        <v>0</v>
      </c>
      <c r="AG1603" s="19">
        <f>ROUND((Z1603*'Data-CostAssumptions'!$G$5)*(1+'Data-CostAssumptions'!$G$3)^(AC1603-'Data-CostAssumptions'!$G$4),-3)</f>
        <v>348000</v>
      </c>
      <c r="AH1603" s="19">
        <f>ROUND((Z1603)*(1+'Data-CostAssumptions'!$G$3)^(AE1603-'Data-CostAssumptions'!$G$4),-3)</f>
        <v>1582000</v>
      </c>
    </row>
    <row r="1604" spans="2:34" ht="15" customHeight="1" x14ac:dyDescent="0.2">
      <c r="B1604" s="11" t="s">
        <v>1211</v>
      </c>
      <c r="D1604" s="84" t="s">
        <v>276</v>
      </c>
      <c r="E1604" s="104">
        <v>105</v>
      </c>
      <c r="G1604" s="20">
        <v>1607</v>
      </c>
      <c r="H1604" s="13" t="s">
        <v>2209</v>
      </c>
      <c r="I1604" s="13" t="str">
        <f t="shared" si="51"/>
        <v>SR 5/ US 1 (BROWARD Bl to NE 6TH ST)</v>
      </c>
      <c r="J1604" s="12" t="s">
        <v>27</v>
      </c>
      <c r="K1604" s="13" t="str">
        <f>VLOOKUP(J1604,'Data-ProjectTypes'!A$3:B$13,2,FALSE)</f>
        <v>Program</v>
      </c>
      <c r="L1604" s="12" t="s">
        <v>1412</v>
      </c>
      <c r="M1604" s="105" t="s">
        <v>1988</v>
      </c>
      <c r="N1604" s="12" t="s">
        <v>1230</v>
      </c>
      <c r="Q1604" s="72">
        <v>0.5</v>
      </c>
      <c r="R1604" s="23">
        <v>544950</v>
      </c>
      <c r="Z1604" s="18">
        <f>ROUND(R1604*'Data-CostAssumptions'!$C$8,-3)</f>
        <v>545000</v>
      </c>
      <c r="AA1604" s="11">
        <f t="shared" si="52"/>
        <v>0</v>
      </c>
      <c r="AB1604" s="11">
        <v>2041</v>
      </c>
      <c r="AC1604" s="11">
        <v>2041</v>
      </c>
      <c r="AD1604" s="11">
        <v>2041</v>
      </c>
      <c r="AE1604" s="11">
        <v>2041</v>
      </c>
      <c r="AF1604" s="11">
        <v>0</v>
      </c>
      <c r="AG1604" s="19">
        <f>ROUND((Z1604*'Data-CostAssumptions'!$G$5)*(1+'Data-CostAssumptions'!$G$3)^(AC1604-'Data-CostAssumptions'!$G$4),-3)</f>
        <v>307000</v>
      </c>
      <c r="AH1604" s="19">
        <f>ROUND((Z1604)*(1+'Data-CostAssumptions'!$G$3)^(AE1604-'Data-CostAssumptions'!$G$4),-3)</f>
        <v>1397000</v>
      </c>
    </row>
    <row r="1605" spans="2:34" ht="15" customHeight="1" x14ac:dyDescent="0.2">
      <c r="B1605" s="11" t="s">
        <v>1211</v>
      </c>
      <c r="D1605" s="84" t="s">
        <v>276</v>
      </c>
      <c r="E1605" s="104">
        <v>104</v>
      </c>
      <c r="G1605" s="20">
        <v>1608</v>
      </c>
      <c r="H1605" s="13" t="s">
        <v>2209</v>
      </c>
      <c r="I1605" s="13" t="str">
        <f t="shared" si="51"/>
        <v>SR 5/ US 1 (DAVIE Bl to BROWARD Bl)</v>
      </c>
      <c r="J1605" s="12" t="s">
        <v>27</v>
      </c>
      <c r="K1605" s="13" t="str">
        <f>VLOOKUP(J1605,'Data-ProjectTypes'!A$3:B$13,2,FALSE)</f>
        <v>Program</v>
      </c>
      <c r="L1605" s="12" t="s">
        <v>1410</v>
      </c>
      <c r="M1605" s="105" t="s">
        <v>1991</v>
      </c>
      <c r="N1605" s="12" t="s">
        <v>1988</v>
      </c>
      <c r="Q1605" s="72">
        <v>1</v>
      </c>
      <c r="R1605" s="23">
        <v>931050</v>
      </c>
      <c r="Z1605" s="18">
        <f>ROUND(R1605*'Data-CostAssumptions'!$C$8,-3)</f>
        <v>931000</v>
      </c>
      <c r="AA1605" s="11">
        <f t="shared" si="52"/>
        <v>0</v>
      </c>
      <c r="AB1605" s="11">
        <v>2041</v>
      </c>
      <c r="AC1605" s="11">
        <v>2041</v>
      </c>
      <c r="AD1605" s="11">
        <v>2041</v>
      </c>
      <c r="AE1605" s="11">
        <v>2041</v>
      </c>
      <c r="AF1605" s="11">
        <v>0</v>
      </c>
      <c r="AG1605" s="19">
        <f>ROUND((Z1605*'Data-CostAssumptions'!$G$5)*(1+'Data-CostAssumptions'!$G$3)^(AC1605-'Data-CostAssumptions'!$G$4),-3)</f>
        <v>525000</v>
      </c>
      <c r="AH1605" s="19">
        <f>ROUND((Z1605)*(1+'Data-CostAssumptions'!$G$3)^(AE1605-'Data-CostAssumptions'!$G$4),-3)</f>
        <v>2387000</v>
      </c>
    </row>
    <row r="1606" spans="2:34" ht="15" customHeight="1" x14ac:dyDescent="0.2">
      <c r="B1606" s="11" t="s">
        <v>1211</v>
      </c>
      <c r="D1606" s="84" t="s">
        <v>276</v>
      </c>
      <c r="E1606" s="104">
        <v>77</v>
      </c>
      <c r="G1606" s="20">
        <v>1609</v>
      </c>
      <c r="H1606" s="13" t="s">
        <v>2209</v>
      </c>
      <c r="I1606" s="13" t="str">
        <f t="shared" si="51"/>
        <v>SR 5/ US 1 (I-595 to SE 24TH ST/SR 84)</v>
      </c>
      <c r="J1606" s="12" t="s">
        <v>27</v>
      </c>
      <c r="K1606" s="13" t="str">
        <f>VLOOKUP(J1606,'Data-ProjectTypes'!A$3:B$13,2,FALSE)</f>
        <v>Program</v>
      </c>
      <c r="L1606" s="12" t="s">
        <v>1407</v>
      </c>
      <c r="M1606" s="105" t="s">
        <v>34</v>
      </c>
      <c r="N1606" s="12" t="s">
        <v>1437</v>
      </c>
      <c r="Q1606" s="72">
        <v>0.8</v>
      </c>
      <c r="R1606" s="23">
        <v>710550</v>
      </c>
      <c r="Z1606" s="18">
        <f>ROUND(R1606*'Data-CostAssumptions'!$C$8,-3)</f>
        <v>711000</v>
      </c>
      <c r="AA1606" s="11">
        <f t="shared" si="52"/>
        <v>0</v>
      </c>
      <c r="AB1606" s="11">
        <v>2041</v>
      </c>
      <c r="AC1606" s="11">
        <v>2041</v>
      </c>
      <c r="AD1606" s="11">
        <v>2041</v>
      </c>
      <c r="AE1606" s="11">
        <v>2041</v>
      </c>
      <c r="AF1606" s="11">
        <v>0</v>
      </c>
      <c r="AG1606" s="19">
        <f>ROUND((Z1606*'Data-CostAssumptions'!$G$5)*(1+'Data-CostAssumptions'!$G$3)^(AC1606-'Data-CostAssumptions'!$G$4),-3)</f>
        <v>401000</v>
      </c>
      <c r="AH1606" s="19">
        <f>ROUND((Z1606)*(1+'Data-CostAssumptions'!$G$3)^(AE1606-'Data-CostAssumptions'!$G$4),-3)</f>
        <v>1823000</v>
      </c>
    </row>
    <row r="1607" spans="2:34" ht="15" customHeight="1" x14ac:dyDescent="0.2">
      <c r="B1607" s="11" t="s">
        <v>1211</v>
      </c>
      <c r="D1607" s="84" t="s">
        <v>276</v>
      </c>
      <c r="E1607" s="104">
        <v>108</v>
      </c>
      <c r="G1607" s="20">
        <v>1610</v>
      </c>
      <c r="H1607" s="13" t="s">
        <v>2209</v>
      </c>
      <c r="I1607" s="13" t="str">
        <f t="shared" si="51"/>
        <v>SR 5/ US 1 (NE 13TH ST to MCNAB RD)</v>
      </c>
      <c r="J1607" s="12" t="s">
        <v>27</v>
      </c>
      <c r="K1607" s="13" t="str">
        <f>VLOOKUP(J1607,'Data-ProjectTypes'!A$3:B$13,2,FALSE)</f>
        <v>Program</v>
      </c>
      <c r="L1607" s="12" t="s">
        <v>1409</v>
      </c>
      <c r="M1607" s="105" t="s">
        <v>1432</v>
      </c>
      <c r="N1607" s="12" t="s">
        <v>1227</v>
      </c>
      <c r="Q1607" s="72">
        <v>5</v>
      </c>
      <c r="R1607" s="23">
        <v>4553550</v>
      </c>
      <c r="Z1607" s="18">
        <f>ROUND(R1607*'Data-CostAssumptions'!$C$8,-3)</f>
        <v>4554000</v>
      </c>
      <c r="AA1607" s="11">
        <f t="shared" si="52"/>
        <v>0</v>
      </c>
      <c r="AB1607" s="11">
        <v>2041</v>
      </c>
      <c r="AC1607" s="11">
        <v>2041</v>
      </c>
      <c r="AD1607" s="11">
        <v>2041</v>
      </c>
      <c r="AE1607" s="11">
        <v>2041</v>
      </c>
      <c r="AF1607" s="11">
        <v>0</v>
      </c>
      <c r="AG1607" s="19">
        <f>ROUND((Z1607*'Data-CostAssumptions'!$G$5)*(1+'Data-CostAssumptions'!$G$3)^(AC1607-'Data-CostAssumptions'!$G$4),-3)</f>
        <v>2569000</v>
      </c>
      <c r="AH1607" s="19">
        <f>ROUND((Z1607)*(1+'Data-CostAssumptions'!$G$3)^(AE1607-'Data-CostAssumptions'!$G$4),-3)</f>
        <v>11676000</v>
      </c>
    </row>
    <row r="1608" spans="2:34" ht="15" customHeight="1" x14ac:dyDescent="0.2">
      <c r="B1608" s="11" t="s">
        <v>1211</v>
      </c>
      <c r="D1608" s="84" t="s">
        <v>276</v>
      </c>
      <c r="E1608" s="104">
        <v>107</v>
      </c>
      <c r="G1608" s="20">
        <v>1611</v>
      </c>
      <c r="H1608" s="13" t="s">
        <v>2209</v>
      </c>
      <c r="I1608" s="13" t="str">
        <f t="shared" si="51"/>
        <v>SR 5/ US 1 (NE 15TH Av to NE 13TH ST)</v>
      </c>
      <c r="J1608" s="12" t="s">
        <v>27</v>
      </c>
      <c r="K1608" s="13" t="str">
        <f>VLOOKUP(J1608,'Data-ProjectTypes'!A$3:B$13,2,FALSE)</f>
        <v>Program</v>
      </c>
      <c r="L1608" s="12" t="s">
        <v>1416</v>
      </c>
      <c r="M1608" s="105" t="s">
        <v>2143</v>
      </c>
      <c r="N1608" s="12" t="s">
        <v>1432</v>
      </c>
      <c r="Q1608" s="72">
        <v>1</v>
      </c>
      <c r="R1608" s="23">
        <v>740250</v>
      </c>
      <c r="Z1608" s="18">
        <f>ROUND(R1608*'Data-CostAssumptions'!$C$8,-3)</f>
        <v>740000</v>
      </c>
      <c r="AA1608" s="11">
        <f t="shared" si="52"/>
        <v>0</v>
      </c>
      <c r="AB1608" s="11">
        <v>2041</v>
      </c>
      <c r="AC1608" s="11">
        <v>2041</v>
      </c>
      <c r="AD1608" s="11">
        <v>2041</v>
      </c>
      <c r="AE1608" s="11">
        <v>2041</v>
      </c>
      <c r="AF1608" s="11">
        <v>0</v>
      </c>
      <c r="AG1608" s="19">
        <f>ROUND((Z1608*'Data-CostAssumptions'!$G$5)*(1+'Data-CostAssumptions'!$G$3)^(AC1608-'Data-CostAssumptions'!$G$4),-3)</f>
        <v>417000</v>
      </c>
      <c r="AH1608" s="19">
        <f>ROUND((Z1608)*(1+'Data-CostAssumptions'!$G$3)^(AE1608-'Data-CostAssumptions'!$G$4),-3)</f>
        <v>1897000</v>
      </c>
    </row>
    <row r="1609" spans="2:34" ht="15" customHeight="1" x14ac:dyDescent="0.2">
      <c r="B1609" s="11" t="s">
        <v>1211</v>
      </c>
      <c r="D1609" s="84" t="s">
        <v>276</v>
      </c>
      <c r="E1609" s="104">
        <v>106</v>
      </c>
      <c r="G1609" s="20">
        <v>1612</v>
      </c>
      <c r="H1609" s="13" t="s">
        <v>2209</v>
      </c>
      <c r="I1609" s="13" t="str">
        <f t="shared" si="51"/>
        <v>SR 5/ US 1 (NE 6TH ST to NE 15TH Av)</v>
      </c>
      <c r="J1609" s="12" t="s">
        <v>27</v>
      </c>
      <c r="K1609" s="13" t="str">
        <f>VLOOKUP(J1609,'Data-ProjectTypes'!A$3:B$13,2,FALSE)</f>
        <v>Program</v>
      </c>
      <c r="L1609" s="12" t="s">
        <v>1414</v>
      </c>
      <c r="M1609" s="105" t="s">
        <v>1230</v>
      </c>
      <c r="N1609" s="12" t="s">
        <v>2143</v>
      </c>
      <c r="Q1609" s="72">
        <v>0.9</v>
      </c>
      <c r="R1609" s="23">
        <v>772200</v>
      </c>
      <c r="Z1609" s="18">
        <f>ROUND(R1609*'Data-CostAssumptions'!$C$8,-3)</f>
        <v>772000</v>
      </c>
      <c r="AA1609" s="11">
        <f t="shared" si="52"/>
        <v>0</v>
      </c>
      <c r="AB1609" s="11">
        <v>2041</v>
      </c>
      <c r="AC1609" s="11">
        <v>2041</v>
      </c>
      <c r="AD1609" s="11">
        <v>2041</v>
      </c>
      <c r="AE1609" s="11">
        <v>2041</v>
      </c>
      <c r="AF1609" s="11">
        <v>0</v>
      </c>
      <c r="AG1609" s="19">
        <f>ROUND((Z1609*'Data-CostAssumptions'!$G$5)*(1+'Data-CostAssumptions'!$G$3)^(AC1609-'Data-CostAssumptions'!$G$4),-3)</f>
        <v>435000</v>
      </c>
      <c r="AH1609" s="19">
        <f>ROUND((Z1609)*(1+'Data-CostAssumptions'!$G$3)^(AE1609-'Data-CostAssumptions'!$G$4),-3)</f>
        <v>1979000</v>
      </c>
    </row>
    <row r="1610" spans="2:34" ht="15" customHeight="1" x14ac:dyDescent="0.2">
      <c r="B1610" s="11" t="s">
        <v>1211</v>
      </c>
      <c r="D1610" s="84" t="s">
        <v>276</v>
      </c>
      <c r="E1610" s="104">
        <v>103</v>
      </c>
      <c r="G1610" s="20">
        <v>1613</v>
      </c>
      <c r="H1610" s="13" t="s">
        <v>2209</v>
      </c>
      <c r="I1610" s="13" t="str">
        <f t="shared" si="51"/>
        <v>SR 5/ US 1 (SR 84 to DAVIE Bl)</v>
      </c>
      <c r="J1610" s="12" t="s">
        <v>27</v>
      </c>
      <c r="K1610" s="13" t="str">
        <f>VLOOKUP(J1610,'Data-ProjectTypes'!A$3:B$13,2,FALSE)</f>
        <v>Program</v>
      </c>
      <c r="L1610" s="12" t="s">
        <v>1409</v>
      </c>
      <c r="M1610" s="105" t="s">
        <v>45</v>
      </c>
      <c r="N1610" s="12" t="s">
        <v>1991</v>
      </c>
      <c r="Q1610" s="72">
        <v>1</v>
      </c>
      <c r="R1610" s="23">
        <v>931050</v>
      </c>
      <c r="Z1610" s="18">
        <f>ROUND(R1610*'Data-CostAssumptions'!$C$8,-3)</f>
        <v>931000</v>
      </c>
      <c r="AA1610" s="11">
        <f t="shared" si="52"/>
        <v>0</v>
      </c>
      <c r="AB1610" s="11">
        <v>2041</v>
      </c>
      <c r="AC1610" s="11">
        <v>2041</v>
      </c>
      <c r="AD1610" s="11">
        <v>2041</v>
      </c>
      <c r="AE1610" s="11">
        <v>2041</v>
      </c>
      <c r="AF1610" s="11">
        <v>0</v>
      </c>
      <c r="AG1610" s="19">
        <f>ROUND((Z1610*'Data-CostAssumptions'!$G$5)*(1+'Data-CostAssumptions'!$G$3)^(AC1610-'Data-CostAssumptions'!$G$4),-3)</f>
        <v>525000</v>
      </c>
      <c r="AH1610" s="19">
        <f>ROUND((Z1610)*(1+'Data-CostAssumptions'!$G$3)^(AE1610-'Data-CostAssumptions'!$G$4),-3)</f>
        <v>2387000</v>
      </c>
    </row>
    <row r="1611" spans="2:34" ht="15" customHeight="1" x14ac:dyDescent="0.2">
      <c r="B1611" s="11" t="s">
        <v>1211</v>
      </c>
      <c r="D1611" s="84" t="s">
        <v>276</v>
      </c>
      <c r="E1611" s="104">
        <v>89</v>
      </c>
      <c r="G1611" s="20">
        <v>1614</v>
      </c>
      <c r="H1611" s="13" t="s">
        <v>57</v>
      </c>
      <c r="I1611" s="13" t="str">
        <f t="shared" si="51"/>
        <v>SR 7/US 441 (I-595 to DAVIE Bl)</v>
      </c>
      <c r="J1611" s="12" t="s">
        <v>27</v>
      </c>
      <c r="K1611" s="13" t="str">
        <f>VLOOKUP(J1611,'Data-ProjectTypes'!A$3:B$13,2,FALSE)</f>
        <v>Program</v>
      </c>
      <c r="L1611" s="12" t="s">
        <v>1384</v>
      </c>
      <c r="M1611" s="105" t="s">
        <v>34</v>
      </c>
      <c r="N1611" s="12" t="s">
        <v>1991</v>
      </c>
      <c r="Q1611" s="72">
        <v>1.4</v>
      </c>
      <c r="R1611" s="23">
        <v>1144550</v>
      </c>
      <c r="Z1611" s="18">
        <f>ROUND(R1611*'Data-CostAssumptions'!$C$8,-3)</f>
        <v>1145000</v>
      </c>
      <c r="AA1611" s="11">
        <f t="shared" si="52"/>
        <v>0</v>
      </c>
      <c r="AB1611" s="11">
        <v>2041</v>
      </c>
      <c r="AC1611" s="11">
        <v>2041</v>
      </c>
      <c r="AD1611" s="11">
        <v>2041</v>
      </c>
      <c r="AE1611" s="11">
        <v>2041</v>
      </c>
      <c r="AF1611" s="11">
        <v>0</v>
      </c>
      <c r="AG1611" s="19">
        <f>ROUND((Z1611*'Data-CostAssumptions'!$G$5)*(1+'Data-CostAssumptions'!$G$3)^(AC1611-'Data-CostAssumptions'!$G$4),-3)</f>
        <v>646000</v>
      </c>
      <c r="AH1611" s="19">
        <f>ROUND((Z1611)*(1+'Data-CostAssumptions'!$G$3)^(AE1611-'Data-CostAssumptions'!$G$4),-3)</f>
        <v>2936000</v>
      </c>
    </row>
    <row r="1612" spans="2:34" ht="15" customHeight="1" x14ac:dyDescent="0.2">
      <c r="B1612" s="11" t="s">
        <v>1211</v>
      </c>
      <c r="D1612" s="84" t="s">
        <v>276</v>
      </c>
      <c r="E1612" s="104">
        <v>22</v>
      </c>
      <c r="G1612" s="20">
        <v>1615</v>
      </c>
      <c r="H1612" s="13" t="s">
        <v>2755</v>
      </c>
      <c r="I1612" s="13" t="str">
        <f t="shared" si="51"/>
        <v>SR 811/Dixie Hwy (NE 13TH ST to NE 20TH DR)</v>
      </c>
      <c r="J1612" s="12" t="s">
        <v>27</v>
      </c>
      <c r="K1612" s="13" t="str">
        <f>VLOOKUP(J1612,'Data-ProjectTypes'!A$3:B$13,2,FALSE)</f>
        <v>Program</v>
      </c>
      <c r="L1612" s="12" t="s">
        <v>1285</v>
      </c>
      <c r="M1612" s="105" t="s">
        <v>1432</v>
      </c>
      <c r="N1612" s="12" t="s">
        <v>1431</v>
      </c>
      <c r="Q1612" s="72">
        <v>0.9</v>
      </c>
      <c r="R1612" s="23">
        <v>1154000</v>
      </c>
      <c r="Z1612" s="18">
        <f>ROUND(R1612*'Data-CostAssumptions'!$C$8,-3)</f>
        <v>1154000</v>
      </c>
      <c r="AA1612" s="11">
        <f t="shared" si="52"/>
        <v>0</v>
      </c>
      <c r="AB1612" s="11">
        <v>2041</v>
      </c>
      <c r="AC1612" s="11">
        <v>2041</v>
      </c>
      <c r="AD1612" s="11">
        <v>2041</v>
      </c>
      <c r="AE1612" s="11">
        <v>2041</v>
      </c>
      <c r="AF1612" s="11">
        <v>0</v>
      </c>
      <c r="AG1612" s="19">
        <f>ROUND((Z1612*'Data-CostAssumptions'!$G$5)*(1+'Data-CostAssumptions'!$G$3)^(AC1612-'Data-CostAssumptions'!$G$4),-3)</f>
        <v>651000</v>
      </c>
      <c r="AH1612" s="19">
        <f>ROUND((Z1612)*(1+'Data-CostAssumptions'!$G$3)^(AE1612-'Data-CostAssumptions'!$G$4),-3)</f>
        <v>2959000</v>
      </c>
    </row>
    <row r="1613" spans="2:34" ht="15" customHeight="1" x14ac:dyDescent="0.2">
      <c r="B1613" s="11" t="s">
        <v>1211</v>
      </c>
      <c r="D1613" s="84" t="s">
        <v>276</v>
      </c>
      <c r="E1613" s="104">
        <v>71</v>
      </c>
      <c r="G1613" s="20">
        <v>1616</v>
      </c>
      <c r="H1613" s="13" t="s">
        <v>2710</v>
      </c>
      <c r="I1613" s="13" t="str">
        <f t="shared" ref="I1613:I1643" si="53">IF(M1613="@",H1613&amp;" ("&amp;M1613&amp;"  "&amp;N1613&amp;")",H1613&amp;" ("&amp;M1613&amp;" to "&amp;N1613&amp;")")</f>
        <v>SR 816/Oakland Park Bl (US 1/SR 5 to SR A1A/OCEAN Bl)</v>
      </c>
      <c r="J1613" s="12" t="s">
        <v>27</v>
      </c>
      <c r="K1613" s="13" t="str">
        <f>VLOOKUP(J1613,'Data-ProjectTypes'!A$3:B$13,2,FALSE)</f>
        <v>Program</v>
      </c>
      <c r="L1613" s="12" t="s">
        <v>1359</v>
      </c>
      <c r="M1613" s="105" t="s">
        <v>1422</v>
      </c>
      <c r="N1613" s="12" t="s">
        <v>2306</v>
      </c>
      <c r="Q1613" s="72">
        <v>1</v>
      </c>
      <c r="R1613" s="23">
        <v>931050</v>
      </c>
      <c r="Z1613" s="18">
        <f>ROUND(R1613*'Data-CostAssumptions'!$C$8,-3)</f>
        <v>931000</v>
      </c>
      <c r="AA1613" s="11">
        <f t="shared" si="52"/>
        <v>0</v>
      </c>
      <c r="AB1613" s="11">
        <v>2041</v>
      </c>
      <c r="AC1613" s="11">
        <v>2041</v>
      </c>
      <c r="AD1613" s="11">
        <v>2041</v>
      </c>
      <c r="AE1613" s="11">
        <v>2041</v>
      </c>
      <c r="AF1613" s="11">
        <v>0</v>
      </c>
      <c r="AG1613" s="19">
        <f>ROUND((Z1613*'Data-CostAssumptions'!$G$5)*(1+'Data-CostAssumptions'!$G$3)^(AC1613-'Data-CostAssumptions'!$G$4),-3)</f>
        <v>525000</v>
      </c>
      <c r="AH1613" s="19">
        <f>ROUND((Z1613)*(1+'Data-CostAssumptions'!$G$3)^(AE1613-'Data-CostAssumptions'!$G$4),-3)</f>
        <v>2387000</v>
      </c>
    </row>
    <row r="1614" spans="2:34" ht="15" customHeight="1" x14ac:dyDescent="0.2">
      <c r="B1614" s="11" t="s">
        <v>1211</v>
      </c>
      <c r="D1614" s="84" t="s">
        <v>276</v>
      </c>
      <c r="E1614" s="104">
        <v>91</v>
      </c>
      <c r="G1614" s="20">
        <v>1617</v>
      </c>
      <c r="H1614" s="13" t="s">
        <v>2728</v>
      </c>
      <c r="I1614" s="13" t="str">
        <f t="shared" si="53"/>
        <v>SR 838/Sunrise Bl (NE 26TH Av to SR A1A)</v>
      </c>
      <c r="J1614" s="12" t="s">
        <v>27</v>
      </c>
      <c r="K1614" s="13" t="str">
        <f>VLOOKUP(J1614,'Data-ProjectTypes'!A$3:B$13,2,FALSE)</f>
        <v>Program</v>
      </c>
      <c r="L1614" s="12" t="s">
        <v>1392</v>
      </c>
      <c r="M1614" s="105" t="s">
        <v>2632</v>
      </c>
      <c r="N1614" s="12" t="s">
        <v>110</v>
      </c>
      <c r="Q1614" s="72">
        <v>0.5</v>
      </c>
      <c r="R1614" s="23">
        <v>509800</v>
      </c>
      <c r="Z1614" s="18">
        <f>ROUND(R1614*'Data-CostAssumptions'!$C$8,-3)</f>
        <v>510000</v>
      </c>
      <c r="AA1614" s="11">
        <f t="shared" si="52"/>
        <v>0</v>
      </c>
      <c r="AB1614" s="11">
        <v>2041</v>
      </c>
      <c r="AC1614" s="11">
        <v>2041</v>
      </c>
      <c r="AD1614" s="11">
        <v>2041</v>
      </c>
      <c r="AE1614" s="11">
        <v>2041</v>
      </c>
      <c r="AF1614" s="11">
        <v>0</v>
      </c>
      <c r="AG1614" s="19">
        <f>ROUND((Z1614*'Data-CostAssumptions'!$G$5)*(1+'Data-CostAssumptions'!$G$3)^(AC1614-'Data-CostAssumptions'!$G$4),-3)</f>
        <v>288000</v>
      </c>
      <c r="AH1614" s="19">
        <f>ROUND((Z1614)*(1+'Data-CostAssumptions'!$G$3)^(AE1614-'Data-CostAssumptions'!$G$4),-3)</f>
        <v>1308000</v>
      </c>
    </row>
    <row r="1615" spans="2:34" ht="15" customHeight="1" x14ac:dyDescent="0.2">
      <c r="B1615" s="11" t="s">
        <v>1211</v>
      </c>
      <c r="D1615" s="84" t="s">
        <v>276</v>
      </c>
      <c r="E1615" s="104">
        <v>92</v>
      </c>
      <c r="G1615" s="20">
        <v>1618</v>
      </c>
      <c r="H1615" s="13" t="s">
        <v>2728</v>
      </c>
      <c r="I1615" s="13" t="str">
        <f t="shared" si="53"/>
        <v>SR 838/Sunrise Bl (NW 24TH Av to US 1)</v>
      </c>
      <c r="J1615" s="12" t="s">
        <v>27</v>
      </c>
      <c r="K1615" s="13" t="str">
        <f>VLOOKUP(J1615,'Data-ProjectTypes'!A$3:B$13,2,FALSE)</f>
        <v>Program</v>
      </c>
      <c r="L1615" s="12" t="s">
        <v>1390</v>
      </c>
      <c r="M1615" s="105" t="s">
        <v>2631</v>
      </c>
      <c r="N1615" s="12" t="s">
        <v>98</v>
      </c>
      <c r="Q1615" s="72">
        <v>1.9</v>
      </c>
      <c r="R1615" s="23">
        <v>2336800</v>
      </c>
      <c r="Z1615" s="18">
        <f>ROUND(R1615*'Data-CostAssumptions'!$C$8,-3)</f>
        <v>2337000</v>
      </c>
      <c r="AA1615" s="11">
        <f t="shared" si="52"/>
        <v>0</v>
      </c>
      <c r="AB1615" s="11">
        <v>2041</v>
      </c>
      <c r="AC1615" s="11">
        <v>2041</v>
      </c>
      <c r="AD1615" s="11">
        <v>2041</v>
      </c>
      <c r="AE1615" s="11">
        <v>2041</v>
      </c>
      <c r="AF1615" s="11">
        <v>0</v>
      </c>
      <c r="AG1615" s="19">
        <f>ROUND((Z1615*'Data-CostAssumptions'!$G$5)*(1+'Data-CostAssumptions'!$G$3)^(AC1615-'Data-CostAssumptions'!$G$4),-3)</f>
        <v>1318000</v>
      </c>
      <c r="AH1615" s="19">
        <f>ROUND((Z1615)*(1+'Data-CostAssumptions'!$G$3)^(AE1615-'Data-CostAssumptions'!$G$4),-3)</f>
        <v>5992000</v>
      </c>
    </row>
    <row r="1616" spans="2:34" ht="15" customHeight="1" x14ac:dyDescent="0.2">
      <c r="B1616" s="11" t="s">
        <v>1211</v>
      </c>
      <c r="D1616" s="84" t="s">
        <v>276</v>
      </c>
      <c r="E1616" s="104">
        <v>90</v>
      </c>
      <c r="G1616" s="20">
        <v>1619</v>
      </c>
      <c r="H1616" s="13" t="s">
        <v>2728</v>
      </c>
      <c r="I1616" s="13" t="str">
        <f t="shared" si="53"/>
        <v>SR 838/Sunrise Bl (US 1  to NE 26TH Av)</v>
      </c>
      <c r="J1616" s="12" t="s">
        <v>27</v>
      </c>
      <c r="K1616" s="13" t="str">
        <f>VLOOKUP(J1616,'Data-ProjectTypes'!A$3:B$13,2,FALSE)</f>
        <v>Program</v>
      </c>
      <c r="L1616" s="12" t="s">
        <v>1392</v>
      </c>
      <c r="M1616" s="105" t="s">
        <v>1455</v>
      </c>
      <c r="N1616" s="12" t="s">
        <v>2632</v>
      </c>
      <c r="Q1616" s="72">
        <v>2.1</v>
      </c>
      <c r="R1616" s="23">
        <v>711650</v>
      </c>
      <c r="Z1616" s="18">
        <f>ROUND(R1616*'Data-CostAssumptions'!$C$8,-3)</f>
        <v>712000</v>
      </c>
      <c r="AA1616" s="11">
        <f t="shared" si="52"/>
        <v>0</v>
      </c>
      <c r="AB1616" s="11">
        <v>2041</v>
      </c>
      <c r="AC1616" s="11">
        <v>2041</v>
      </c>
      <c r="AD1616" s="11">
        <v>2041</v>
      </c>
      <c r="AE1616" s="11">
        <v>2041</v>
      </c>
      <c r="AF1616" s="11">
        <v>0</v>
      </c>
      <c r="AG1616" s="19">
        <f>ROUND((Z1616*'Data-CostAssumptions'!$G$5)*(1+'Data-CostAssumptions'!$G$3)^(AC1616-'Data-CostAssumptions'!$G$4),-3)</f>
        <v>402000</v>
      </c>
      <c r="AH1616" s="19">
        <f>ROUND((Z1616)*(1+'Data-CostAssumptions'!$G$3)^(AE1616-'Data-CostAssumptions'!$G$4),-3)</f>
        <v>1826000</v>
      </c>
    </row>
    <row r="1617" spans="1:34" ht="15" customHeight="1" x14ac:dyDescent="0.2">
      <c r="B1617" s="11" t="s">
        <v>1211</v>
      </c>
      <c r="D1617" s="84" t="s">
        <v>276</v>
      </c>
      <c r="E1617" s="104">
        <v>85</v>
      </c>
      <c r="G1617" s="20">
        <v>1620</v>
      </c>
      <c r="H1617" s="13" t="s">
        <v>45</v>
      </c>
      <c r="I1617" s="13" t="str">
        <f t="shared" si="53"/>
        <v>SR 84 (PORT ENTRANCE to US 1)</v>
      </c>
      <c r="J1617" s="12" t="s">
        <v>27</v>
      </c>
      <c r="K1617" s="13" t="str">
        <f>VLOOKUP(J1617,'Data-ProjectTypes'!A$3:B$13,2,FALSE)</f>
        <v>Program</v>
      </c>
      <c r="L1617" s="12" t="s">
        <v>1386</v>
      </c>
      <c r="M1617" s="105" t="s">
        <v>1454</v>
      </c>
      <c r="N1617" s="12" t="s">
        <v>98</v>
      </c>
      <c r="Q1617" s="72">
        <v>0.8</v>
      </c>
      <c r="R1617" s="23">
        <v>1293000</v>
      </c>
      <c r="Z1617" s="18">
        <f>ROUND(R1617*'Data-CostAssumptions'!$C$8,-3)</f>
        <v>1293000</v>
      </c>
      <c r="AA1617" s="11">
        <f t="shared" si="52"/>
        <v>0</v>
      </c>
      <c r="AB1617" s="11">
        <v>2041</v>
      </c>
      <c r="AC1617" s="11">
        <v>2041</v>
      </c>
      <c r="AD1617" s="11">
        <v>2041</v>
      </c>
      <c r="AE1617" s="11">
        <v>2041</v>
      </c>
      <c r="AF1617" s="11">
        <v>0</v>
      </c>
      <c r="AG1617" s="19">
        <f>ROUND((Z1617*'Data-CostAssumptions'!$G$5)*(1+'Data-CostAssumptions'!$G$3)^(AC1617-'Data-CostAssumptions'!$G$4),-3)</f>
        <v>729000</v>
      </c>
      <c r="AH1617" s="19">
        <f>ROUND((Z1617)*(1+'Data-CostAssumptions'!$G$3)^(AE1617-'Data-CostAssumptions'!$G$4),-3)</f>
        <v>3315000</v>
      </c>
    </row>
    <row r="1618" spans="1:34" ht="15" customHeight="1" x14ac:dyDescent="0.2">
      <c r="B1618" s="11" t="s">
        <v>1211</v>
      </c>
      <c r="D1618" s="84" t="s">
        <v>276</v>
      </c>
      <c r="E1618" s="104">
        <v>86</v>
      </c>
      <c r="G1618" s="20">
        <v>1621</v>
      </c>
      <c r="H1618" s="13" t="s">
        <v>45</v>
      </c>
      <c r="I1618" s="13" t="str">
        <f t="shared" si="53"/>
        <v>SR 84 (US 1 to I-95)</v>
      </c>
      <c r="J1618" s="12" t="s">
        <v>27</v>
      </c>
      <c r="K1618" s="13" t="str">
        <f>VLOOKUP(J1618,'Data-ProjectTypes'!A$3:B$13,2,FALSE)</f>
        <v>Program</v>
      </c>
      <c r="L1618" s="12" t="s">
        <v>1388</v>
      </c>
      <c r="M1618" s="105" t="s">
        <v>98</v>
      </c>
      <c r="N1618" s="12" t="s">
        <v>41</v>
      </c>
      <c r="Q1618" s="72">
        <v>2</v>
      </c>
      <c r="R1618" s="23">
        <v>1298000</v>
      </c>
      <c r="Z1618" s="18">
        <f>ROUND(R1618*'Data-CostAssumptions'!$C$8,-3)</f>
        <v>1298000</v>
      </c>
      <c r="AA1618" s="11">
        <f t="shared" si="52"/>
        <v>0</v>
      </c>
      <c r="AB1618" s="11">
        <v>2041</v>
      </c>
      <c r="AC1618" s="11">
        <v>2041</v>
      </c>
      <c r="AD1618" s="11">
        <v>2041</v>
      </c>
      <c r="AE1618" s="11">
        <v>2041</v>
      </c>
      <c r="AF1618" s="11">
        <v>0</v>
      </c>
      <c r="AG1618" s="19">
        <f>ROUND((Z1618*'Data-CostAssumptions'!$G$5)*(1+'Data-CostAssumptions'!$G$3)^(AC1618-'Data-CostAssumptions'!$G$4),-3)</f>
        <v>732000</v>
      </c>
      <c r="AH1618" s="19">
        <f>ROUND((Z1618)*(1+'Data-CostAssumptions'!$G$3)^(AE1618-'Data-CostAssumptions'!$G$4),-3)</f>
        <v>3328000</v>
      </c>
    </row>
    <row r="1619" spans="1:34" ht="15" customHeight="1" x14ac:dyDescent="0.2">
      <c r="A1619" s="11"/>
      <c r="B1619" s="11" t="s">
        <v>1211</v>
      </c>
      <c r="C1619" s="11"/>
      <c r="D1619" s="84" t="s">
        <v>276</v>
      </c>
      <c r="E1619" s="14">
        <v>10</v>
      </c>
      <c r="F1619" s="14"/>
      <c r="G1619" s="20">
        <v>1622</v>
      </c>
      <c r="H1619" s="13" t="s">
        <v>2798</v>
      </c>
      <c r="I1619" s="13" t="str">
        <f t="shared" si="53"/>
        <v>SR 842/Broward Bl (I-95 to SR 7/US 441)</v>
      </c>
      <c r="J1619" s="11" t="s">
        <v>27</v>
      </c>
      <c r="K1619" s="13" t="str">
        <f>VLOOKUP(J1619,'Data-ProjectTypes'!A$3:B$13,2,FALSE)</f>
        <v>Program</v>
      </c>
      <c r="L1619" s="11" t="s">
        <v>1265</v>
      </c>
      <c r="M1619" s="106" t="s">
        <v>41</v>
      </c>
      <c r="N1619" s="84" t="s">
        <v>57</v>
      </c>
      <c r="O1619" s="11"/>
      <c r="P1619" s="11"/>
      <c r="Q1619" s="107">
        <v>2.1</v>
      </c>
      <c r="R1619" s="23">
        <v>778050</v>
      </c>
      <c r="S1619" s="11"/>
      <c r="T1619" s="11"/>
      <c r="U1619" s="11"/>
      <c r="V1619" s="11"/>
      <c r="W1619" s="11"/>
      <c r="X1619" s="11"/>
      <c r="Z1619" s="18">
        <f>ROUND(R1619*'Data-CostAssumptions'!$C$8,-3)</f>
        <v>778000</v>
      </c>
      <c r="AA1619" s="11">
        <f t="shared" si="52"/>
        <v>0</v>
      </c>
      <c r="AB1619" s="11">
        <v>2041</v>
      </c>
      <c r="AC1619" s="11">
        <v>2041</v>
      </c>
      <c r="AD1619" s="11">
        <v>2041</v>
      </c>
      <c r="AE1619" s="11">
        <v>2041</v>
      </c>
      <c r="AF1619" s="11">
        <v>0</v>
      </c>
      <c r="AG1619" s="19">
        <f>ROUND((Z1619*'Data-CostAssumptions'!$G$5)*(1+'Data-CostAssumptions'!$G$3)^(AC1619-'Data-CostAssumptions'!$G$4),-3)</f>
        <v>439000</v>
      </c>
      <c r="AH1619" s="19">
        <f>ROUND((Z1619)*(1+'Data-CostAssumptions'!$G$3)^(AE1619-'Data-CostAssumptions'!$G$4),-3)</f>
        <v>1995000</v>
      </c>
    </row>
    <row r="1620" spans="1:34" ht="15" customHeight="1" x14ac:dyDescent="0.2">
      <c r="B1620" s="11" t="s">
        <v>1211</v>
      </c>
      <c r="D1620" s="84" t="s">
        <v>276</v>
      </c>
      <c r="E1620" s="104">
        <v>124</v>
      </c>
      <c r="G1620" s="20">
        <v>1623</v>
      </c>
      <c r="H1620" s="13" t="s">
        <v>2798</v>
      </c>
      <c r="I1620" s="13" t="str">
        <f t="shared" si="53"/>
        <v>SR 842/Broward Bl (MULTIPLE to MULTIPLE)</v>
      </c>
      <c r="J1620" s="12" t="s">
        <v>27</v>
      </c>
      <c r="K1620" s="13" t="str">
        <f>VLOOKUP(J1620,'Data-ProjectTypes'!A$3:B$13,2,FALSE)</f>
        <v>Program</v>
      </c>
      <c r="L1620" s="12" t="s">
        <v>1638</v>
      </c>
      <c r="M1620" s="105" t="s">
        <v>1670</v>
      </c>
      <c r="N1620" s="12" t="s">
        <v>1670</v>
      </c>
      <c r="R1620" s="23">
        <v>2523000</v>
      </c>
      <c r="Z1620" s="18">
        <f>ROUND(R1620*'Data-CostAssumptions'!$C$8,-3)</f>
        <v>2523000</v>
      </c>
      <c r="AA1620" s="11">
        <f t="shared" si="52"/>
        <v>0</v>
      </c>
      <c r="AB1620" s="11">
        <v>2041</v>
      </c>
      <c r="AC1620" s="11">
        <v>2041</v>
      </c>
      <c r="AD1620" s="11">
        <v>2041</v>
      </c>
      <c r="AE1620" s="11">
        <v>2041</v>
      </c>
      <c r="AF1620" s="11">
        <v>0</v>
      </c>
      <c r="AG1620" s="19">
        <f>ROUND((Z1620*'Data-CostAssumptions'!$G$5)*(1+'Data-CostAssumptions'!$G$3)^(AC1620-'Data-CostAssumptions'!$G$4),-3)</f>
        <v>1423000</v>
      </c>
      <c r="AH1620" s="19">
        <f>ROUND((Z1620)*(1+'Data-CostAssumptions'!$G$3)^(AE1620-'Data-CostAssumptions'!$G$4),-3)</f>
        <v>6469000</v>
      </c>
    </row>
    <row r="1621" spans="1:34" ht="15" customHeight="1" x14ac:dyDescent="0.2">
      <c r="A1621" s="11"/>
      <c r="B1621" s="11" t="s">
        <v>1211</v>
      </c>
      <c r="C1621" s="11"/>
      <c r="D1621" s="84" t="s">
        <v>276</v>
      </c>
      <c r="E1621" s="14">
        <v>7</v>
      </c>
      <c r="F1621" s="14"/>
      <c r="G1621" s="20">
        <v>1624</v>
      </c>
      <c r="H1621" s="13" t="s">
        <v>2798</v>
      </c>
      <c r="I1621" s="13" t="str">
        <f t="shared" si="53"/>
        <v>SR 842/Broward Bl (NE/SE 15TH Av to SR-5/US-1)</v>
      </c>
      <c r="J1621" s="11" t="s">
        <v>27</v>
      </c>
      <c r="K1621" s="13" t="str">
        <f>VLOOKUP(J1621,'Data-ProjectTypes'!A$3:B$13,2,FALSE)</f>
        <v>Program</v>
      </c>
      <c r="L1621" s="11" t="s">
        <v>1262</v>
      </c>
      <c r="M1621" s="106" t="s">
        <v>2600</v>
      </c>
      <c r="N1621" s="84" t="s">
        <v>1423</v>
      </c>
      <c r="O1621" s="11"/>
      <c r="P1621" s="11"/>
      <c r="Q1621" s="107">
        <v>0.5</v>
      </c>
      <c r="R1621" s="23">
        <v>342000</v>
      </c>
      <c r="S1621" s="11"/>
      <c r="T1621" s="11"/>
      <c r="U1621" s="11"/>
      <c r="V1621" s="11"/>
      <c r="W1621" s="11"/>
      <c r="X1621" s="11"/>
      <c r="Z1621" s="18">
        <f>ROUND(R1621*'Data-CostAssumptions'!$C$8,-3)</f>
        <v>342000</v>
      </c>
      <c r="AA1621" s="11">
        <f t="shared" si="52"/>
        <v>0</v>
      </c>
      <c r="AB1621" s="11">
        <v>2041</v>
      </c>
      <c r="AC1621" s="11">
        <v>2041</v>
      </c>
      <c r="AD1621" s="11">
        <v>2041</v>
      </c>
      <c r="AE1621" s="11">
        <v>2041</v>
      </c>
      <c r="AF1621" s="11">
        <v>0</v>
      </c>
      <c r="AG1621" s="19">
        <f>ROUND((Z1621*'Data-CostAssumptions'!$G$5)*(1+'Data-CostAssumptions'!$G$3)^(AC1621-'Data-CostAssumptions'!$G$4),-3)</f>
        <v>193000</v>
      </c>
      <c r="AH1621" s="19">
        <f>ROUND((Z1621)*(1+'Data-CostAssumptions'!$G$3)^(AE1621-'Data-CostAssumptions'!$G$4),-3)</f>
        <v>877000</v>
      </c>
    </row>
    <row r="1622" spans="1:34" ht="15" customHeight="1" x14ac:dyDescent="0.2">
      <c r="A1622" s="11"/>
      <c r="B1622" s="11" t="s">
        <v>1211</v>
      </c>
      <c r="C1622" s="11"/>
      <c r="D1622" s="84" t="s">
        <v>276</v>
      </c>
      <c r="E1622" s="14">
        <v>8</v>
      </c>
      <c r="F1622" s="14"/>
      <c r="G1622" s="20">
        <v>1625</v>
      </c>
      <c r="H1622" s="13" t="s">
        <v>2798</v>
      </c>
      <c r="I1622" s="13" t="str">
        <f t="shared" si="53"/>
        <v>SR 842/Broward Bl (NW 7TH Av to I-95)</v>
      </c>
      <c r="J1622" s="11" t="s">
        <v>27</v>
      </c>
      <c r="K1622" s="13" t="str">
        <f>VLOOKUP(J1622,'Data-ProjectTypes'!A$3:B$13,2,FALSE)</f>
        <v>Program</v>
      </c>
      <c r="L1622" s="11" t="s">
        <v>1265</v>
      </c>
      <c r="M1622" s="106" t="s">
        <v>2601</v>
      </c>
      <c r="N1622" s="84" t="s">
        <v>41</v>
      </c>
      <c r="O1622" s="11"/>
      <c r="P1622" s="11"/>
      <c r="Q1622" s="107">
        <v>1.2</v>
      </c>
      <c r="R1622" s="23">
        <v>990450</v>
      </c>
      <c r="S1622" s="11"/>
      <c r="T1622" s="11"/>
      <c r="U1622" s="11"/>
      <c r="V1622" s="11"/>
      <c r="W1622" s="11"/>
      <c r="X1622" s="11"/>
      <c r="Z1622" s="18">
        <f>ROUND(R1622*'Data-CostAssumptions'!$C$8,-3)</f>
        <v>990000</v>
      </c>
      <c r="AA1622" s="11">
        <f t="shared" si="52"/>
        <v>0</v>
      </c>
      <c r="AB1622" s="11">
        <v>2041</v>
      </c>
      <c r="AC1622" s="11">
        <v>2041</v>
      </c>
      <c r="AD1622" s="11">
        <v>2041</v>
      </c>
      <c r="AE1622" s="11">
        <v>2041</v>
      </c>
      <c r="AF1622" s="11">
        <v>0</v>
      </c>
      <c r="AG1622" s="19">
        <f>ROUND((Z1622*'Data-CostAssumptions'!$G$5)*(1+'Data-CostAssumptions'!$G$3)^(AC1622-'Data-CostAssumptions'!$G$4),-3)</f>
        <v>558000</v>
      </c>
      <c r="AH1622" s="19">
        <f>ROUND((Z1622)*(1+'Data-CostAssumptions'!$G$3)^(AE1622-'Data-CostAssumptions'!$G$4),-3)</f>
        <v>2538000</v>
      </c>
    </row>
    <row r="1623" spans="1:34" ht="15" customHeight="1" x14ac:dyDescent="0.2">
      <c r="A1623" s="11"/>
      <c r="B1623" s="11" t="s">
        <v>1211</v>
      </c>
      <c r="C1623" s="11"/>
      <c r="D1623" s="84" t="s">
        <v>276</v>
      </c>
      <c r="E1623" s="14">
        <v>9</v>
      </c>
      <c r="F1623" s="14"/>
      <c r="G1623" s="20">
        <v>1626</v>
      </c>
      <c r="H1623" s="13" t="s">
        <v>2798</v>
      </c>
      <c r="I1623" s="13" t="str">
        <f t="shared" si="53"/>
        <v>SR 842/Broward Bl (SR 5/US 1 to NW 7TH Av)</v>
      </c>
      <c r="J1623" s="11" t="s">
        <v>27</v>
      </c>
      <c r="K1623" s="13" t="str">
        <f>VLOOKUP(J1623,'Data-ProjectTypes'!A$3:B$13,2,FALSE)</f>
        <v>Program</v>
      </c>
      <c r="L1623" s="11" t="s">
        <v>1263</v>
      </c>
      <c r="M1623" s="106" t="s">
        <v>1424</v>
      </c>
      <c r="N1623" s="84" t="s">
        <v>2601</v>
      </c>
      <c r="O1623" s="11"/>
      <c r="P1623" s="11"/>
      <c r="Q1623" s="107">
        <v>0.8</v>
      </c>
      <c r="R1623" s="23">
        <v>638550</v>
      </c>
      <c r="S1623" s="11"/>
      <c r="T1623" s="11"/>
      <c r="U1623" s="11"/>
      <c r="V1623" s="11"/>
      <c r="W1623" s="11"/>
      <c r="X1623" s="11"/>
      <c r="Z1623" s="18">
        <f>ROUND(R1623*'Data-CostAssumptions'!$C$8,-3)</f>
        <v>639000</v>
      </c>
      <c r="AA1623" s="11">
        <f t="shared" si="52"/>
        <v>0</v>
      </c>
      <c r="AB1623" s="11">
        <v>2041</v>
      </c>
      <c r="AC1623" s="11">
        <v>2041</v>
      </c>
      <c r="AD1623" s="11">
        <v>2041</v>
      </c>
      <c r="AE1623" s="11">
        <v>2041</v>
      </c>
      <c r="AF1623" s="11">
        <v>0</v>
      </c>
      <c r="AG1623" s="19">
        <f>ROUND((Z1623*'Data-CostAssumptions'!$G$5)*(1+'Data-CostAssumptions'!$G$3)^(AC1623-'Data-CostAssumptions'!$G$4),-3)</f>
        <v>360000</v>
      </c>
      <c r="AH1623" s="19">
        <f>ROUND((Z1623)*(1+'Data-CostAssumptions'!$G$3)^(AE1623-'Data-CostAssumptions'!$G$4),-3)</f>
        <v>1638000</v>
      </c>
    </row>
    <row r="1624" spans="1:34" ht="15" customHeight="1" x14ac:dyDescent="0.2">
      <c r="A1624" s="11"/>
      <c r="B1624" s="11" t="s">
        <v>1211</v>
      </c>
      <c r="C1624" s="11"/>
      <c r="D1624" s="84" t="s">
        <v>276</v>
      </c>
      <c r="E1624" s="14">
        <v>112</v>
      </c>
      <c r="F1624" s="14"/>
      <c r="G1624" s="20">
        <v>1627</v>
      </c>
      <c r="H1624" s="13" t="s">
        <v>2798</v>
      </c>
      <c r="I1624" s="13" t="str">
        <f t="shared" si="53"/>
        <v>SR 842/Broward Bl (VICTORIA PARK RD to NE/SE 15TH Av)</v>
      </c>
      <c r="J1624" s="11" t="s">
        <v>27</v>
      </c>
      <c r="K1624" s="13" t="str">
        <f>VLOOKUP(J1624,'Data-ProjectTypes'!A$3:B$13,2,FALSE)</f>
        <v>Program</v>
      </c>
      <c r="L1624" s="11" t="s">
        <v>1261</v>
      </c>
      <c r="M1624" s="106" t="s">
        <v>1252</v>
      </c>
      <c r="N1624" s="84" t="s">
        <v>2600</v>
      </c>
      <c r="O1624" s="11"/>
      <c r="P1624" s="11"/>
      <c r="Q1624" s="107">
        <v>0.2</v>
      </c>
      <c r="R1624" s="23">
        <v>117000</v>
      </c>
      <c r="S1624" s="11"/>
      <c r="T1624" s="11"/>
      <c r="U1624" s="11"/>
      <c r="V1624" s="11"/>
      <c r="W1624" s="11"/>
      <c r="X1624" s="11"/>
      <c r="Z1624" s="18">
        <f>ROUND(R1624*'Data-CostAssumptions'!$C$8,-3)</f>
        <v>117000</v>
      </c>
      <c r="AA1624" s="11">
        <f t="shared" si="52"/>
        <v>0</v>
      </c>
      <c r="AB1624" s="11">
        <v>2041</v>
      </c>
      <c r="AC1624" s="11">
        <v>2041</v>
      </c>
      <c r="AD1624" s="11">
        <v>2041</v>
      </c>
      <c r="AE1624" s="11">
        <v>2041</v>
      </c>
      <c r="AF1624" s="11">
        <v>0</v>
      </c>
      <c r="AG1624" s="19">
        <f>ROUND((Z1624*'Data-CostAssumptions'!$G$5)*(1+'Data-CostAssumptions'!$G$3)^(AC1624-'Data-CostAssumptions'!$G$4),-3)</f>
        <v>66000</v>
      </c>
      <c r="AH1624" s="19">
        <f>ROUND((Z1624)*(1+'Data-CostAssumptions'!$G$3)^(AE1624-'Data-CostAssumptions'!$G$4),-3)</f>
        <v>300000</v>
      </c>
    </row>
    <row r="1625" spans="1:34" ht="15" customHeight="1" x14ac:dyDescent="0.2">
      <c r="A1625" s="11"/>
      <c r="B1625" s="11" t="s">
        <v>1211</v>
      </c>
      <c r="C1625" s="11"/>
      <c r="D1625" s="84" t="s">
        <v>276</v>
      </c>
      <c r="E1625" s="14">
        <v>12</v>
      </c>
      <c r="F1625" s="14"/>
      <c r="G1625" s="20">
        <v>1628</v>
      </c>
      <c r="H1625" s="13" t="s">
        <v>2803</v>
      </c>
      <c r="I1625" s="13" t="str">
        <f t="shared" si="53"/>
        <v>SR 870/Commercial Bl (I-95 to SR 7)</v>
      </c>
      <c r="J1625" s="11" t="s">
        <v>27</v>
      </c>
      <c r="K1625" s="13" t="str">
        <f>VLOOKUP(J1625,'Data-ProjectTypes'!A$3:B$13,2,FALSE)</f>
        <v>Program</v>
      </c>
      <c r="L1625" s="11" t="s">
        <v>1270</v>
      </c>
      <c r="M1625" s="106" t="s">
        <v>41</v>
      </c>
      <c r="N1625" s="84" t="s">
        <v>53</v>
      </c>
      <c r="O1625" s="11"/>
      <c r="P1625" s="11"/>
      <c r="Q1625" s="107">
        <v>3</v>
      </c>
      <c r="R1625" s="23">
        <v>3429000</v>
      </c>
      <c r="S1625" s="11"/>
      <c r="T1625" s="11"/>
      <c r="U1625" s="11"/>
      <c r="V1625" s="11"/>
      <c r="W1625" s="11"/>
      <c r="X1625" s="11"/>
      <c r="Z1625" s="18">
        <f>ROUND(R1625*'Data-CostAssumptions'!$C$8,-3)</f>
        <v>3429000</v>
      </c>
      <c r="AA1625" s="11">
        <f t="shared" si="52"/>
        <v>0</v>
      </c>
      <c r="AB1625" s="11">
        <v>2041</v>
      </c>
      <c r="AC1625" s="11">
        <v>2041</v>
      </c>
      <c r="AD1625" s="11">
        <v>2041</v>
      </c>
      <c r="AE1625" s="11">
        <v>2041</v>
      </c>
      <c r="AF1625" s="11">
        <v>0</v>
      </c>
      <c r="AG1625" s="19">
        <f>ROUND((Z1625*'Data-CostAssumptions'!$G$5)*(1+'Data-CostAssumptions'!$G$3)^(AC1625-'Data-CostAssumptions'!$G$4),-3)</f>
        <v>1934000</v>
      </c>
      <c r="AH1625" s="19">
        <f>ROUND((Z1625)*(1+'Data-CostAssumptions'!$G$3)^(AE1625-'Data-CostAssumptions'!$G$4),-3)</f>
        <v>8792000</v>
      </c>
    </row>
    <row r="1626" spans="1:34" ht="15" customHeight="1" x14ac:dyDescent="0.2">
      <c r="A1626" s="11"/>
      <c r="B1626" s="11" t="s">
        <v>1211</v>
      </c>
      <c r="C1626" s="11"/>
      <c r="D1626" s="84" t="s">
        <v>276</v>
      </c>
      <c r="E1626" s="14">
        <v>11</v>
      </c>
      <c r="F1626" s="14"/>
      <c r="G1626" s="20">
        <v>1629</v>
      </c>
      <c r="H1626" s="13" t="s">
        <v>2803</v>
      </c>
      <c r="I1626" s="13" t="str">
        <f t="shared" si="53"/>
        <v>SR 870/Commercial Bl (SR A1A/OCEAN DR to US 1/SR 5/FEDERAL HWY)</v>
      </c>
      <c r="J1626" s="11" t="s">
        <v>27</v>
      </c>
      <c r="K1626" s="13" t="str">
        <f>VLOOKUP(J1626,'Data-ProjectTypes'!A$3:B$13,2,FALSE)</f>
        <v>Program</v>
      </c>
      <c r="L1626" s="11" t="s">
        <v>1265</v>
      </c>
      <c r="M1626" s="106" t="s">
        <v>1426</v>
      </c>
      <c r="N1626" s="84" t="s">
        <v>1425</v>
      </c>
      <c r="O1626" s="11"/>
      <c r="P1626" s="11"/>
      <c r="Q1626" s="107">
        <v>1.1000000000000001</v>
      </c>
      <c r="R1626" s="23">
        <v>1164150</v>
      </c>
      <c r="S1626" s="11"/>
      <c r="T1626" s="11"/>
      <c r="U1626" s="11"/>
      <c r="V1626" s="11"/>
      <c r="W1626" s="11"/>
      <c r="X1626" s="11"/>
      <c r="Z1626" s="18">
        <f>ROUND(R1626*'Data-CostAssumptions'!$C$8,-3)</f>
        <v>1164000</v>
      </c>
      <c r="AA1626" s="11">
        <f t="shared" si="52"/>
        <v>0</v>
      </c>
      <c r="AB1626" s="11">
        <v>2041</v>
      </c>
      <c r="AC1626" s="11">
        <v>2041</v>
      </c>
      <c r="AD1626" s="11">
        <v>2041</v>
      </c>
      <c r="AE1626" s="11">
        <v>2041</v>
      </c>
      <c r="AF1626" s="11">
        <v>0</v>
      </c>
      <c r="AG1626" s="19">
        <f>ROUND((Z1626*'Data-CostAssumptions'!$G$5)*(1+'Data-CostAssumptions'!$G$3)^(AC1626-'Data-CostAssumptions'!$G$4),-3)</f>
        <v>657000</v>
      </c>
      <c r="AH1626" s="19">
        <f>ROUND((Z1626)*(1+'Data-CostAssumptions'!$G$3)^(AE1626-'Data-CostAssumptions'!$G$4),-3)</f>
        <v>2984000</v>
      </c>
    </row>
    <row r="1627" spans="1:34" ht="15" customHeight="1" x14ac:dyDescent="0.2">
      <c r="A1627" s="11"/>
      <c r="B1627" s="11" t="s">
        <v>1211</v>
      </c>
      <c r="C1627" s="11"/>
      <c r="D1627" s="84" t="s">
        <v>276</v>
      </c>
      <c r="E1627" s="14">
        <v>13</v>
      </c>
      <c r="F1627" s="14"/>
      <c r="G1627" s="20">
        <v>1630</v>
      </c>
      <c r="H1627" s="13" t="s">
        <v>2803</v>
      </c>
      <c r="I1627" s="13" t="str">
        <f t="shared" si="53"/>
        <v>SR 870/Commercial Bl (US 1/SR 5/FEDERAL HWY to NE 15TH TER)</v>
      </c>
      <c r="J1627" s="11" t="s">
        <v>27</v>
      </c>
      <c r="K1627" s="13" t="str">
        <f>VLOOKUP(J1627,'Data-ProjectTypes'!A$3:B$13,2,FALSE)</f>
        <v>Program</v>
      </c>
      <c r="L1627" s="11" t="s">
        <v>1269</v>
      </c>
      <c r="M1627" s="106" t="s">
        <v>1425</v>
      </c>
      <c r="N1627" s="84" t="s">
        <v>1427</v>
      </c>
      <c r="O1627" s="11"/>
      <c r="P1627" s="11"/>
      <c r="Q1627" s="107">
        <v>0.7</v>
      </c>
      <c r="R1627" s="23">
        <v>423100</v>
      </c>
      <c r="S1627" s="11"/>
      <c r="T1627" s="11"/>
      <c r="U1627" s="11"/>
      <c r="V1627" s="11"/>
      <c r="W1627" s="11"/>
      <c r="X1627" s="11"/>
      <c r="Z1627" s="18">
        <f>ROUND(R1627*'Data-CostAssumptions'!$C$8,-3)</f>
        <v>423000</v>
      </c>
      <c r="AA1627" s="11">
        <f t="shared" si="52"/>
        <v>0</v>
      </c>
      <c r="AB1627" s="11">
        <v>2041</v>
      </c>
      <c r="AC1627" s="11">
        <v>2041</v>
      </c>
      <c r="AD1627" s="11">
        <v>2041</v>
      </c>
      <c r="AE1627" s="11">
        <v>2041</v>
      </c>
      <c r="AF1627" s="11">
        <v>0</v>
      </c>
      <c r="AG1627" s="19">
        <f>ROUND((Z1627*'Data-CostAssumptions'!$G$5)*(1+'Data-CostAssumptions'!$G$3)^(AC1627-'Data-CostAssumptions'!$G$4),-3)</f>
        <v>239000</v>
      </c>
      <c r="AH1627" s="19">
        <f>ROUND((Z1627)*(1+'Data-CostAssumptions'!$G$3)^(AE1627-'Data-CostAssumptions'!$G$4),-3)</f>
        <v>1085000</v>
      </c>
    </row>
    <row r="1628" spans="1:34" ht="15" customHeight="1" x14ac:dyDescent="0.2">
      <c r="B1628" s="11" t="s">
        <v>1211</v>
      </c>
      <c r="D1628" s="84" t="s">
        <v>276</v>
      </c>
      <c r="E1628" s="104">
        <v>88</v>
      </c>
      <c r="G1628" s="20">
        <v>1631</v>
      </c>
      <c r="H1628" s="13" t="s">
        <v>110</v>
      </c>
      <c r="I1628" s="13" t="str">
        <f t="shared" si="53"/>
        <v>SR A1A (EISENHOWER Bl to LAS OLAS Bl)</v>
      </c>
      <c r="J1628" s="12" t="s">
        <v>27</v>
      </c>
      <c r="K1628" s="13" t="str">
        <f>VLOOKUP(J1628,'Data-ProjectTypes'!A$3:B$13,2,FALSE)</f>
        <v>Program</v>
      </c>
      <c r="L1628" s="12" t="s">
        <v>1382</v>
      </c>
      <c r="M1628" s="105" t="s">
        <v>1993</v>
      </c>
      <c r="N1628" s="12" t="s">
        <v>1997</v>
      </c>
      <c r="Q1628" s="72">
        <v>2.2000000000000002</v>
      </c>
      <c r="R1628" s="23">
        <v>940000</v>
      </c>
      <c r="Z1628" s="18">
        <f>ROUND(R1628*'Data-CostAssumptions'!$C$8,-3)</f>
        <v>940000</v>
      </c>
      <c r="AA1628" s="11">
        <f t="shared" si="52"/>
        <v>0</v>
      </c>
      <c r="AB1628" s="11">
        <v>2041</v>
      </c>
      <c r="AC1628" s="11">
        <v>2041</v>
      </c>
      <c r="AD1628" s="11">
        <v>2041</v>
      </c>
      <c r="AE1628" s="11">
        <v>2041</v>
      </c>
      <c r="AF1628" s="11">
        <v>0</v>
      </c>
      <c r="AG1628" s="19">
        <f>ROUND((Z1628*'Data-CostAssumptions'!$G$5)*(1+'Data-CostAssumptions'!$G$3)^(AC1628-'Data-CostAssumptions'!$G$4),-3)</f>
        <v>530000</v>
      </c>
      <c r="AH1628" s="19">
        <f>ROUND((Z1628)*(1+'Data-CostAssumptions'!$G$3)^(AE1628-'Data-CostAssumptions'!$G$4),-3)</f>
        <v>2410000</v>
      </c>
    </row>
    <row r="1629" spans="1:34" ht="15" customHeight="1" x14ac:dyDescent="0.2">
      <c r="B1629" s="11" t="s">
        <v>1211</v>
      </c>
      <c r="D1629" s="84" t="s">
        <v>276</v>
      </c>
      <c r="E1629" s="104">
        <v>87</v>
      </c>
      <c r="G1629" s="20">
        <v>1632</v>
      </c>
      <c r="H1629" s="13" t="s">
        <v>110</v>
      </c>
      <c r="I1629" s="13" t="str">
        <f t="shared" si="53"/>
        <v>SR A1A (LAS OLAS Bl to FLAMINGO Av)</v>
      </c>
      <c r="J1629" s="12" t="s">
        <v>27</v>
      </c>
      <c r="K1629" s="13" t="str">
        <f>VLOOKUP(J1629,'Data-ProjectTypes'!A$3:B$13,2,FALSE)</f>
        <v>Program</v>
      </c>
      <c r="L1629" s="12" t="s">
        <v>1380</v>
      </c>
      <c r="M1629" s="105" t="s">
        <v>1997</v>
      </c>
      <c r="N1629" s="12" t="s">
        <v>2630</v>
      </c>
      <c r="Q1629" s="72">
        <v>4.4000000000000004</v>
      </c>
      <c r="R1629" s="23">
        <v>1409000</v>
      </c>
      <c r="Z1629" s="18">
        <f>ROUND(R1629*'Data-CostAssumptions'!$C$8,-3)</f>
        <v>1409000</v>
      </c>
      <c r="AA1629" s="11">
        <f t="shared" si="52"/>
        <v>0</v>
      </c>
      <c r="AB1629" s="11">
        <v>2041</v>
      </c>
      <c r="AC1629" s="11">
        <v>2041</v>
      </c>
      <c r="AD1629" s="11">
        <v>2041</v>
      </c>
      <c r="AE1629" s="11">
        <v>2041</v>
      </c>
      <c r="AF1629" s="11">
        <v>0</v>
      </c>
      <c r="AG1629" s="19">
        <f>ROUND((Z1629*'Data-CostAssumptions'!$G$5)*(1+'Data-CostAssumptions'!$G$3)^(AC1629-'Data-CostAssumptions'!$G$4),-3)</f>
        <v>795000</v>
      </c>
      <c r="AH1629" s="19">
        <f>ROUND((Z1629)*(1+'Data-CostAssumptions'!$G$3)^(AE1629-'Data-CostAssumptions'!$G$4),-3)</f>
        <v>3613000</v>
      </c>
    </row>
    <row r="1630" spans="1:34" ht="15" customHeight="1" x14ac:dyDescent="0.2">
      <c r="B1630" s="11" t="s">
        <v>1211</v>
      </c>
      <c r="D1630" s="84" t="s">
        <v>276</v>
      </c>
      <c r="E1630" s="104">
        <v>133</v>
      </c>
      <c r="G1630" s="20">
        <v>1633</v>
      </c>
      <c r="H1630" s="13" t="s">
        <v>110</v>
      </c>
      <c r="I1630" s="13" t="str">
        <f t="shared" si="53"/>
        <v>SR A1A (SUNRISE Bl to FT LAUDERDALE BEACH PARK)</v>
      </c>
      <c r="J1630" s="12" t="s">
        <v>27</v>
      </c>
      <c r="K1630" s="13" t="str">
        <f>VLOOKUP(J1630,'Data-ProjectTypes'!A$3:B$13,2,FALSE)</f>
        <v>Program</v>
      </c>
      <c r="L1630" s="12" t="s">
        <v>1645</v>
      </c>
      <c r="M1630" s="105" t="s">
        <v>2002</v>
      </c>
      <c r="N1630" s="12" t="s">
        <v>1678</v>
      </c>
      <c r="Q1630" s="72">
        <v>2</v>
      </c>
      <c r="R1630" s="23">
        <v>3895336</v>
      </c>
      <c r="Z1630" s="18">
        <f>ROUND(R1630*'Data-CostAssumptions'!$C$8,-3)</f>
        <v>3895000</v>
      </c>
      <c r="AA1630" s="11">
        <f t="shared" si="52"/>
        <v>0</v>
      </c>
      <c r="AB1630" s="11">
        <v>2041</v>
      </c>
      <c r="AC1630" s="11">
        <v>2041</v>
      </c>
      <c r="AD1630" s="11">
        <v>2041</v>
      </c>
      <c r="AE1630" s="11">
        <v>2041</v>
      </c>
      <c r="AF1630" s="11">
        <v>0</v>
      </c>
      <c r="AG1630" s="19">
        <f>ROUND((Z1630*'Data-CostAssumptions'!$G$5)*(1+'Data-CostAssumptions'!$G$3)^(AC1630-'Data-CostAssumptions'!$G$4),-3)</f>
        <v>2197000</v>
      </c>
      <c r="AH1630" s="19">
        <f>ROUND((Z1630)*(1+'Data-CostAssumptions'!$G$3)^(AE1630-'Data-CostAssumptions'!$G$4),-3)</f>
        <v>9987000</v>
      </c>
    </row>
    <row r="1631" spans="1:34" ht="15" customHeight="1" x14ac:dyDescent="0.2">
      <c r="B1631" s="11" t="s">
        <v>1211</v>
      </c>
      <c r="D1631" s="84" t="s">
        <v>276</v>
      </c>
      <c r="E1631" s="104">
        <v>93</v>
      </c>
      <c r="G1631" s="20">
        <v>1634</v>
      </c>
      <c r="H1631" s="13" t="s">
        <v>1249</v>
      </c>
      <c r="I1631" s="13" t="str">
        <f t="shared" si="53"/>
        <v>SW 17TH ST (SW 9TH Av to SW 4TH Av)</v>
      </c>
      <c r="J1631" s="12" t="s">
        <v>27</v>
      </c>
      <c r="K1631" s="13" t="str">
        <f>VLOOKUP(J1631,'Data-ProjectTypes'!A$3:B$13,2,FALSE)</f>
        <v>Program</v>
      </c>
      <c r="L1631" s="12" t="s">
        <v>1402</v>
      </c>
      <c r="M1631" s="105" t="s">
        <v>2196</v>
      </c>
      <c r="N1631" s="12" t="s">
        <v>2194</v>
      </c>
      <c r="Q1631" s="72">
        <v>0.4</v>
      </c>
      <c r="R1631" s="23">
        <v>260000</v>
      </c>
      <c r="Z1631" s="18">
        <f>ROUND(R1631*'Data-CostAssumptions'!$C$8,-3)</f>
        <v>260000</v>
      </c>
      <c r="AA1631" s="11">
        <f t="shared" si="52"/>
        <v>0</v>
      </c>
      <c r="AB1631" s="11">
        <v>2041</v>
      </c>
      <c r="AC1631" s="11">
        <v>2041</v>
      </c>
      <c r="AD1631" s="11">
        <v>2041</v>
      </c>
      <c r="AE1631" s="11">
        <v>2041</v>
      </c>
      <c r="AF1631" s="11">
        <v>0</v>
      </c>
      <c r="AG1631" s="19">
        <f>ROUND((Z1631*'Data-CostAssumptions'!$G$5)*(1+'Data-CostAssumptions'!$G$3)^(AC1631-'Data-CostAssumptions'!$G$4),-3)</f>
        <v>147000</v>
      </c>
      <c r="AH1631" s="19">
        <f>ROUND((Z1631)*(1+'Data-CostAssumptions'!$G$3)^(AE1631-'Data-CostAssumptions'!$G$4),-3)</f>
        <v>667000</v>
      </c>
    </row>
    <row r="1632" spans="1:34" ht="15" customHeight="1" x14ac:dyDescent="0.2">
      <c r="B1632" s="11" t="s">
        <v>1211</v>
      </c>
      <c r="D1632" s="84" t="s">
        <v>276</v>
      </c>
      <c r="E1632" s="104">
        <v>79</v>
      </c>
      <c r="G1632" s="20">
        <v>1635</v>
      </c>
      <c r="H1632" s="13" t="s">
        <v>2190</v>
      </c>
      <c r="I1632" s="13" t="str">
        <f t="shared" si="53"/>
        <v>SW 27TH Av (DAVIE Bl to BROWARD Bl)</v>
      </c>
      <c r="J1632" s="12" t="s">
        <v>27</v>
      </c>
      <c r="K1632" s="13" t="str">
        <f>VLOOKUP(J1632,'Data-ProjectTypes'!A$3:B$13,2,FALSE)</f>
        <v>Program</v>
      </c>
      <c r="L1632" s="12" t="s">
        <v>1369</v>
      </c>
      <c r="M1632" s="105" t="s">
        <v>1991</v>
      </c>
      <c r="N1632" s="12" t="s">
        <v>1988</v>
      </c>
      <c r="Q1632" s="72">
        <v>1</v>
      </c>
      <c r="R1632" s="23">
        <v>816750</v>
      </c>
      <c r="Z1632" s="18">
        <f>ROUND(R1632*'Data-CostAssumptions'!$C$8,-3)</f>
        <v>817000</v>
      </c>
      <c r="AA1632" s="11">
        <f t="shared" si="52"/>
        <v>0</v>
      </c>
      <c r="AB1632" s="11">
        <v>2041</v>
      </c>
      <c r="AC1632" s="11">
        <v>2041</v>
      </c>
      <c r="AD1632" s="11">
        <v>2041</v>
      </c>
      <c r="AE1632" s="11">
        <v>2041</v>
      </c>
      <c r="AF1632" s="11">
        <v>0</v>
      </c>
      <c r="AG1632" s="19">
        <f>ROUND((Z1632*'Data-CostAssumptions'!$G$5)*(1+'Data-CostAssumptions'!$G$3)^(AC1632-'Data-CostAssumptions'!$G$4),-3)</f>
        <v>461000</v>
      </c>
      <c r="AH1632" s="19">
        <f>ROUND((Z1632)*(1+'Data-CostAssumptions'!$G$3)^(AE1632-'Data-CostAssumptions'!$G$4),-3)</f>
        <v>2095000</v>
      </c>
    </row>
    <row r="1633" spans="1:39" ht="15" customHeight="1" x14ac:dyDescent="0.2">
      <c r="B1633" s="11" t="s">
        <v>1211</v>
      </c>
      <c r="D1633" s="84" t="s">
        <v>276</v>
      </c>
      <c r="E1633" s="104">
        <v>96</v>
      </c>
      <c r="G1633" s="20">
        <v>1636</v>
      </c>
      <c r="H1633" s="13" t="s">
        <v>2191</v>
      </c>
      <c r="I1633" s="13" t="str">
        <f t="shared" si="53"/>
        <v>SW 31ST Av (RIVERLAND RD to BROWARD Bl)</v>
      </c>
      <c r="J1633" s="12" t="s">
        <v>27</v>
      </c>
      <c r="K1633" s="13" t="str">
        <f>VLOOKUP(J1633,'Data-ProjectTypes'!A$3:B$13,2,FALSE)</f>
        <v>Program</v>
      </c>
      <c r="L1633" s="12" t="s">
        <v>1406</v>
      </c>
      <c r="M1633" s="105" t="s">
        <v>1243</v>
      </c>
      <c r="N1633" s="12" t="s">
        <v>1988</v>
      </c>
      <c r="Q1633" s="72">
        <v>0.9</v>
      </c>
      <c r="R1633" s="23">
        <v>928300</v>
      </c>
      <c r="Z1633" s="18">
        <f>ROUND(R1633*'Data-CostAssumptions'!$C$8,-3)</f>
        <v>928000</v>
      </c>
      <c r="AA1633" s="11">
        <f t="shared" si="52"/>
        <v>0</v>
      </c>
      <c r="AB1633" s="11">
        <v>2041</v>
      </c>
      <c r="AC1633" s="11">
        <v>2041</v>
      </c>
      <c r="AD1633" s="11">
        <v>2041</v>
      </c>
      <c r="AE1633" s="11">
        <v>2041</v>
      </c>
      <c r="AF1633" s="11">
        <v>0</v>
      </c>
      <c r="AG1633" s="19">
        <f>ROUND((Z1633*'Data-CostAssumptions'!$G$5)*(1+'Data-CostAssumptions'!$G$3)^(AC1633-'Data-CostAssumptions'!$G$4),-3)</f>
        <v>523000</v>
      </c>
      <c r="AH1633" s="19">
        <f>ROUND((Z1633)*(1+'Data-CostAssumptions'!$G$3)^(AE1633-'Data-CostAssumptions'!$G$4),-3)</f>
        <v>2379000</v>
      </c>
    </row>
    <row r="1634" spans="1:39" ht="15" customHeight="1" x14ac:dyDescent="0.2">
      <c r="B1634" s="11" t="s">
        <v>1211</v>
      </c>
      <c r="D1634" s="84" t="s">
        <v>276</v>
      </c>
      <c r="E1634" s="104">
        <v>99</v>
      </c>
      <c r="G1634" s="20">
        <v>1637</v>
      </c>
      <c r="H1634" s="13" t="s">
        <v>2194</v>
      </c>
      <c r="I1634" s="13" t="str">
        <f t="shared" si="53"/>
        <v>SW 4TH Av (DAVIE Bl to BROWARD Bl)</v>
      </c>
      <c r="J1634" s="12" t="s">
        <v>27</v>
      </c>
      <c r="K1634" s="13" t="str">
        <f>VLOOKUP(J1634,'Data-ProjectTypes'!A$3:B$13,2,FALSE)</f>
        <v>Program</v>
      </c>
      <c r="L1634" s="12" t="s">
        <v>1399</v>
      </c>
      <c r="M1634" s="105" t="s">
        <v>1991</v>
      </c>
      <c r="N1634" s="12" t="s">
        <v>1988</v>
      </c>
      <c r="Q1634" s="72">
        <v>1.1000000000000001</v>
      </c>
      <c r="R1634" s="23">
        <v>733700</v>
      </c>
      <c r="Z1634" s="18">
        <f>ROUND(R1634*'Data-CostAssumptions'!$C$8,-3)</f>
        <v>734000</v>
      </c>
      <c r="AA1634" s="11">
        <f t="shared" si="52"/>
        <v>0</v>
      </c>
      <c r="AB1634" s="11">
        <v>2041</v>
      </c>
      <c r="AC1634" s="11">
        <v>2041</v>
      </c>
      <c r="AD1634" s="11">
        <v>2041</v>
      </c>
      <c r="AE1634" s="11">
        <v>2041</v>
      </c>
      <c r="AF1634" s="11">
        <v>0</v>
      </c>
      <c r="AG1634" s="19">
        <f>ROUND((Z1634*'Data-CostAssumptions'!$G$5)*(1+'Data-CostAssumptions'!$G$3)^(AC1634-'Data-CostAssumptions'!$G$4),-3)</f>
        <v>414000</v>
      </c>
      <c r="AH1634" s="19">
        <f>ROUND((Z1634)*(1+'Data-CostAssumptions'!$G$3)^(AE1634-'Data-CostAssumptions'!$G$4),-3)</f>
        <v>1882000</v>
      </c>
    </row>
    <row r="1635" spans="1:39" ht="15" customHeight="1" x14ac:dyDescent="0.2">
      <c r="B1635" s="11" t="s">
        <v>1211</v>
      </c>
      <c r="D1635" s="84" t="s">
        <v>276</v>
      </c>
      <c r="E1635" s="104">
        <v>97</v>
      </c>
      <c r="G1635" s="20">
        <v>1638</v>
      </c>
      <c r="H1635" s="13" t="s">
        <v>2194</v>
      </c>
      <c r="I1635" s="13" t="str">
        <f t="shared" si="53"/>
        <v>SW 4TH Av (PERIMETER RD/SW 34TH ST to SR 84/SW 24TH ST)</v>
      </c>
      <c r="J1635" s="12" t="s">
        <v>27</v>
      </c>
      <c r="K1635" s="13" t="str">
        <f>VLOOKUP(J1635,'Data-ProjectTypes'!A$3:B$13,2,FALSE)</f>
        <v>Program</v>
      </c>
      <c r="L1635" s="12" t="s">
        <v>1397</v>
      </c>
      <c r="M1635" s="105" t="s">
        <v>1456</v>
      </c>
      <c r="N1635" s="12" t="s">
        <v>1419</v>
      </c>
      <c r="Q1635" s="72">
        <v>0.8</v>
      </c>
      <c r="R1635" s="23">
        <v>657000</v>
      </c>
      <c r="Z1635" s="18">
        <f>ROUND(R1635*'Data-CostAssumptions'!$C$8,-3)</f>
        <v>657000</v>
      </c>
      <c r="AA1635" s="11">
        <f t="shared" si="52"/>
        <v>0</v>
      </c>
      <c r="AB1635" s="11">
        <v>2041</v>
      </c>
      <c r="AC1635" s="11">
        <v>2041</v>
      </c>
      <c r="AD1635" s="11">
        <v>2041</v>
      </c>
      <c r="AE1635" s="11">
        <v>2041</v>
      </c>
      <c r="AF1635" s="11">
        <v>0</v>
      </c>
      <c r="AG1635" s="19">
        <f>ROUND((Z1635*'Data-CostAssumptions'!$G$5)*(1+'Data-CostAssumptions'!$G$3)^(AC1635-'Data-CostAssumptions'!$G$4),-3)</f>
        <v>371000</v>
      </c>
      <c r="AH1635" s="19">
        <f>ROUND((Z1635)*(1+'Data-CostAssumptions'!$G$3)^(AE1635-'Data-CostAssumptions'!$G$4),-3)</f>
        <v>1685000</v>
      </c>
    </row>
    <row r="1636" spans="1:39" ht="15" customHeight="1" x14ac:dyDescent="0.2">
      <c r="B1636" s="11" t="s">
        <v>1211</v>
      </c>
      <c r="D1636" s="84" t="s">
        <v>276</v>
      </c>
      <c r="E1636" s="104">
        <v>98</v>
      </c>
      <c r="G1636" s="20">
        <v>1639</v>
      </c>
      <c r="H1636" s="13" t="s">
        <v>2194</v>
      </c>
      <c r="I1636" s="13" t="str">
        <f t="shared" si="53"/>
        <v>SW 4TH Av (SR 84/SW 24TH ST to DAVIE Bl)</v>
      </c>
      <c r="J1636" s="12" t="s">
        <v>27</v>
      </c>
      <c r="K1636" s="13" t="str">
        <f>VLOOKUP(J1636,'Data-ProjectTypes'!A$3:B$13,2,FALSE)</f>
        <v>Program</v>
      </c>
      <c r="L1636" s="12" t="s">
        <v>1398</v>
      </c>
      <c r="M1636" s="105" t="s">
        <v>1419</v>
      </c>
      <c r="N1636" s="12" t="s">
        <v>1991</v>
      </c>
      <c r="Q1636" s="72">
        <v>1</v>
      </c>
      <c r="R1636" s="23">
        <v>799200</v>
      </c>
      <c r="Z1636" s="18">
        <f>ROUND(R1636*'Data-CostAssumptions'!$C$8,-3)</f>
        <v>799000</v>
      </c>
      <c r="AA1636" s="11">
        <f t="shared" si="52"/>
        <v>0</v>
      </c>
      <c r="AB1636" s="11">
        <v>2041</v>
      </c>
      <c r="AC1636" s="11">
        <v>2041</v>
      </c>
      <c r="AD1636" s="11">
        <v>2041</v>
      </c>
      <c r="AE1636" s="11">
        <v>2041</v>
      </c>
      <c r="AF1636" s="11">
        <v>0</v>
      </c>
      <c r="AG1636" s="19">
        <f>ROUND((Z1636*'Data-CostAssumptions'!$G$5)*(1+'Data-CostAssumptions'!$G$3)^(AC1636-'Data-CostAssumptions'!$G$4),-3)</f>
        <v>451000</v>
      </c>
      <c r="AH1636" s="19">
        <f>ROUND((Z1636)*(1+'Data-CostAssumptions'!$G$3)^(AE1636-'Data-CostAssumptions'!$G$4),-3)</f>
        <v>2049000</v>
      </c>
    </row>
    <row r="1637" spans="1:39" ht="15" customHeight="1" x14ac:dyDescent="0.2">
      <c r="B1637" s="11" t="s">
        <v>1211</v>
      </c>
      <c r="D1637" s="84" t="s">
        <v>276</v>
      </c>
      <c r="E1637" s="104">
        <v>101</v>
      </c>
      <c r="G1637" s="20">
        <v>1640</v>
      </c>
      <c r="H1637" s="13" t="s">
        <v>1251</v>
      </c>
      <c r="I1637" s="13" t="str">
        <f t="shared" si="53"/>
        <v>SW 7TH ST (SW 4TH Av to US 1)</v>
      </c>
      <c r="J1637" s="12" t="s">
        <v>27</v>
      </c>
      <c r="K1637" s="13" t="str">
        <f>VLOOKUP(J1637,'Data-ProjectTypes'!A$3:B$13,2,FALSE)</f>
        <v>Program</v>
      </c>
      <c r="L1637" s="12" t="s">
        <v>1400</v>
      </c>
      <c r="M1637" s="105" t="s">
        <v>2194</v>
      </c>
      <c r="N1637" s="12" t="s">
        <v>98</v>
      </c>
      <c r="Q1637" s="72">
        <v>1</v>
      </c>
      <c r="R1637" s="23">
        <v>775000</v>
      </c>
      <c r="Z1637" s="18">
        <f>ROUND(R1637*'Data-CostAssumptions'!$C$8,-3)</f>
        <v>775000</v>
      </c>
      <c r="AA1637" s="11">
        <f t="shared" si="52"/>
        <v>0</v>
      </c>
      <c r="AB1637" s="11">
        <v>2041</v>
      </c>
      <c r="AC1637" s="11">
        <v>2041</v>
      </c>
      <c r="AD1637" s="11">
        <v>2041</v>
      </c>
      <c r="AE1637" s="11">
        <v>2041</v>
      </c>
      <c r="AF1637" s="11">
        <v>0</v>
      </c>
      <c r="AG1637" s="19">
        <f>ROUND((Z1637*'Data-CostAssumptions'!$G$5)*(1+'Data-CostAssumptions'!$G$3)^(AC1637-'Data-CostAssumptions'!$G$4),-3)</f>
        <v>437000</v>
      </c>
      <c r="AH1637" s="19">
        <f>ROUND((Z1637)*(1+'Data-CostAssumptions'!$G$3)^(AE1637-'Data-CostAssumptions'!$G$4),-3)</f>
        <v>1987000</v>
      </c>
    </row>
    <row r="1638" spans="1:39" ht="15" customHeight="1" x14ac:dyDescent="0.2">
      <c r="B1638" s="11" t="s">
        <v>1211</v>
      </c>
      <c r="D1638" s="84" t="s">
        <v>276</v>
      </c>
      <c r="E1638" s="104">
        <v>100</v>
      </c>
      <c r="G1638" s="20">
        <v>1641</v>
      </c>
      <c r="H1638" s="13" t="s">
        <v>2196</v>
      </c>
      <c r="I1638" s="13" t="str">
        <f t="shared" si="53"/>
        <v>SW 9TH Av (SR 84 to DAVIE Bl)</v>
      </c>
      <c r="J1638" s="12" t="s">
        <v>27</v>
      </c>
      <c r="K1638" s="13" t="str">
        <f>VLOOKUP(J1638,'Data-ProjectTypes'!A$3:B$13,2,FALSE)</f>
        <v>Program</v>
      </c>
      <c r="L1638" s="12" t="s">
        <v>1400</v>
      </c>
      <c r="M1638" s="105" t="s">
        <v>45</v>
      </c>
      <c r="N1638" s="12" t="s">
        <v>1991</v>
      </c>
      <c r="Q1638" s="72">
        <v>1.4</v>
      </c>
      <c r="R1638" s="23">
        <v>1140000</v>
      </c>
      <c r="Z1638" s="18">
        <f>ROUND(R1638*'Data-CostAssumptions'!$C$8,-3)</f>
        <v>1140000</v>
      </c>
      <c r="AA1638" s="11">
        <f t="shared" si="52"/>
        <v>0</v>
      </c>
      <c r="AB1638" s="11">
        <v>2041</v>
      </c>
      <c r="AC1638" s="11">
        <v>2041</v>
      </c>
      <c r="AD1638" s="11">
        <v>2041</v>
      </c>
      <c r="AE1638" s="11">
        <v>2041</v>
      </c>
      <c r="AF1638" s="11">
        <v>0</v>
      </c>
      <c r="AG1638" s="19">
        <f>ROUND((Z1638*'Data-CostAssumptions'!$G$5)*(1+'Data-CostAssumptions'!$G$3)^(AC1638-'Data-CostAssumptions'!$G$4),-3)</f>
        <v>643000</v>
      </c>
      <c r="AH1638" s="19">
        <f>ROUND((Z1638)*(1+'Data-CostAssumptions'!$G$3)^(AE1638-'Data-CostAssumptions'!$G$4),-3)</f>
        <v>2923000</v>
      </c>
    </row>
    <row r="1639" spans="1:39" ht="15" customHeight="1" x14ac:dyDescent="0.2">
      <c r="B1639" s="11" t="s">
        <v>1211</v>
      </c>
      <c r="D1639" s="84" t="s">
        <v>276</v>
      </c>
      <c r="E1639" s="104">
        <v>113</v>
      </c>
      <c r="G1639" s="20">
        <v>1642</v>
      </c>
      <c r="H1639" s="13" t="s">
        <v>2196</v>
      </c>
      <c r="I1639" s="13" t="str">
        <f t="shared" si="53"/>
        <v>SW 9TH Av (SW 32ND CT to SR 84)</v>
      </c>
      <c r="J1639" s="12" t="s">
        <v>27</v>
      </c>
      <c r="K1639" s="13" t="str">
        <f>VLOOKUP(J1639,'Data-ProjectTypes'!A$3:B$13,2,FALSE)</f>
        <v>Program</v>
      </c>
      <c r="L1639" s="12" t="s">
        <v>1400</v>
      </c>
      <c r="M1639" s="105" t="s">
        <v>1457</v>
      </c>
      <c r="N1639" s="12" t="s">
        <v>45</v>
      </c>
      <c r="Q1639" s="72">
        <v>0.5</v>
      </c>
      <c r="R1639" s="23">
        <v>424000</v>
      </c>
      <c r="Z1639" s="18">
        <f>ROUND(R1639*'Data-CostAssumptions'!$C$8,-3)</f>
        <v>424000</v>
      </c>
      <c r="AA1639" s="11">
        <f t="shared" si="52"/>
        <v>0</v>
      </c>
      <c r="AB1639" s="11">
        <v>2041</v>
      </c>
      <c r="AC1639" s="11">
        <v>2041</v>
      </c>
      <c r="AD1639" s="11">
        <v>2041</v>
      </c>
      <c r="AE1639" s="11">
        <v>2041</v>
      </c>
      <c r="AF1639" s="11">
        <v>0</v>
      </c>
      <c r="AG1639" s="19">
        <f>ROUND((Z1639*'Data-CostAssumptions'!$G$5)*(1+'Data-CostAssumptions'!$G$3)^(AC1639-'Data-CostAssumptions'!$G$4),-3)</f>
        <v>239000</v>
      </c>
      <c r="AH1639" s="19">
        <f>ROUND((Z1639)*(1+'Data-CostAssumptions'!$G$3)^(AE1639-'Data-CostAssumptions'!$G$4),-3)</f>
        <v>1087000</v>
      </c>
    </row>
    <row r="1640" spans="1:39" ht="15" customHeight="1" x14ac:dyDescent="0.2">
      <c r="B1640" s="11" t="s">
        <v>1211</v>
      </c>
      <c r="D1640" s="84" t="s">
        <v>276</v>
      </c>
      <c r="E1640" s="104">
        <v>114</v>
      </c>
      <c r="G1640" s="20">
        <v>1643</v>
      </c>
      <c r="H1640" s="13" t="s">
        <v>1248</v>
      </c>
      <c r="I1640" s="13" t="str">
        <f t="shared" si="53"/>
        <v>SW 9TH ST (SW 4TH Av to US 1)</v>
      </c>
      <c r="J1640" s="12" t="s">
        <v>27</v>
      </c>
      <c r="K1640" s="13" t="str">
        <f>VLOOKUP(J1640,'Data-ProjectTypes'!A$3:B$13,2,FALSE)</f>
        <v>Program</v>
      </c>
      <c r="L1640" s="12" t="s">
        <v>1400</v>
      </c>
      <c r="M1640" s="105" t="s">
        <v>2194</v>
      </c>
      <c r="N1640" s="12" t="s">
        <v>98</v>
      </c>
      <c r="Q1640" s="72">
        <v>1</v>
      </c>
      <c r="R1640" s="23">
        <v>848000</v>
      </c>
      <c r="Z1640" s="18">
        <f>ROUND(R1640*'Data-CostAssumptions'!$C$8,-3)</f>
        <v>848000</v>
      </c>
      <c r="AA1640" s="11">
        <f t="shared" si="52"/>
        <v>0</v>
      </c>
      <c r="AB1640" s="11">
        <v>2041</v>
      </c>
      <c r="AC1640" s="11">
        <v>2041</v>
      </c>
      <c r="AD1640" s="11">
        <v>2041</v>
      </c>
      <c r="AE1640" s="11">
        <v>2041</v>
      </c>
      <c r="AF1640" s="11">
        <v>0</v>
      </c>
      <c r="AG1640" s="19">
        <f>ROUND((Z1640*'Data-CostAssumptions'!$G$5)*(1+'Data-CostAssumptions'!$G$3)^(AC1640-'Data-CostAssumptions'!$G$4),-3)</f>
        <v>478000</v>
      </c>
      <c r="AH1640" s="19">
        <f>ROUND((Z1640)*(1+'Data-CostAssumptions'!$G$3)^(AE1640-'Data-CostAssumptions'!$G$4),-3)</f>
        <v>2174000</v>
      </c>
    </row>
    <row r="1641" spans="1:39" ht="15" customHeight="1" x14ac:dyDescent="0.2">
      <c r="B1641" s="11" t="s">
        <v>1211</v>
      </c>
      <c r="D1641" s="84" t="s">
        <v>276</v>
      </c>
      <c r="E1641" s="104">
        <v>102</v>
      </c>
      <c r="G1641" s="20">
        <v>1644</v>
      </c>
      <c r="H1641" s="13" t="s">
        <v>1250</v>
      </c>
      <c r="I1641" s="13" t="str">
        <f t="shared" si="53"/>
        <v>SW/SE 17TH ST (SW 4TH Av to US 1/SR 5)</v>
      </c>
      <c r="J1641" s="12" t="s">
        <v>27</v>
      </c>
      <c r="K1641" s="13" t="str">
        <f>VLOOKUP(J1641,'Data-ProjectTypes'!A$3:B$13,2,FALSE)</f>
        <v>Program</v>
      </c>
      <c r="L1641" s="12" t="s">
        <v>1404</v>
      </c>
      <c r="M1641" s="105" t="s">
        <v>2194</v>
      </c>
      <c r="N1641" s="12" t="s">
        <v>1422</v>
      </c>
      <c r="Q1641" s="72">
        <v>0.7</v>
      </c>
      <c r="R1641" s="23">
        <v>1301600</v>
      </c>
      <c r="Z1641" s="18">
        <f>ROUND(R1641*'Data-CostAssumptions'!$C$8,-3)</f>
        <v>1302000</v>
      </c>
      <c r="AA1641" s="11">
        <f t="shared" si="52"/>
        <v>0</v>
      </c>
      <c r="AB1641" s="11">
        <v>2041</v>
      </c>
      <c r="AC1641" s="11">
        <v>2041</v>
      </c>
      <c r="AD1641" s="11">
        <v>2041</v>
      </c>
      <c r="AE1641" s="11">
        <v>2041</v>
      </c>
      <c r="AF1641" s="11">
        <v>0</v>
      </c>
      <c r="AG1641" s="19">
        <f>ROUND((Z1641*'Data-CostAssumptions'!$G$5)*(1+'Data-CostAssumptions'!$G$3)^(AC1641-'Data-CostAssumptions'!$G$4),-3)</f>
        <v>734000</v>
      </c>
      <c r="AH1641" s="19">
        <f>ROUND((Z1641)*(1+'Data-CostAssumptions'!$G$3)^(AE1641-'Data-CostAssumptions'!$G$4),-3)</f>
        <v>3338000</v>
      </c>
    </row>
    <row r="1642" spans="1:39" ht="15" customHeight="1" x14ac:dyDescent="0.2">
      <c r="B1642" s="11" t="s">
        <v>1211</v>
      </c>
      <c r="D1642" s="84" t="s">
        <v>276</v>
      </c>
      <c r="E1642" s="104">
        <v>95</v>
      </c>
      <c r="G1642" s="20">
        <v>1645</v>
      </c>
      <c r="H1642" s="13" t="s">
        <v>1247</v>
      </c>
      <c r="I1642" s="13" t="str">
        <f t="shared" si="53"/>
        <v>SW/SE 2ND ST (BRICKELL Av to US 1)</v>
      </c>
      <c r="J1642" s="12" t="s">
        <v>27</v>
      </c>
      <c r="K1642" s="13" t="str">
        <f>VLOOKUP(J1642,'Data-ProjectTypes'!A$3:B$13,2,FALSE)</f>
        <v>Program</v>
      </c>
      <c r="L1642" s="12" t="s">
        <v>1395</v>
      </c>
      <c r="M1642" s="105" t="s">
        <v>2608</v>
      </c>
      <c r="N1642" s="12" t="s">
        <v>98</v>
      </c>
      <c r="Q1642" s="72">
        <v>0.5</v>
      </c>
      <c r="R1642" s="23">
        <v>27000</v>
      </c>
      <c r="Z1642" s="18">
        <f>ROUND(R1642*'Data-CostAssumptions'!$C$8,-3)</f>
        <v>27000</v>
      </c>
      <c r="AA1642" s="11">
        <f t="shared" si="52"/>
        <v>0</v>
      </c>
      <c r="AB1642" s="11">
        <v>2041</v>
      </c>
      <c r="AC1642" s="11">
        <v>2041</v>
      </c>
      <c r="AD1642" s="11">
        <v>2041</v>
      </c>
      <c r="AE1642" s="11">
        <v>2041</v>
      </c>
      <c r="AF1642" s="11">
        <v>0</v>
      </c>
      <c r="AG1642" s="19">
        <f>ROUND((Z1642*'Data-CostAssumptions'!$G$5)*(1+'Data-CostAssumptions'!$G$3)^(AC1642-'Data-CostAssumptions'!$G$4),-3)</f>
        <v>15000</v>
      </c>
      <c r="AH1642" s="19">
        <f>ROUND((Z1642)*(1+'Data-CostAssumptions'!$G$3)^(AE1642-'Data-CostAssumptions'!$G$4),-3)</f>
        <v>69000</v>
      </c>
    </row>
    <row r="1643" spans="1:39" ht="15" customHeight="1" x14ac:dyDescent="0.2">
      <c r="B1643" s="11" t="s">
        <v>1211</v>
      </c>
      <c r="D1643" s="84" t="s">
        <v>276</v>
      </c>
      <c r="E1643" s="104">
        <v>109</v>
      </c>
      <c r="G1643" s="20">
        <v>1646</v>
      </c>
      <c r="H1643" s="13" t="s">
        <v>1868</v>
      </c>
      <c r="I1643" s="13" t="str">
        <f t="shared" si="53"/>
        <v>Victoria Park Rd (BROWARD Bl to NE 7TH ST)</v>
      </c>
      <c r="J1643" s="12" t="s">
        <v>27</v>
      </c>
      <c r="K1643" s="13" t="str">
        <f>VLOOKUP(J1643,'Data-ProjectTypes'!A$3:B$13,2,FALSE)</f>
        <v>Program</v>
      </c>
      <c r="L1643" s="12" t="s">
        <v>1258</v>
      </c>
      <c r="M1643" s="105" t="s">
        <v>1988</v>
      </c>
      <c r="N1643" s="12" t="s">
        <v>1458</v>
      </c>
      <c r="Q1643" s="72">
        <v>0.7</v>
      </c>
      <c r="R1643" s="23">
        <v>381150</v>
      </c>
      <c r="Z1643" s="18">
        <f>ROUND(R1643*'Data-CostAssumptions'!$C$8,-3)</f>
        <v>381000</v>
      </c>
      <c r="AA1643" s="11">
        <f t="shared" si="52"/>
        <v>0</v>
      </c>
      <c r="AB1643" s="11">
        <v>2041</v>
      </c>
      <c r="AC1643" s="11">
        <v>2041</v>
      </c>
      <c r="AD1643" s="11">
        <v>2041</v>
      </c>
      <c r="AE1643" s="11">
        <v>2041</v>
      </c>
      <c r="AF1643" s="11">
        <v>0</v>
      </c>
      <c r="AG1643" s="19">
        <f>ROUND((Z1643*'Data-CostAssumptions'!$G$5)*(1+'Data-CostAssumptions'!$G$3)^(AC1643-'Data-CostAssumptions'!$G$4),-3)</f>
        <v>215000</v>
      </c>
      <c r="AH1643" s="19">
        <f>ROUND((Z1643)*(1+'Data-CostAssumptions'!$G$3)^(AE1643-'Data-CostAssumptions'!$G$4),-3)</f>
        <v>977000</v>
      </c>
    </row>
    <row r="1644" spans="1:39" ht="15" customHeight="1" x14ac:dyDescent="0.2">
      <c r="A1644" s="109"/>
      <c r="B1644" s="109" t="s">
        <v>1211</v>
      </c>
      <c r="C1644" s="109"/>
      <c r="D1644" s="109" t="s">
        <v>276</v>
      </c>
      <c r="E1644" s="110"/>
      <c r="F1644" s="110">
        <v>140</v>
      </c>
      <c r="G1644" s="20">
        <v>1647</v>
      </c>
      <c r="H1644" s="111" t="s">
        <v>3020</v>
      </c>
      <c r="I1644" s="111" t="s">
        <v>3024</v>
      </c>
      <c r="J1644" s="109" t="s">
        <v>27</v>
      </c>
      <c r="K1644" s="109" t="s">
        <v>1208</v>
      </c>
      <c r="L1644" s="111" t="s">
        <v>3022</v>
      </c>
      <c r="M1644" s="112" t="s">
        <v>1245</v>
      </c>
      <c r="N1644" s="113" t="s">
        <v>3026</v>
      </c>
      <c r="Q1644" s="114">
        <v>0.2</v>
      </c>
      <c r="R1644" s="115">
        <v>117000</v>
      </c>
      <c r="S1644" s="109"/>
      <c r="V1644" s="116"/>
      <c r="Y1644" s="117"/>
      <c r="Z1644" s="118">
        <f>ROUND(R1644*'Data-CostAssumptions'!$C$8,-3)</f>
        <v>117000</v>
      </c>
      <c r="AA1644" s="11">
        <f t="shared" si="52"/>
        <v>0</v>
      </c>
      <c r="AB1644" s="11">
        <v>2041</v>
      </c>
      <c r="AC1644" s="11">
        <v>2041</v>
      </c>
      <c r="AD1644" s="11">
        <v>2041</v>
      </c>
      <c r="AE1644" s="11">
        <v>2041</v>
      </c>
      <c r="AF1644" s="11">
        <v>0</v>
      </c>
      <c r="AG1644" s="19">
        <f>ROUND((Z1644*'Data-CostAssumptions'!$G$5)*(1+'Data-CostAssumptions'!$G$3)^(AC1644-'Data-CostAssumptions'!$G$4),-3)</f>
        <v>66000</v>
      </c>
      <c r="AH1644" s="19">
        <f>ROUND((Z1644)*(1+'Data-CostAssumptions'!$G$3)^(AE1644-'Data-CostAssumptions'!$G$4),-3)</f>
        <v>300000</v>
      </c>
      <c r="AI1644" s="119"/>
      <c r="AJ1644" s="119"/>
      <c r="AK1644" s="119"/>
      <c r="AL1644" s="119"/>
      <c r="AM1644" s="119"/>
    </row>
    <row r="1645" spans="1:39" ht="15" customHeight="1" x14ac:dyDescent="0.2">
      <c r="A1645" s="109"/>
      <c r="B1645" s="109" t="s">
        <v>1211</v>
      </c>
      <c r="C1645" s="109"/>
      <c r="D1645" s="109" t="s">
        <v>276</v>
      </c>
      <c r="E1645" s="110"/>
      <c r="F1645" s="110">
        <v>142</v>
      </c>
      <c r="G1645" s="20">
        <v>1648</v>
      </c>
      <c r="H1645" s="111" t="s">
        <v>3021</v>
      </c>
      <c r="I1645" s="111" t="s">
        <v>3025</v>
      </c>
      <c r="J1645" s="109" t="s">
        <v>27</v>
      </c>
      <c r="K1645" s="109" t="s">
        <v>1208</v>
      </c>
      <c r="L1645" s="111" t="s">
        <v>3022</v>
      </c>
      <c r="M1645" s="112" t="s">
        <v>3020</v>
      </c>
      <c r="N1645" s="113" t="s">
        <v>3026</v>
      </c>
      <c r="Q1645" s="114">
        <v>0.3</v>
      </c>
      <c r="R1645" s="115">
        <v>175500</v>
      </c>
      <c r="S1645" s="109"/>
      <c r="V1645" s="116"/>
      <c r="Y1645" s="117"/>
      <c r="Z1645" s="118">
        <f>ROUND(R1645*'Data-CostAssumptions'!$C$8,-3)</f>
        <v>176000</v>
      </c>
      <c r="AA1645" s="11">
        <f t="shared" si="52"/>
        <v>0</v>
      </c>
      <c r="AB1645" s="11">
        <v>2041</v>
      </c>
      <c r="AC1645" s="11">
        <v>2041</v>
      </c>
      <c r="AD1645" s="11">
        <v>2041</v>
      </c>
      <c r="AE1645" s="11">
        <v>2041</v>
      </c>
      <c r="AF1645" s="11">
        <v>0</v>
      </c>
      <c r="AG1645" s="19">
        <f>ROUND((Z1645*'Data-CostAssumptions'!$G$5)*(1+'Data-CostAssumptions'!$G$3)^(AC1645-'Data-CostAssumptions'!$G$4),-3)</f>
        <v>99000</v>
      </c>
      <c r="AH1645" s="19">
        <f>ROUND((Z1645)*(1+'Data-CostAssumptions'!$G$3)^(AE1645-'Data-CostAssumptions'!$G$4),-3)</f>
        <v>451000</v>
      </c>
      <c r="AI1645" s="119"/>
      <c r="AJ1645" s="119"/>
      <c r="AK1645" s="119"/>
      <c r="AL1645" s="119"/>
      <c r="AM1645" s="119"/>
    </row>
    <row r="1646" spans="1:39" ht="15" customHeight="1" x14ac:dyDescent="0.2">
      <c r="A1646" s="109"/>
      <c r="B1646" s="109" t="s">
        <v>1211</v>
      </c>
      <c r="C1646" s="109"/>
      <c r="D1646" s="109" t="s">
        <v>276</v>
      </c>
      <c r="E1646" s="110"/>
      <c r="F1646" s="110">
        <v>139</v>
      </c>
      <c r="G1646" s="20">
        <v>1649</v>
      </c>
      <c r="H1646" s="111" t="s">
        <v>3028</v>
      </c>
      <c r="I1646" s="111" t="s">
        <v>3033</v>
      </c>
      <c r="J1646" s="109" t="s">
        <v>27</v>
      </c>
      <c r="K1646" s="109" t="s">
        <v>1208</v>
      </c>
      <c r="L1646" s="111" t="s">
        <v>3036</v>
      </c>
      <c r="M1646" s="112" t="s">
        <v>3030</v>
      </c>
      <c r="N1646" s="113" t="s">
        <v>3030</v>
      </c>
      <c r="Q1646" s="114">
        <v>0.1</v>
      </c>
      <c r="R1646" s="115">
        <v>1000000</v>
      </c>
      <c r="S1646" s="109"/>
      <c r="V1646" s="116"/>
      <c r="Y1646" s="117"/>
      <c r="Z1646" s="118">
        <f>ROUND(R1646*'Data-CostAssumptions'!$C$8,-3)</f>
        <v>1000000</v>
      </c>
      <c r="AA1646" s="11">
        <f t="shared" si="52"/>
        <v>0</v>
      </c>
      <c r="AB1646" s="11">
        <v>2041</v>
      </c>
      <c r="AC1646" s="11">
        <v>2041</v>
      </c>
      <c r="AD1646" s="11">
        <v>2041</v>
      </c>
      <c r="AE1646" s="11">
        <v>2041</v>
      </c>
      <c r="AF1646" s="11">
        <v>0</v>
      </c>
      <c r="AG1646" s="19">
        <f>ROUND((Z1646*'Data-CostAssumptions'!$G$5)*(1+'Data-CostAssumptions'!$G$3)^(AC1646-'Data-CostAssumptions'!$G$4),-3)</f>
        <v>564000</v>
      </c>
      <c r="AH1646" s="19">
        <f>ROUND((Z1646)*(1+'Data-CostAssumptions'!$G$3)^(AE1646-'Data-CostAssumptions'!$G$4),-3)</f>
        <v>2564000</v>
      </c>
      <c r="AI1646" s="119"/>
      <c r="AJ1646" s="119"/>
      <c r="AK1646" s="119"/>
      <c r="AL1646" s="119"/>
      <c r="AM1646" s="119"/>
    </row>
    <row r="1647" spans="1:39" ht="15" customHeight="1" x14ac:dyDescent="0.2">
      <c r="B1647" s="11" t="s">
        <v>1211</v>
      </c>
      <c r="D1647" s="84" t="s">
        <v>276</v>
      </c>
      <c r="E1647" s="104">
        <v>122</v>
      </c>
      <c r="G1647" s="20">
        <v>1650</v>
      </c>
      <c r="H1647" s="13" t="s">
        <v>2014</v>
      </c>
      <c r="I1647" s="13" t="str">
        <f t="shared" ref="I1647:I1663" si="54">IF(M1647="@",H1647&amp;" ("&amp;M1647&amp;"  "&amp;N1647&amp;")",H1647&amp;" ("&amp;M1647&amp;" to "&amp;N1647&amp;")")</f>
        <v>Andrews Av (SE 17TH ST to NE 6TH ST/SISTRUNK Bl)</v>
      </c>
      <c r="J1647" s="12" t="s">
        <v>300</v>
      </c>
      <c r="K1647" s="13" t="str">
        <f>VLOOKUP(J1647,'Data-ProjectTypes'!A$3:B$13,2,FALSE)</f>
        <v>Project</v>
      </c>
      <c r="L1647" s="12" t="s">
        <v>1637</v>
      </c>
      <c r="M1647" s="105" t="s">
        <v>1245</v>
      </c>
      <c r="N1647" s="12" t="s">
        <v>2291</v>
      </c>
      <c r="Q1647" s="72">
        <v>2</v>
      </c>
      <c r="R1647" s="23">
        <v>10400000</v>
      </c>
      <c r="Z1647" s="18">
        <f>ROUND(R1647*'Data-CostAssumptions'!$C$8,-3)</f>
        <v>10400000</v>
      </c>
      <c r="AA1647" s="11">
        <f t="shared" si="52"/>
        <v>0</v>
      </c>
      <c r="AB1647" s="11">
        <v>2041</v>
      </c>
      <c r="AC1647" s="11">
        <v>2041</v>
      </c>
      <c r="AD1647" s="11">
        <v>2041</v>
      </c>
      <c r="AE1647" s="11">
        <v>2041</v>
      </c>
      <c r="AF1647" s="11">
        <v>0</v>
      </c>
      <c r="AG1647" s="19">
        <f>ROUND((Z1647*'Data-CostAssumptions'!$G$5)*(1+'Data-CostAssumptions'!$G$3)^(AC1647-'Data-CostAssumptions'!$G$4),-3)</f>
        <v>5866000</v>
      </c>
      <c r="AH1647" s="19">
        <f>ROUND((Z1647)*(1+'Data-CostAssumptions'!$G$3)^(AE1647-'Data-CostAssumptions'!$G$4),-3)</f>
        <v>26665000</v>
      </c>
    </row>
    <row r="1648" spans="1:39" ht="15" customHeight="1" x14ac:dyDescent="0.2">
      <c r="B1648" s="11" t="s">
        <v>1211</v>
      </c>
      <c r="D1648" s="84" t="s">
        <v>276</v>
      </c>
      <c r="E1648" s="104">
        <v>507</v>
      </c>
      <c r="G1648" s="20">
        <v>1651</v>
      </c>
      <c r="H1648" s="13" t="s">
        <v>2844</v>
      </c>
      <c r="I1648" s="13" t="str">
        <f t="shared" si="54"/>
        <v>Eastern Perimeter Rd (Phase 2) (Within Secured to Fence)</v>
      </c>
      <c r="J1648" s="12" t="s">
        <v>300</v>
      </c>
      <c r="K1648" s="13" t="str">
        <f>VLOOKUP(J1648,'Data-ProjectTypes'!A$3:B$13,2,FALSE)</f>
        <v>Project</v>
      </c>
      <c r="L1648" s="12" t="s">
        <v>1656</v>
      </c>
      <c r="M1648" s="105" t="s">
        <v>2845</v>
      </c>
      <c r="N1648" s="12" t="s">
        <v>2846</v>
      </c>
      <c r="R1648" s="23">
        <v>1750000</v>
      </c>
      <c r="Z1648" s="18">
        <f>ROUND(R1648*'Data-CostAssumptions'!$C$8,-3)</f>
        <v>1750000</v>
      </c>
      <c r="AA1648" s="11">
        <f t="shared" si="52"/>
        <v>0</v>
      </c>
      <c r="AB1648" s="11">
        <v>2041</v>
      </c>
      <c r="AC1648" s="11">
        <v>2041</v>
      </c>
      <c r="AD1648" s="11">
        <v>2041</v>
      </c>
      <c r="AE1648" s="11">
        <v>2041</v>
      </c>
      <c r="AF1648" s="11">
        <v>0</v>
      </c>
      <c r="AG1648" s="19">
        <f>ROUND((Z1648*'Data-CostAssumptions'!$G$5)*(1+'Data-CostAssumptions'!$G$3)^(AC1648-'Data-CostAssumptions'!$G$4),-3)</f>
        <v>987000</v>
      </c>
      <c r="AH1648" s="19">
        <f>ROUND((Z1648)*(1+'Data-CostAssumptions'!$G$3)^(AE1648-'Data-CostAssumptions'!$G$4),-3)</f>
        <v>4487000</v>
      </c>
    </row>
    <row r="1649" spans="1:39" ht="15" customHeight="1" x14ac:dyDescent="0.2">
      <c r="B1649" s="11" t="s">
        <v>1211</v>
      </c>
      <c r="D1649" s="84" t="s">
        <v>276</v>
      </c>
      <c r="E1649" s="104">
        <v>116</v>
      </c>
      <c r="G1649" s="20">
        <v>1652</v>
      </c>
      <c r="H1649" s="13" t="s">
        <v>1823</v>
      </c>
      <c r="I1649" s="13" t="str">
        <f t="shared" si="54"/>
        <v>Las Olas Bl (HIMMARSHEE ST to ANDREWS Av)</v>
      </c>
      <c r="J1649" s="12" t="s">
        <v>300</v>
      </c>
      <c r="K1649" s="13" t="str">
        <f>VLOOKUP(J1649,'Data-ProjectTypes'!A$3:B$13,2,FALSE)</f>
        <v>Project</v>
      </c>
      <c r="L1649" s="12" t="s">
        <v>1634</v>
      </c>
      <c r="M1649" s="105" t="s">
        <v>1226</v>
      </c>
      <c r="N1649" s="12" t="s">
        <v>2139</v>
      </c>
      <c r="Q1649" s="72">
        <v>0.1</v>
      </c>
      <c r="R1649" s="23">
        <v>105000</v>
      </c>
      <c r="Z1649" s="18">
        <f>ROUND(R1649*'Data-CostAssumptions'!$C$8,-3)</f>
        <v>105000</v>
      </c>
      <c r="AA1649" s="11">
        <f t="shared" si="52"/>
        <v>0</v>
      </c>
      <c r="AB1649" s="11">
        <v>2041</v>
      </c>
      <c r="AC1649" s="11">
        <v>2041</v>
      </c>
      <c r="AD1649" s="11">
        <v>2041</v>
      </c>
      <c r="AE1649" s="11">
        <v>2041</v>
      </c>
      <c r="AF1649" s="11">
        <v>0</v>
      </c>
      <c r="AG1649" s="19">
        <f>ROUND((Z1649*'Data-CostAssumptions'!$G$5)*(1+'Data-CostAssumptions'!$G$3)^(AC1649-'Data-CostAssumptions'!$G$4),-3)</f>
        <v>59000</v>
      </c>
      <c r="AH1649" s="19">
        <f>ROUND((Z1649)*(1+'Data-CostAssumptions'!$G$3)^(AE1649-'Data-CostAssumptions'!$G$4),-3)</f>
        <v>269000</v>
      </c>
    </row>
    <row r="1650" spans="1:39" ht="15" customHeight="1" x14ac:dyDescent="0.2">
      <c r="B1650" s="11" t="s">
        <v>1211</v>
      </c>
      <c r="D1650" s="84" t="s">
        <v>276</v>
      </c>
      <c r="E1650" s="104">
        <v>136</v>
      </c>
      <c r="G1650" s="20">
        <v>1653</v>
      </c>
      <c r="H1650" s="13" t="s">
        <v>1570</v>
      </c>
      <c r="I1650" s="13" t="str">
        <f t="shared" si="54"/>
        <v>NE 13TH ST CORRIDOR IMPROVEMENTS  (FEC RAILROAD to ANDREWS Av)</v>
      </c>
      <c r="J1650" s="12" t="s">
        <v>300</v>
      </c>
      <c r="K1650" s="13" t="str">
        <f>VLOOKUP(J1650,'Data-ProjectTypes'!A$3:B$13,2,FALSE)</f>
        <v>Project</v>
      </c>
      <c r="L1650" s="12" t="s">
        <v>1648</v>
      </c>
      <c r="M1650" s="105" t="s">
        <v>1680</v>
      </c>
      <c r="N1650" s="12" t="s">
        <v>2139</v>
      </c>
      <c r="Q1650" s="72">
        <v>0.7</v>
      </c>
      <c r="R1650" s="23">
        <v>1310000</v>
      </c>
      <c r="Z1650" s="18">
        <f>ROUND(R1650*'Data-CostAssumptions'!$C$8,-3)</f>
        <v>1310000</v>
      </c>
      <c r="AA1650" s="11">
        <f t="shared" si="52"/>
        <v>0</v>
      </c>
      <c r="AB1650" s="11">
        <v>2041</v>
      </c>
      <c r="AC1650" s="11">
        <v>2041</v>
      </c>
      <c r="AD1650" s="11">
        <v>2041</v>
      </c>
      <c r="AE1650" s="11">
        <v>2041</v>
      </c>
      <c r="AF1650" s="11">
        <v>0</v>
      </c>
      <c r="AG1650" s="19">
        <f>ROUND((Z1650*'Data-CostAssumptions'!$G$5)*(1+'Data-CostAssumptions'!$G$3)^(AC1650-'Data-CostAssumptions'!$G$4),-3)</f>
        <v>739000</v>
      </c>
      <c r="AH1650" s="19">
        <f>ROUND((Z1650)*(1+'Data-CostAssumptions'!$G$3)^(AE1650-'Data-CostAssumptions'!$G$4),-3)</f>
        <v>3359000</v>
      </c>
    </row>
    <row r="1651" spans="1:39" ht="15" customHeight="1" x14ac:dyDescent="0.2">
      <c r="B1651" s="11" t="s">
        <v>1211</v>
      </c>
      <c r="D1651" s="84" t="s">
        <v>276</v>
      </c>
      <c r="E1651" s="104">
        <v>123</v>
      </c>
      <c r="G1651" s="20">
        <v>1654</v>
      </c>
      <c r="H1651" s="13" t="s">
        <v>2152</v>
      </c>
      <c r="I1651" s="13" t="str">
        <f t="shared" si="54"/>
        <v>NE 3RD Av (SE 17TH ST to NE 6TH ST/SISTRUNK Bl)</v>
      </c>
      <c r="J1651" s="12" t="s">
        <v>300</v>
      </c>
      <c r="K1651" s="13" t="str">
        <f>VLOOKUP(J1651,'Data-ProjectTypes'!A$3:B$13,2,FALSE)</f>
        <v>Project</v>
      </c>
      <c r="L1651" s="12" t="s">
        <v>1637</v>
      </c>
      <c r="M1651" s="105" t="s">
        <v>1245</v>
      </c>
      <c r="N1651" s="12" t="s">
        <v>2291</v>
      </c>
      <c r="Q1651" s="72">
        <v>2</v>
      </c>
      <c r="R1651" s="23">
        <v>10400000</v>
      </c>
      <c r="Z1651" s="18">
        <f>ROUND(R1651*'Data-CostAssumptions'!$C$8,-3)</f>
        <v>10400000</v>
      </c>
      <c r="AA1651" s="11">
        <f t="shared" si="52"/>
        <v>0</v>
      </c>
      <c r="AB1651" s="11">
        <v>2041</v>
      </c>
      <c r="AC1651" s="11">
        <v>2041</v>
      </c>
      <c r="AD1651" s="11">
        <v>2041</v>
      </c>
      <c r="AE1651" s="11">
        <v>2041</v>
      </c>
      <c r="AF1651" s="11">
        <v>0</v>
      </c>
      <c r="AG1651" s="19">
        <f>ROUND((Z1651*'Data-CostAssumptions'!$G$5)*(1+'Data-CostAssumptions'!$G$3)^(AC1651-'Data-CostAssumptions'!$G$4),-3)</f>
        <v>5866000</v>
      </c>
      <c r="AH1651" s="19">
        <f>ROUND((Z1651)*(1+'Data-CostAssumptions'!$G$3)^(AE1651-'Data-CostAssumptions'!$G$4),-3)</f>
        <v>26665000</v>
      </c>
    </row>
    <row r="1652" spans="1:39" ht="15" customHeight="1" x14ac:dyDescent="0.2">
      <c r="B1652" s="11" t="s">
        <v>1211</v>
      </c>
      <c r="D1652" s="84" t="s">
        <v>276</v>
      </c>
      <c r="E1652" s="104">
        <v>61</v>
      </c>
      <c r="G1652" s="20">
        <v>1655</v>
      </c>
      <c r="H1652" s="13" t="s">
        <v>1237</v>
      </c>
      <c r="I1652" s="13" t="str">
        <f t="shared" si="54"/>
        <v>NE/NW 6TH ST (SR 5/US 1 to NW 7TH Av/AVE OF THE ARTS)</v>
      </c>
      <c r="J1652" s="12" t="s">
        <v>300</v>
      </c>
      <c r="K1652" s="13" t="str">
        <f>VLOOKUP(J1652,'Data-ProjectTypes'!A$3:B$13,2,FALSE)</f>
        <v>Project</v>
      </c>
      <c r="L1652" s="12" t="s">
        <v>1327</v>
      </c>
      <c r="M1652" s="105" t="s">
        <v>1424</v>
      </c>
      <c r="N1652" s="12" t="s">
        <v>2615</v>
      </c>
      <c r="Q1652" s="72">
        <v>0.8</v>
      </c>
      <c r="R1652" s="23">
        <v>516800</v>
      </c>
      <c r="Z1652" s="18">
        <f>ROUND(R1652*'Data-CostAssumptions'!$C$8,-3)</f>
        <v>517000</v>
      </c>
      <c r="AA1652" s="11">
        <f t="shared" si="52"/>
        <v>0</v>
      </c>
      <c r="AB1652" s="11">
        <v>2041</v>
      </c>
      <c r="AC1652" s="11">
        <v>2041</v>
      </c>
      <c r="AD1652" s="11">
        <v>2041</v>
      </c>
      <c r="AE1652" s="11">
        <v>2041</v>
      </c>
      <c r="AF1652" s="11">
        <v>0</v>
      </c>
      <c r="AG1652" s="19">
        <f>ROUND((Z1652*'Data-CostAssumptions'!$G$5)*(1+'Data-CostAssumptions'!$G$3)^(AC1652-'Data-CostAssumptions'!$G$4),-3)</f>
        <v>292000</v>
      </c>
      <c r="AH1652" s="19">
        <f>ROUND((Z1652)*(1+'Data-CostAssumptions'!$G$3)^(AE1652-'Data-CostAssumptions'!$G$4),-3)</f>
        <v>1326000</v>
      </c>
    </row>
    <row r="1653" spans="1:39" ht="15" customHeight="1" x14ac:dyDescent="0.2">
      <c r="B1653" s="11" t="s">
        <v>1211</v>
      </c>
      <c r="D1653" s="84" t="s">
        <v>276</v>
      </c>
      <c r="E1653" s="104">
        <v>120</v>
      </c>
      <c r="G1653" s="20">
        <v>1656</v>
      </c>
      <c r="H1653" s="13" t="s">
        <v>1566</v>
      </c>
      <c r="I1653" s="13" t="str">
        <f t="shared" si="54"/>
        <v>NW 14TH &amp; NW 15TH ST (ANDREWS Av to POWERLINE RD)</v>
      </c>
      <c r="J1653" s="12" t="s">
        <v>300</v>
      </c>
      <c r="K1653" s="13" t="str">
        <f>VLOOKUP(J1653,'Data-ProjectTypes'!A$3:B$13,2,FALSE)</f>
        <v>Project</v>
      </c>
      <c r="L1653" s="12" t="s">
        <v>1635</v>
      </c>
      <c r="M1653" s="105" t="s">
        <v>2139</v>
      </c>
      <c r="N1653" s="12" t="s">
        <v>1673</v>
      </c>
      <c r="R1653" s="23">
        <v>1800000</v>
      </c>
      <c r="Z1653" s="18">
        <f>ROUND(R1653*'Data-CostAssumptions'!$C$8,-3)</f>
        <v>1800000</v>
      </c>
      <c r="AA1653" s="11">
        <f t="shared" si="52"/>
        <v>0</v>
      </c>
      <c r="AB1653" s="11">
        <v>2041</v>
      </c>
      <c r="AC1653" s="11">
        <v>2041</v>
      </c>
      <c r="AD1653" s="11">
        <v>2041</v>
      </c>
      <c r="AE1653" s="11">
        <v>2041</v>
      </c>
      <c r="AF1653" s="11">
        <v>0</v>
      </c>
      <c r="AG1653" s="19">
        <f>ROUND((Z1653*'Data-CostAssumptions'!$G$5)*(1+'Data-CostAssumptions'!$G$3)^(AC1653-'Data-CostAssumptions'!$G$4),-3)</f>
        <v>1015000</v>
      </c>
      <c r="AH1653" s="19">
        <f>ROUND((Z1653)*(1+'Data-CostAssumptions'!$G$3)^(AE1653-'Data-CostAssumptions'!$G$4),-3)</f>
        <v>4615000</v>
      </c>
    </row>
    <row r="1654" spans="1:39" ht="15" customHeight="1" x14ac:dyDescent="0.2">
      <c r="B1654" s="11" t="s">
        <v>1211</v>
      </c>
      <c r="D1654" s="84" t="s">
        <v>276</v>
      </c>
      <c r="E1654" s="104">
        <v>63</v>
      </c>
      <c r="G1654" s="20">
        <v>1657</v>
      </c>
      <c r="H1654" s="13" t="s">
        <v>1238</v>
      </c>
      <c r="I1654" s="13" t="str">
        <f t="shared" si="54"/>
        <v>NW 6TH ST (NW 15TH Av to NW 27TH Av)</v>
      </c>
      <c r="J1654" s="12" t="s">
        <v>300</v>
      </c>
      <c r="K1654" s="13" t="str">
        <f>VLOOKUP(J1654,'Data-ProjectTypes'!A$3:B$13,2,FALSE)</f>
        <v>Project</v>
      </c>
      <c r="L1654" s="12" t="s">
        <v>1333</v>
      </c>
      <c r="M1654" s="105" t="s">
        <v>2160</v>
      </c>
      <c r="N1654" s="12" t="s">
        <v>2605</v>
      </c>
      <c r="Q1654" s="72">
        <v>1</v>
      </c>
      <c r="R1654" s="23">
        <v>556750</v>
      </c>
      <c r="Z1654" s="18">
        <f>ROUND(R1654*'Data-CostAssumptions'!$C$8,-3)</f>
        <v>557000</v>
      </c>
      <c r="AA1654" s="11">
        <f t="shared" si="52"/>
        <v>0</v>
      </c>
      <c r="AB1654" s="11">
        <v>2041</v>
      </c>
      <c r="AC1654" s="11">
        <v>2041</v>
      </c>
      <c r="AD1654" s="11">
        <v>2041</v>
      </c>
      <c r="AE1654" s="11">
        <v>2041</v>
      </c>
      <c r="AF1654" s="11">
        <v>0</v>
      </c>
      <c r="AG1654" s="19">
        <f>ROUND((Z1654*'Data-CostAssumptions'!$G$5)*(1+'Data-CostAssumptions'!$G$3)^(AC1654-'Data-CostAssumptions'!$G$4),-3)</f>
        <v>314000</v>
      </c>
      <c r="AH1654" s="19">
        <f>ROUND((Z1654)*(1+'Data-CostAssumptions'!$G$3)^(AE1654-'Data-CostAssumptions'!$G$4),-3)</f>
        <v>1428000</v>
      </c>
    </row>
    <row r="1655" spans="1:39" ht="15" customHeight="1" x14ac:dyDescent="0.2">
      <c r="B1655" s="11" t="s">
        <v>1211</v>
      </c>
      <c r="D1655" s="84" t="s">
        <v>276</v>
      </c>
      <c r="E1655" s="104">
        <v>62</v>
      </c>
      <c r="G1655" s="20">
        <v>1658</v>
      </c>
      <c r="H1655" s="13" t="s">
        <v>1238</v>
      </c>
      <c r="I1655" s="13" t="str">
        <f t="shared" si="54"/>
        <v>NW 6TH ST (NW 7TH Av/AVE OF THE ARTS to NW 15TH Av)</v>
      </c>
      <c r="J1655" s="12" t="s">
        <v>300</v>
      </c>
      <c r="K1655" s="13" t="str">
        <f>VLOOKUP(J1655,'Data-ProjectTypes'!A$3:B$13,2,FALSE)</f>
        <v>Project</v>
      </c>
      <c r="L1655" s="12" t="s">
        <v>1330</v>
      </c>
      <c r="M1655" s="105" t="s">
        <v>2615</v>
      </c>
      <c r="N1655" s="12" t="s">
        <v>2160</v>
      </c>
      <c r="Q1655" s="72">
        <v>0.7</v>
      </c>
      <c r="R1655" s="23">
        <v>179350</v>
      </c>
      <c r="Z1655" s="18">
        <f>ROUND(R1655*'Data-CostAssumptions'!$C$8,-3)</f>
        <v>179000</v>
      </c>
      <c r="AA1655" s="11">
        <f t="shared" si="52"/>
        <v>0</v>
      </c>
      <c r="AB1655" s="11">
        <v>2041</v>
      </c>
      <c r="AC1655" s="11">
        <v>2041</v>
      </c>
      <c r="AD1655" s="11">
        <v>2041</v>
      </c>
      <c r="AE1655" s="11">
        <v>2041</v>
      </c>
      <c r="AF1655" s="11">
        <v>0</v>
      </c>
      <c r="AG1655" s="19">
        <f>ROUND((Z1655*'Data-CostAssumptions'!$G$5)*(1+'Data-CostAssumptions'!$G$3)^(AC1655-'Data-CostAssumptions'!$G$4),-3)</f>
        <v>101000</v>
      </c>
      <c r="AH1655" s="19">
        <f>ROUND((Z1655)*(1+'Data-CostAssumptions'!$G$3)^(AE1655-'Data-CostAssumptions'!$G$4),-3)</f>
        <v>459000</v>
      </c>
    </row>
    <row r="1656" spans="1:39" ht="15" customHeight="1" x14ac:dyDescent="0.2">
      <c r="B1656" s="11" t="s">
        <v>1211</v>
      </c>
      <c r="D1656" s="84" t="s">
        <v>276</v>
      </c>
      <c r="E1656" s="104">
        <v>119</v>
      </c>
      <c r="G1656" s="20">
        <v>1659</v>
      </c>
      <c r="H1656" s="13" t="s">
        <v>1244</v>
      </c>
      <c r="I1656" s="13" t="str">
        <f t="shared" si="54"/>
        <v>SE/SW 6TH ST (FEDERAL Hwy to ANDREWS Av)</v>
      </c>
      <c r="J1656" s="12" t="s">
        <v>300</v>
      </c>
      <c r="K1656" s="13" t="str">
        <f>VLOOKUP(J1656,'Data-ProjectTypes'!A$3:B$13,2,FALSE)</f>
        <v>Project</v>
      </c>
      <c r="L1656" s="12" t="s">
        <v>1375</v>
      </c>
      <c r="M1656" s="105" t="s">
        <v>2598</v>
      </c>
      <c r="N1656" s="12" t="s">
        <v>2139</v>
      </c>
      <c r="Q1656" s="72">
        <v>0.4</v>
      </c>
      <c r="R1656" s="23">
        <v>3000000</v>
      </c>
      <c r="Z1656" s="18">
        <f>ROUND(R1656*'Data-CostAssumptions'!$C$8,-3)</f>
        <v>3000000</v>
      </c>
      <c r="AA1656" s="11">
        <f t="shared" si="52"/>
        <v>0</v>
      </c>
      <c r="AB1656" s="11">
        <v>2041</v>
      </c>
      <c r="AC1656" s="11">
        <v>2041</v>
      </c>
      <c r="AD1656" s="11">
        <v>2041</v>
      </c>
      <c r="AE1656" s="11">
        <v>2041</v>
      </c>
      <c r="AF1656" s="11">
        <v>0</v>
      </c>
      <c r="AG1656" s="19">
        <f>ROUND((Z1656*'Data-CostAssumptions'!$G$5)*(1+'Data-CostAssumptions'!$G$3)^(AC1656-'Data-CostAssumptions'!$G$4),-3)</f>
        <v>1692000</v>
      </c>
      <c r="AH1656" s="19">
        <f>ROUND((Z1656)*(1+'Data-CostAssumptions'!$G$3)^(AE1656-'Data-CostAssumptions'!$G$4),-3)</f>
        <v>7692000</v>
      </c>
    </row>
    <row r="1657" spans="1:39" ht="15" customHeight="1" x14ac:dyDescent="0.2">
      <c r="B1657" s="11" t="s">
        <v>1211</v>
      </c>
      <c r="D1657" s="84" t="s">
        <v>276</v>
      </c>
      <c r="E1657" s="104">
        <v>117</v>
      </c>
      <c r="G1657" s="20">
        <v>1660</v>
      </c>
      <c r="H1657" s="13" t="s">
        <v>2755</v>
      </c>
      <c r="I1657" s="13" t="str">
        <f t="shared" si="54"/>
        <v>SR 811/Dixie Hwy (NE 18TH CT to NE 18TH CT)</v>
      </c>
      <c r="J1657" s="12" t="s">
        <v>300</v>
      </c>
      <c r="K1657" s="13" t="str">
        <f>VLOOKUP(J1657,'Data-ProjectTypes'!A$3:B$13,2,FALSE)</f>
        <v>Project</v>
      </c>
      <c r="L1657" s="12" t="s">
        <v>2928</v>
      </c>
      <c r="M1657" s="105" t="s">
        <v>1672</v>
      </c>
      <c r="N1657" s="12" t="s">
        <v>1672</v>
      </c>
      <c r="Q1657" s="72">
        <v>0.1</v>
      </c>
      <c r="R1657" s="23">
        <v>81000</v>
      </c>
      <c r="Z1657" s="18">
        <f>ROUND(R1657*'Data-CostAssumptions'!$C$8,-3)</f>
        <v>81000</v>
      </c>
      <c r="AA1657" s="11">
        <f t="shared" si="52"/>
        <v>0</v>
      </c>
      <c r="AB1657" s="11">
        <v>2041</v>
      </c>
      <c r="AC1657" s="11">
        <v>2041</v>
      </c>
      <c r="AD1657" s="11">
        <v>2041</v>
      </c>
      <c r="AE1657" s="11">
        <v>2041</v>
      </c>
      <c r="AF1657" s="11">
        <v>0</v>
      </c>
      <c r="AG1657" s="19">
        <f>ROUND((Z1657*'Data-CostAssumptions'!$G$5)*(1+'Data-CostAssumptions'!$G$3)^(AC1657-'Data-CostAssumptions'!$G$4),-3)</f>
        <v>46000</v>
      </c>
      <c r="AH1657" s="19">
        <f>ROUND((Z1657)*(1+'Data-CostAssumptions'!$G$3)^(AE1657-'Data-CostAssumptions'!$G$4),-3)</f>
        <v>208000</v>
      </c>
    </row>
    <row r="1658" spans="1:39" ht="15" customHeight="1" x14ac:dyDescent="0.2">
      <c r="B1658" s="11" t="s">
        <v>1211</v>
      </c>
      <c r="D1658" s="84" t="s">
        <v>276</v>
      </c>
      <c r="E1658" s="104">
        <v>128</v>
      </c>
      <c r="G1658" s="20">
        <v>1661</v>
      </c>
      <c r="H1658" s="13" t="s">
        <v>2728</v>
      </c>
      <c r="I1658" s="13" t="str">
        <f t="shared" si="54"/>
        <v>SR 838/Sunrise Bl (NE 19TH Av to SR 5/US 1)</v>
      </c>
      <c r="J1658" s="12" t="s">
        <v>300</v>
      </c>
      <c r="K1658" s="13" t="str">
        <f>VLOOKUP(J1658,'Data-ProjectTypes'!A$3:B$13,2,FALSE)</f>
        <v>Project</v>
      </c>
      <c r="L1658" s="12" t="s">
        <v>1640</v>
      </c>
      <c r="M1658" s="105" t="s">
        <v>2633</v>
      </c>
      <c r="N1658" s="12" t="s">
        <v>1424</v>
      </c>
      <c r="Q1658" s="72">
        <v>0.1</v>
      </c>
      <c r="R1658" s="23">
        <v>878000</v>
      </c>
      <c r="Z1658" s="18">
        <f>ROUND(R1658*'Data-CostAssumptions'!$C$8,-3)</f>
        <v>878000</v>
      </c>
      <c r="AA1658" s="11">
        <f t="shared" si="52"/>
        <v>0</v>
      </c>
      <c r="AB1658" s="11">
        <v>2041</v>
      </c>
      <c r="AC1658" s="11">
        <v>2041</v>
      </c>
      <c r="AD1658" s="11">
        <v>2041</v>
      </c>
      <c r="AE1658" s="11">
        <v>2041</v>
      </c>
      <c r="AF1658" s="11">
        <v>0</v>
      </c>
      <c r="AG1658" s="19">
        <f>ROUND((Z1658*'Data-CostAssumptions'!$G$5)*(1+'Data-CostAssumptions'!$G$3)^(AC1658-'Data-CostAssumptions'!$G$4),-3)</f>
        <v>495000</v>
      </c>
      <c r="AH1658" s="19">
        <f>ROUND((Z1658)*(1+'Data-CostAssumptions'!$G$3)^(AE1658-'Data-CostAssumptions'!$G$4),-3)</f>
        <v>2251000</v>
      </c>
    </row>
    <row r="1659" spans="1:39" ht="15" customHeight="1" x14ac:dyDescent="0.2">
      <c r="B1659" s="11" t="s">
        <v>1211</v>
      </c>
      <c r="D1659" s="84" t="s">
        <v>276</v>
      </c>
      <c r="E1659" s="104">
        <v>129</v>
      </c>
      <c r="G1659" s="20">
        <v>1662</v>
      </c>
      <c r="H1659" s="13" t="s">
        <v>2728</v>
      </c>
      <c r="I1659" s="13" t="str">
        <f t="shared" si="54"/>
        <v>SR 838/Sunrise Bl (NE 7TH Av to SR 5/US 1)</v>
      </c>
      <c r="J1659" s="12" t="s">
        <v>300</v>
      </c>
      <c r="K1659" s="13" t="str">
        <f>VLOOKUP(J1659,'Data-ProjectTypes'!A$3:B$13,2,FALSE)</f>
        <v>Project</v>
      </c>
      <c r="L1659" s="12" t="s">
        <v>1640</v>
      </c>
      <c r="M1659" s="105" t="s">
        <v>2634</v>
      </c>
      <c r="N1659" s="12" t="s">
        <v>1424</v>
      </c>
      <c r="Q1659" s="72">
        <v>0.1</v>
      </c>
      <c r="R1659" s="23">
        <v>878000</v>
      </c>
      <c r="Z1659" s="18">
        <f>ROUND(R1659*'Data-CostAssumptions'!$C$8,-3)</f>
        <v>878000</v>
      </c>
      <c r="AA1659" s="11">
        <f t="shared" si="52"/>
        <v>0</v>
      </c>
      <c r="AB1659" s="11">
        <v>2041</v>
      </c>
      <c r="AC1659" s="11">
        <v>2041</v>
      </c>
      <c r="AD1659" s="11">
        <v>2041</v>
      </c>
      <c r="AE1659" s="11">
        <v>2041</v>
      </c>
      <c r="AF1659" s="11">
        <v>0</v>
      </c>
      <c r="AG1659" s="19">
        <f>ROUND((Z1659*'Data-CostAssumptions'!$G$5)*(1+'Data-CostAssumptions'!$G$3)^(AC1659-'Data-CostAssumptions'!$G$4),-3)</f>
        <v>495000</v>
      </c>
      <c r="AH1659" s="19">
        <f>ROUND((Z1659)*(1+'Data-CostAssumptions'!$G$3)^(AE1659-'Data-CostAssumptions'!$G$4),-3)</f>
        <v>2251000</v>
      </c>
    </row>
    <row r="1660" spans="1:39" ht="15" customHeight="1" x14ac:dyDescent="0.2">
      <c r="B1660" s="11" t="s">
        <v>1211</v>
      </c>
      <c r="D1660" s="84" t="s">
        <v>276</v>
      </c>
      <c r="E1660" s="104">
        <v>127</v>
      </c>
      <c r="G1660" s="20">
        <v>1663</v>
      </c>
      <c r="H1660" s="13" t="s">
        <v>2798</v>
      </c>
      <c r="I1660" s="13" t="str">
        <f t="shared" si="54"/>
        <v>SR 842/Broward Bl (NW/SW 1ST Av to NE/SE 7TH Av)</v>
      </c>
      <c r="J1660" s="12" t="s">
        <v>300</v>
      </c>
      <c r="K1660" s="13" t="str">
        <f>VLOOKUP(J1660,'Data-ProjectTypes'!A$3:B$13,2,FALSE)</f>
        <v>Project</v>
      </c>
      <c r="L1660" s="12" t="s">
        <v>1641</v>
      </c>
      <c r="M1660" s="105" t="s">
        <v>2604</v>
      </c>
      <c r="N1660" s="12" t="s">
        <v>2603</v>
      </c>
      <c r="Q1660" s="72">
        <v>0.6</v>
      </c>
      <c r="R1660" s="23">
        <v>520000</v>
      </c>
      <c r="Z1660" s="18">
        <f>ROUND(R1660*'Data-CostAssumptions'!$C$8,-3)</f>
        <v>520000</v>
      </c>
      <c r="AA1660" s="11">
        <f t="shared" si="52"/>
        <v>0</v>
      </c>
      <c r="AB1660" s="11">
        <v>2041</v>
      </c>
      <c r="AC1660" s="11">
        <v>2041</v>
      </c>
      <c r="AD1660" s="11">
        <v>2041</v>
      </c>
      <c r="AE1660" s="11">
        <v>2041</v>
      </c>
      <c r="AF1660" s="11">
        <v>0</v>
      </c>
      <c r="AG1660" s="19">
        <f>ROUND((Z1660*'Data-CostAssumptions'!$G$5)*(1+'Data-CostAssumptions'!$G$3)^(AC1660-'Data-CostAssumptions'!$G$4),-3)</f>
        <v>293000</v>
      </c>
      <c r="AH1660" s="19">
        <f>ROUND((Z1660)*(1+'Data-CostAssumptions'!$G$3)^(AE1660-'Data-CostAssumptions'!$G$4),-3)</f>
        <v>1333000</v>
      </c>
    </row>
    <row r="1661" spans="1:39" ht="15" customHeight="1" x14ac:dyDescent="0.2">
      <c r="B1661" s="11" t="s">
        <v>1211</v>
      </c>
      <c r="D1661" s="84" t="s">
        <v>276</v>
      </c>
      <c r="E1661" s="104">
        <v>126</v>
      </c>
      <c r="G1661" s="20">
        <v>1664</v>
      </c>
      <c r="H1661" s="13" t="s">
        <v>2798</v>
      </c>
      <c r="I1661" s="13" t="str">
        <f t="shared" si="54"/>
        <v>SR 842/Broward Bl (SW/NW 5TH Av to SW/NW 5TH Av)</v>
      </c>
      <c r="J1661" s="12" t="s">
        <v>300</v>
      </c>
      <c r="K1661" s="13" t="str">
        <f>VLOOKUP(J1661,'Data-ProjectTypes'!A$3:B$13,2,FALSE)</f>
        <v>Project</v>
      </c>
      <c r="L1661" s="12" t="s">
        <v>1640</v>
      </c>
      <c r="M1661" s="105" t="s">
        <v>2602</v>
      </c>
      <c r="N1661" s="12" t="s">
        <v>2602</v>
      </c>
      <c r="Q1661" s="72">
        <v>0.1</v>
      </c>
      <c r="R1661" s="23">
        <v>878000</v>
      </c>
      <c r="Z1661" s="18">
        <f>ROUND(R1661*'Data-CostAssumptions'!$C$8,-3)</f>
        <v>878000</v>
      </c>
      <c r="AA1661" s="11">
        <f t="shared" si="52"/>
        <v>0</v>
      </c>
      <c r="AB1661" s="11">
        <v>2041</v>
      </c>
      <c r="AC1661" s="11">
        <v>2041</v>
      </c>
      <c r="AD1661" s="11">
        <v>2041</v>
      </c>
      <c r="AE1661" s="11">
        <v>2041</v>
      </c>
      <c r="AF1661" s="11">
        <v>0</v>
      </c>
      <c r="AG1661" s="19">
        <f>ROUND((Z1661*'Data-CostAssumptions'!$G$5)*(1+'Data-CostAssumptions'!$G$3)^(AC1661-'Data-CostAssumptions'!$G$4),-3)</f>
        <v>495000</v>
      </c>
      <c r="AH1661" s="19">
        <f>ROUND((Z1661)*(1+'Data-CostAssumptions'!$G$3)^(AE1661-'Data-CostAssumptions'!$G$4),-3)</f>
        <v>2251000</v>
      </c>
    </row>
    <row r="1662" spans="1:39" ht="15" customHeight="1" x14ac:dyDescent="0.2">
      <c r="B1662" s="11" t="s">
        <v>1211</v>
      </c>
      <c r="D1662" s="84" t="s">
        <v>276</v>
      </c>
      <c r="E1662" s="104">
        <v>121</v>
      </c>
      <c r="G1662" s="20">
        <v>1665</v>
      </c>
      <c r="H1662" s="13" t="s">
        <v>2195</v>
      </c>
      <c r="I1662" s="13" t="str">
        <f t="shared" si="54"/>
        <v>SW 5TH Av (BROWARD Bl to HIMMARSHEE ST )</v>
      </c>
      <c r="J1662" s="12" t="s">
        <v>300</v>
      </c>
      <c r="K1662" s="13" t="str">
        <f>VLOOKUP(J1662,'Data-ProjectTypes'!A$3:B$13,2,FALSE)</f>
        <v>Project</v>
      </c>
      <c r="L1662" s="12" t="s">
        <v>1636</v>
      </c>
      <c r="M1662" s="105" t="s">
        <v>1988</v>
      </c>
      <c r="N1662" s="12" t="s">
        <v>1674</v>
      </c>
      <c r="Q1662" s="72">
        <v>0.1</v>
      </c>
      <c r="R1662" s="23">
        <v>1042000</v>
      </c>
      <c r="Z1662" s="18">
        <f>ROUND(R1662*'Data-CostAssumptions'!$C$8,-3)</f>
        <v>1042000</v>
      </c>
      <c r="AA1662" s="11">
        <f t="shared" si="52"/>
        <v>0</v>
      </c>
      <c r="AB1662" s="11">
        <v>2041</v>
      </c>
      <c r="AC1662" s="11">
        <v>2041</v>
      </c>
      <c r="AD1662" s="11">
        <v>2041</v>
      </c>
      <c r="AE1662" s="11">
        <v>2041</v>
      </c>
      <c r="AF1662" s="11">
        <v>0</v>
      </c>
      <c r="AG1662" s="19">
        <f>ROUND((Z1662*'Data-CostAssumptions'!$G$5)*(1+'Data-CostAssumptions'!$G$3)^(AC1662-'Data-CostAssumptions'!$G$4),-3)</f>
        <v>588000</v>
      </c>
      <c r="AH1662" s="19">
        <f>ROUND((Z1662)*(1+'Data-CostAssumptions'!$G$3)^(AE1662-'Data-CostAssumptions'!$G$4),-3)</f>
        <v>2672000</v>
      </c>
    </row>
    <row r="1663" spans="1:39" ht="15" customHeight="1" x14ac:dyDescent="0.2">
      <c r="B1663" s="11" t="s">
        <v>1211</v>
      </c>
      <c r="D1663" s="84" t="s">
        <v>276</v>
      </c>
      <c r="E1663" s="104">
        <v>502</v>
      </c>
      <c r="G1663" s="20">
        <v>1666</v>
      </c>
      <c r="H1663" s="13" t="s">
        <v>3000</v>
      </c>
      <c r="I1663" s="13" t="str">
        <f t="shared" si="54"/>
        <v>Western Perimeter Rd Ext. ( to )</v>
      </c>
      <c r="J1663" s="12" t="s">
        <v>300</v>
      </c>
      <c r="K1663" s="13" t="str">
        <f>VLOOKUP(J1663,'Data-ProjectTypes'!A$3:B$13,2,FALSE)</f>
        <v>Project</v>
      </c>
      <c r="L1663" s="12" t="s">
        <v>1651</v>
      </c>
      <c r="R1663" s="23">
        <v>1640000</v>
      </c>
      <c r="Z1663" s="18">
        <f>ROUND(R1663*'Data-CostAssumptions'!$C$8,-3)</f>
        <v>1640000</v>
      </c>
      <c r="AA1663" s="11">
        <f t="shared" ref="AA1663:AA1726" si="55">IF(V1663="",IF(W1663="",0,1),1)</f>
        <v>0</v>
      </c>
      <c r="AB1663" s="11">
        <v>2041</v>
      </c>
      <c r="AC1663" s="11">
        <v>2041</v>
      </c>
      <c r="AD1663" s="11">
        <v>2041</v>
      </c>
      <c r="AE1663" s="11">
        <v>2041</v>
      </c>
      <c r="AF1663" s="11">
        <v>0</v>
      </c>
      <c r="AG1663" s="19">
        <f>ROUND((Z1663*'Data-CostAssumptions'!$G$5)*(1+'Data-CostAssumptions'!$G$3)^(AC1663-'Data-CostAssumptions'!$G$4),-3)</f>
        <v>925000</v>
      </c>
      <c r="AH1663" s="19">
        <f>ROUND((Z1663)*(1+'Data-CostAssumptions'!$G$3)^(AE1663-'Data-CostAssumptions'!$G$4),-3)</f>
        <v>4205000</v>
      </c>
    </row>
    <row r="1664" spans="1:39" ht="15" customHeight="1" x14ac:dyDescent="0.2">
      <c r="A1664" s="109"/>
      <c r="B1664" s="109" t="s">
        <v>1211</v>
      </c>
      <c r="C1664" s="109"/>
      <c r="D1664" s="109" t="s">
        <v>276</v>
      </c>
      <c r="E1664" s="110"/>
      <c r="F1664" s="110">
        <v>137</v>
      </c>
      <c r="G1664" s="20">
        <v>1667</v>
      </c>
      <c r="H1664" s="111" t="s">
        <v>3027</v>
      </c>
      <c r="I1664" s="111" t="s">
        <v>3031</v>
      </c>
      <c r="J1664" s="109" t="s">
        <v>300</v>
      </c>
      <c r="K1664" s="109" t="s">
        <v>1208</v>
      </c>
      <c r="L1664" s="111" t="s">
        <v>3034</v>
      </c>
      <c r="M1664" s="112" t="s">
        <v>3029</v>
      </c>
      <c r="N1664" s="113" t="s">
        <v>1432</v>
      </c>
      <c r="Q1664" s="114">
        <v>0.4</v>
      </c>
      <c r="R1664" s="115">
        <v>500000</v>
      </c>
      <c r="S1664" s="109"/>
      <c r="V1664" s="116"/>
      <c r="Y1664" s="117"/>
      <c r="Z1664" s="118">
        <f>ROUND(R1664*'Data-CostAssumptions'!$C$8,-3)</f>
        <v>500000</v>
      </c>
      <c r="AA1664" s="11">
        <f t="shared" si="55"/>
        <v>0</v>
      </c>
      <c r="AB1664" s="11">
        <v>2041</v>
      </c>
      <c r="AC1664" s="11">
        <v>2041</v>
      </c>
      <c r="AD1664" s="11">
        <v>2041</v>
      </c>
      <c r="AE1664" s="11">
        <v>2041</v>
      </c>
      <c r="AF1664" s="11">
        <v>0</v>
      </c>
      <c r="AG1664" s="19">
        <f>ROUND((Z1664*'Data-CostAssumptions'!$G$5)*(1+'Data-CostAssumptions'!$G$3)^(AC1664-'Data-CostAssumptions'!$G$4),-3)</f>
        <v>282000</v>
      </c>
      <c r="AH1664" s="19">
        <f>ROUND((Z1664)*(1+'Data-CostAssumptions'!$G$3)^(AE1664-'Data-CostAssumptions'!$G$4),-3)</f>
        <v>1282000</v>
      </c>
      <c r="AI1664" s="119"/>
      <c r="AJ1664" s="119"/>
      <c r="AK1664" s="119"/>
      <c r="AL1664" s="119"/>
      <c r="AM1664" s="119"/>
    </row>
    <row r="1665" spans="1:39" ht="15" customHeight="1" x14ac:dyDescent="0.2">
      <c r="A1665" s="109"/>
      <c r="B1665" s="109" t="s">
        <v>1211</v>
      </c>
      <c r="C1665" s="109"/>
      <c r="D1665" s="109" t="s">
        <v>276</v>
      </c>
      <c r="E1665" s="110"/>
      <c r="F1665" s="110">
        <v>138</v>
      </c>
      <c r="G1665" s="20">
        <v>1668</v>
      </c>
      <c r="H1665" s="111" t="s">
        <v>1224</v>
      </c>
      <c r="I1665" s="111" t="s">
        <v>3032</v>
      </c>
      <c r="J1665" s="109" t="s">
        <v>300</v>
      </c>
      <c r="K1665" s="109" t="s">
        <v>1208</v>
      </c>
      <c r="L1665" s="111" t="s">
        <v>3035</v>
      </c>
      <c r="M1665" s="112" t="s">
        <v>3029</v>
      </c>
      <c r="N1665" s="113" t="s">
        <v>3037</v>
      </c>
      <c r="Q1665" s="114">
        <v>4</v>
      </c>
      <c r="R1665" s="115">
        <v>1400000</v>
      </c>
      <c r="S1665" s="109"/>
      <c r="V1665" s="116"/>
      <c r="Y1665" s="117"/>
      <c r="Z1665" s="118">
        <f>ROUND(R1665*'Data-CostAssumptions'!$C$8,-3)</f>
        <v>1400000</v>
      </c>
      <c r="AA1665" s="11">
        <f t="shared" si="55"/>
        <v>0</v>
      </c>
      <c r="AB1665" s="11">
        <v>2041</v>
      </c>
      <c r="AC1665" s="11">
        <v>2041</v>
      </c>
      <c r="AD1665" s="11">
        <v>2041</v>
      </c>
      <c r="AE1665" s="11">
        <v>2041</v>
      </c>
      <c r="AF1665" s="11">
        <v>0</v>
      </c>
      <c r="AG1665" s="19">
        <f>ROUND((Z1665*'Data-CostAssumptions'!$G$5)*(1+'Data-CostAssumptions'!$G$3)^(AC1665-'Data-CostAssumptions'!$G$4),-3)</f>
        <v>790000</v>
      </c>
      <c r="AH1665" s="19">
        <f>ROUND((Z1665)*(1+'Data-CostAssumptions'!$G$3)^(AE1665-'Data-CostAssumptions'!$G$4),-3)</f>
        <v>3590000</v>
      </c>
      <c r="AI1665" s="119"/>
      <c r="AJ1665" s="119"/>
      <c r="AK1665" s="119"/>
      <c r="AL1665" s="119"/>
      <c r="AM1665" s="119"/>
    </row>
    <row r="1666" spans="1:39" ht="15" customHeight="1" x14ac:dyDescent="0.2">
      <c r="A1666" s="11"/>
      <c r="B1666" s="11" t="s">
        <v>1211</v>
      </c>
      <c r="C1666" s="11">
        <v>1035</v>
      </c>
      <c r="D1666" s="84" t="s">
        <v>276</v>
      </c>
      <c r="E1666" s="14">
        <v>10</v>
      </c>
      <c r="F1666" s="14">
        <v>204</v>
      </c>
      <c r="G1666" s="20">
        <v>1669</v>
      </c>
      <c r="H1666" s="13" t="s">
        <v>1817</v>
      </c>
      <c r="I1666" s="13" t="str">
        <f t="shared" ref="I1666:I1697" si="56">IF(M1666="@",H1666&amp;" ("&amp;M1666&amp;"  "&amp;N1666&amp;")",H1666&amp;" ("&amp;M1666&amp;" to "&amp;N1666&amp;")")</f>
        <v>Eisenhower Bl ( to )</v>
      </c>
      <c r="J1666" s="11" t="s">
        <v>1200</v>
      </c>
      <c r="K1666" s="13" t="str">
        <f>VLOOKUP(J1666,'Data-ProjectTypes'!A$3:B$13,2,FALSE)</f>
        <v>Program</v>
      </c>
      <c r="L1666" s="11" t="s">
        <v>326</v>
      </c>
      <c r="M1666" s="106"/>
      <c r="N1666" s="84"/>
      <c r="O1666" s="11" t="s">
        <v>270</v>
      </c>
      <c r="P1666" s="11" t="s">
        <v>270</v>
      </c>
      <c r="Q1666" s="107"/>
      <c r="R1666" s="23">
        <v>562754</v>
      </c>
      <c r="S1666" s="11"/>
      <c r="T1666" s="11"/>
      <c r="U1666" s="11"/>
      <c r="V1666" s="11"/>
      <c r="W1666" s="11"/>
      <c r="X1666" s="11"/>
      <c r="Z1666" s="120">
        <f>ROUND(R1666*'Data-CostAssumptions'!$C$8,-3)</f>
        <v>563000</v>
      </c>
      <c r="AA1666" s="11">
        <f t="shared" si="55"/>
        <v>0</v>
      </c>
      <c r="AB1666" s="11">
        <v>2041</v>
      </c>
      <c r="AC1666" s="11">
        <v>2041</v>
      </c>
      <c r="AD1666" s="11">
        <v>2041</v>
      </c>
      <c r="AE1666" s="11">
        <v>2041</v>
      </c>
      <c r="AF1666" s="11">
        <v>0</v>
      </c>
      <c r="AG1666" s="19">
        <f>ROUND((Z1666*'Data-CostAssumptions'!$G$5)*(1+'Data-CostAssumptions'!$G$3)^(AC1666-'Data-CostAssumptions'!$G$4),-3)</f>
        <v>318000</v>
      </c>
      <c r="AH1666" s="19">
        <f>ROUND((Z1666)*(1+'Data-CostAssumptions'!$G$3)^(AE1666-'Data-CostAssumptions'!$G$4),-3)</f>
        <v>1444000</v>
      </c>
    </row>
    <row r="1667" spans="1:39" ht="15" customHeight="1" x14ac:dyDescent="0.2">
      <c r="A1667" s="11"/>
      <c r="B1667" s="11" t="s">
        <v>1211</v>
      </c>
      <c r="C1667" s="11">
        <v>1054</v>
      </c>
      <c r="D1667" s="84" t="s">
        <v>276</v>
      </c>
      <c r="E1667" s="14">
        <v>32</v>
      </c>
      <c r="F1667" s="14">
        <v>206</v>
      </c>
      <c r="G1667" s="20">
        <v>1670</v>
      </c>
      <c r="H1667" s="13" t="s">
        <v>1865</v>
      </c>
      <c r="I1667" s="13" t="str">
        <f t="shared" si="56"/>
        <v>Spangler Rd (Eisenhower Bl to Miami Rd)</v>
      </c>
      <c r="J1667" s="11" t="s">
        <v>1200</v>
      </c>
      <c r="K1667" s="13" t="str">
        <f>VLOOKUP(J1667,'Data-ProjectTypes'!A$3:B$13,2,FALSE)</f>
        <v>Program</v>
      </c>
      <c r="L1667" s="11" t="s">
        <v>339</v>
      </c>
      <c r="M1667" s="106" t="s">
        <v>1817</v>
      </c>
      <c r="N1667" s="84" t="s">
        <v>2451</v>
      </c>
      <c r="O1667" s="11" t="s">
        <v>270</v>
      </c>
      <c r="P1667" s="11" t="s">
        <v>270</v>
      </c>
      <c r="Q1667" s="107"/>
      <c r="R1667" s="23">
        <v>350000</v>
      </c>
      <c r="S1667" s="11"/>
      <c r="T1667" s="11"/>
      <c r="U1667" s="11"/>
      <c r="V1667" s="11"/>
      <c r="W1667" s="11"/>
      <c r="X1667" s="11"/>
      <c r="Z1667" s="18">
        <f>ROUND(R1667*'Data-CostAssumptions'!$C$8,-3)</f>
        <v>350000</v>
      </c>
      <c r="AA1667" s="11">
        <f t="shared" si="55"/>
        <v>0</v>
      </c>
      <c r="AB1667" s="11">
        <v>2041</v>
      </c>
      <c r="AC1667" s="11">
        <v>2041</v>
      </c>
      <c r="AD1667" s="11">
        <v>2041</v>
      </c>
      <c r="AE1667" s="11">
        <v>2041</v>
      </c>
      <c r="AF1667" s="11">
        <v>0</v>
      </c>
      <c r="AG1667" s="19">
        <f>ROUND((Z1667*'Data-CostAssumptions'!$G$5)*(1+'Data-CostAssumptions'!$G$3)^(AC1667-'Data-CostAssumptions'!$G$4),-3)</f>
        <v>197000</v>
      </c>
      <c r="AH1667" s="19">
        <f>ROUND((Z1667)*(1+'Data-CostAssumptions'!$G$3)^(AE1667-'Data-CostAssumptions'!$G$4),-3)</f>
        <v>897000</v>
      </c>
    </row>
    <row r="1668" spans="1:39" ht="15" customHeight="1" x14ac:dyDescent="0.2">
      <c r="B1668" s="11" t="s">
        <v>1211</v>
      </c>
      <c r="D1668" s="84" t="s">
        <v>276</v>
      </c>
      <c r="E1668" s="104" t="s">
        <v>1461</v>
      </c>
      <c r="G1668" s="20">
        <v>1671</v>
      </c>
      <c r="H1668" s="13" t="s">
        <v>1564</v>
      </c>
      <c r="I1668" s="13" t="str">
        <f t="shared" si="56"/>
        <v>CITY WAYFINDING PROGRAM (CITY-WIDE to CITY-WIDE)</v>
      </c>
      <c r="J1668" s="12" t="s">
        <v>1204</v>
      </c>
      <c r="K1668" s="13" t="s">
        <v>1207</v>
      </c>
      <c r="L1668" s="12" t="s">
        <v>1622</v>
      </c>
      <c r="M1668" s="105" t="s">
        <v>1668</v>
      </c>
      <c r="N1668" s="12" t="s">
        <v>1668</v>
      </c>
      <c r="R1668" s="23">
        <v>1000000</v>
      </c>
      <c r="Z1668" s="18">
        <f>ROUND(R1668*'Data-CostAssumptions'!$C$8,-3)</f>
        <v>1000000</v>
      </c>
      <c r="AA1668" s="11">
        <f t="shared" si="55"/>
        <v>0</v>
      </c>
      <c r="AB1668" s="11">
        <v>2041</v>
      </c>
      <c r="AC1668" s="11">
        <v>2041</v>
      </c>
      <c r="AD1668" s="11">
        <v>2041</v>
      </c>
      <c r="AE1668" s="11">
        <v>2041</v>
      </c>
      <c r="AF1668" s="11">
        <v>0</v>
      </c>
      <c r="AG1668" s="19">
        <f>ROUND((Z1668*'Data-CostAssumptions'!$G$5)*(1+'Data-CostAssumptions'!$G$3)^(AC1668-'Data-CostAssumptions'!$G$4),-3)</f>
        <v>564000</v>
      </c>
      <c r="AH1668" s="19">
        <f>ROUND((Z1668)*(1+'Data-CostAssumptions'!$G$3)^(AE1668-'Data-CostAssumptions'!$G$4),-3)</f>
        <v>2564000</v>
      </c>
    </row>
    <row r="1669" spans="1:39" ht="15" customHeight="1" x14ac:dyDescent="0.2">
      <c r="B1669" s="11" t="s">
        <v>1211</v>
      </c>
      <c r="D1669" s="84" t="s">
        <v>276</v>
      </c>
      <c r="E1669" s="104" t="s">
        <v>12</v>
      </c>
      <c r="G1669" s="20">
        <v>1672</v>
      </c>
      <c r="H1669" s="13" t="s">
        <v>2696</v>
      </c>
      <c r="I1669" s="13" t="str">
        <f t="shared" si="56"/>
        <v>Downtown ITS System (CITY-WIDE to CITY-WIDE)</v>
      </c>
      <c r="J1669" s="12" t="s">
        <v>1204</v>
      </c>
      <c r="K1669" s="13" t="str">
        <f>VLOOKUP(J1669,'Data-ProjectTypes'!A$3:B$13,2,FALSE)</f>
        <v>Program</v>
      </c>
      <c r="L1669" s="12" t="s">
        <v>1632</v>
      </c>
      <c r="M1669" s="105" t="s">
        <v>1668</v>
      </c>
      <c r="N1669" s="12" t="s">
        <v>1668</v>
      </c>
      <c r="R1669" s="23">
        <v>711165</v>
      </c>
      <c r="Z1669" s="18">
        <f>ROUND(R1669*'Data-CostAssumptions'!$C$8,-3)</f>
        <v>711000</v>
      </c>
      <c r="AA1669" s="11">
        <f t="shared" si="55"/>
        <v>0</v>
      </c>
      <c r="AB1669" s="11">
        <v>2041</v>
      </c>
      <c r="AC1669" s="11">
        <v>2041</v>
      </c>
      <c r="AD1669" s="11">
        <v>2041</v>
      </c>
      <c r="AE1669" s="11">
        <v>2041</v>
      </c>
      <c r="AF1669" s="11">
        <v>0</v>
      </c>
      <c r="AG1669" s="19">
        <f>ROUND((Z1669*'Data-CostAssumptions'!$G$5)*(1+'Data-CostAssumptions'!$G$3)^(AC1669-'Data-CostAssumptions'!$G$4),-3)</f>
        <v>401000</v>
      </c>
      <c r="AH1669" s="19">
        <f>ROUND((Z1669)*(1+'Data-CostAssumptions'!$G$3)^(AE1669-'Data-CostAssumptions'!$G$4),-3)</f>
        <v>1823000</v>
      </c>
    </row>
    <row r="1670" spans="1:39" ht="15" customHeight="1" x14ac:dyDescent="0.2">
      <c r="B1670" s="11" t="s">
        <v>1211</v>
      </c>
      <c r="D1670" s="84" t="s">
        <v>276</v>
      </c>
      <c r="E1670" s="104" t="s">
        <v>1460</v>
      </c>
      <c r="G1670" s="20">
        <v>1673</v>
      </c>
      <c r="H1670" s="13" t="s">
        <v>1563</v>
      </c>
      <c r="I1670" s="13" t="str">
        <f t="shared" si="56"/>
        <v>ADA TROLLEY STOPS (CITY-WIDE to CITY-WIDE)</v>
      </c>
      <c r="J1670" s="12" t="s">
        <v>347</v>
      </c>
      <c r="K1670" s="13" t="str">
        <f>VLOOKUP(J1670,'Data-ProjectTypes'!A$3:B$13,2,FALSE)</f>
        <v>Project</v>
      </c>
      <c r="L1670" s="12" t="s">
        <v>1621</v>
      </c>
      <c r="M1670" s="105" t="s">
        <v>1668</v>
      </c>
      <c r="N1670" s="12" t="s">
        <v>1668</v>
      </c>
      <c r="R1670" s="23">
        <v>550000</v>
      </c>
      <c r="Y1670" s="12" t="s">
        <v>2925</v>
      </c>
      <c r="Z1670" s="18">
        <f>ROUND(R1670*'Data-CostAssumptions'!$C$8,-3)</f>
        <v>550000</v>
      </c>
      <c r="AA1670" s="11">
        <f t="shared" si="55"/>
        <v>0</v>
      </c>
      <c r="AB1670" s="11">
        <v>2041</v>
      </c>
      <c r="AC1670" s="11">
        <v>2041</v>
      </c>
      <c r="AD1670" s="11">
        <v>2041</v>
      </c>
      <c r="AE1670" s="11">
        <v>2041</v>
      </c>
      <c r="AF1670" s="11">
        <v>0</v>
      </c>
      <c r="AG1670" s="19">
        <f>ROUND((Z1670*'Data-CostAssumptions'!$G$5)*(1+'Data-CostAssumptions'!$G$3)^(AC1670-'Data-CostAssumptions'!$G$4),-3)</f>
        <v>310000</v>
      </c>
      <c r="AH1670" s="19">
        <f>ROUND((Z1670)*(1+'Data-CostAssumptions'!$G$3)^(AE1670-'Data-CostAssumptions'!$G$4),-3)</f>
        <v>1410000</v>
      </c>
    </row>
    <row r="1671" spans="1:39" ht="15" customHeight="1" x14ac:dyDescent="0.2">
      <c r="B1671" s="11" t="s">
        <v>1211</v>
      </c>
      <c r="D1671" s="84" t="s">
        <v>276</v>
      </c>
      <c r="E1671" s="104">
        <v>416</v>
      </c>
      <c r="G1671" s="20">
        <v>1674</v>
      </c>
      <c r="H1671" s="13" t="s">
        <v>2014</v>
      </c>
      <c r="I1671" s="13" t="str">
        <f t="shared" si="56"/>
        <v>Andrews Av (@  Davie Bl)</v>
      </c>
      <c r="J1671" s="12" t="s">
        <v>347</v>
      </c>
      <c r="K1671" s="13" t="str">
        <f>VLOOKUP(J1671,'Data-ProjectTypes'!A$3:B$13,2,FALSE)</f>
        <v>Project</v>
      </c>
      <c r="L1671" s="21" t="s">
        <v>26</v>
      </c>
      <c r="M1671" s="121" t="s">
        <v>2835</v>
      </c>
      <c r="N1671" s="12" t="s">
        <v>1816</v>
      </c>
      <c r="Q1671" s="72">
        <v>0</v>
      </c>
      <c r="R1671" s="23">
        <v>3056502.3571223663</v>
      </c>
      <c r="Z1671" s="18">
        <f>ROUND(R1671*'Data-CostAssumptions'!$C$8,-3)</f>
        <v>3057000</v>
      </c>
      <c r="AA1671" s="11">
        <f t="shared" si="55"/>
        <v>0</v>
      </c>
      <c r="AB1671" s="11">
        <v>2041</v>
      </c>
      <c r="AC1671" s="11">
        <v>2041</v>
      </c>
      <c r="AD1671" s="11">
        <v>2041</v>
      </c>
      <c r="AE1671" s="11">
        <v>2041</v>
      </c>
      <c r="AF1671" s="11">
        <v>0</v>
      </c>
      <c r="AG1671" s="19">
        <f>ROUND((Z1671*'Data-CostAssumptions'!$G$5)*(1+'Data-CostAssumptions'!$G$3)^(AC1671-'Data-CostAssumptions'!$G$4),-3)</f>
        <v>1724000</v>
      </c>
      <c r="AH1671" s="19">
        <f>ROUND((Z1671)*(1+'Data-CostAssumptions'!$G$3)^(AE1671-'Data-CostAssumptions'!$G$4),-3)</f>
        <v>7838000</v>
      </c>
    </row>
    <row r="1672" spans="1:39" ht="15" customHeight="1" x14ac:dyDescent="0.2">
      <c r="B1672" s="11" t="s">
        <v>1211</v>
      </c>
      <c r="D1672" s="84" t="s">
        <v>276</v>
      </c>
      <c r="E1672" s="104">
        <v>407</v>
      </c>
      <c r="G1672" s="20">
        <v>1675</v>
      </c>
      <c r="H1672" s="13" t="s">
        <v>2014</v>
      </c>
      <c r="I1672" s="13" t="str">
        <f t="shared" si="56"/>
        <v>Andrews Av (@  NE 4TH ST)</v>
      </c>
      <c r="J1672" s="12" t="s">
        <v>347</v>
      </c>
      <c r="K1672" s="13" t="str">
        <f>VLOOKUP(J1672,'Data-ProjectTypes'!A$3:B$13,2,FALSE)</f>
        <v>Project</v>
      </c>
      <c r="L1672" s="21" t="s">
        <v>77</v>
      </c>
      <c r="M1672" s="121" t="s">
        <v>2835</v>
      </c>
      <c r="N1672" s="12" t="s">
        <v>1229</v>
      </c>
      <c r="R1672" s="23">
        <v>718159.31568382459</v>
      </c>
      <c r="Z1672" s="18">
        <f>ROUND(R1672*'Data-CostAssumptions'!$C$8,-3)</f>
        <v>718000</v>
      </c>
      <c r="AA1672" s="11">
        <f t="shared" si="55"/>
        <v>0</v>
      </c>
      <c r="AB1672" s="11">
        <v>2041</v>
      </c>
      <c r="AC1672" s="11">
        <v>2041</v>
      </c>
      <c r="AD1672" s="11">
        <v>2041</v>
      </c>
      <c r="AE1672" s="11">
        <v>2041</v>
      </c>
      <c r="AF1672" s="11">
        <v>0</v>
      </c>
      <c r="AG1672" s="19">
        <f>ROUND((Z1672*'Data-CostAssumptions'!$G$5)*(1+'Data-CostAssumptions'!$G$3)^(AC1672-'Data-CostAssumptions'!$G$4),-3)</f>
        <v>405000</v>
      </c>
      <c r="AH1672" s="19">
        <f>ROUND((Z1672)*(1+'Data-CostAssumptions'!$G$3)^(AE1672-'Data-CostAssumptions'!$G$4),-3)</f>
        <v>1841000</v>
      </c>
    </row>
    <row r="1673" spans="1:39" ht="15" customHeight="1" x14ac:dyDescent="0.2">
      <c r="B1673" s="11" t="s">
        <v>1211</v>
      </c>
      <c r="D1673" s="84" t="s">
        <v>276</v>
      </c>
      <c r="E1673" s="104">
        <v>402</v>
      </c>
      <c r="G1673" s="20">
        <v>1676</v>
      </c>
      <c r="H1673" s="13" t="s">
        <v>2014</v>
      </c>
      <c r="I1673" s="13" t="str">
        <f t="shared" si="56"/>
        <v>Andrews Av (@  SW 6TH ST)</v>
      </c>
      <c r="J1673" s="12" t="s">
        <v>347</v>
      </c>
      <c r="K1673" s="13" t="str">
        <f>VLOOKUP(J1673,'Data-ProjectTypes'!A$3:B$13,2,FALSE)</f>
        <v>Project</v>
      </c>
      <c r="L1673" s="21" t="s">
        <v>77</v>
      </c>
      <c r="M1673" s="121" t="s">
        <v>2835</v>
      </c>
      <c r="N1673" s="12" t="s">
        <v>1614</v>
      </c>
      <c r="R1673" s="23">
        <v>718159.31568382459</v>
      </c>
      <c r="Z1673" s="18">
        <f>ROUND(R1673*'Data-CostAssumptions'!$C$8,-3)</f>
        <v>718000</v>
      </c>
      <c r="AA1673" s="11">
        <f t="shared" si="55"/>
        <v>0</v>
      </c>
      <c r="AB1673" s="11">
        <v>2041</v>
      </c>
      <c r="AC1673" s="11">
        <v>2041</v>
      </c>
      <c r="AD1673" s="11">
        <v>2041</v>
      </c>
      <c r="AE1673" s="11">
        <v>2041</v>
      </c>
      <c r="AF1673" s="11">
        <v>0</v>
      </c>
      <c r="AG1673" s="19">
        <f>ROUND((Z1673*'Data-CostAssumptions'!$G$5)*(1+'Data-CostAssumptions'!$G$3)^(AC1673-'Data-CostAssumptions'!$G$4),-3)</f>
        <v>405000</v>
      </c>
      <c r="AH1673" s="19">
        <f>ROUND((Z1673)*(1+'Data-CostAssumptions'!$G$3)^(AE1673-'Data-CostAssumptions'!$G$4),-3)</f>
        <v>1841000</v>
      </c>
    </row>
    <row r="1674" spans="1:39" ht="15" customHeight="1" x14ac:dyDescent="0.2">
      <c r="B1674" s="11" t="s">
        <v>1211</v>
      </c>
      <c r="D1674" s="84" t="s">
        <v>276</v>
      </c>
      <c r="E1674" s="104">
        <v>403</v>
      </c>
      <c r="G1674" s="20">
        <v>1677</v>
      </c>
      <c r="H1674" s="13" t="s">
        <v>2014</v>
      </c>
      <c r="I1674" s="13" t="str">
        <f t="shared" si="56"/>
        <v>Andrews Av (@  SW 7TH ST)</v>
      </c>
      <c r="J1674" s="12" t="s">
        <v>347</v>
      </c>
      <c r="K1674" s="13" t="str">
        <f>VLOOKUP(J1674,'Data-ProjectTypes'!A$3:B$13,2,FALSE)</f>
        <v>Project</v>
      </c>
      <c r="L1674" s="21" t="s">
        <v>77</v>
      </c>
      <c r="M1674" s="121" t="s">
        <v>2835</v>
      </c>
      <c r="N1674" s="12" t="s">
        <v>1251</v>
      </c>
      <c r="R1674" s="23">
        <v>718159.31568382459</v>
      </c>
      <c r="Z1674" s="18">
        <f>ROUND(R1674*'Data-CostAssumptions'!$C$8,-3)</f>
        <v>718000</v>
      </c>
      <c r="AA1674" s="11">
        <f t="shared" si="55"/>
        <v>0</v>
      </c>
      <c r="AB1674" s="11">
        <v>2041</v>
      </c>
      <c r="AC1674" s="11">
        <v>2041</v>
      </c>
      <c r="AD1674" s="11">
        <v>2041</v>
      </c>
      <c r="AE1674" s="11">
        <v>2041</v>
      </c>
      <c r="AF1674" s="11">
        <v>0</v>
      </c>
      <c r="AG1674" s="19">
        <f>ROUND((Z1674*'Data-CostAssumptions'!$G$5)*(1+'Data-CostAssumptions'!$G$3)^(AC1674-'Data-CostAssumptions'!$G$4),-3)</f>
        <v>405000</v>
      </c>
      <c r="AH1674" s="19">
        <f>ROUND((Z1674)*(1+'Data-CostAssumptions'!$G$3)^(AE1674-'Data-CostAssumptions'!$G$4),-3)</f>
        <v>1841000</v>
      </c>
    </row>
    <row r="1675" spans="1:39" ht="15" customHeight="1" x14ac:dyDescent="0.2">
      <c r="A1675" s="11"/>
      <c r="B1675" s="11" t="s">
        <v>1213</v>
      </c>
      <c r="C1675" s="11">
        <v>10030</v>
      </c>
      <c r="D1675" s="84" t="s">
        <v>276</v>
      </c>
      <c r="E1675" s="14" t="s">
        <v>298</v>
      </c>
      <c r="F1675" s="14">
        <v>141</v>
      </c>
      <c r="G1675" s="20">
        <v>1678</v>
      </c>
      <c r="H1675" s="13" t="s">
        <v>2908</v>
      </c>
      <c r="I1675" s="13" t="str">
        <f t="shared" si="56"/>
        <v>Andrews/FEC (@  SE 17th St)</v>
      </c>
      <c r="J1675" s="11" t="s">
        <v>347</v>
      </c>
      <c r="K1675" s="13" t="str">
        <f>VLOOKUP(J1675,'Data-ProjectTypes'!A$3:B$13,2,FALSE)</f>
        <v>Project</v>
      </c>
      <c r="L1675" s="11" t="s">
        <v>26</v>
      </c>
      <c r="M1675" s="121" t="s">
        <v>2835</v>
      </c>
      <c r="N1675" s="13" t="s">
        <v>182</v>
      </c>
      <c r="O1675" s="11" t="s">
        <v>365</v>
      </c>
      <c r="P1675" s="11" t="s">
        <v>365</v>
      </c>
      <c r="Q1675" s="72">
        <v>0</v>
      </c>
      <c r="R1675" s="23">
        <v>3056502.3571223663</v>
      </c>
      <c r="S1675" s="11"/>
      <c r="T1675" s="11"/>
      <c r="U1675" s="11"/>
      <c r="V1675" s="11"/>
      <c r="W1675" s="11"/>
      <c r="X1675" s="11"/>
      <c r="Z1675" s="18">
        <f>ROUND(R1675*'Data-CostAssumptions'!$C$8,-3)</f>
        <v>3057000</v>
      </c>
      <c r="AA1675" s="11">
        <f t="shared" si="55"/>
        <v>0</v>
      </c>
      <c r="AB1675" s="11">
        <v>2041</v>
      </c>
      <c r="AC1675" s="11">
        <v>2041</v>
      </c>
      <c r="AD1675" s="11">
        <v>2041</v>
      </c>
      <c r="AE1675" s="11">
        <v>2041</v>
      </c>
      <c r="AF1675" s="11">
        <v>0</v>
      </c>
      <c r="AG1675" s="19">
        <f>ROUND((Z1675*'Data-CostAssumptions'!$G$5)*(1+'Data-CostAssumptions'!$G$3)^(AC1675-'Data-CostAssumptions'!$G$4),-3)</f>
        <v>1724000</v>
      </c>
      <c r="AH1675" s="19">
        <f>ROUND((Z1675)*(1+'Data-CostAssumptions'!$G$3)^(AE1675-'Data-CostAssumptions'!$G$4),-3)</f>
        <v>7838000</v>
      </c>
    </row>
    <row r="1676" spans="1:39" ht="15" customHeight="1" x14ac:dyDescent="0.2">
      <c r="B1676" s="11" t="s">
        <v>1211</v>
      </c>
      <c r="D1676" s="84" t="s">
        <v>276</v>
      </c>
      <c r="E1676" s="104">
        <v>413</v>
      </c>
      <c r="G1676" s="20">
        <v>1679</v>
      </c>
      <c r="H1676" s="13" t="s">
        <v>1842</v>
      </c>
      <c r="I1676" s="13" t="str">
        <f t="shared" si="56"/>
        <v>Cypress Creek Rd (@  NW 21ST Av)</v>
      </c>
      <c r="J1676" s="12" t="s">
        <v>347</v>
      </c>
      <c r="K1676" s="13" t="str">
        <f>VLOOKUP(J1676,'Data-ProjectTypes'!A$3:B$13,2,FALSE)</f>
        <v>Project</v>
      </c>
      <c r="L1676" s="21" t="s">
        <v>77</v>
      </c>
      <c r="M1676" s="121" t="s">
        <v>2835</v>
      </c>
      <c r="N1676" s="12" t="s">
        <v>2164</v>
      </c>
      <c r="R1676" s="23">
        <v>718159.31568382459</v>
      </c>
      <c r="Z1676" s="18">
        <f>ROUND(R1676*'Data-CostAssumptions'!$C$8,-3)</f>
        <v>718000</v>
      </c>
      <c r="AA1676" s="11">
        <f t="shared" si="55"/>
        <v>0</v>
      </c>
      <c r="AB1676" s="11">
        <v>2041</v>
      </c>
      <c r="AC1676" s="11">
        <v>2041</v>
      </c>
      <c r="AD1676" s="11">
        <v>2041</v>
      </c>
      <c r="AE1676" s="11">
        <v>2041</v>
      </c>
      <c r="AF1676" s="11">
        <v>0</v>
      </c>
      <c r="AG1676" s="19">
        <f>ROUND((Z1676*'Data-CostAssumptions'!$G$5)*(1+'Data-CostAssumptions'!$G$3)^(AC1676-'Data-CostAssumptions'!$G$4),-3)</f>
        <v>405000</v>
      </c>
      <c r="AH1676" s="19">
        <f>ROUND((Z1676)*(1+'Data-CostAssumptions'!$G$3)^(AE1676-'Data-CostAssumptions'!$G$4),-3)</f>
        <v>1841000</v>
      </c>
    </row>
    <row r="1677" spans="1:39" ht="15" customHeight="1" x14ac:dyDescent="0.2">
      <c r="B1677" s="11" t="s">
        <v>1211</v>
      </c>
      <c r="D1677" s="84" t="s">
        <v>276</v>
      </c>
      <c r="E1677" s="104">
        <v>414</v>
      </c>
      <c r="G1677" s="20">
        <v>1680</v>
      </c>
      <c r="H1677" s="13" t="s">
        <v>1842</v>
      </c>
      <c r="I1677" s="13" t="str">
        <f t="shared" si="56"/>
        <v>Cypress Creek Rd (@  NW 31ST Av)</v>
      </c>
      <c r="J1677" s="12" t="s">
        <v>347</v>
      </c>
      <c r="K1677" s="13" t="str">
        <f>VLOOKUP(J1677,'Data-ProjectTypes'!A$3:B$13,2,FALSE)</f>
        <v>Project</v>
      </c>
      <c r="L1677" s="21" t="s">
        <v>77</v>
      </c>
      <c r="M1677" s="121" t="s">
        <v>2835</v>
      </c>
      <c r="N1677" s="12" t="s">
        <v>2167</v>
      </c>
      <c r="R1677" s="23">
        <v>718159.31568382459</v>
      </c>
      <c r="Z1677" s="18">
        <f>ROUND(R1677*'Data-CostAssumptions'!$C$8,-3)</f>
        <v>718000</v>
      </c>
      <c r="AA1677" s="11">
        <f t="shared" si="55"/>
        <v>0</v>
      </c>
      <c r="AB1677" s="11">
        <v>2041</v>
      </c>
      <c r="AC1677" s="11">
        <v>2041</v>
      </c>
      <c r="AD1677" s="11">
        <v>2041</v>
      </c>
      <c r="AE1677" s="11">
        <v>2041</v>
      </c>
      <c r="AF1677" s="11">
        <v>0</v>
      </c>
      <c r="AG1677" s="19">
        <f>ROUND((Z1677*'Data-CostAssumptions'!$G$5)*(1+'Data-CostAssumptions'!$G$3)^(AC1677-'Data-CostAssumptions'!$G$4),-3)</f>
        <v>405000</v>
      </c>
      <c r="AH1677" s="19">
        <f>ROUND((Z1677)*(1+'Data-CostAssumptions'!$G$3)^(AE1677-'Data-CostAssumptions'!$G$4),-3)</f>
        <v>1841000</v>
      </c>
    </row>
    <row r="1678" spans="1:39" ht="15" customHeight="1" x14ac:dyDescent="0.2">
      <c r="B1678" s="11" t="s">
        <v>1211</v>
      </c>
      <c r="D1678" s="84" t="s">
        <v>276</v>
      </c>
      <c r="E1678" s="104">
        <v>404</v>
      </c>
      <c r="G1678" s="20">
        <v>1681</v>
      </c>
      <c r="H1678" s="13" t="s">
        <v>1823</v>
      </c>
      <c r="I1678" s="13" t="str">
        <f t="shared" si="56"/>
        <v>Las Olas Bl (@  SE 3RD Av)</v>
      </c>
      <c r="J1678" s="12" t="s">
        <v>347</v>
      </c>
      <c r="K1678" s="13" t="str">
        <f>VLOOKUP(J1678,'Data-ProjectTypes'!A$3:B$13,2,FALSE)</f>
        <v>Project</v>
      </c>
      <c r="L1678" s="21" t="s">
        <v>77</v>
      </c>
      <c r="M1678" s="121" t="s">
        <v>2835</v>
      </c>
      <c r="N1678" s="12" t="s">
        <v>2179</v>
      </c>
      <c r="R1678" s="23">
        <v>718159.31568382459</v>
      </c>
      <c r="Z1678" s="18">
        <f>ROUND(R1678*'Data-CostAssumptions'!$C$8,-3)</f>
        <v>718000</v>
      </c>
      <c r="AA1678" s="11">
        <f t="shared" si="55"/>
        <v>0</v>
      </c>
      <c r="AB1678" s="11">
        <v>2041</v>
      </c>
      <c r="AC1678" s="11">
        <v>2041</v>
      </c>
      <c r="AD1678" s="11">
        <v>2041</v>
      </c>
      <c r="AE1678" s="11">
        <v>2041</v>
      </c>
      <c r="AF1678" s="11">
        <v>0</v>
      </c>
      <c r="AG1678" s="19">
        <f>ROUND((Z1678*'Data-CostAssumptions'!$G$5)*(1+'Data-CostAssumptions'!$G$3)^(AC1678-'Data-CostAssumptions'!$G$4),-3)</f>
        <v>405000</v>
      </c>
      <c r="AH1678" s="19">
        <f>ROUND((Z1678)*(1+'Data-CostAssumptions'!$G$3)^(AE1678-'Data-CostAssumptions'!$G$4),-3)</f>
        <v>1841000</v>
      </c>
    </row>
    <row r="1679" spans="1:39" ht="15" customHeight="1" x14ac:dyDescent="0.2">
      <c r="B1679" s="11" t="s">
        <v>1211</v>
      </c>
      <c r="D1679" s="84" t="s">
        <v>276</v>
      </c>
      <c r="E1679" s="104">
        <v>408</v>
      </c>
      <c r="G1679" s="20">
        <v>1682</v>
      </c>
      <c r="H1679" s="13" t="s">
        <v>1584</v>
      </c>
      <c r="I1679" s="13" t="str">
        <f t="shared" si="56"/>
        <v>NE 3RD ST (@  NE 3RD Av)</v>
      </c>
      <c r="J1679" s="12" t="s">
        <v>347</v>
      </c>
      <c r="K1679" s="13" t="str">
        <f>VLOOKUP(J1679,'Data-ProjectTypes'!A$3:B$13,2,FALSE)</f>
        <v>Project</v>
      </c>
      <c r="L1679" s="21" t="s">
        <v>77</v>
      </c>
      <c r="M1679" s="121" t="s">
        <v>2835</v>
      </c>
      <c r="N1679" s="12" t="s">
        <v>2152</v>
      </c>
      <c r="R1679" s="23">
        <v>718159.31568382459</v>
      </c>
      <c r="Z1679" s="18">
        <f>ROUND(R1679*'Data-CostAssumptions'!$C$8,-3)</f>
        <v>718000</v>
      </c>
      <c r="AA1679" s="11">
        <f t="shared" si="55"/>
        <v>0</v>
      </c>
      <c r="AB1679" s="11">
        <v>2041</v>
      </c>
      <c r="AC1679" s="11">
        <v>2041</v>
      </c>
      <c r="AD1679" s="11">
        <v>2041</v>
      </c>
      <c r="AE1679" s="11">
        <v>2041</v>
      </c>
      <c r="AF1679" s="11">
        <v>0</v>
      </c>
      <c r="AG1679" s="19">
        <f>ROUND((Z1679*'Data-CostAssumptions'!$G$5)*(1+'Data-CostAssumptions'!$G$3)^(AC1679-'Data-CostAssumptions'!$G$4),-3)</f>
        <v>405000</v>
      </c>
      <c r="AH1679" s="19">
        <f>ROUND((Z1679)*(1+'Data-CostAssumptions'!$G$3)^(AE1679-'Data-CostAssumptions'!$G$4),-3)</f>
        <v>1841000</v>
      </c>
    </row>
    <row r="1680" spans="1:39" ht="15" customHeight="1" x14ac:dyDescent="0.2">
      <c r="B1680" s="11" t="s">
        <v>1211</v>
      </c>
      <c r="D1680" s="84" t="s">
        <v>276</v>
      </c>
      <c r="E1680" s="104">
        <v>601</v>
      </c>
      <c r="G1680" s="20">
        <v>1683</v>
      </c>
      <c r="H1680" s="13" t="s">
        <v>1583</v>
      </c>
      <c r="I1680" s="13" t="str">
        <f t="shared" si="56"/>
        <v>NEW TROLLEYS ( to )</v>
      </c>
      <c r="J1680" s="12" t="s">
        <v>347</v>
      </c>
      <c r="K1680" s="13" t="str">
        <f>VLOOKUP(J1680,'Data-ProjectTypes'!A$3:B$13,2,FALSE)</f>
        <v>Project</v>
      </c>
      <c r="L1680" s="12" t="s">
        <v>1665</v>
      </c>
      <c r="R1680" s="23">
        <v>3725100</v>
      </c>
      <c r="Y1680" s="12" t="s">
        <v>3133</v>
      </c>
      <c r="Z1680" s="18">
        <f>ROUND(R1680*'Data-CostAssumptions'!$C$8,-3)</f>
        <v>3725000</v>
      </c>
      <c r="AA1680" s="11">
        <f t="shared" si="55"/>
        <v>0</v>
      </c>
      <c r="AB1680" s="11">
        <v>2041</v>
      </c>
      <c r="AC1680" s="11">
        <v>2041</v>
      </c>
      <c r="AD1680" s="11">
        <v>2041</v>
      </c>
      <c r="AE1680" s="11">
        <v>2041</v>
      </c>
      <c r="AF1680" s="11">
        <v>0</v>
      </c>
      <c r="AG1680" s="19">
        <f>ROUND((Z1680*'Data-CostAssumptions'!$G$5)*(1+'Data-CostAssumptions'!$G$3)^(AC1680-'Data-CostAssumptions'!$G$4),-3)</f>
        <v>2101000</v>
      </c>
      <c r="AH1680" s="19">
        <f>ROUND((Z1680)*(1+'Data-CostAssumptions'!$G$3)^(AE1680-'Data-CostAssumptions'!$G$4),-3)</f>
        <v>9551000</v>
      </c>
    </row>
    <row r="1681" spans="1:34" ht="15" customHeight="1" x14ac:dyDescent="0.2">
      <c r="B1681" s="11" t="s">
        <v>1211</v>
      </c>
      <c r="D1681" s="84" t="s">
        <v>276</v>
      </c>
      <c r="E1681" s="104">
        <v>423</v>
      </c>
      <c r="G1681" s="20">
        <v>1684</v>
      </c>
      <c r="H1681" s="13" t="s">
        <v>1245</v>
      </c>
      <c r="I1681" s="13" t="str">
        <f t="shared" si="56"/>
        <v>SE 17TH ST (@  CONVENTION CENTER)</v>
      </c>
      <c r="J1681" s="12" t="s">
        <v>347</v>
      </c>
      <c r="K1681" s="13" t="str">
        <f>VLOOKUP(J1681,'Data-ProjectTypes'!A$3:B$13,2,FALSE)</f>
        <v>Project</v>
      </c>
      <c r="L1681" s="21" t="s">
        <v>77</v>
      </c>
      <c r="M1681" s="121" t="s">
        <v>2835</v>
      </c>
      <c r="N1681" s="12" t="s">
        <v>1682</v>
      </c>
      <c r="R1681" s="23">
        <v>718159.31568382459</v>
      </c>
      <c r="Z1681" s="18">
        <f>ROUND(R1681*'Data-CostAssumptions'!$C$8,-3)</f>
        <v>718000</v>
      </c>
      <c r="AA1681" s="11">
        <f t="shared" si="55"/>
        <v>0</v>
      </c>
      <c r="AB1681" s="11">
        <v>2041</v>
      </c>
      <c r="AC1681" s="11">
        <v>2041</v>
      </c>
      <c r="AD1681" s="11">
        <v>2041</v>
      </c>
      <c r="AE1681" s="11">
        <v>2041</v>
      </c>
      <c r="AF1681" s="11">
        <v>0</v>
      </c>
      <c r="AG1681" s="19">
        <f>ROUND((Z1681*'Data-CostAssumptions'!$G$5)*(1+'Data-CostAssumptions'!$G$3)^(AC1681-'Data-CostAssumptions'!$G$4),-3)</f>
        <v>405000</v>
      </c>
      <c r="AH1681" s="19">
        <f>ROUND((Z1681)*(1+'Data-CostAssumptions'!$G$3)^(AE1681-'Data-CostAssumptions'!$G$4),-3)</f>
        <v>1841000</v>
      </c>
    </row>
    <row r="1682" spans="1:34" ht="15" customHeight="1" x14ac:dyDescent="0.2">
      <c r="B1682" s="11" t="s">
        <v>1211</v>
      </c>
      <c r="D1682" s="84" t="s">
        <v>276</v>
      </c>
      <c r="E1682" s="104">
        <v>424</v>
      </c>
      <c r="G1682" s="20">
        <v>1685</v>
      </c>
      <c r="H1682" s="13" t="s">
        <v>1245</v>
      </c>
      <c r="I1682" s="13" t="str">
        <f t="shared" si="56"/>
        <v>SE 17TH ST (@  CORDOVA DR )</v>
      </c>
      <c r="J1682" s="12" t="s">
        <v>347</v>
      </c>
      <c r="K1682" s="13" t="str">
        <f>VLOOKUP(J1682,'Data-ProjectTypes'!A$3:B$13,2,FALSE)</f>
        <v>Project</v>
      </c>
      <c r="L1682" s="21" t="s">
        <v>77</v>
      </c>
      <c r="M1682" s="121" t="s">
        <v>2835</v>
      </c>
      <c r="N1682" s="12" t="s">
        <v>1683</v>
      </c>
      <c r="R1682" s="23">
        <v>718159.31568382459</v>
      </c>
      <c r="Z1682" s="18">
        <f>ROUND(R1682*'Data-CostAssumptions'!$C$8,-3)</f>
        <v>718000</v>
      </c>
      <c r="AA1682" s="11">
        <f t="shared" si="55"/>
        <v>0</v>
      </c>
      <c r="AB1682" s="11">
        <v>2041</v>
      </c>
      <c r="AC1682" s="11">
        <v>2041</v>
      </c>
      <c r="AD1682" s="11">
        <v>2041</v>
      </c>
      <c r="AE1682" s="11">
        <v>2041</v>
      </c>
      <c r="AF1682" s="11">
        <v>0</v>
      </c>
      <c r="AG1682" s="19">
        <f>ROUND((Z1682*'Data-CostAssumptions'!$G$5)*(1+'Data-CostAssumptions'!$G$3)^(AC1682-'Data-CostAssumptions'!$G$4),-3)</f>
        <v>405000</v>
      </c>
      <c r="AH1682" s="19">
        <f>ROUND((Z1682)*(1+'Data-CostAssumptions'!$G$3)^(AE1682-'Data-CostAssumptions'!$G$4),-3)</f>
        <v>1841000</v>
      </c>
    </row>
    <row r="1683" spans="1:34" ht="15" customHeight="1" x14ac:dyDescent="0.2">
      <c r="B1683" s="11" t="s">
        <v>1211</v>
      </c>
      <c r="D1683" s="84" t="s">
        <v>276</v>
      </c>
      <c r="E1683" s="104">
        <v>427</v>
      </c>
      <c r="G1683" s="20">
        <v>1686</v>
      </c>
      <c r="H1683" s="13" t="s">
        <v>1245</v>
      </c>
      <c r="I1683" s="13" t="str">
        <f t="shared" si="56"/>
        <v>SE 17TH ST (@  HARBOR DR)</v>
      </c>
      <c r="J1683" s="12" t="s">
        <v>347</v>
      </c>
      <c r="K1683" s="13" t="str">
        <f>VLOOKUP(J1683,'Data-ProjectTypes'!A$3:B$13,2,FALSE)</f>
        <v>Project</v>
      </c>
      <c r="L1683" s="21" t="s">
        <v>77</v>
      </c>
      <c r="M1683" s="121" t="s">
        <v>2835</v>
      </c>
      <c r="N1683" s="12" t="s">
        <v>1684</v>
      </c>
      <c r="R1683" s="23">
        <v>718159.31568382459</v>
      </c>
      <c r="Z1683" s="18">
        <f>ROUND(R1683*'Data-CostAssumptions'!$C$8,-3)</f>
        <v>718000</v>
      </c>
      <c r="AA1683" s="11">
        <f t="shared" si="55"/>
        <v>0</v>
      </c>
      <c r="AB1683" s="11">
        <v>2041</v>
      </c>
      <c r="AC1683" s="11">
        <v>2041</v>
      </c>
      <c r="AD1683" s="11">
        <v>2041</v>
      </c>
      <c r="AE1683" s="11">
        <v>2041</v>
      </c>
      <c r="AF1683" s="11">
        <v>0</v>
      </c>
      <c r="AG1683" s="19">
        <f>ROUND((Z1683*'Data-CostAssumptions'!$G$5)*(1+'Data-CostAssumptions'!$G$3)^(AC1683-'Data-CostAssumptions'!$G$4),-3)</f>
        <v>405000</v>
      </c>
      <c r="AH1683" s="19">
        <f>ROUND((Z1683)*(1+'Data-CostAssumptions'!$G$3)^(AE1683-'Data-CostAssumptions'!$G$4),-3)</f>
        <v>1841000</v>
      </c>
    </row>
    <row r="1684" spans="1:34" ht="15" customHeight="1" x14ac:dyDescent="0.2">
      <c r="B1684" s="11" t="s">
        <v>1211</v>
      </c>
      <c r="D1684" s="84" t="s">
        <v>276</v>
      </c>
      <c r="E1684" s="104">
        <v>425</v>
      </c>
      <c r="G1684" s="20">
        <v>1687</v>
      </c>
      <c r="H1684" s="13" t="s">
        <v>1245</v>
      </c>
      <c r="I1684" s="13" t="str">
        <f t="shared" si="56"/>
        <v>SE 17TH ST (@  SE 15TH Av)</v>
      </c>
      <c r="J1684" s="12" t="s">
        <v>347</v>
      </c>
      <c r="K1684" s="13" t="str">
        <f>VLOOKUP(J1684,'Data-ProjectTypes'!A$3:B$13,2,FALSE)</f>
        <v>Project</v>
      </c>
      <c r="L1684" s="21" t="s">
        <v>77</v>
      </c>
      <c r="M1684" s="121" t="s">
        <v>2835</v>
      </c>
      <c r="N1684" s="12" t="s">
        <v>2607</v>
      </c>
      <c r="R1684" s="23">
        <v>718159.31568382459</v>
      </c>
      <c r="Z1684" s="18">
        <f>ROUND(R1684*'Data-CostAssumptions'!$C$8,-3)</f>
        <v>718000</v>
      </c>
      <c r="AA1684" s="11">
        <f t="shared" si="55"/>
        <v>0</v>
      </c>
      <c r="AB1684" s="11">
        <v>2041</v>
      </c>
      <c r="AC1684" s="11">
        <v>2041</v>
      </c>
      <c r="AD1684" s="11">
        <v>2041</v>
      </c>
      <c r="AE1684" s="11">
        <v>2041</v>
      </c>
      <c r="AF1684" s="11">
        <v>0</v>
      </c>
      <c r="AG1684" s="19">
        <f>ROUND((Z1684*'Data-CostAssumptions'!$G$5)*(1+'Data-CostAssumptions'!$G$3)^(AC1684-'Data-CostAssumptions'!$G$4),-3)</f>
        <v>405000</v>
      </c>
      <c r="AH1684" s="19">
        <f>ROUND((Z1684)*(1+'Data-CostAssumptions'!$G$3)^(AE1684-'Data-CostAssumptions'!$G$4),-3)</f>
        <v>1841000</v>
      </c>
    </row>
    <row r="1685" spans="1:34" ht="15" customHeight="1" x14ac:dyDescent="0.2">
      <c r="B1685" s="11" t="s">
        <v>1211</v>
      </c>
      <c r="D1685" s="84" t="s">
        <v>276</v>
      </c>
      <c r="E1685" s="104">
        <v>426</v>
      </c>
      <c r="G1685" s="20">
        <v>1688</v>
      </c>
      <c r="H1685" s="13" t="s">
        <v>1245</v>
      </c>
      <c r="I1685" s="13" t="str">
        <f t="shared" si="56"/>
        <v>SE 17TH ST (@  SE 23RD Av)</v>
      </c>
      <c r="J1685" s="12" t="s">
        <v>347</v>
      </c>
      <c r="K1685" s="13" t="str">
        <f>VLOOKUP(J1685,'Data-ProjectTypes'!A$3:B$13,2,FALSE)</f>
        <v>Project</v>
      </c>
      <c r="L1685" s="21" t="s">
        <v>77</v>
      </c>
      <c r="M1685" s="121" t="s">
        <v>2835</v>
      </c>
      <c r="N1685" s="12" t="s">
        <v>2627</v>
      </c>
      <c r="R1685" s="23">
        <v>718159.31568382459</v>
      </c>
      <c r="Z1685" s="18">
        <f>ROUND(R1685*'Data-CostAssumptions'!$C$8,-3)</f>
        <v>718000</v>
      </c>
      <c r="AA1685" s="11">
        <f t="shared" si="55"/>
        <v>0</v>
      </c>
      <c r="AB1685" s="11">
        <v>2041</v>
      </c>
      <c r="AC1685" s="11">
        <v>2041</v>
      </c>
      <c r="AD1685" s="11">
        <v>2041</v>
      </c>
      <c r="AE1685" s="11">
        <v>2041</v>
      </c>
      <c r="AF1685" s="11">
        <v>0</v>
      </c>
      <c r="AG1685" s="19">
        <f>ROUND((Z1685*'Data-CostAssumptions'!$G$5)*(1+'Data-CostAssumptions'!$G$3)^(AC1685-'Data-CostAssumptions'!$G$4),-3)</f>
        <v>405000</v>
      </c>
      <c r="AH1685" s="19">
        <f>ROUND((Z1685)*(1+'Data-CostAssumptions'!$G$3)^(AE1685-'Data-CostAssumptions'!$G$4),-3)</f>
        <v>1841000</v>
      </c>
    </row>
    <row r="1686" spans="1:34" ht="15" customHeight="1" x14ac:dyDescent="0.2">
      <c r="B1686" s="11" t="s">
        <v>1211</v>
      </c>
      <c r="D1686" s="84" t="s">
        <v>276</v>
      </c>
      <c r="E1686" s="104">
        <v>406</v>
      </c>
      <c r="G1686" s="20">
        <v>1689</v>
      </c>
      <c r="H1686" s="13" t="s">
        <v>2178</v>
      </c>
      <c r="I1686" s="13" t="str">
        <f t="shared" si="56"/>
        <v>SE 2ND Av (@  SE 2ND ST)</v>
      </c>
      <c r="J1686" s="12" t="s">
        <v>347</v>
      </c>
      <c r="K1686" s="13" t="str">
        <f>VLOOKUP(J1686,'Data-ProjectTypes'!A$3:B$13,2,FALSE)</f>
        <v>Project</v>
      </c>
      <c r="L1686" s="21" t="s">
        <v>77</v>
      </c>
      <c r="M1686" s="121" t="s">
        <v>2835</v>
      </c>
      <c r="N1686" s="12" t="s">
        <v>1681</v>
      </c>
      <c r="R1686" s="23">
        <v>718159.31568382459</v>
      </c>
      <c r="Z1686" s="18">
        <f>ROUND(R1686*'Data-CostAssumptions'!$C$8,-3)</f>
        <v>718000</v>
      </c>
      <c r="AA1686" s="11">
        <f t="shared" si="55"/>
        <v>0</v>
      </c>
      <c r="AB1686" s="11">
        <v>2041</v>
      </c>
      <c r="AC1686" s="11">
        <v>2041</v>
      </c>
      <c r="AD1686" s="11">
        <v>2041</v>
      </c>
      <c r="AE1686" s="11">
        <v>2041</v>
      </c>
      <c r="AF1686" s="11">
        <v>0</v>
      </c>
      <c r="AG1686" s="19">
        <f>ROUND((Z1686*'Data-CostAssumptions'!$G$5)*(1+'Data-CostAssumptions'!$G$3)^(AC1686-'Data-CostAssumptions'!$G$4),-3)</f>
        <v>405000</v>
      </c>
      <c r="AH1686" s="19">
        <f>ROUND((Z1686)*(1+'Data-CostAssumptions'!$G$3)^(AE1686-'Data-CostAssumptions'!$G$4),-3)</f>
        <v>1841000</v>
      </c>
    </row>
    <row r="1687" spans="1:34" ht="15" customHeight="1" x14ac:dyDescent="0.2">
      <c r="B1687" s="11" t="s">
        <v>1211</v>
      </c>
      <c r="D1687" s="84" t="s">
        <v>276</v>
      </c>
      <c r="E1687" s="104">
        <v>400</v>
      </c>
      <c r="G1687" s="20">
        <v>1690</v>
      </c>
      <c r="H1687" s="13" t="s">
        <v>1828</v>
      </c>
      <c r="I1687" s="13" t="str">
        <f t="shared" si="56"/>
        <v>Sistrunk Bl (@  NE 3RD Av)</v>
      </c>
      <c r="J1687" s="12" t="s">
        <v>347</v>
      </c>
      <c r="K1687" s="13" t="str">
        <f>VLOOKUP(J1687,'Data-ProjectTypes'!A$3:B$13,2,FALSE)</f>
        <v>Project</v>
      </c>
      <c r="L1687" s="21" t="s">
        <v>77</v>
      </c>
      <c r="M1687" s="121" t="s">
        <v>2835</v>
      </c>
      <c r="N1687" s="12" t="s">
        <v>2152</v>
      </c>
      <c r="R1687" s="23">
        <v>718159.31568382459</v>
      </c>
      <c r="Z1687" s="18">
        <f>ROUND(R1687*'Data-CostAssumptions'!$C$8,-3)</f>
        <v>718000</v>
      </c>
      <c r="AA1687" s="11">
        <f t="shared" si="55"/>
        <v>0</v>
      </c>
      <c r="AB1687" s="11">
        <v>2041</v>
      </c>
      <c r="AC1687" s="11">
        <v>2041</v>
      </c>
      <c r="AD1687" s="11">
        <v>2041</v>
      </c>
      <c r="AE1687" s="11">
        <v>2041</v>
      </c>
      <c r="AF1687" s="11">
        <v>0</v>
      </c>
      <c r="AG1687" s="19">
        <f>ROUND((Z1687*'Data-CostAssumptions'!$G$5)*(1+'Data-CostAssumptions'!$G$3)^(AC1687-'Data-CostAssumptions'!$G$4),-3)</f>
        <v>405000</v>
      </c>
      <c r="AH1687" s="19">
        <f>ROUND((Z1687)*(1+'Data-CostAssumptions'!$G$3)^(AE1687-'Data-CostAssumptions'!$G$4),-3)</f>
        <v>1841000</v>
      </c>
    </row>
    <row r="1688" spans="1:34" ht="15" customHeight="1" x14ac:dyDescent="0.2">
      <c r="B1688" s="11" t="s">
        <v>1211</v>
      </c>
      <c r="D1688" s="84" t="s">
        <v>276</v>
      </c>
      <c r="E1688" s="104">
        <v>420</v>
      </c>
      <c r="G1688" s="20">
        <v>1691</v>
      </c>
      <c r="H1688" s="13" t="s">
        <v>1828</v>
      </c>
      <c r="I1688" s="13" t="str">
        <f t="shared" si="56"/>
        <v>Sistrunk Bl (@  NW 15TH Av)</v>
      </c>
      <c r="J1688" s="12" t="s">
        <v>347</v>
      </c>
      <c r="K1688" s="13" t="str">
        <f>VLOOKUP(J1688,'Data-ProjectTypes'!A$3:B$13,2,FALSE)</f>
        <v>Project</v>
      </c>
      <c r="L1688" s="21" t="s">
        <v>77</v>
      </c>
      <c r="M1688" s="121" t="s">
        <v>2835</v>
      </c>
      <c r="N1688" s="12" t="s">
        <v>2160</v>
      </c>
      <c r="R1688" s="23">
        <v>718159.31568382459</v>
      </c>
      <c r="Z1688" s="18">
        <f>ROUND(R1688*'Data-CostAssumptions'!$C$8,-3)</f>
        <v>718000</v>
      </c>
      <c r="AA1688" s="11">
        <f t="shared" si="55"/>
        <v>0</v>
      </c>
      <c r="AB1688" s="11">
        <v>2041</v>
      </c>
      <c r="AC1688" s="11">
        <v>2041</v>
      </c>
      <c r="AD1688" s="11">
        <v>2041</v>
      </c>
      <c r="AE1688" s="11">
        <v>2041</v>
      </c>
      <c r="AF1688" s="11">
        <v>0</v>
      </c>
      <c r="AG1688" s="19">
        <f>ROUND((Z1688*'Data-CostAssumptions'!$G$5)*(1+'Data-CostAssumptions'!$G$3)^(AC1688-'Data-CostAssumptions'!$G$4),-3)</f>
        <v>405000</v>
      </c>
      <c r="AH1688" s="19">
        <f>ROUND((Z1688)*(1+'Data-CostAssumptions'!$G$3)^(AE1688-'Data-CostAssumptions'!$G$4),-3)</f>
        <v>1841000</v>
      </c>
    </row>
    <row r="1689" spans="1:34" ht="15" customHeight="1" x14ac:dyDescent="0.2">
      <c r="B1689" s="11" t="s">
        <v>1211</v>
      </c>
      <c r="D1689" s="84" t="s">
        <v>276</v>
      </c>
      <c r="E1689" s="104">
        <v>418</v>
      </c>
      <c r="G1689" s="20">
        <v>1692</v>
      </c>
      <c r="H1689" s="13" t="s">
        <v>1828</v>
      </c>
      <c r="I1689" s="13" t="str">
        <f t="shared" si="56"/>
        <v>Sistrunk Bl (@  NW 19TH Av/LINCOLN PARK)</v>
      </c>
      <c r="J1689" s="12" t="s">
        <v>347</v>
      </c>
      <c r="K1689" s="13" t="str">
        <f>VLOOKUP(J1689,'Data-ProjectTypes'!A$3:B$13,2,FALSE)</f>
        <v>Project</v>
      </c>
      <c r="L1689" s="21" t="s">
        <v>77</v>
      </c>
      <c r="M1689" s="121" t="s">
        <v>2835</v>
      </c>
      <c r="N1689" s="12" t="s">
        <v>2629</v>
      </c>
      <c r="R1689" s="23">
        <v>718159.31568382459</v>
      </c>
      <c r="Z1689" s="18">
        <f>ROUND(R1689*'Data-CostAssumptions'!$C$8,-3)</f>
        <v>718000</v>
      </c>
      <c r="AA1689" s="11">
        <f t="shared" si="55"/>
        <v>0</v>
      </c>
      <c r="AB1689" s="11">
        <v>2041</v>
      </c>
      <c r="AC1689" s="11">
        <v>2041</v>
      </c>
      <c r="AD1689" s="11">
        <v>2041</v>
      </c>
      <c r="AE1689" s="11">
        <v>2041</v>
      </c>
      <c r="AF1689" s="11">
        <v>0</v>
      </c>
      <c r="AG1689" s="19">
        <f>ROUND((Z1689*'Data-CostAssumptions'!$G$5)*(1+'Data-CostAssumptions'!$G$3)^(AC1689-'Data-CostAssumptions'!$G$4),-3)</f>
        <v>405000</v>
      </c>
      <c r="AH1689" s="19">
        <f>ROUND((Z1689)*(1+'Data-CostAssumptions'!$G$3)^(AE1689-'Data-CostAssumptions'!$G$4),-3)</f>
        <v>1841000</v>
      </c>
    </row>
    <row r="1690" spans="1:34" ht="15" customHeight="1" x14ac:dyDescent="0.2">
      <c r="B1690" s="11" t="s">
        <v>1211</v>
      </c>
      <c r="D1690" s="84" t="s">
        <v>276</v>
      </c>
      <c r="E1690" s="104">
        <v>419</v>
      </c>
      <c r="G1690" s="20">
        <v>1693</v>
      </c>
      <c r="H1690" s="13" t="s">
        <v>1828</v>
      </c>
      <c r="I1690" s="13" t="str">
        <f t="shared" si="56"/>
        <v>Sistrunk Bl (@  NW 27TH Av)</v>
      </c>
      <c r="J1690" s="12" t="s">
        <v>347</v>
      </c>
      <c r="K1690" s="13" t="str">
        <f>VLOOKUP(J1690,'Data-ProjectTypes'!A$3:B$13,2,FALSE)</f>
        <v>Project</v>
      </c>
      <c r="L1690" s="21" t="s">
        <v>77</v>
      </c>
      <c r="M1690" s="121" t="s">
        <v>2835</v>
      </c>
      <c r="N1690" s="12" t="s">
        <v>2605</v>
      </c>
      <c r="R1690" s="23">
        <v>718159.31568382459</v>
      </c>
      <c r="Z1690" s="18">
        <f>ROUND(R1690*'Data-CostAssumptions'!$C$8,-3)</f>
        <v>718000</v>
      </c>
      <c r="AA1690" s="11">
        <f t="shared" si="55"/>
        <v>0</v>
      </c>
      <c r="AB1690" s="11">
        <v>2041</v>
      </c>
      <c r="AC1690" s="11">
        <v>2041</v>
      </c>
      <c r="AD1690" s="11">
        <v>2041</v>
      </c>
      <c r="AE1690" s="11">
        <v>2041</v>
      </c>
      <c r="AF1690" s="11">
        <v>0</v>
      </c>
      <c r="AG1690" s="19">
        <f>ROUND((Z1690*'Data-CostAssumptions'!$G$5)*(1+'Data-CostAssumptions'!$G$3)^(AC1690-'Data-CostAssumptions'!$G$4),-3)</f>
        <v>405000</v>
      </c>
      <c r="AH1690" s="19">
        <f>ROUND((Z1690)*(1+'Data-CostAssumptions'!$G$3)^(AE1690-'Data-CostAssumptions'!$G$4),-3)</f>
        <v>1841000</v>
      </c>
    </row>
    <row r="1691" spans="1:34" ht="15" customHeight="1" x14ac:dyDescent="0.2">
      <c r="B1691" s="11" t="s">
        <v>1211</v>
      </c>
      <c r="D1691" s="84" t="s">
        <v>276</v>
      </c>
      <c r="E1691" s="104">
        <v>417</v>
      </c>
      <c r="G1691" s="20">
        <v>1694</v>
      </c>
      <c r="H1691" s="13" t="s">
        <v>1828</v>
      </c>
      <c r="I1691" s="13" t="str">
        <f t="shared" si="56"/>
        <v>Sistrunk Bl (@  NW 7TH Av)</v>
      </c>
      <c r="J1691" s="12" t="s">
        <v>347</v>
      </c>
      <c r="K1691" s="13" t="str">
        <f>VLOOKUP(J1691,'Data-ProjectTypes'!A$3:B$13,2,FALSE)</f>
        <v>Project</v>
      </c>
      <c r="L1691" s="21" t="s">
        <v>77</v>
      </c>
      <c r="M1691" s="121" t="s">
        <v>2835</v>
      </c>
      <c r="N1691" s="12" t="s">
        <v>2601</v>
      </c>
      <c r="R1691" s="23">
        <v>718159.31568382459</v>
      </c>
      <c r="Z1691" s="18">
        <f>ROUND(R1691*'Data-CostAssumptions'!$C$8,-3)</f>
        <v>718000</v>
      </c>
      <c r="AA1691" s="11">
        <f t="shared" si="55"/>
        <v>0</v>
      </c>
      <c r="AB1691" s="11">
        <v>2041</v>
      </c>
      <c r="AC1691" s="11">
        <v>2041</v>
      </c>
      <c r="AD1691" s="11">
        <v>2041</v>
      </c>
      <c r="AE1691" s="11">
        <v>2041</v>
      </c>
      <c r="AF1691" s="11">
        <v>0</v>
      </c>
      <c r="AG1691" s="19">
        <f>ROUND((Z1691*'Data-CostAssumptions'!$G$5)*(1+'Data-CostAssumptions'!$G$3)^(AC1691-'Data-CostAssumptions'!$G$4),-3)</f>
        <v>405000</v>
      </c>
      <c r="AH1691" s="19">
        <f>ROUND((Z1691)*(1+'Data-CostAssumptions'!$G$3)^(AE1691-'Data-CostAssumptions'!$G$4),-3)</f>
        <v>1841000</v>
      </c>
    </row>
    <row r="1692" spans="1:34" ht="15" customHeight="1" x14ac:dyDescent="0.2">
      <c r="A1692" s="89"/>
      <c r="B1692" s="66" t="s">
        <v>1211</v>
      </c>
      <c r="C1692" s="89"/>
      <c r="D1692" s="86" t="s">
        <v>276</v>
      </c>
      <c r="E1692" s="122" t="s">
        <v>1470</v>
      </c>
      <c r="F1692" s="122"/>
      <c r="G1692" s="20">
        <v>1695</v>
      </c>
      <c r="H1692" s="67" t="s">
        <v>2999</v>
      </c>
      <c r="I1692" s="67" t="str">
        <f t="shared" si="56"/>
        <v>Wave Streetcar Expansion (ANDREWS Av to NW 27TH Av)</v>
      </c>
      <c r="J1692" s="89" t="s">
        <v>347</v>
      </c>
      <c r="K1692" s="67" t="str">
        <f>VLOOKUP(J1692,'Data-ProjectTypes'!A$3:B$13,2,FALSE)</f>
        <v>Project</v>
      </c>
      <c r="L1692" s="89" t="s">
        <v>1631</v>
      </c>
      <c r="M1692" s="123" t="s">
        <v>2139</v>
      </c>
      <c r="N1692" s="89" t="s">
        <v>2605</v>
      </c>
      <c r="O1692" s="89"/>
      <c r="P1692" s="89"/>
      <c r="Q1692" s="124">
        <v>4.2</v>
      </c>
      <c r="R1692" s="70">
        <f>+Q1692*37500000</f>
        <v>157500000</v>
      </c>
      <c r="Y1692" s="12" t="s">
        <v>2211</v>
      </c>
      <c r="Z1692" s="71">
        <f>ROUND(R1692*'Data-CostAssumptions'!$C$8,-3)</f>
        <v>157500000</v>
      </c>
      <c r="AA1692" s="11">
        <f t="shared" si="55"/>
        <v>0</v>
      </c>
      <c r="AB1692" s="11">
        <v>2041</v>
      </c>
      <c r="AC1692" s="11">
        <v>2041</v>
      </c>
      <c r="AD1692" s="11">
        <v>2041</v>
      </c>
      <c r="AE1692" s="11">
        <v>2041</v>
      </c>
      <c r="AF1692" s="11">
        <v>0</v>
      </c>
      <c r="AG1692" s="19">
        <f>ROUND((Z1692*'Data-CostAssumptions'!$G$5)*(1+'Data-CostAssumptions'!$G$3)^(AC1692-'Data-CostAssumptions'!$G$4),-3)</f>
        <v>88841000</v>
      </c>
      <c r="AH1692" s="19">
        <f>ROUND((Z1692)*(1+'Data-CostAssumptions'!$G$3)^(AE1692-'Data-CostAssumptions'!$G$4),-3)</f>
        <v>403822000</v>
      </c>
    </row>
    <row r="1693" spans="1:34" ht="15" customHeight="1" x14ac:dyDescent="0.2">
      <c r="A1693" s="11"/>
      <c r="B1693" s="11" t="s">
        <v>1213</v>
      </c>
      <c r="C1693" s="11">
        <v>10059</v>
      </c>
      <c r="D1693" s="84" t="s">
        <v>276</v>
      </c>
      <c r="E1693" s="14" t="s">
        <v>298</v>
      </c>
      <c r="F1693" s="14">
        <v>143</v>
      </c>
      <c r="G1693" s="20">
        <v>1696</v>
      </c>
      <c r="H1693" s="13" t="s">
        <v>2910</v>
      </c>
      <c r="I1693" s="13" t="str">
        <f t="shared" si="56"/>
        <v>SR 816/Oakland Park (@  SR 5/US 1)</v>
      </c>
      <c r="J1693" s="11" t="s">
        <v>347</v>
      </c>
      <c r="K1693" s="13" t="str">
        <f>VLOOKUP(J1693,'Data-ProjectTypes'!A$3:B$13,2,FALSE)</f>
        <v>Project</v>
      </c>
      <c r="L1693" s="11" t="s">
        <v>26</v>
      </c>
      <c r="M1693" s="121" t="s">
        <v>2835</v>
      </c>
      <c r="N1693" s="13" t="s">
        <v>1424</v>
      </c>
      <c r="O1693" s="11" t="s">
        <v>365</v>
      </c>
      <c r="P1693" s="11" t="s">
        <v>365</v>
      </c>
      <c r="Q1693" s="72">
        <v>0</v>
      </c>
      <c r="R1693" s="23">
        <v>3056502.3571223663</v>
      </c>
      <c r="S1693" s="11"/>
      <c r="T1693" s="11"/>
      <c r="U1693" s="11"/>
      <c r="V1693" s="11"/>
      <c r="W1693" s="11"/>
      <c r="X1693" s="11"/>
      <c r="Z1693" s="18">
        <f>ROUND(R1693*'Data-CostAssumptions'!$C$8,-3)</f>
        <v>3057000</v>
      </c>
      <c r="AA1693" s="11">
        <f t="shared" si="55"/>
        <v>0</v>
      </c>
      <c r="AB1693" s="11">
        <v>2041</v>
      </c>
      <c r="AC1693" s="11">
        <v>2041</v>
      </c>
      <c r="AD1693" s="11">
        <v>2041</v>
      </c>
      <c r="AE1693" s="11">
        <v>2041</v>
      </c>
      <c r="AF1693" s="11">
        <v>0</v>
      </c>
      <c r="AG1693" s="19">
        <f>ROUND((Z1693*'Data-CostAssumptions'!$G$5)*(1+'Data-CostAssumptions'!$G$3)^(AC1693-'Data-CostAssumptions'!$G$4),-3)</f>
        <v>1724000</v>
      </c>
      <c r="AH1693" s="19">
        <f>ROUND((Z1693)*(1+'Data-CostAssumptions'!$G$3)^(AE1693-'Data-CostAssumptions'!$G$4),-3)</f>
        <v>7838000</v>
      </c>
    </row>
    <row r="1694" spans="1:34" ht="15" customHeight="1" x14ac:dyDescent="0.2">
      <c r="A1694" s="11"/>
      <c r="B1694" s="11" t="s">
        <v>1211</v>
      </c>
      <c r="C1694" s="11">
        <v>10089</v>
      </c>
      <c r="D1694" s="84" t="s">
        <v>276</v>
      </c>
      <c r="E1694" s="14" t="s">
        <v>298</v>
      </c>
      <c r="F1694" s="14">
        <v>145</v>
      </c>
      <c r="G1694" s="20">
        <v>1697</v>
      </c>
      <c r="H1694" s="13" t="s">
        <v>2910</v>
      </c>
      <c r="I1694" s="13" t="str">
        <f t="shared" si="56"/>
        <v>SR 816/Oakland Park (@  SR A1A)</v>
      </c>
      <c r="J1694" s="11" t="s">
        <v>347</v>
      </c>
      <c r="K1694" s="13" t="str">
        <f>VLOOKUP(J1694,'Data-ProjectTypes'!A$3:B$13,2,FALSE)</f>
        <v>Project</v>
      </c>
      <c r="L1694" s="11" t="s">
        <v>26</v>
      </c>
      <c r="M1694" s="121" t="s">
        <v>2835</v>
      </c>
      <c r="N1694" s="13" t="s">
        <v>110</v>
      </c>
      <c r="O1694" s="11" t="s">
        <v>365</v>
      </c>
      <c r="P1694" s="11" t="s">
        <v>365</v>
      </c>
      <c r="Q1694" s="72">
        <v>0</v>
      </c>
      <c r="R1694" s="23">
        <v>718159.31568382459</v>
      </c>
      <c r="S1694" s="11"/>
      <c r="T1694" s="11"/>
      <c r="U1694" s="11"/>
      <c r="V1694" s="11"/>
      <c r="W1694" s="11"/>
      <c r="X1694" s="11"/>
      <c r="Z1694" s="18">
        <f>ROUND(R1694*'Data-CostAssumptions'!$C$8,-3)</f>
        <v>718000</v>
      </c>
      <c r="AA1694" s="11">
        <f t="shared" si="55"/>
        <v>0</v>
      </c>
      <c r="AB1694" s="11">
        <v>2041</v>
      </c>
      <c r="AC1694" s="11">
        <v>2041</v>
      </c>
      <c r="AD1694" s="11">
        <v>2041</v>
      </c>
      <c r="AE1694" s="11">
        <v>2041</v>
      </c>
      <c r="AF1694" s="11">
        <v>0</v>
      </c>
      <c r="AG1694" s="19">
        <f>ROUND((Z1694*'Data-CostAssumptions'!$G$5)*(1+'Data-CostAssumptions'!$G$3)^(AC1694-'Data-CostAssumptions'!$G$4),-3)</f>
        <v>405000</v>
      </c>
      <c r="AH1694" s="19">
        <f>ROUND((Z1694)*(1+'Data-CostAssumptions'!$G$3)^(AE1694-'Data-CostAssumptions'!$G$4),-3)</f>
        <v>1841000</v>
      </c>
    </row>
    <row r="1695" spans="1:34" ht="15" customHeight="1" x14ac:dyDescent="0.2">
      <c r="B1695" s="11" t="s">
        <v>1211</v>
      </c>
      <c r="D1695" s="84" t="s">
        <v>276</v>
      </c>
      <c r="E1695" s="104">
        <v>412</v>
      </c>
      <c r="G1695" s="20">
        <v>1698</v>
      </c>
      <c r="H1695" s="13" t="s">
        <v>2710</v>
      </c>
      <c r="I1695" s="13" t="str">
        <f t="shared" si="56"/>
        <v>SR 816/Oakland Park Bl (@  Bayview Dr)</v>
      </c>
      <c r="J1695" s="12" t="s">
        <v>347</v>
      </c>
      <c r="K1695" s="13" t="str">
        <f>VLOOKUP(J1695,'Data-ProjectTypes'!A$3:B$13,2,FALSE)</f>
        <v>Project</v>
      </c>
      <c r="L1695" s="21" t="s">
        <v>77</v>
      </c>
      <c r="M1695" s="121" t="s">
        <v>2835</v>
      </c>
      <c r="N1695" s="12" t="s">
        <v>1781</v>
      </c>
      <c r="R1695" s="23">
        <v>718159.31568382459</v>
      </c>
      <c r="Z1695" s="18">
        <f>ROUND(R1695*'Data-CostAssumptions'!$C$8,-3)</f>
        <v>718000</v>
      </c>
      <c r="AA1695" s="11">
        <f t="shared" si="55"/>
        <v>0</v>
      </c>
      <c r="AB1695" s="11">
        <v>2041</v>
      </c>
      <c r="AC1695" s="11">
        <v>2041</v>
      </c>
      <c r="AD1695" s="11">
        <v>2041</v>
      </c>
      <c r="AE1695" s="11">
        <v>2041</v>
      </c>
      <c r="AF1695" s="11">
        <v>0</v>
      </c>
      <c r="AG1695" s="19">
        <f>ROUND((Z1695*'Data-CostAssumptions'!$G$5)*(1+'Data-CostAssumptions'!$G$3)^(AC1695-'Data-CostAssumptions'!$G$4),-3)</f>
        <v>405000</v>
      </c>
      <c r="AH1695" s="19">
        <f>ROUND((Z1695)*(1+'Data-CostAssumptions'!$G$3)^(AE1695-'Data-CostAssumptions'!$G$4),-3)</f>
        <v>1841000</v>
      </c>
    </row>
    <row r="1696" spans="1:34" ht="15" customHeight="1" x14ac:dyDescent="0.2">
      <c r="A1696" s="11"/>
      <c r="B1696" s="11" t="s">
        <v>1213</v>
      </c>
      <c r="C1696" s="11">
        <v>10031</v>
      </c>
      <c r="D1696" s="84" t="s">
        <v>276</v>
      </c>
      <c r="E1696" s="14" t="s">
        <v>298</v>
      </c>
      <c r="F1696" s="14">
        <v>141</v>
      </c>
      <c r="G1696" s="20">
        <v>1699</v>
      </c>
      <c r="H1696" s="13" t="s">
        <v>2728</v>
      </c>
      <c r="I1696" s="13" t="str">
        <f t="shared" si="56"/>
        <v>SR 838/Sunrise Bl (@  Andrews Av)</v>
      </c>
      <c r="J1696" s="11" t="s">
        <v>347</v>
      </c>
      <c r="K1696" s="13" t="str">
        <f>VLOOKUP(J1696,'Data-ProjectTypes'!A$3:B$13,2,FALSE)</f>
        <v>Project</v>
      </c>
      <c r="L1696" s="11" t="s">
        <v>26</v>
      </c>
      <c r="M1696" s="121" t="s">
        <v>2835</v>
      </c>
      <c r="N1696" s="84" t="s">
        <v>2014</v>
      </c>
      <c r="O1696" s="11" t="s">
        <v>365</v>
      </c>
      <c r="P1696" s="11" t="s">
        <v>365</v>
      </c>
      <c r="Q1696" s="72">
        <v>0</v>
      </c>
      <c r="R1696" s="23">
        <v>3056502.3571223663</v>
      </c>
      <c r="S1696" s="11"/>
      <c r="T1696" s="11"/>
      <c r="U1696" s="11"/>
      <c r="V1696" s="11"/>
      <c r="W1696" s="11"/>
      <c r="X1696" s="11"/>
      <c r="Z1696" s="18">
        <f>ROUND(R1696*'Data-CostAssumptions'!$C$8,-3)</f>
        <v>3057000</v>
      </c>
      <c r="AA1696" s="11">
        <f t="shared" si="55"/>
        <v>0</v>
      </c>
      <c r="AB1696" s="11">
        <v>2041</v>
      </c>
      <c r="AC1696" s="11">
        <v>2041</v>
      </c>
      <c r="AD1696" s="11">
        <v>2041</v>
      </c>
      <c r="AE1696" s="11">
        <v>2041</v>
      </c>
      <c r="AF1696" s="11">
        <v>0</v>
      </c>
      <c r="AG1696" s="19">
        <f>ROUND((Z1696*'Data-CostAssumptions'!$G$5)*(1+'Data-CostAssumptions'!$G$3)^(AC1696-'Data-CostAssumptions'!$G$4),-3)</f>
        <v>1724000</v>
      </c>
      <c r="AH1696" s="19">
        <f>ROUND((Z1696)*(1+'Data-CostAssumptions'!$G$3)^(AE1696-'Data-CostAssumptions'!$G$4),-3)</f>
        <v>7838000</v>
      </c>
    </row>
    <row r="1697" spans="1:34" ht="15" customHeight="1" x14ac:dyDescent="0.2">
      <c r="A1697" s="11"/>
      <c r="B1697" s="11" t="s">
        <v>1211</v>
      </c>
      <c r="C1697" s="11">
        <v>10092</v>
      </c>
      <c r="D1697" s="84" t="s">
        <v>276</v>
      </c>
      <c r="E1697" s="14" t="s">
        <v>298</v>
      </c>
      <c r="F1697" s="14">
        <v>145</v>
      </c>
      <c r="G1697" s="20">
        <v>1700</v>
      </c>
      <c r="H1697" s="13" t="s">
        <v>2728</v>
      </c>
      <c r="I1697" s="13" t="str">
        <f t="shared" si="56"/>
        <v>SR 838/Sunrise Bl (@  SR A1A)</v>
      </c>
      <c r="J1697" s="11" t="s">
        <v>347</v>
      </c>
      <c r="K1697" s="13" t="str">
        <f>VLOOKUP(J1697,'Data-ProjectTypes'!A$3:B$13,2,FALSE)</f>
        <v>Project</v>
      </c>
      <c r="L1697" s="11" t="s">
        <v>26</v>
      </c>
      <c r="M1697" s="121" t="s">
        <v>2835</v>
      </c>
      <c r="N1697" s="84" t="s">
        <v>110</v>
      </c>
      <c r="O1697" s="11" t="s">
        <v>365</v>
      </c>
      <c r="P1697" s="11" t="s">
        <v>365</v>
      </c>
      <c r="Q1697" s="72">
        <v>0</v>
      </c>
      <c r="R1697" s="23">
        <v>718159.31568382459</v>
      </c>
      <c r="S1697" s="11"/>
      <c r="T1697" s="11"/>
      <c r="U1697" s="11"/>
      <c r="V1697" s="11"/>
      <c r="W1697" s="11"/>
      <c r="X1697" s="11"/>
      <c r="Z1697" s="18">
        <f>ROUND(R1697*'Data-CostAssumptions'!$C$8,-3)</f>
        <v>718000</v>
      </c>
      <c r="AA1697" s="11">
        <f t="shared" si="55"/>
        <v>0</v>
      </c>
      <c r="AB1697" s="11">
        <v>2041</v>
      </c>
      <c r="AC1697" s="11">
        <v>2041</v>
      </c>
      <c r="AD1697" s="11">
        <v>2041</v>
      </c>
      <c r="AE1697" s="11">
        <v>2041</v>
      </c>
      <c r="AF1697" s="11">
        <v>0</v>
      </c>
      <c r="AG1697" s="19">
        <f>ROUND((Z1697*'Data-CostAssumptions'!$G$5)*(1+'Data-CostAssumptions'!$G$3)^(AC1697-'Data-CostAssumptions'!$G$4),-3)</f>
        <v>405000</v>
      </c>
      <c r="AH1697" s="19">
        <f>ROUND((Z1697)*(1+'Data-CostAssumptions'!$G$3)^(AE1697-'Data-CostAssumptions'!$G$4),-3)</f>
        <v>1841000</v>
      </c>
    </row>
    <row r="1698" spans="1:34" ht="15" customHeight="1" x14ac:dyDescent="0.2">
      <c r="B1698" s="11" t="s">
        <v>1211</v>
      </c>
      <c r="D1698" s="84" t="s">
        <v>276</v>
      </c>
      <c r="E1698" s="104">
        <v>409</v>
      </c>
      <c r="G1698" s="20">
        <v>1701</v>
      </c>
      <c r="H1698" s="13" t="s">
        <v>2728</v>
      </c>
      <c r="I1698" s="13" t="str">
        <f t="shared" ref="I1698:I1719" si="57">IF(M1698="@",H1698&amp;" ("&amp;M1698&amp;"  "&amp;N1698&amp;")",H1698&amp;" ("&amp;M1698&amp;" to "&amp;N1698&amp;")")</f>
        <v>SR 838/Sunrise Bl (@  Bayview Dr/Galleria)</v>
      </c>
      <c r="J1698" s="12" t="s">
        <v>347</v>
      </c>
      <c r="K1698" s="13" t="str">
        <f>VLOOKUP(J1698,'Data-ProjectTypes'!A$3:B$13,2,FALSE)</f>
        <v>Project</v>
      </c>
      <c r="L1698" s="21" t="s">
        <v>77</v>
      </c>
      <c r="M1698" s="121" t="s">
        <v>2835</v>
      </c>
      <c r="N1698" s="12" t="s">
        <v>2915</v>
      </c>
      <c r="R1698" s="23">
        <v>718159.31568382459</v>
      </c>
      <c r="Z1698" s="18">
        <f>ROUND(R1698*'Data-CostAssumptions'!$C$8,-3)</f>
        <v>718000</v>
      </c>
      <c r="AA1698" s="11">
        <f t="shared" si="55"/>
        <v>0</v>
      </c>
      <c r="AB1698" s="11">
        <v>2041</v>
      </c>
      <c r="AC1698" s="11">
        <v>2041</v>
      </c>
      <c r="AD1698" s="11">
        <v>2041</v>
      </c>
      <c r="AE1698" s="11">
        <v>2041</v>
      </c>
      <c r="AF1698" s="11">
        <v>0</v>
      </c>
      <c r="AG1698" s="19">
        <f>ROUND((Z1698*'Data-CostAssumptions'!$G$5)*(1+'Data-CostAssumptions'!$G$3)^(AC1698-'Data-CostAssumptions'!$G$4),-3)</f>
        <v>405000</v>
      </c>
      <c r="AH1698" s="19">
        <f>ROUND((Z1698)*(1+'Data-CostAssumptions'!$G$3)^(AE1698-'Data-CostAssumptions'!$G$4),-3)</f>
        <v>1841000</v>
      </c>
    </row>
    <row r="1699" spans="1:34" ht="15" customHeight="1" x14ac:dyDescent="0.2">
      <c r="B1699" s="11" t="s">
        <v>1211</v>
      </c>
      <c r="D1699" s="84" t="s">
        <v>276</v>
      </c>
      <c r="E1699" s="104">
        <v>410</v>
      </c>
      <c r="G1699" s="20">
        <v>1702</v>
      </c>
      <c r="H1699" s="13" t="s">
        <v>2728</v>
      </c>
      <c r="I1699" s="13" t="str">
        <f t="shared" si="57"/>
        <v>SR 838/Sunrise Bl (@  Gateway)</v>
      </c>
      <c r="J1699" s="12" t="s">
        <v>347</v>
      </c>
      <c r="K1699" s="13" t="str">
        <f>VLOOKUP(J1699,'Data-ProjectTypes'!A$3:B$13,2,FALSE)</f>
        <v>Project</v>
      </c>
      <c r="L1699" s="21" t="s">
        <v>77</v>
      </c>
      <c r="M1699" s="121" t="s">
        <v>2835</v>
      </c>
      <c r="N1699" s="12" t="s">
        <v>2916</v>
      </c>
      <c r="R1699" s="23">
        <v>718159.31568382459</v>
      </c>
      <c r="Z1699" s="18">
        <f>ROUND(R1699*'Data-CostAssumptions'!$C$8,-3)</f>
        <v>718000</v>
      </c>
      <c r="AA1699" s="11">
        <f t="shared" si="55"/>
        <v>0</v>
      </c>
      <c r="AB1699" s="11">
        <v>2041</v>
      </c>
      <c r="AC1699" s="11">
        <v>2041</v>
      </c>
      <c r="AD1699" s="11">
        <v>2041</v>
      </c>
      <c r="AE1699" s="11">
        <v>2041</v>
      </c>
      <c r="AF1699" s="11">
        <v>0</v>
      </c>
      <c r="AG1699" s="19">
        <f>ROUND((Z1699*'Data-CostAssumptions'!$G$5)*(1+'Data-CostAssumptions'!$G$3)^(AC1699-'Data-CostAssumptions'!$G$4),-3)</f>
        <v>405000</v>
      </c>
      <c r="AH1699" s="19">
        <f>ROUND((Z1699)*(1+'Data-CostAssumptions'!$G$3)^(AE1699-'Data-CostAssumptions'!$G$4),-3)</f>
        <v>1841000</v>
      </c>
    </row>
    <row r="1700" spans="1:34" ht="15" customHeight="1" x14ac:dyDescent="0.2">
      <c r="B1700" s="11" t="s">
        <v>1211</v>
      </c>
      <c r="D1700" s="84" t="s">
        <v>276</v>
      </c>
      <c r="E1700" s="104">
        <v>411</v>
      </c>
      <c r="G1700" s="20">
        <v>1703</v>
      </c>
      <c r="H1700" s="13" t="s">
        <v>2728</v>
      </c>
      <c r="I1700" s="13" t="str">
        <f t="shared" si="57"/>
        <v>SR 838/Sunrise Bl (@  NE 15th Av)</v>
      </c>
      <c r="J1700" s="12" t="s">
        <v>347</v>
      </c>
      <c r="K1700" s="13" t="str">
        <f>VLOOKUP(J1700,'Data-ProjectTypes'!A$3:B$13,2,FALSE)</f>
        <v>Project</v>
      </c>
      <c r="L1700" s="21" t="s">
        <v>77</v>
      </c>
      <c r="M1700" s="121" t="s">
        <v>2835</v>
      </c>
      <c r="N1700" s="12" t="s">
        <v>2024</v>
      </c>
      <c r="R1700" s="23">
        <v>718159.31568382459</v>
      </c>
      <c r="Z1700" s="18">
        <f>ROUND(R1700*'Data-CostAssumptions'!$C$8,-3)</f>
        <v>718000</v>
      </c>
      <c r="AA1700" s="11">
        <f t="shared" si="55"/>
        <v>0</v>
      </c>
      <c r="AB1700" s="11">
        <v>2041</v>
      </c>
      <c r="AC1700" s="11">
        <v>2041</v>
      </c>
      <c r="AD1700" s="11">
        <v>2041</v>
      </c>
      <c r="AE1700" s="11">
        <v>2041</v>
      </c>
      <c r="AF1700" s="11">
        <v>0</v>
      </c>
      <c r="AG1700" s="19">
        <f>ROUND((Z1700*'Data-CostAssumptions'!$G$5)*(1+'Data-CostAssumptions'!$G$3)^(AC1700-'Data-CostAssumptions'!$G$4),-3)</f>
        <v>405000</v>
      </c>
      <c r="AH1700" s="19">
        <f>ROUND((Z1700)*(1+'Data-CostAssumptions'!$G$3)^(AE1700-'Data-CostAssumptions'!$G$4),-3)</f>
        <v>1841000</v>
      </c>
    </row>
    <row r="1701" spans="1:34" ht="15" customHeight="1" x14ac:dyDescent="0.2">
      <c r="A1701" s="11"/>
      <c r="B1701" s="11" t="s">
        <v>1213</v>
      </c>
      <c r="C1701" s="11">
        <v>10062</v>
      </c>
      <c r="D1701" s="84" t="s">
        <v>276</v>
      </c>
      <c r="E1701" s="14" t="s">
        <v>298</v>
      </c>
      <c r="F1701" s="14">
        <v>143</v>
      </c>
      <c r="G1701" s="20">
        <v>1704</v>
      </c>
      <c r="H1701" s="13" t="s">
        <v>45</v>
      </c>
      <c r="I1701" s="13" t="str">
        <f t="shared" si="57"/>
        <v>SR 84 (@  Andrews Av)</v>
      </c>
      <c r="J1701" s="11" t="s">
        <v>347</v>
      </c>
      <c r="K1701" s="13" t="str">
        <f>VLOOKUP(J1701,'Data-ProjectTypes'!A$3:B$13,2,FALSE)</f>
        <v>Project</v>
      </c>
      <c r="L1701" s="11" t="s">
        <v>26</v>
      </c>
      <c r="M1701" s="121" t="s">
        <v>2835</v>
      </c>
      <c r="N1701" s="84" t="s">
        <v>2014</v>
      </c>
      <c r="O1701" s="11" t="s">
        <v>365</v>
      </c>
      <c r="P1701" s="11" t="s">
        <v>365</v>
      </c>
      <c r="Q1701" s="72">
        <v>0</v>
      </c>
      <c r="R1701" s="23">
        <v>3056502.3571223663</v>
      </c>
      <c r="S1701" s="11"/>
      <c r="T1701" s="11"/>
      <c r="U1701" s="11"/>
      <c r="V1701" s="11"/>
      <c r="W1701" s="11"/>
      <c r="X1701" s="11"/>
      <c r="Z1701" s="18">
        <f>ROUND(R1701*'Data-CostAssumptions'!$C$8,-3)</f>
        <v>3057000</v>
      </c>
      <c r="AA1701" s="11">
        <f t="shared" si="55"/>
        <v>0</v>
      </c>
      <c r="AB1701" s="11">
        <v>2041</v>
      </c>
      <c r="AC1701" s="11">
        <v>2041</v>
      </c>
      <c r="AD1701" s="11">
        <v>2041</v>
      </c>
      <c r="AE1701" s="11">
        <v>2041</v>
      </c>
      <c r="AF1701" s="11">
        <v>0</v>
      </c>
      <c r="AG1701" s="19">
        <f>ROUND((Z1701*'Data-CostAssumptions'!$G$5)*(1+'Data-CostAssumptions'!$G$3)^(AC1701-'Data-CostAssumptions'!$G$4),-3)</f>
        <v>1724000</v>
      </c>
      <c r="AH1701" s="19">
        <f>ROUND((Z1701)*(1+'Data-CostAssumptions'!$G$3)^(AE1701-'Data-CostAssumptions'!$G$4),-3)</f>
        <v>7838000</v>
      </c>
    </row>
    <row r="1702" spans="1:34" ht="15" customHeight="1" x14ac:dyDescent="0.2">
      <c r="A1702" s="11"/>
      <c r="B1702" s="11" t="s">
        <v>1213</v>
      </c>
      <c r="C1702" s="11">
        <v>10002</v>
      </c>
      <c r="D1702" s="84" t="s">
        <v>276</v>
      </c>
      <c r="E1702" s="14" t="s">
        <v>298</v>
      </c>
      <c r="F1702" s="14">
        <v>140</v>
      </c>
      <c r="G1702" s="20">
        <v>1705</v>
      </c>
      <c r="H1702" s="13" t="s">
        <v>2798</v>
      </c>
      <c r="I1702" s="13" t="str">
        <f t="shared" si="57"/>
        <v>SR 842/Broward Bl (@  NW/SW 1st Av)</v>
      </c>
      <c r="J1702" s="11" t="s">
        <v>347</v>
      </c>
      <c r="K1702" s="13" t="str">
        <f>VLOOKUP(J1702,'Data-ProjectTypes'!A$3:B$13,2,FALSE)</f>
        <v>Project</v>
      </c>
      <c r="L1702" s="11" t="s">
        <v>85</v>
      </c>
      <c r="M1702" s="121" t="s">
        <v>2835</v>
      </c>
      <c r="N1702" s="13" t="s">
        <v>2919</v>
      </c>
      <c r="O1702" s="11" t="s">
        <v>365</v>
      </c>
      <c r="P1702" s="11" t="s">
        <v>365</v>
      </c>
      <c r="Q1702" s="107"/>
      <c r="R1702" s="23">
        <v>1197806.2482169243</v>
      </c>
      <c r="S1702" s="11"/>
      <c r="T1702" s="11"/>
      <c r="U1702" s="11"/>
      <c r="V1702" s="11"/>
      <c r="W1702" s="11"/>
      <c r="X1702" s="11"/>
      <c r="Y1702" s="17" t="s">
        <v>2687</v>
      </c>
      <c r="Z1702" s="18">
        <f>ROUND(R1702*'Data-CostAssumptions'!$C$8,-3)</f>
        <v>1198000</v>
      </c>
      <c r="AA1702" s="11">
        <f t="shared" si="55"/>
        <v>0</v>
      </c>
      <c r="AB1702" s="11">
        <v>2041</v>
      </c>
      <c r="AC1702" s="11">
        <v>2041</v>
      </c>
      <c r="AD1702" s="11">
        <v>2041</v>
      </c>
      <c r="AE1702" s="11">
        <v>2041</v>
      </c>
      <c r="AF1702" s="11">
        <v>0</v>
      </c>
      <c r="AG1702" s="19">
        <f>ROUND((Z1702*'Data-CostAssumptions'!$G$5)*(1+'Data-CostAssumptions'!$G$3)^(AC1702-'Data-CostAssumptions'!$G$4),-3)</f>
        <v>676000</v>
      </c>
      <c r="AH1702" s="19">
        <f>ROUND((Z1702)*(1+'Data-CostAssumptions'!$G$3)^(AE1702-'Data-CostAssumptions'!$G$4),-3)</f>
        <v>3072000</v>
      </c>
    </row>
    <row r="1703" spans="1:34" ht="15" customHeight="1" x14ac:dyDescent="0.2">
      <c r="A1703" s="11"/>
      <c r="B1703" s="11" t="s">
        <v>1213</v>
      </c>
      <c r="C1703" s="11">
        <v>10010</v>
      </c>
      <c r="D1703" s="84" t="s">
        <v>276</v>
      </c>
      <c r="E1703" s="14" t="s">
        <v>298</v>
      </c>
      <c r="F1703" s="14">
        <v>140</v>
      </c>
      <c r="G1703" s="20">
        <v>1706</v>
      </c>
      <c r="H1703" s="13" t="s">
        <v>2798</v>
      </c>
      <c r="I1703" s="13" t="str">
        <f t="shared" si="57"/>
        <v>SR 842/Broward Bl (@  SR 9/I-95)</v>
      </c>
      <c r="J1703" s="11" t="s">
        <v>347</v>
      </c>
      <c r="K1703" s="13" t="str">
        <f>VLOOKUP(J1703,'Data-ProjectTypes'!A$3:B$13,2,FALSE)</f>
        <v>Project</v>
      </c>
      <c r="L1703" s="11" t="s">
        <v>85</v>
      </c>
      <c r="M1703" s="121" t="s">
        <v>2835</v>
      </c>
      <c r="N1703" s="13" t="s">
        <v>1445</v>
      </c>
      <c r="O1703" s="11" t="s">
        <v>365</v>
      </c>
      <c r="P1703" s="11" t="s">
        <v>365</v>
      </c>
      <c r="Q1703" s="107"/>
      <c r="R1703" s="23">
        <v>10179003.401645176</v>
      </c>
      <c r="S1703" s="11"/>
      <c r="T1703" s="11"/>
      <c r="U1703" s="11"/>
      <c r="V1703" s="11"/>
      <c r="W1703" s="11"/>
      <c r="X1703" s="11"/>
      <c r="Y1703" s="17" t="s">
        <v>2687</v>
      </c>
      <c r="Z1703" s="18">
        <f>ROUND(R1703*'Data-CostAssumptions'!$C$8,-3)</f>
        <v>10179000</v>
      </c>
      <c r="AA1703" s="11">
        <f t="shared" si="55"/>
        <v>0</v>
      </c>
      <c r="AB1703" s="11">
        <v>2041</v>
      </c>
      <c r="AC1703" s="11">
        <v>2041</v>
      </c>
      <c r="AD1703" s="11">
        <v>2041</v>
      </c>
      <c r="AE1703" s="11">
        <v>2041</v>
      </c>
      <c r="AF1703" s="11">
        <v>0</v>
      </c>
      <c r="AG1703" s="19">
        <f>ROUND((Z1703*'Data-CostAssumptions'!$G$5)*(1+'Data-CostAssumptions'!$G$3)^(AC1703-'Data-CostAssumptions'!$G$4),-3)</f>
        <v>5742000</v>
      </c>
      <c r="AH1703" s="19">
        <f>ROUND((Z1703)*(1+'Data-CostAssumptions'!$G$3)^(AE1703-'Data-CostAssumptions'!$G$4),-3)</f>
        <v>26098000</v>
      </c>
    </row>
    <row r="1704" spans="1:34" ht="15" customHeight="1" x14ac:dyDescent="0.2">
      <c r="B1704" s="11" t="s">
        <v>1211</v>
      </c>
      <c r="D1704" s="84" t="s">
        <v>276</v>
      </c>
      <c r="E1704" s="104">
        <v>429</v>
      </c>
      <c r="G1704" s="20">
        <v>1707</v>
      </c>
      <c r="H1704" s="13" t="s">
        <v>2798</v>
      </c>
      <c r="I1704" s="13" t="str">
        <f t="shared" si="57"/>
        <v>SR 842/Broward Bl (@  NW 15TH Av)</v>
      </c>
      <c r="J1704" s="12" t="s">
        <v>347</v>
      </c>
      <c r="K1704" s="13" t="str">
        <f>VLOOKUP(J1704,'Data-ProjectTypes'!A$3:B$13,2,FALSE)</f>
        <v>Project</v>
      </c>
      <c r="L1704" s="21" t="s">
        <v>77</v>
      </c>
      <c r="M1704" s="121" t="s">
        <v>2835</v>
      </c>
      <c r="N1704" s="12" t="s">
        <v>2160</v>
      </c>
      <c r="R1704" s="23">
        <v>718159.31568382459</v>
      </c>
      <c r="X1704" s="34"/>
      <c r="Z1704" s="18">
        <f>ROUND(R1704*'Data-CostAssumptions'!$C$8,-3)</f>
        <v>718000</v>
      </c>
      <c r="AA1704" s="11">
        <f t="shared" si="55"/>
        <v>0</v>
      </c>
      <c r="AB1704" s="11">
        <v>2041</v>
      </c>
      <c r="AC1704" s="11">
        <v>2041</v>
      </c>
      <c r="AD1704" s="11">
        <v>2041</v>
      </c>
      <c r="AE1704" s="11">
        <v>2041</v>
      </c>
      <c r="AF1704" s="11">
        <v>0</v>
      </c>
      <c r="AG1704" s="19">
        <f>ROUND((Z1704*'Data-CostAssumptions'!$G$5)*(1+'Data-CostAssumptions'!$G$3)^(AC1704-'Data-CostAssumptions'!$G$4),-3)</f>
        <v>405000</v>
      </c>
      <c r="AH1704" s="19">
        <f>ROUND((Z1704)*(1+'Data-CostAssumptions'!$G$3)^(AE1704-'Data-CostAssumptions'!$G$4),-3)</f>
        <v>1841000</v>
      </c>
    </row>
    <row r="1705" spans="1:34" ht="15" customHeight="1" x14ac:dyDescent="0.2">
      <c r="B1705" s="11" t="s">
        <v>1211</v>
      </c>
      <c r="D1705" s="84" t="s">
        <v>276</v>
      </c>
      <c r="E1705" s="104">
        <v>430</v>
      </c>
      <c r="G1705" s="20">
        <v>1708</v>
      </c>
      <c r="H1705" s="13" t="s">
        <v>2798</v>
      </c>
      <c r="I1705" s="13" t="str">
        <f t="shared" si="57"/>
        <v>SR 842/Broward Bl (@  NW 27TH Av)</v>
      </c>
      <c r="J1705" s="12" t="s">
        <v>347</v>
      </c>
      <c r="K1705" s="13" t="str">
        <f>VLOOKUP(J1705,'Data-ProjectTypes'!A$3:B$13,2,FALSE)</f>
        <v>Project</v>
      </c>
      <c r="L1705" s="21" t="s">
        <v>77</v>
      </c>
      <c r="M1705" s="121" t="s">
        <v>2835</v>
      </c>
      <c r="N1705" s="12" t="s">
        <v>2605</v>
      </c>
      <c r="R1705" s="23">
        <v>718159.31568382459</v>
      </c>
      <c r="Z1705" s="18">
        <f>ROUND(R1705*'Data-CostAssumptions'!$C$8,-3)</f>
        <v>718000</v>
      </c>
      <c r="AA1705" s="11">
        <f t="shared" si="55"/>
        <v>0</v>
      </c>
      <c r="AB1705" s="11">
        <v>2041</v>
      </c>
      <c r="AC1705" s="11">
        <v>2041</v>
      </c>
      <c r="AD1705" s="11">
        <v>2041</v>
      </c>
      <c r="AE1705" s="11">
        <v>2041</v>
      </c>
      <c r="AF1705" s="11">
        <v>0</v>
      </c>
      <c r="AG1705" s="19">
        <f>ROUND((Z1705*'Data-CostAssumptions'!$G$5)*(1+'Data-CostAssumptions'!$G$3)^(AC1705-'Data-CostAssumptions'!$G$4),-3)</f>
        <v>405000</v>
      </c>
      <c r="AH1705" s="19">
        <f>ROUND((Z1705)*(1+'Data-CostAssumptions'!$G$3)^(AE1705-'Data-CostAssumptions'!$G$4),-3)</f>
        <v>1841000</v>
      </c>
    </row>
    <row r="1706" spans="1:34" ht="15" customHeight="1" x14ac:dyDescent="0.2">
      <c r="B1706" s="11" t="s">
        <v>1211</v>
      </c>
      <c r="D1706" s="84" t="s">
        <v>276</v>
      </c>
      <c r="E1706" s="104">
        <v>431</v>
      </c>
      <c r="G1706" s="20">
        <v>1709</v>
      </c>
      <c r="H1706" s="13" t="s">
        <v>2798</v>
      </c>
      <c r="I1706" s="13" t="str">
        <f t="shared" si="57"/>
        <v>SR 842/Broward Bl (@  NW 31ST Av)</v>
      </c>
      <c r="J1706" s="12" t="s">
        <v>347</v>
      </c>
      <c r="K1706" s="13" t="str">
        <f>VLOOKUP(J1706,'Data-ProjectTypes'!A$3:B$13,2,FALSE)</f>
        <v>Project</v>
      </c>
      <c r="L1706" s="21" t="s">
        <v>77</v>
      </c>
      <c r="M1706" s="121" t="s">
        <v>2835</v>
      </c>
      <c r="N1706" s="12" t="s">
        <v>2167</v>
      </c>
      <c r="R1706" s="23">
        <v>718159.31568382459</v>
      </c>
      <c r="Z1706" s="18">
        <f>ROUND(R1706*'Data-CostAssumptions'!$C$8,-3)</f>
        <v>718000</v>
      </c>
      <c r="AA1706" s="11">
        <f t="shared" si="55"/>
        <v>0</v>
      </c>
      <c r="AB1706" s="11">
        <v>2041</v>
      </c>
      <c r="AC1706" s="11">
        <v>2041</v>
      </c>
      <c r="AD1706" s="11">
        <v>2041</v>
      </c>
      <c r="AE1706" s="11">
        <v>2041</v>
      </c>
      <c r="AF1706" s="11">
        <v>0</v>
      </c>
      <c r="AG1706" s="19">
        <f>ROUND((Z1706*'Data-CostAssumptions'!$G$5)*(1+'Data-CostAssumptions'!$G$3)^(AC1706-'Data-CostAssumptions'!$G$4),-3)</f>
        <v>405000</v>
      </c>
      <c r="AH1706" s="19">
        <f>ROUND((Z1706)*(1+'Data-CostAssumptions'!$G$3)^(AE1706-'Data-CostAssumptions'!$G$4),-3)</f>
        <v>1841000</v>
      </c>
    </row>
    <row r="1707" spans="1:34" ht="15" customHeight="1" x14ac:dyDescent="0.2">
      <c r="B1707" s="11" t="s">
        <v>1211</v>
      </c>
      <c r="D1707" s="84" t="s">
        <v>276</v>
      </c>
      <c r="E1707" s="104">
        <v>428</v>
      </c>
      <c r="G1707" s="20">
        <v>1710</v>
      </c>
      <c r="H1707" s="13" t="s">
        <v>2798</v>
      </c>
      <c r="I1707" s="13" t="str">
        <f t="shared" si="57"/>
        <v>SR 842/Broward Bl (@  NW 7TH Av)</v>
      </c>
      <c r="J1707" s="12" t="s">
        <v>347</v>
      </c>
      <c r="K1707" s="13" t="str">
        <f>VLOOKUP(J1707,'Data-ProjectTypes'!A$3:B$13,2,FALSE)</f>
        <v>Project</v>
      </c>
      <c r="L1707" s="21" t="s">
        <v>77</v>
      </c>
      <c r="M1707" s="121" t="s">
        <v>2835</v>
      </c>
      <c r="N1707" s="12" t="s">
        <v>2601</v>
      </c>
      <c r="R1707" s="23">
        <v>718159.31568382459</v>
      </c>
      <c r="Z1707" s="18">
        <f>ROUND(R1707*'Data-CostAssumptions'!$C$8,-3)</f>
        <v>718000</v>
      </c>
      <c r="AA1707" s="11">
        <f t="shared" si="55"/>
        <v>0</v>
      </c>
      <c r="AB1707" s="11">
        <v>2041</v>
      </c>
      <c r="AC1707" s="11">
        <v>2041</v>
      </c>
      <c r="AD1707" s="11">
        <v>2041</v>
      </c>
      <c r="AE1707" s="11">
        <v>2041</v>
      </c>
      <c r="AF1707" s="11">
        <v>0</v>
      </c>
      <c r="AG1707" s="19">
        <f>ROUND((Z1707*'Data-CostAssumptions'!$G$5)*(1+'Data-CostAssumptions'!$G$3)^(AC1707-'Data-CostAssumptions'!$G$4),-3)</f>
        <v>405000</v>
      </c>
      <c r="AH1707" s="19">
        <f>ROUND((Z1707)*(1+'Data-CostAssumptions'!$G$3)^(AE1707-'Data-CostAssumptions'!$G$4),-3)</f>
        <v>1841000</v>
      </c>
    </row>
    <row r="1708" spans="1:34" ht="15" customHeight="1" x14ac:dyDescent="0.2">
      <c r="B1708" s="11" t="s">
        <v>1211</v>
      </c>
      <c r="D1708" s="84" t="s">
        <v>276</v>
      </c>
      <c r="E1708" s="104">
        <v>415</v>
      </c>
      <c r="G1708" s="20">
        <v>1711</v>
      </c>
      <c r="H1708" s="13" t="s">
        <v>2803</v>
      </c>
      <c r="I1708" s="13" t="str">
        <f t="shared" si="57"/>
        <v>SR 870/Commercial Bl (@  NW 31st Av)</v>
      </c>
      <c r="J1708" s="12" t="s">
        <v>347</v>
      </c>
      <c r="K1708" s="13" t="str">
        <f>VLOOKUP(J1708,'Data-ProjectTypes'!A$3:B$13,2,FALSE)</f>
        <v>Project</v>
      </c>
      <c r="L1708" s="21" t="s">
        <v>77</v>
      </c>
      <c r="M1708" s="121" t="s">
        <v>2835</v>
      </c>
      <c r="N1708" s="12" t="s">
        <v>2062</v>
      </c>
      <c r="R1708" s="23">
        <v>718159.31568382459</v>
      </c>
      <c r="Z1708" s="18">
        <f>ROUND(R1708*'Data-CostAssumptions'!$C$8,-3)</f>
        <v>718000</v>
      </c>
      <c r="AA1708" s="11">
        <f t="shared" si="55"/>
        <v>0</v>
      </c>
      <c r="AB1708" s="11">
        <v>2041</v>
      </c>
      <c r="AC1708" s="11">
        <v>2041</v>
      </c>
      <c r="AD1708" s="11">
        <v>2041</v>
      </c>
      <c r="AE1708" s="11">
        <v>2041</v>
      </c>
      <c r="AF1708" s="11">
        <v>0</v>
      </c>
      <c r="AG1708" s="19">
        <f>ROUND((Z1708*'Data-CostAssumptions'!$G$5)*(1+'Data-CostAssumptions'!$G$3)^(AC1708-'Data-CostAssumptions'!$G$4),-3)</f>
        <v>405000</v>
      </c>
      <c r="AH1708" s="19">
        <f>ROUND((Z1708)*(1+'Data-CostAssumptions'!$G$3)^(AE1708-'Data-CostAssumptions'!$G$4),-3)</f>
        <v>1841000</v>
      </c>
    </row>
    <row r="1709" spans="1:34" ht="15" customHeight="1" x14ac:dyDescent="0.2">
      <c r="B1709" s="11" t="s">
        <v>1211</v>
      </c>
      <c r="D1709" s="84" t="s">
        <v>276</v>
      </c>
      <c r="E1709" s="104">
        <v>422</v>
      </c>
      <c r="G1709" s="20">
        <v>1712</v>
      </c>
      <c r="H1709" s="13" t="s">
        <v>110</v>
      </c>
      <c r="I1709" s="13" t="str">
        <f t="shared" si="57"/>
        <v>SR A1A (@  Alhambra Dr)</v>
      </c>
      <c r="J1709" s="12" t="s">
        <v>347</v>
      </c>
      <c r="K1709" s="13" t="str">
        <f>VLOOKUP(J1709,'Data-ProjectTypes'!A$3:B$13,2,FALSE)</f>
        <v>Project</v>
      </c>
      <c r="L1709" s="21" t="s">
        <v>77</v>
      </c>
      <c r="M1709" s="121" t="s">
        <v>2835</v>
      </c>
      <c r="N1709" s="12" t="s">
        <v>2917</v>
      </c>
      <c r="R1709" s="23">
        <v>718159.31568382459</v>
      </c>
      <c r="Z1709" s="18">
        <f>ROUND(R1709*'Data-CostAssumptions'!$C$8,-3)</f>
        <v>718000</v>
      </c>
      <c r="AA1709" s="11">
        <f t="shared" si="55"/>
        <v>0</v>
      </c>
      <c r="AB1709" s="11">
        <v>2041</v>
      </c>
      <c r="AC1709" s="11">
        <v>2041</v>
      </c>
      <c r="AD1709" s="11">
        <v>2041</v>
      </c>
      <c r="AE1709" s="11">
        <v>2041</v>
      </c>
      <c r="AF1709" s="11">
        <v>0</v>
      </c>
      <c r="AG1709" s="19">
        <f>ROUND((Z1709*'Data-CostAssumptions'!$G$5)*(1+'Data-CostAssumptions'!$G$3)^(AC1709-'Data-CostAssumptions'!$G$4),-3)</f>
        <v>405000</v>
      </c>
      <c r="AH1709" s="19">
        <f>ROUND((Z1709)*(1+'Data-CostAssumptions'!$G$3)^(AE1709-'Data-CostAssumptions'!$G$4),-3)</f>
        <v>1841000</v>
      </c>
    </row>
    <row r="1710" spans="1:34" ht="15" customHeight="1" x14ac:dyDescent="0.2">
      <c r="B1710" s="11" t="s">
        <v>1211</v>
      </c>
      <c r="D1710" s="84" t="s">
        <v>276</v>
      </c>
      <c r="E1710" s="104">
        <v>421</v>
      </c>
      <c r="G1710" s="20">
        <v>1713</v>
      </c>
      <c r="H1710" s="13" t="s">
        <v>110</v>
      </c>
      <c r="I1710" s="13" t="str">
        <f t="shared" si="57"/>
        <v>SR A1A (@  LAS OLAS Bl)</v>
      </c>
      <c r="J1710" s="12" t="s">
        <v>347</v>
      </c>
      <c r="K1710" s="13" t="str">
        <f>VLOOKUP(J1710,'Data-ProjectTypes'!A$3:B$13,2,FALSE)</f>
        <v>Project</v>
      </c>
      <c r="L1710" s="21" t="s">
        <v>26</v>
      </c>
      <c r="M1710" s="121" t="s">
        <v>2835</v>
      </c>
      <c r="N1710" s="12" t="s">
        <v>1997</v>
      </c>
      <c r="Q1710" s="72">
        <v>0</v>
      </c>
      <c r="R1710" s="23">
        <v>3056502.3571223663</v>
      </c>
      <c r="Z1710" s="18">
        <f>ROUND(R1710*'Data-CostAssumptions'!$C$8,-3)</f>
        <v>3057000</v>
      </c>
      <c r="AA1710" s="11">
        <f t="shared" si="55"/>
        <v>0</v>
      </c>
      <c r="AB1710" s="11">
        <v>2041</v>
      </c>
      <c r="AC1710" s="11">
        <v>2041</v>
      </c>
      <c r="AD1710" s="11">
        <v>2041</v>
      </c>
      <c r="AE1710" s="11">
        <v>2041</v>
      </c>
      <c r="AF1710" s="11">
        <v>0</v>
      </c>
      <c r="AG1710" s="19">
        <f>ROUND((Z1710*'Data-CostAssumptions'!$G$5)*(1+'Data-CostAssumptions'!$G$3)^(AC1710-'Data-CostAssumptions'!$G$4),-3)</f>
        <v>1724000</v>
      </c>
      <c r="AH1710" s="19">
        <f>ROUND((Z1710)*(1+'Data-CostAssumptions'!$G$3)^(AE1710-'Data-CostAssumptions'!$G$4),-3)</f>
        <v>7838000</v>
      </c>
    </row>
    <row r="1711" spans="1:34" ht="15" customHeight="1" x14ac:dyDescent="0.2">
      <c r="B1711" s="11" t="s">
        <v>1211</v>
      </c>
      <c r="D1711" s="84" t="s">
        <v>276</v>
      </c>
      <c r="E1711" s="104">
        <v>405</v>
      </c>
      <c r="G1711" s="20">
        <v>1714</v>
      </c>
      <c r="H1711" s="13" t="s">
        <v>2964</v>
      </c>
      <c r="I1711" s="13" t="str">
        <f t="shared" si="57"/>
        <v>SW 1st Av (@  SE 2nd St)</v>
      </c>
      <c r="J1711" s="12" t="s">
        <v>347</v>
      </c>
      <c r="K1711" s="13" t="str">
        <f>VLOOKUP(J1711,'Data-ProjectTypes'!A$3:B$13,2,FALSE)</f>
        <v>Project</v>
      </c>
      <c r="L1711" s="21" t="s">
        <v>77</v>
      </c>
      <c r="M1711" s="121" t="s">
        <v>2835</v>
      </c>
      <c r="N1711" s="12" t="s">
        <v>1943</v>
      </c>
      <c r="R1711" s="23">
        <v>718159.31568382459</v>
      </c>
      <c r="Z1711" s="18">
        <f>ROUND(R1711*'Data-CostAssumptions'!$C$8,-3)</f>
        <v>718000</v>
      </c>
      <c r="AA1711" s="11">
        <f t="shared" si="55"/>
        <v>0</v>
      </c>
      <c r="AB1711" s="11">
        <v>2041</v>
      </c>
      <c r="AC1711" s="11">
        <v>2041</v>
      </c>
      <c r="AD1711" s="11">
        <v>2041</v>
      </c>
      <c r="AE1711" s="11">
        <v>2041</v>
      </c>
      <c r="AF1711" s="11">
        <v>0</v>
      </c>
      <c r="AG1711" s="19">
        <f>ROUND((Z1711*'Data-CostAssumptions'!$G$5)*(1+'Data-CostAssumptions'!$G$3)^(AC1711-'Data-CostAssumptions'!$G$4),-3)</f>
        <v>405000</v>
      </c>
      <c r="AH1711" s="19">
        <f>ROUND((Z1711)*(1+'Data-CostAssumptions'!$G$3)^(AE1711-'Data-CostAssumptions'!$G$4),-3)</f>
        <v>1841000</v>
      </c>
    </row>
    <row r="1712" spans="1:34" ht="15" customHeight="1" x14ac:dyDescent="0.2">
      <c r="B1712" s="11" t="s">
        <v>1211</v>
      </c>
      <c r="D1712" s="84" t="s">
        <v>276</v>
      </c>
      <c r="E1712" s="104">
        <v>401</v>
      </c>
      <c r="G1712" s="20">
        <v>1715</v>
      </c>
      <c r="H1712" s="13" t="s">
        <v>2123</v>
      </c>
      <c r="I1712" s="13" t="str">
        <f t="shared" si="57"/>
        <v>SW 3rd Av (@  SW 6th St)</v>
      </c>
      <c r="J1712" s="12" t="s">
        <v>347</v>
      </c>
      <c r="K1712" s="13" t="str">
        <f>VLOOKUP(J1712,'Data-ProjectTypes'!A$3:B$13,2,FALSE)</f>
        <v>Project</v>
      </c>
      <c r="L1712" s="21" t="s">
        <v>77</v>
      </c>
      <c r="M1712" s="121" t="s">
        <v>2835</v>
      </c>
      <c r="N1712" s="12" t="s">
        <v>1965</v>
      </c>
      <c r="R1712" s="23">
        <v>718159.31568382459</v>
      </c>
      <c r="Z1712" s="18">
        <f>ROUND(R1712*'Data-CostAssumptions'!$C$8,-3)</f>
        <v>718000</v>
      </c>
      <c r="AA1712" s="11">
        <f t="shared" si="55"/>
        <v>0</v>
      </c>
      <c r="AB1712" s="11">
        <v>2041</v>
      </c>
      <c r="AC1712" s="11">
        <v>2041</v>
      </c>
      <c r="AD1712" s="11">
        <v>2041</v>
      </c>
      <c r="AE1712" s="11">
        <v>2041</v>
      </c>
      <c r="AF1712" s="11">
        <v>0</v>
      </c>
      <c r="AG1712" s="19">
        <f>ROUND((Z1712*'Data-CostAssumptions'!$G$5)*(1+'Data-CostAssumptions'!$G$3)^(AC1712-'Data-CostAssumptions'!$G$4),-3)</f>
        <v>405000</v>
      </c>
      <c r="AH1712" s="19">
        <f>ROUND((Z1712)*(1+'Data-CostAssumptions'!$G$3)^(AE1712-'Data-CostAssumptions'!$G$4),-3)</f>
        <v>1841000</v>
      </c>
    </row>
    <row r="1713" spans="1:39" ht="15" customHeight="1" x14ac:dyDescent="0.2">
      <c r="A1713" s="66"/>
      <c r="B1713" s="66" t="s">
        <v>1213</v>
      </c>
      <c r="C1713" s="66">
        <v>10017</v>
      </c>
      <c r="D1713" s="86" t="s">
        <v>276</v>
      </c>
      <c r="E1713" s="73" t="s">
        <v>298</v>
      </c>
      <c r="F1713" s="73">
        <v>140</v>
      </c>
      <c r="G1713" s="20">
        <v>1716</v>
      </c>
      <c r="H1713" s="67" t="s">
        <v>933</v>
      </c>
      <c r="I1713" s="67" t="str">
        <f t="shared" si="57"/>
        <v>Tri-Rail Station (@  Cypress Creek)</v>
      </c>
      <c r="J1713" s="66" t="s">
        <v>347</v>
      </c>
      <c r="K1713" s="67" t="str">
        <f>VLOOKUP(J1713,'Data-ProjectTypes'!A$3:B$13,2,FALSE)</f>
        <v>Project</v>
      </c>
      <c r="L1713" s="66" t="s">
        <v>85</v>
      </c>
      <c r="M1713" s="125" t="s">
        <v>2835</v>
      </c>
      <c r="N1713" s="67" t="s">
        <v>2837</v>
      </c>
      <c r="O1713" s="66" t="s">
        <v>365</v>
      </c>
      <c r="P1713" s="66" t="s">
        <v>365</v>
      </c>
      <c r="Q1713" s="126"/>
      <c r="R1713" s="70">
        <v>9426949.8170891684</v>
      </c>
      <c r="S1713" s="66"/>
      <c r="T1713" s="11"/>
      <c r="U1713" s="11"/>
      <c r="V1713" s="11"/>
      <c r="W1713" s="11"/>
      <c r="X1713" s="11"/>
      <c r="Y1713" s="127" t="s">
        <v>2687</v>
      </c>
      <c r="Z1713" s="71">
        <f>ROUND(R1713*'Data-CostAssumptions'!$C$8,-3)</f>
        <v>9427000</v>
      </c>
      <c r="AA1713" s="11">
        <f t="shared" si="55"/>
        <v>0</v>
      </c>
      <c r="AB1713" s="11">
        <v>2041</v>
      </c>
      <c r="AC1713" s="11">
        <v>2041</v>
      </c>
      <c r="AD1713" s="11">
        <v>2041</v>
      </c>
      <c r="AE1713" s="11">
        <v>2041</v>
      </c>
      <c r="AF1713" s="11">
        <v>0</v>
      </c>
      <c r="AG1713" s="19">
        <f>ROUND((Z1713*'Data-CostAssumptions'!$G$5)*(1+'Data-CostAssumptions'!$G$3)^(AC1713-'Data-CostAssumptions'!$G$4),-3)</f>
        <v>5317000</v>
      </c>
      <c r="AH1713" s="19">
        <f>ROUND((Z1713)*(1+'Data-CostAssumptions'!$G$3)^(AE1713-'Data-CostAssumptions'!$G$4),-3)</f>
        <v>24170000</v>
      </c>
    </row>
    <row r="1714" spans="1:39" ht="15" customHeight="1" x14ac:dyDescent="0.2">
      <c r="A1714" s="89"/>
      <c r="B1714" s="66" t="s">
        <v>1213</v>
      </c>
      <c r="C1714" s="89"/>
      <c r="D1714" s="86" t="s">
        <v>276</v>
      </c>
      <c r="E1714" s="122">
        <v>600</v>
      </c>
      <c r="F1714" s="122"/>
      <c r="G1714" s="20">
        <v>1717</v>
      </c>
      <c r="H1714" s="67" t="s">
        <v>2968</v>
      </c>
      <c r="I1714" s="67" t="str">
        <f t="shared" si="57"/>
        <v>Water Ferry (Many to Many)</v>
      </c>
      <c r="J1714" s="89" t="s">
        <v>347</v>
      </c>
      <c r="K1714" s="67" t="str">
        <f>VLOOKUP(J1714,'Data-ProjectTypes'!A$3:B$13,2,FALSE)</f>
        <v>Project</v>
      </c>
      <c r="L1714" s="89" t="s">
        <v>1664</v>
      </c>
      <c r="M1714" s="123" t="s">
        <v>2967</v>
      </c>
      <c r="N1714" s="89" t="s">
        <v>2967</v>
      </c>
      <c r="O1714" s="89"/>
      <c r="P1714" s="89"/>
      <c r="Q1714" s="124"/>
      <c r="R1714" s="70">
        <v>0</v>
      </c>
      <c r="S1714" s="89"/>
      <c r="Y1714" s="12" t="s">
        <v>2971</v>
      </c>
      <c r="Z1714" s="71">
        <f>ROUND(R1714*'Data-CostAssumptions'!$C$8,-3)</f>
        <v>0</v>
      </c>
      <c r="AA1714" s="11">
        <f t="shared" si="55"/>
        <v>0</v>
      </c>
      <c r="AB1714" s="11">
        <v>2041</v>
      </c>
      <c r="AC1714" s="11">
        <v>2041</v>
      </c>
      <c r="AD1714" s="11">
        <v>2041</v>
      </c>
      <c r="AE1714" s="11">
        <v>2041</v>
      </c>
      <c r="AF1714" s="11">
        <v>0</v>
      </c>
      <c r="AG1714" s="19">
        <f>ROUND((Z1714*'Data-CostAssumptions'!$G$5)*(1+'Data-CostAssumptions'!$G$3)^(AC1714-'Data-CostAssumptions'!$G$4),-3)</f>
        <v>0</v>
      </c>
      <c r="AH1714" s="19">
        <f>ROUND((Z1714)*(1+'Data-CostAssumptions'!$G$3)^(AE1714-'Data-CostAssumptions'!$G$4),-3)</f>
        <v>0</v>
      </c>
    </row>
    <row r="1715" spans="1:39" ht="15" customHeight="1" x14ac:dyDescent="0.2">
      <c r="A1715" s="89"/>
      <c r="B1715" s="66" t="s">
        <v>1211</v>
      </c>
      <c r="C1715" s="89"/>
      <c r="D1715" s="86" t="s">
        <v>276</v>
      </c>
      <c r="E1715" s="122" t="s">
        <v>1467</v>
      </c>
      <c r="F1715" s="122"/>
      <c r="G1715" s="20">
        <v>1718</v>
      </c>
      <c r="H1715" s="67" t="s">
        <v>2999</v>
      </c>
      <c r="I1715" s="67" t="str">
        <f t="shared" si="57"/>
        <v>Wave Streetcar Expansion (Andrews Av to Eisenhower Bl via SE 17th St)</v>
      </c>
      <c r="J1715" s="89" t="s">
        <v>347</v>
      </c>
      <c r="K1715" s="67" t="str">
        <f>VLOOKUP(J1715,'Data-ProjectTypes'!A$3:B$13,2,FALSE)</f>
        <v>Project</v>
      </c>
      <c r="L1715" s="89" t="s">
        <v>1628</v>
      </c>
      <c r="M1715" s="123" t="s">
        <v>2014</v>
      </c>
      <c r="N1715" s="89" t="s">
        <v>2921</v>
      </c>
      <c r="O1715" s="89"/>
      <c r="P1715" s="89"/>
      <c r="Q1715" s="124">
        <v>1.6</v>
      </c>
      <c r="R1715" s="70">
        <v>60000000</v>
      </c>
      <c r="S1715" s="128"/>
      <c r="Y1715" s="12" t="s">
        <v>2995</v>
      </c>
      <c r="Z1715" s="71">
        <f>ROUND(R1715*'Data-CostAssumptions'!$C$8,-3)</f>
        <v>60000000</v>
      </c>
      <c r="AA1715" s="11">
        <f t="shared" si="55"/>
        <v>0</v>
      </c>
      <c r="AB1715" s="11">
        <v>2041</v>
      </c>
      <c r="AC1715" s="11">
        <v>2041</v>
      </c>
      <c r="AD1715" s="11">
        <v>2041</v>
      </c>
      <c r="AE1715" s="11">
        <v>2041</v>
      </c>
      <c r="AF1715" s="11">
        <v>0</v>
      </c>
      <c r="AG1715" s="19">
        <f>ROUND((Z1715*'Data-CostAssumptions'!$G$5)*(1+'Data-CostAssumptions'!$G$3)^(AC1715-'Data-CostAssumptions'!$G$4),-3)</f>
        <v>33844000</v>
      </c>
      <c r="AH1715" s="19">
        <f>ROUND((Z1715)*(1+'Data-CostAssumptions'!$G$3)^(AE1715-'Data-CostAssumptions'!$G$4),-3)</f>
        <v>153837000</v>
      </c>
    </row>
    <row r="1716" spans="1:39" ht="15" customHeight="1" x14ac:dyDescent="0.2">
      <c r="A1716" s="89"/>
      <c r="B1716" s="66" t="s">
        <v>1213</v>
      </c>
      <c r="C1716" s="89"/>
      <c r="D1716" s="86" t="s">
        <v>276</v>
      </c>
      <c r="E1716" s="122" t="s">
        <v>1468</v>
      </c>
      <c r="F1716" s="122"/>
      <c r="G1716" s="20">
        <v>1719</v>
      </c>
      <c r="H1716" s="67" t="s">
        <v>2999</v>
      </c>
      <c r="I1716" s="67" t="str">
        <f t="shared" si="57"/>
        <v>Wave Streetcar Expansion (Andrews Av to Eisenhower Bl via Sunrise Bl)</v>
      </c>
      <c r="J1716" s="89" t="s">
        <v>347</v>
      </c>
      <c r="K1716" s="67" t="str">
        <f>VLOOKUP(J1716,'Data-ProjectTypes'!A$3:B$13,2,FALSE)</f>
        <v>Project</v>
      </c>
      <c r="L1716" s="89" t="s">
        <v>1629</v>
      </c>
      <c r="M1716" s="123" t="s">
        <v>2014</v>
      </c>
      <c r="N1716" s="89" t="s">
        <v>2996</v>
      </c>
      <c r="O1716" s="89"/>
      <c r="P1716" s="89"/>
      <c r="Q1716" s="124"/>
      <c r="R1716" s="70"/>
      <c r="S1716" s="89"/>
      <c r="Y1716" s="12" t="s">
        <v>3132</v>
      </c>
      <c r="Z1716" s="71">
        <f>ROUND(R1716*'Data-CostAssumptions'!$C$8,-3)</f>
        <v>0</v>
      </c>
      <c r="AA1716" s="11">
        <f t="shared" si="55"/>
        <v>0</v>
      </c>
      <c r="AB1716" s="11">
        <v>2041</v>
      </c>
      <c r="AC1716" s="11">
        <v>2041</v>
      </c>
      <c r="AD1716" s="11">
        <v>2041</v>
      </c>
      <c r="AE1716" s="11">
        <v>2041</v>
      </c>
      <c r="AF1716" s="11">
        <v>0</v>
      </c>
      <c r="AG1716" s="19">
        <f>ROUND((Z1716*'Data-CostAssumptions'!$G$5)*(1+'Data-CostAssumptions'!$G$3)^(AC1716-'Data-CostAssumptions'!$G$4),-3)</f>
        <v>0</v>
      </c>
      <c r="AH1716" s="19">
        <f>ROUND((Z1716)*(1+'Data-CostAssumptions'!$G$3)^(AE1716-'Data-CostAssumptions'!$G$4),-3)</f>
        <v>0</v>
      </c>
    </row>
    <row r="1717" spans="1:39" ht="15" customHeight="1" x14ac:dyDescent="0.2">
      <c r="A1717" s="89"/>
      <c r="B1717" s="66" t="s">
        <v>1211</v>
      </c>
      <c r="C1717" s="89"/>
      <c r="D1717" s="86" t="s">
        <v>276</v>
      </c>
      <c r="E1717" s="122" t="s">
        <v>1466</v>
      </c>
      <c r="F1717" s="122"/>
      <c r="G1717" s="20">
        <v>1720</v>
      </c>
      <c r="H1717" s="67" t="s">
        <v>2999</v>
      </c>
      <c r="I1717" s="67" t="str">
        <f t="shared" si="57"/>
        <v>Wave Streetcar Expansion (SE 17TH ST to AIRPORT)</v>
      </c>
      <c r="J1717" s="89" t="s">
        <v>347</v>
      </c>
      <c r="K1717" s="67" t="str">
        <f>VLOOKUP(J1717,'Data-ProjectTypes'!A$3:B$13,2,FALSE)</f>
        <v>Project</v>
      </c>
      <c r="L1717" s="89" t="s">
        <v>1627</v>
      </c>
      <c r="M1717" s="123" t="s">
        <v>1245</v>
      </c>
      <c r="N1717" s="89" t="s">
        <v>1671</v>
      </c>
      <c r="O1717" s="89"/>
      <c r="P1717" s="89"/>
      <c r="Q1717" s="124">
        <v>2.8</v>
      </c>
      <c r="R1717" s="70">
        <v>98000000</v>
      </c>
      <c r="S1717" s="128"/>
      <c r="Z1717" s="71">
        <f>ROUND(R1717*'Data-CostAssumptions'!$C$8,-3)</f>
        <v>98000000</v>
      </c>
      <c r="AA1717" s="11">
        <f t="shared" si="55"/>
        <v>0</v>
      </c>
      <c r="AB1717" s="11">
        <v>2041</v>
      </c>
      <c r="AC1717" s="11">
        <v>2041</v>
      </c>
      <c r="AD1717" s="11">
        <v>2041</v>
      </c>
      <c r="AE1717" s="11">
        <v>2041</v>
      </c>
      <c r="AF1717" s="11">
        <v>0</v>
      </c>
      <c r="AG1717" s="19">
        <f>ROUND((Z1717*'Data-CostAssumptions'!$G$5)*(1+'Data-CostAssumptions'!$G$3)^(AC1717-'Data-CostAssumptions'!$G$4),-3)</f>
        <v>55279000</v>
      </c>
      <c r="AH1717" s="19">
        <f>ROUND((Z1717)*(1+'Data-CostAssumptions'!$G$3)^(AE1717-'Data-CostAssumptions'!$G$4),-3)</f>
        <v>251267000</v>
      </c>
    </row>
    <row r="1718" spans="1:39" ht="15" customHeight="1" x14ac:dyDescent="0.2">
      <c r="A1718" s="89"/>
      <c r="B1718" s="66" t="s">
        <v>1211</v>
      </c>
      <c r="C1718" s="89"/>
      <c r="D1718" s="86" t="s">
        <v>276</v>
      </c>
      <c r="E1718" s="122" t="s">
        <v>1469</v>
      </c>
      <c r="F1718" s="122"/>
      <c r="G1718" s="20">
        <v>1721</v>
      </c>
      <c r="H1718" s="67" t="s">
        <v>2999</v>
      </c>
      <c r="I1718" s="67" t="str">
        <f t="shared" si="57"/>
        <v>Wave Streetcar Expansion (Andrews Ave to SE 1ST Av)</v>
      </c>
      <c r="J1718" s="89" t="s">
        <v>347</v>
      </c>
      <c r="K1718" s="67" t="str">
        <f>VLOOKUP(J1718,'Data-ProjectTypes'!A$3:B$13,2,FALSE)</f>
        <v>Project</v>
      </c>
      <c r="L1718" s="89" t="s">
        <v>1630</v>
      </c>
      <c r="M1718" s="123" t="s">
        <v>2992</v>
      </c>
      <c r="N1718" s="89" t="s">
        <v>2643</v>
      </c>
      <c r="O1718" s="89"/>
      <c r="P1718" s="89"/>
      <c r="Q1718" s="124">
        <v>1</v>
      </c>
      <c r="R1718" s="70">
        <f>+Q1718*37500000</f>
        <v>37500000</v>
      </c>
      <c r="S1718" s="89"/>
      <c r="Z1718" s="71">
        <f>ROUND(R1718*'Data-CostAssumptions'!$C$8,-3)</f>
        <v>37500000</v>
      </c>
      <c r="AA1718" s="11">
        <f t="shared" si="55"/>
        <v>0</v>
      </c>
      <c r="AB1718" s="11">
        <v>2041</v>
      </c>
      <c r="AC1718" s="11">
        <v>2041</v>
      </c>
      <c r="AD1718" s="11">
        <v>2041</v>
      </c>
      <c r="AE1718" s="11">
        <v>2041</v>
      </c>
      <c r="AF1718" s="11">
        <v>0</v>
      </c>
      <c r="AG1718" s="19">
        <f>ROUND((Z1718*'Data-CostAssumptions'!$G$5)*(1+'Data-CostAssumptions'!$G$3)^(AC1718-'Data-CostAssumptions'!$G$4),-3)</f>
        <v>21153000</v>
      </c>
      <c r="AH1718" s="19">
        <f>ROUND((Z1718)*(1+'Data-CostAssumptions'!$G$3)^(AE1718-'Data-CostAssumptions'!$G$4),-3)</f>
        <v>96148000</v>
      </c>
    </row>
    <row r="1719" spans="1:39" ht="15" customHeight="1" x14ac:dyDescent="0.2">
      <c r="A1719" s="89"/>
      <c r="B1719" s="66" t="s">
        <v>1213</v>
      </c>
      <c r="C1719" s="89"/>
      <c r="D1719" s="86" t="s">
        <v>276</v>
      </c>
      <c r="E1719" s="122" t="s">
        <v>1465</v>
      </c>
      <c r="F1719" s="122"/>
      <c r="G1719" s="20">
        <v>1722</v>
      </c>
      <c r="H1719" s="67" t="s">
        <v>2999</v>
      </c>
      <c r="I1719" s="67" t="str">
        <f t="shared" si="57"/>
        <v>Wave Streetcar Expansion (MULTIPLE to MULTIPLE)</v>
      </c>
      <c r="J1719" s="89" t="s">
        <v>347</v>
      </c>
      <c r="K1719" s="67" t="str">
        <f>VLOOKUP(J1719,'Data-ProjectTypes'!A$3:B$13,2,FALSE)</f>
        <v>Project</v>
      </c>
      <c r="L1719" s="89" t="s">
        <v>1626</v>
      </c>
      <c r="M1719" s="123" t="s">
        <v>1670</v>
      </c>
      <c r="N1719" s="89" t="s">
        <v>1670</v>
      </c>
      <c r="O1719" s="89"/>
      <c r="P1719" s="89"/>
      <c r="Q1719" s="124"/>
      <c r="R1719" s="70">
        <v>60000000</v>
      </c>
      <c r="S1719" s="89"/>
      <c r="Y1719" s="89" t="s">
        <v>2810</v>
      </c>
      <c r="Z1719" s="71">
        <f>ROUND(R1719*'Data-CostAssumptions'!$C$8,-3)</f>
        <v>60000000</v>
      </c>
      <c r="AA1719" s="11">
        <f t="shared" si="55"/>
        <v>0</v>
      </c>
      <c r="AB1719" s="11">
        <v>2041</v>
      </c>
      <c r="AC1719" s="11">
        <v>2041</v>
      </c>
      <c r="AD1719" s="11">
        <v>2041</v>
      </c>
      <c r="AE1719" s="11">
        <v>2041</v>
      </c>
      <c r="AF1719" s="11">
        <v>0</v>
      </c>
      <c r="AG1719" s="19">
        <f>ROUND((Z1719*'Data-CostAssumptions'!$G$5)*(1+'Data-CostAssumptions'!$G$3)^(AC1719-'Data-CostAssumptions'!$G$4),-3)</f>
        <v>33844000</v>
      </c>
      <c r="AH1719" s="19">
        <f>ROUND((Z1719)*(1+'Data-CostAssumptions'!$G$3)^(AE1719-'Data-CostAssumptions'!$G$4),-3)</f>
        <v>153837000</v>
      </c>
    </row>
    <row r="1720" spans="1:39" ht="15" customHeight="1" x14ac:dyDescent="0.2">
      <c r="A1720" s="117"/>
      <c r="B1720" s="109" t="s">
        <v>1211</v>
      </c>
      <c r="C1720" s="117"/>
      <c r="D1720" s="129" t="s">
        <v>276</v>
      </c>
      <c r="E1720" s="110"/>
      <c r="F1720" s="130">
        <v>432</v>
      </c>
      <c r="G1720" s="20">
        <v>1723</v>
      </c>
      <c r="H1720" s="131" t="s">
        <v>3038</v>
      </c>
      <c r="I1720" s="131" t="s">
        <v>3040</v>
      </c>
      <c r="J1720" s="132" t="s">
        <v>347</v>
      </c>
      <c r="K1720" s="109" t="s">
        <v>1208</v>
      </c>
      <c r="L1720" s="131" t="s">
        <v>3042</v>
      </c>
      <c r="M1720" s="131" t="s">
        <v>3040</v>
      </c>
      <c r="N1720" s="117"/>
      <c r="Q1720" s="133"/>
      <c r="R1720" s="134">
        <v>56948</v>
      </c>
      <c r="S1720" s="117"/>
      <c r="Y1720" s="117"/>
      <c r="Z1720" s="135">
        <f>ROUND(R1720*'Data-CostAssumptions'!$C$8,-3)</f>
        <v>57000</v>
      </c>
      <c r="AA1720" s="11">
        <f t="shared" si="55"/>
        <v>0</v>
      </c>
      <c r="AB1720" s="11">
        <v>2041</v>
      </c>
      <c r="AC1720" s="11">
        <v>2041</v>
      </c>
      <c r="AD1720" s="11">
        <v>2041</v>
      </c>
      <c r="AE1720" s="11">
        <v>2041</v>
      </c>
      <c r="AF1720" s="11">
        <v>0</v>
      </c>
      <c r="AG1720" s="19">
        <f>ROUND((Z1720*'Data-CostAssumptions'!$G$5)*(1+'Data-CostAssumptions'!$G$3)^(AC1720-'Data-CostAssumptions'!$G$4),-3)</f>
        <v>32000</v>
      </c>
      <c r="AH1720" s="19">
        <f>ROUND((Z1720)*(1+'Data-CostAssumptions'!$G$3)^(AE1720-'Data-CostAssumptions'!$G$4),-3)</f>
        <v>146000</v>
      </c>
      <c r="AI1720" s="34"/>
      <c r="AJ1720" s="34"/>
      <c r="AK1720" s="34"/>
      <c r="AL1720" s="34"/>
      <c r="AM1720" s="34"/>
    </row>
    <row r="1721" spans="1:39" ht="15" customHeight="1" x14ac:dyDescent="0.2">
      <c r="A1721" s="117"/>
      <c r="B1721" s="109" t="s">
        <v>1211</v>
      </c>
      <c r="C1721" s="117"/>
      <c r="D1721" s="129" t="s">
        <v>276</v>
      </c>
      <c r="E1721" s="110"/>
      <c r="F1721" s="130">
        <v>433</v>
      </c>
      <c r="G1721" s="20">
        <v>1724</v>
      </c>
      <c r="H1721" s="131" t="s">
        <v>3039</v>
      </c>
      <c r="I1721" s="131" t="s">
        <v>3040</v>
      </c>
      <c r="J1721" s="132" t="s">
        <v>347</v>
      </c>
      <c r="K1721" s="109" t="s">
        <v>1208</v>
      </c>
      <c r="L1721" s="131" t="s">
        <v>3042</v>
      </c>
      <c r="M1721" s="131" t="s">
        <v>3040</v>
      </c>
      <c r="N1721" s="117"/>
      <c r="Q1721" s="133"/>
      <c r="R1721" s="134">
        <v>1930844</v>
      </c>
      <c r="S1721" s="117"/>
      <c r="Y1721" s="117"/>
      <c r="Z1721" s="135">
        <f>ROUND(R1721*'Data-CostAssumptions'!$C$8,-3)</f>
        <v>1931000</v>
      </c>
      <c r="AA1721" s="11">
        <f t="shared" si="55"/>
        <v>0</v>
      </c>
      <c r="AB1721" s="11">
        <v>2041</v>
      </c>
      <c r="AC1721" s="11">
        <v>2041</v>
      </c>
      <c r="AD1721" s="11">
        <v>2041</v>
      </c>
      <c r="AE1721" s="11">
        <v>2041</v>
      </c>
      <c r="AF1721" s="11">
        <v>0</v>
      </c>
      <c r="AG1721" s="19">
        <f>ROUND((Z1721*'Data-CostAssumptions'!$G$5)*(1+'Data-CostAssumptions'!$G$3)^(AC1721-'Data-CostAssumptions'!$G$4),-3)</f>
        <v>1089000</v>
      </c>
      <c r="AH1721" s="19">
        <f>ROUND((Z1721)*(1+'Data-CostAssumptions'!$G$3)^(AE1721-'Data-CostAssumptions'!$G$4),-3)</f>
        <v>4951000</v>
      </c>
      <c r="AI1721" s="34"/>
      <c r="AJ1721" s="34"/>
      <c r="AK1721" s="34"/>
      <c r="AL1721" s="34"/>
      <c r="AM1721" s="34"/>
    </row>
    <row r="1722" spans="1:39" ht="15" customHeight="1" x14ac:dyDescent="0.2">
      <c r="A1722" s="117"/>
      <c r="B1722" s="109" t="s">
        <v>1211</v>
      </c>
      <c r="C1722" s="117"/>
      <c r="D1722" s="129" t="s">
        <v>276</v>
      </c>
      <c r="E1722" s="110"/>
      <c r="F1722" s="130">
        <v>434</v>
      </c>
      <c r="G1722" s="20">
        <v>1725</v>
      </c>
      <c r="H1722" s="131" t="s">
        <v>3038</v>
      </c>
      <c r="I1722" s="131" t="s">
        <v>3041</v>
      </c>
      <c r="J1722" s="132" t="s">
        <v>347</v>
      </c>
      <c r="K1722" s="109" t="s">
        <v>1208</v>
      </c>
      <c r="L1722" s="131" t="s">
        <v>3042</v>
      </c>
      <c r="M1722" s="131" t="s">
        <v>3041</v>
      </c>
      <c r="N1722" s="117"/>
      <c r="Q1722" s="133"/>
      <c r="R1722" s="134">
        <v>56948</v>
      </c>
      <c r="S1722" s="117"/>
      <c r="Y1722" s="117"/>
      <c r="Z1722" s="135">
        <f>ROUND(R1722*'Data-CostAssumptions'!$C$8,-3)</f>
        <v>57000</v>
      </c>
      <c r="AA1722" s="11">
        <f t="shared" si="55"/>
        <v>0</v>
      </c>
      <c r="AB1722" s="11">
        <v>2041</v>
      </c>
      <c r="AC1722" s="11">
        <v>2041</v>
      </c>
      <c r="AD1722" s="11">
        <v>2041</v>
      </c>
      <c r="AE1722" s="11">
        <v>2041</v>
      </c>
      <c r="AF1722" s="11">
        <v>0</v>
      </c>
      <c r="AG1722" s="19">
        <f>ROUND((Z1722*'Data-CostAssumptions'!$G$5)*(1+'Data-CostAssumptions'!$G$3)^(AC1722-'Data-CostAssumptions'!$G$4),-3)</f>
        <v>32000</v>
      </c>
      <c r="AH1722" s="19">
        <f>ROUND((Z1722)*(1+'Data-CostAssumptions'!$G$3)^(AE1722-'Data-CostAssumptions'!$G$4),-3)</f>
        <v>146000</v>
      </c>
      <c r="AI1722" s="34"/>
      <c r="AJ1722" s="34"/>
      <c r="AK1722" s="34"/>
      <c r="AL1722" s="34"/>
      <c r="AM1722" s="34"/>
    </row>
    <row r="1723" spans="1:39" ht="15" customHeight="1" x14ac:dyDescent="0.2">
      <c r="A1723" s="117"/>
      <c r="B1723" s="109" t="s">
        <v>1211</v>
      </c>
      <c r="C1723" s="117"/>
      <c r="D1723" s="129" t="s">
        <v>276</v>
      </c>
      <c r="E1723" s="110"/>
      <c r="F1723" s="110">
        <v>602</v>
      </c>
      <c r="G1723" s="20">
        <v>1726</v>
      </c>
      <c r="H1723" s="112" t="s">
        <v>3043</v>
      </c>
      <c r="I1723" s="112" t="s">
        <v>98</v>
      </c>
      <c r="J1723" s="132" t="s">
        <v>347</v>
      </c>
      <c r="K1723" s="109" t="s">
        <v>1208</v>
      </c>
      <c r="L1723" s="112" t="s">
        <v>3044</v>
      </c>
      <c r="M1723" s="112" t="s">
        <v>98</v>
      </c>
      <c r="N1723" s="113" t="s">
        <v>98</v>
      </c>
      <c r="Q1723" s="133"/>
      <c r="R1723" s="136">
        <v>750000</v>
      </c>
      <c r="S1723" s="117"/>
      <c r="Y1723" s="117"/>
      <c r="Z1723" s="135">
        <f>ROUND(R1723*'Data-CostAssumptions'!$C$8,-3)</f>
        <v>750000</v>
      </c>
      <c r="AA1723" s="11">
        <f t="shared" si="55"/>
        <v>0</v>
      </c>
      <c r="AB1723" s="11">
        <v>2041</v>
      </c>
      <c r="AC1723" s="11">
        <v>2041</v>
      </c>
      <c r="AD1723" s="11">
        <v>2041</v>
      </c>
      <c r="AE1723" s="11">
        <v>2041</v>
      </c>
      <c r="AF1723" s="11">
        <v>0</v>
      </c>
      <c r="AG1723" s="19">
        <f>ROUND((Z1723*'Data-CostAssumptions'!$G$5)*(1+'Data-CostAssumptions'!$G$3)^(AC1723-'Data-CostAssumptions'!$G$4),-3)</f>
        <v>423000</v>
      </c>
      <c r="AH1723" s="19">
        <f>ROUND((Z1723)*(1+'Data-CostAssumptions'!$G$3)^(AE1723-'Data-CostAssumptions'!$G$4),-3)</f>
        <v>1923000</v>
      </c>
      <c r="AI1723" s="34"/>
      <c r="AJ1723" s="34"/>
      <c r="AK1723" s="34"/>
      <c r="AL1723" s="34"/>
      <c r="AM1723" s="34"/>
    </row>
    <row r="1724" spans="1:39" ht="15" customHeight="1" x14ac:dyDescent="0.2">
      <c r="A1724" s="27"/>
      <c r="B1724" s="109" t="s">
        <v>1211</v>
      </c>
      <c r="C1724" s="27"/>
      <c r="D1724" s="27" t="s">
        <v>3086</v>
      </c>
      <c r="E1724" s="137"/>
      <c r="F1724" s="137"/>
      <c r="G1724" s="20">
        <v>1727</v>
      </c>
      <c r="H1724" s="78" t="s">
        <v>425</v>
      </c>
      <c r="I1724" s="78" t="s">
        <v>3046</v>
      </c>
      <c r="J1724" s="132" t="s">
        <v>347</v>
      </c>
      <c r="K1724" s="109" t="s">
        <v>1208</v>
      </c>
      <c r="L1724" s="27" t="s">
        <v>3048</v>
      </c>
      <c r="M1724" s="138" t="s">
        <v>205</v>
      </c>
      <c r="N1724" s="27" t="s">
        <v>3047</v>
      </c>
      <c r="Q1724" s="139"/>
      <c r="R1724" s="140">
        <v>3750000</v>
      </c>
      <c r="S1724" s="27"/>
      <c r="Y1724" s="27"/>
      <c r="Z1724" s="135">
        <f>ROUND(R1724*'Data-CostAssumptions'!$C$8,-3)</f>
        <v>3750000</v>
      </c>
      <c r="AA1724" s="11">
        <f t="shared" si="55"/>
        <v>0</v>
      </c>
      <c r="AB1724" s="11">
        <v>2041</v>
      </c>
      <c r="AC1724" s="11">
        <v>2041</v>
      </c>
      <c r="AD1724" s="11">
        <v>2041</v>
      </c>
      <c r="AE1724" s="11">
        <v>2041</v>
      </c>
      <c r="AF1724" s="11">
        <v>0</v>
      </c>
      <c r="AG1724" s="19">
        <f>ROUND((Z1724*'Data-CostAssumptions'!$G$5)*(1+'Data-CostAssumptions'!$G$3)^(AC1724-'Data-CostAssumptions'!$G$4),-3)</f>
        <v>2115000</v>
      </c>
      <c r="AH1724" s="19">
        <f>ROUND((Z1724)*(1+'Data-CostAssumptions'!$G$3)^(AE1724-'Data-CostAssumptions'!$G$4),-3)</f>
        <v>9615000</v>
      </c>
    </row>
    <row r="1725" spans="1:39" ht="15" customHeight="1" x14ac:dyDescent="0.2">
      <c r="A1725" s="27"/>
      <c r="B1725" s="109" t="s">
        <v>1211</v>
      </c>
      <c r="C1725" s="27"/>
      <c r="D1725" s="27" t="s">
        <v>3086</v>
      </c>
      <c r="E1725" s="137"/>
      <c r="F1725" s="137"/>
      <c r="G1725" s="20">
        <v>1728</v>
      </c>
      <c r="H1725" s="78" t="s">
        <v>425</v>
      </c>
      <c r="I1725" s="78" t="s">
        <v>3046</v>
      </c>
      <c r="J1725" s="132" t="s">
        <v>347</v>
      </c>
      <c r="K1725" s="109" t="s">
        <v>1208</v>
      </c>
      <c r="L1725" s="27" t="s">
        <v>3049</v>
      </c>
      <c r="M1725" s="138" t="s">
        <v>205</v>
      </c>
      <c r="N1725" s="27" t="s">
        <v>3047</v>
      </c>
      <c r="Q1725" s="139"/>
      <c r="R1725" s="140">
        <v>5000000</v>
      </c>
      <c r="S1725" s="27"/>
      <c r="Y1725" s="27"/>
      <c r="Z1725" s="135">
        <f>ROUND(R1725*'Data-CostAssumptions'!$C$8,-3)</f>
        <v>5000000</v>
      </c>
      <c r="AA1725" s="11">
        <f t="shared" si="55"/>
        <v>0</v>
      </c>
      <c r="AB1725" s="11">
        <v>2041</v>
      </c>
      <c r="AC1725" s="11">
        <v>2041</v>
      </c>
      <c r="AD1725" s="11">
        <v>2041</v>
      </c>
      <c r="AE1725" s="11">
        <v>2041</v>
      </c>
      <c r="AF1725" s="11">
        <v>0</v>
      </c>
      <c r="AG1725" s="19">
        <f>ROUND((Z1725*'Data-CostAssumptions'!$G$5)*(1+'Data-CostAssumptions'!$G$3)^(AC1725-'Data-CostAssumptions'!$G$4),-3)</f>
        <v>2820000</v>
      </c>
      <c r="AH1725" s="19">
        <f>ROUND((Z1725)*(1+'Data-CostAssumptions'!$G$3)^(AE1725-'Data-CostAssumptions'!$G$4),-3)</f>
        <v>12820000</v>
      </c>
    </row>
    <row r="1726" spans="1:39" ht="15" customHeight="1" x14ac:dyDescent="0.2">
      <c r="A1726" s="11"/>
      <c r="B1726" s="11" t="s">
        <v>1211</v>
      </c>
      <c r="C1726" s="11">
        <v>12204</v>
      </c>
      <c r="D1726" s="84" t="s">
        <v>297</v>
      </c>
      <c r="E1726" s="14"/>
      <c r="F1726" s="14"/>
      <c r="G1726" s="20">
        <v>1729</v>
      </c>
      <c r="H1726" s="13" t="s">
        <v>1946</v>
      </c>
      <c r="I1726" s="13" t="str">
        <f t="shared" ref="I1726:I1757" si="58">IF(M1726="@",H1726&amp;" ("&amp;M1726&amp;"  "&amp;N1726&amp;")",H1726&amp;" ("&amp;M1726&amp;" to "&amp;N1726&amp;")")</f>
        <v>SE 3rd St Corridor Bypass (US 1 to Dixie Hwy)</v>
      </c>
      <c r="J1726" s="11" t="s">
        <v>27</v>
      </c>
      <c r="K1726" s="13" t="str">
        <f>VLOOKUP(J1726,'Data-ProjectTypes'!A$3:B$13,2,FALSE)</f>
        <v>Program</v>
      </c>
      <c r="L1726" s="85" t="s">
        <v>523</v>
      </c>
      <c r="M1726" s="11" t="s">
        <v>98</v>
      </c>
      <c r="N1726" s="11" t="s">
        <v>728</v>
      </c>
      <c r="O1726" s="11"/>
      <c r="P1726" s="11"/>
      <c r="Q1726" s="15">
        <v>0.4</v>
      </c>
      <c r="R1726" s="16">
        <v>825000</v>
      </c>
      <c r="S1726" s="11"/>
      <c r="T1726" s="11"/>
      <c r="U1726" s="11"/>
      <c r="V1726" s="85" t="s">
        <v>533</v>
      </c>
      <c r="W1726" s="11"/>
      <c r="X1726" s="11"/>
      <c r="Z1726" s="18">
        <f>ROUND(R1726*'Data-CostAssumptions'!$C$9,-3)</f>
        <v>825000</v>
      </c>
      <c r="AA1726" s="11">
        <f t="shared" si="55"/>
        <v>1</v>
      </c>
      <c r="AB1726" s="11">
        <v>2041</v>
      </c>
      <c r="AC1726" s="11">
        <v>2041</v>
      </c>
      <c r="AD1726" s="11">
        <v>2041</v>
      </c>
      <c r="AE1726" s="11">
        <v>2041</v>
      </c>
      <c r="AF1726" s="11">
        <v>0</v>
      </c>
      <c r="AG1726" s="19">
        <f>ROUND((Z1726*'Data-CostAssumptions'!$G$5)*(1+'Data-CostAssumptions'!$G$3)^(AC1726-'Data-CostAssumptions'!$G$4),-3)</f>
        <v>465000</v>
      </c>
      <c r="AH1726" s="19">
        <f>ROUND((Z1726)*(1+'Data-CostAssumptions'!$G$3)^(AE1726-'Data-CostAssumptions'!$G$4),-3)</f>
        <v>2115000</v>
      </c>
    </row>
    <row r="1727" spans="1:39" ht="15" customHeight="1" x14ac:dyDescent="0.2">
      <c r="A1727" s="11"/>
      <c r="B1727" s="11" t="s">
        <v>1211</v>
      </c>
      <c r="C1727" s="11">
        <v>12205</v>
      </c>
      <c r="D1727" s="84" t="s">
        <v>297</v>
      </c>
      <c r="E1727" s="14"/>
      <c r="F1727" s="14"/>
      <c r="G1727" s="20">
        <v>1730</v>
      </c>
      <c r="H1727" s="13" t="s">
        <v>1947</v>
      </c>
      <c r="I1727" s="13" t="str">
        <f t="shared" si="58"/>
        <v>SE 5th St Corridor (US 1 to Dixie Hwy)</v>
      </c>
      <c r="J1727" s="11" t="s">
        <v>27</v>
      </c>
      <c r="K1727" s="13" t="str">
        <f>VLOOKUP(J1727,'Data-ProjectTypes'!A$3:B$13,2,FALSE)</f>
        <v>Program</v>
      </c>
      <c r="L1727" s="85" t="s">
        <v>523</v>
      </c>
      <c r="M1727" s="11" t="s">
        <v>98</v>
      </c>
      <c r="N1727" s="11" t="s">
        <v>728</v>
      </c>
      <c r="O1727" s="11"/>
      <c r="P1727" s="11"/>
      <c r="Q1727" s="15">
        <v>0.4</v>
      </c>
      <c r="R1727" s="16">
        <v>825000</v>
      </c>
      <c r="S1727" s="11"/>
      <c r="T1727" s="11"/>
      <c r="U1727" s="11"/>
      <c r="V1727" s="85" t="s">
        <v>534</v>
      </c>
      <c r="W1727" s="11"/>
      <c r="X1727" s="11"/>
      <c r="Z1727" s="18">
        <f>ROUND(R1727*'Data-CostAssumptions'!$C$9,-3)</f>
        <v>825000</v>
      </c>
      <c r="AA1727" s="11">
        <f t="shared" ref="AA1727:AA1790" si="59">IF(V1727="",IF(W1727="",0,1),1)</f>
        <v>1</v>
      </c>
      <c r="AB1727" s="11">
        <v>2041</v>
      </c>
      <c r="AC1727" s="11">
        <v>2041</v>
      </c>
      <c r="AD1727" s="11">
        <v>2041</v>
      </c>
      <c r="AE1727" s="11">
        <v>2041</v>
      </c>
      <c r="AF1727" s="11">
        <v>0</v>
      </c>
      <c r="AG1727" s="19">
        <f>ROUND((Z1727*'Data-CostAssumptions'!$G$5)*(1+'Data-CostAssumptions'!$G$3)^(AC1727-'Data-CostAssumptions'!$G$4),-3)</f>
        <v>465000</v>
      </c>
      <c r="AH1727" s="19">
        <f>ROUND((Z1727)*(1+'Data-CostAssumptions'!$G$3)^(AE1727-'Data-CostAssumptions'!$G$4),-3)</f>
        <v>2115000</v>
      </c>
    </row>
    <row r="1728" spans="1:39" ht="15" customHeight="1" x14ac:dyDescent="0.2">
      <c r="A1728" s="11"/>
      <c r="B1728" s="11" t="s">
        <v>1211</v>
      </c>
      <c r="C1728" s="11">
        <v>12206</v>
      </c>
      <c r="D1728" s="84" t="s">
        <v>297</v>
      </c>
      <c r="E1728" s="14"/>
      <c r="F1728" s="14"/>
      <c r="G1728" s="20">
        <v>1731</v>
      </c>
      <c r="H1728" s="13" t="s">
        <v>1949</v>
      </c>
      <c r="I1728" s="13" t="str">
        <f t="shared" si="58"/>
        <v>SE 7th St Corridor (US 1 to Dixie Hwy)</v>
      </c>
      <c r="J1728" s="11" t="s">
        <v>27</v>
      </c>
      <c r="K1728" s="13" t="str">
        <f>VLOOKUP(J1728,'Data-ProjectTypes'!A$3:B$13,2,FALSE)</f>
        <v>Program</v>
      </c>
      <c r="L1728" s="85" t="s">
        <v>523</v>
      </c>
      <c r="M1728" s="11" t="s">
        <v>98</v>
      </c>
      <c r="N1728" s="11" t="s">
        <v>728</v>
      </c>
      <c r="O1728" s="11"/>
      <c r="P1728" s="11"/>
      <c r="Q1728" s="15">
        <v>0.4</v>
      </c>
      <c r="R1728" s="16">
        <v>825000</v>
      </c>
      <c r="S1728" s="11"/>
      <c r="T1728" s="11"/>
      <c r="U1728" s="11"/>
      <c r="V1728" s="85" t="s">
        <v>534</v>
      </c>
      <c r="W1728" s="11"/>
      <c r="X1728" s="11"/>
      <c r="Z1728" s="18">
        <f>ROUND(R1728*'Data-CostAssumptions'!$C$9,-3)</f>
        <v>825000</v>
      </c>
      <c r="AA1728" s="11">
        <f t="shared" si="59"/>
        <v>1</v>
      </c>
      <c r="AB1728" s="11">
        <v>2041</v>
      </c>
      <c r="AC1728" s="11">
        <v>2041</v>
      </c>
      <c r="AD1728" s="11">
        <v>2041</v>
      </c>
      <c r="AE1728" s="11">
        <v>2041</v>
      </c>
      <c r="AF1728" s="11">
        <v>0</v>
      </c>
      <c r="AG1728" s="19">
        <f>ROUND((Z1728*'Data-CostAssumptions'!$G$5)*(1+'Data-CostAssumptions'!$G$3)^(AC1728-'Data-CostAssumptions'!$G$4),-3)</f>
        <v>465000</v>
      </c>
      <c r="AH1728" s="19">
        <f>ROUND((Z1728)*(1+'Data-CostAssumptions'!$G$3)^(AE1728-'Data-CostAssumptions'!$G$4),-3)</f>
        <v>2115000</v>
      </c>
    </row>
    <row r="1729" spans="1:34" ht="15" customHeight="1" x14ac:dyDescent="0.2">
      <c r="A1729" s="11"/>
      <c r="B1729" s="11" t="s">
        <v>1211</v>
      </c>
      <c r="C1729" s="11">
        <v>12200</v>
      </c>
      <c r="D1729" s="84" t="s">
        <v>297</v>
      </c>
      <c r="E1729" s="14"/>
      <c r="F1729" s="14"/>
      <c r="G1729" s="20">
        <v>1732</v>
      </c>
      <c r="H1729" s="13" t="s">
        <v>2692</v>
      </c>
      <c r="I1729" s="13" t="str">
        <f t="shared" si="58"/>
        <v>Grade Separation at Hallandale Beach and Dixie Hwy (SW 2nd Av to SE 3rd Av)</v>
      </c>
      <c r="J1729" s="11" t="s">
        <v>300</v>
      </c>
      <c r="K1729" s="13" t="str">
        <f>VLOOKUP(J1729,'Data-ProjectTypes'!A$3:B$13,2,FALSE)</f>
        <v>Project</v>
      </c>
      <c r="L1729" s="85" t="s">
        <v>520</v>
      </c>
      <c r="M1729" s="11" t="s">
        <v>2118</v>
      </c>
      <c r="N1729" s="11" t="s">
        <v>2093</v>
      </c>
      <c r="O1729" s="11"/>
      <c r="P1729" s="11"/>
      <c r="Q1729" s="15">
        <v>0.3</v>
      </c>
      <c r="R1729" s="16">
        <v>50400000</v>
      </c>
      <c r="S1729" s="11"/>
      <c r="T1729" s="11"/>
      <c r="U1729" s="11"/>
      <c r="V1729" s="85" t="s">
        <v>529</v>
      </c>
      <c r="W1729" s="11"/>
      <c r="X1729" s="38"/>
      <c r="Z1729" s="18">
        <f>ROUND(R1729*'Data-CostAssumptions'!$C$9,-3)</f>
        <v>50400000</v>
      </c>
      <c r="AA1729" s="11">
        <f t="shared" si="59"/>
        <v>1</v>
      </c>
      <c r="AB1729" s="11">
        <v>2041</v>
      </c>
      <c r="AC1729" s="11">
        <v>2041</v>
      </c>
      <c r="AD1729" s="11">
        <v>2041</v>
      </c>
      <c r="AE1729" s="11">
        <v>2041</v>
      </c>
      <c r="AF1729" s="11">
        <v>0</v>
      </c>
      <c r="AG1729" s="19">
        <f>ROUND((Z1729*'Data-CostAssumptions'!$G$5)*(1+'Data-CostAssumptions'!$G$3)^(AC1729-'Data-CostAssumptions'!$G$4),-3)</f>
        <v>28429000</v>
      </c>
      <c r="AH1729" s="19">
        <f>ROUND((Z1729)*(1+'Data-CostAssumptions'!$G$3)^(AE1729-'Data-CostAssumptions'!$G$4),-3)</f>
        <v>129223000</v>
      </c>
    </row>
    <row r="1730" spans="1:34" ht="15" customHeight="1" x14ac:dyDescent="0.2">
      <c r="A1730" s="11"/>
      <c r="B1730" s="11" t="s">
        <v>1211</v>
      </c>
      <c r="C1730" s="11">
        <v>12201</v>
      </c>
      <c r="D1730" s="84" t="s">
        <v>297</v>
      </c>
      <c r="E1730" s="14"/>
      <c r="F1730" s="14"/>
      <c r="G1730" s="20">
        <v>1733</v>
      </c>
      <c r="H1730" s="13" t="s">
        <v>1944</v>
      </c>
      <c r="I1730" s="13" t="str">
        <f t="shared" si="58"/>
        <v>SE 2nd St Extension (Layne Bl. to US 1)</v>
      </c>
      <c r="J1730" s="11" t="s">
        <v>300</v>
      </c>
      <c r="K1730" s="13" t="str">
        <f>VLOOKUP(J1730,'Data-ProjectTypes'!A$3:B$13,2,FALSE)</f>
        <v>Project</v>
      </c>
      <c r="L1730" s="85" t="s">
        <v>521</v>
      </c>
      <c r="M1730" s="11" t="s">
        <v>2318</v>
      </c>
      <c r="N1730" s="11" t="s">
        <v>98</v>
      </c>
      <c r="O1730" s="11"/>
      <c r="P1730" s="11"/>
      <c r="Q1730" s="15">
        <v>0.75</v>
      </c>
      <c r="R1730" s="16">
        <v>22000000</v>
      </c>
      <c r="S1730" s="11"/>
      <c r="T1730" s="11"/>
      <c r="U1730" s="11"/>
      <c r="V1730" s="85" t="s">
        <v>530</v>
      </c>
      <c r="W1730" s="11"/>
      <c r="X1730" s="11"/>
      <c r="Z1730" s="18">
        <f>ROUND(R1730*'Data-CostAssumptions'!$C$9,-3)</f>
        <v>22000000</v>
      </c>
      <c r="AA1730" s="11">
        <f t="shared" si="59"/>
        <v>1</v>
      </c>
      <c r="AB1730" s="11">
        <v>2041</v>
      </c>
      <c r="AC1730" s="11">
        <v>2041</v>
      </c>
      <c r="AD1730" s="11">
        <v>2041</v>
      </c>
      <c r="AE1730" s="11">
        <v>2041</v>
      </c>
      <c r="AF1730" s="11">
        <v>0</v>
      </c>
      <c r="AG1730" s="19">
        <f>ROUND((Z1730*'Data-CostAssumptions'!$G$5)*(1+'Data-CostAssumptions'!$G$3)^(AC1730-'Data-CostAssumptions'!$G$4),-3)</f>
        <v>12410000</v>
      </c>
      <c r="AH1730" s="19">
        <f>ROUND((Z1730)*(1+'Data-CostAssumptions'!$G$3)^(AE1730-'Data-CostAssumptions'!$G$4),-3)</f>
        <v>56407000</v>
      </c>
    </row>
    <row r="1731" spans="1:34" ht="15" customHeight="1" x14ac:dyDescent="0.2">
      <c r="A1731" s="11"/>
      <c r="B1731" s="11" t="s">
        <v>1211</v>
      </c>
      <c r="C1731" s="11">
        <v>12202</v>
      </c>
      <c r="D1731" s="84" t="s">
        <v>297</v>
      </c>
      <c r="E1731" s="14"/>
      <c r="F1731" s="14"/>
      <c r="G1731" s="20">
        <v>1734</v>
      </c>
      <c r="H1731" s="13" t="s">
        <v>1841</v>
      </c>
      <c r="I1731" s="13" t="str">
        <f t="shared" si="58"/>
        <v>Countyline Rd Link (Dixie Hwy to West Hallandale Beach Bl.)</v>
      </c>
      <c r="J1731" s="11" t="s">
        <v>300</v>
      </c>
      <c r="K1731" s="13" t="str">
        <f>VLOOKUP(J1731,'Data-ProjectTypes'!A$3:B$13,2,FALSE)</f>
        <v>Project</v>
      </c>
      <c r="L1731" s="85" t="s">
        <v>522</v>
      </c>
      <c r="M1731" s="11" t="s">
        <v>728</v>
      </c>
      <c r="N1731" s="11" t="s">
        <v>2294</v>
      </c>
      <c r="O1731" s="11"/>
      <c r="P1731" s="11"/>
      <c r="Q1731" s="15">
        <v>2</v>
      </c>
      <c r="R1731" s="16">
        <v>38080000</v>
      </c>
      <c r="S1731" s="11"/>
      <c r="T1731" s="11"/>
      <c r="U1731" s="11"/>
      <c r="V1731" s="85" t="s">
        <v>531</v>
      </c>
      <c r="W1731" s="11"/>
      <c r="X1731" s="11"/>
      <c r="Z1731" s="18">
        <f>ROUND(R1731*'Data-CostAssumptions'!$C$9,-3)</f>
        <v>38080000</v>
      </c>
      <c r="AA1731" s="11">
        <f t="shared" si="59"/>
        <v>1</v>
      </c>
      <c r="AB1731" s="11">
        <v>2041</v>
      </c>
      <c r="AC1731" s="11">
        <v>2041</v>
      </c>
      <c r="AD1731" s="11">
        <v>2041</v>
      </c>
      <c r="AE1731" s="11">
        <v>2041</v>
      </c>
      <c r="AF1731" s="11">
        <v>0</v>
      </c>
      <c r="AG1731" s="19">
        <f>ROUND((Z1731*'Data-CostAssumptions'!$G$5)*(1+'Data-CostAssumptions'!$G$3)^(AC1731-'Data-CostAssumptions'!$G$4),-3)</f>
        <v>21480000</v>
      </c>
      <c r="AH1731" s="19">
        <f>ROUND((Z1731)*(1+'Data-CostAssumptions'!$G$3)^(AE1731-'Data-CostAssumptions'!$G$4),-3)</f>
        <v>97635000</v>
      </c>
    </row>
    <row r="1732" spans="1:34" ht="15" customHeight="1" x14ac:dyDescent="0.2">
      <c r="A1732" s="66"/>
      <c r="B1732" s="66" t="s">
        <v>1211</v>
      </c>
      <c r="C1732" s="66">
        <v>12203</v>
      </c>
      <c r="D1732" s="86" t="s">
        <v>297</v>
      </c>
      <c r="E1732" s="14"/>
      <c r="F1732" s="14"/>
      <c r="G1732" s="20">
        <v>1735</v>
      </c>
      <c r="H1732" s="67" t="s">
        <v>1818</v>
      </c>
      <c r="I1732" s="67" t="str">
        <f t="shared" si="58"/>
        <v>Hallandale Beach Bl (@  Dixie Hwy)</v>
      </c>
      <c r="J1732" s="66" t="s">
        <v>300</v>
      </c>
      <c r="K1732" s="67" t="str">
        <f>VLOOKUP(J1732,'Data-ProjectTypes'!A$3:B$13,2,FALSE)</f>
        <v>Project</v>
      </c>
      <c r="L1732" s="87" t="s">
        <v>2929</v>
      </c>
      <c r="M1732" s="11" t="s">
        <v>2835</v>
      </c>
      <c r="N1732" s="11" t="s">
        <v>728</v>
      </c>
      <c r="O1732" s="11"/>
      <c r="P1732" s="11"/>
      <c r="Q1732" s="74">
        <v>0.1</v>
      </c>
      <c r="R1732" s="141">
        <v>3300000</v>
      </c>
      <c r="S1732" s="66"/>
      <c r="T1732" s="11"/>
      <c r="U1732" s="11"/>
      <c r="V1732" s="87" t="s">
        <v>532</v>
      </c>
      <c r="W1732" s="11"/>
      <c r="X1732" s="11"/>
      <c r="Y1732" s="89" t="s">
        <v>2930</v>
      </c>
      <c r="Z1732" s="71">
        <f>ROUND(R1732*'Data-CostAssumptions'!$C$9,-3)</f>
        <v>3300000</v>
      </c>
      <c r="AA1732" s="11">
        <f t="shared" si="59"/>
        <v>1</v>
      </c>
      <c r="AB1732" s="11">
        <v>2041</v>
      </c>
      <c r="AC1732" s="11">
        <v>2041</v>
      </c>
      <c r="AD1732" s="11">
        <v>2041</v>
      </c>
      <c r="AE1732" s="11">
        <v>2041</v>
      </c>
      <c r="AF1732" s="11">
        <v>0</v>
      </c>
      <c r="AG1732" s="19">
        <f>ROUND((Z1732*'Data-CostAssumptions'!$G$5)*(1+'Data-CostAssumptions'!$G$3)^(AC1732-'Data-CostAssumptions'!$G$4),-3)</f>
        <v>1861000</v>
      </c>
      <c r="AH1732" s="19">
        <f>ROUND((Z1732)*(1+'Data-CostAssumptions'!$G$3)^(AE1732-'Data-CostAssumptions'!$G$4),-3)</f>
        <v>8461000</v>
      </c>
    </row>
    <row r="1733" spans="1:34" ht="15" customHeight="1" x14ac:dyDescent="0.2">
      <c r="A1733" s="11"/>
      <c r="B1733" s="11" t="s">
        <v>1211</v>
      </c>
      <c r="C1733" s="11">
        <v>12207</v>
      </c>
      <c r="D1733" s="84" t="s">
        <v>297</v>
      </c>
      <c r="E1733" s="14"/>
      <c r="F1733" s="14"/>
      <c r="G1733" s="20">
        <v>1736</v>
      </c>
      <c r="H1733" s="13" t="s">
        <v>1950</v>
      </c>
      <c r="I1733" s="13" t="str">
        <f t="shared" si="58"/>
        <v>SE 9th St Corridor (US 1 to Dixie Hwy)</v>
      </c>
      <c r="J1733" s="11" t="s">
        <v>300</v>
      </c>
      <c r="K1733" s="13" t="str">
        <f>VLOOKUP(J1733,'Data-ProjectTypes'!A$3:B$13,2,FALSE)</f>
        <v>Project</v>
      </c>
      <c r="L1733" s="85" t="s">
        <v>524</v>
      </c>
      <c r="M1733" s="11" t="s">
        <v>98</v>
      </c>
      <c r="N1733" s="11" t="s">
        <v>728</v>
      </c>
      <c r="O1733" s="11"/>
      <c r="P1733" s="11"/>
      <c r="Q1733" s="15">
        <v>0.4</v>
      </c>
      <c r="R1733" s="16">
        <v>6050000</v>
      </c>
      <c r="S1733" s="11"/>
      <c r="T1733" s="11"/>
      <c r="U1733" s="11"/>
      <c r="V1733" s="85" t="s">
        <v>534</v>
      </c>
      <c r="W1733" s="11"/>
      <c r="X1733" s="11"/>
      <c r="Z1733" s="18">
        <f>ROUND(R1733*'Data-CostAssumptions'!$C$9,-3)</f>
        <v>6050000</v>
      </c>
      <c r="AA1733" s="11">
        <f t="shared" si="59"/>
        <v>1</v>
      </c>
      <c r="AB1733" s="11">
        <v>2041</v>
      </c>
      <c r="AC1733" s="11">
        <v>2041</v>
      </c>
      <c r="AD1733" s="11">
        <v>2041</v>
      </c>
      <c r="AE1733" s="11">
        <v>2041</v>
      </c>
      <c r="AF1733" s="11">
        <v>0</v>
      </c>
      <c r="AG1733" s="19">
        <f>ROUND((Z1733*'Data-CostAssumptions'!$G$5)*(1+'Data-CostAssumptions'!$G$3)^(AC1733-'Data-CostAssumptions'!$G$4),-3)</f>
        <v>3413000</v>
      </c>
      <c r="AH1733" s="19">
        <f>ROUND((Z1733)*(1+'Data-CostAssumptions'!$G$3)^(AE1733-'Data-CostAssumptions'!$G$4),-3)</f>
        <v>15512000</v>
      </c>
    </row>
    <row r="1734" spans="1:34" ht="15" customHeight="1" x14ac:dyDescent="0.2">
      <c r="A1734" s="11"/>
      <c r="B1734" s="11" t="s">
        <v>1211</v>
      </c>
      <c r="C1734" s="11">
        <v>12209</v>
      </c>
      <c r="D1734" s="84" t="s">
        <v>297</v>
      </c>
      <c r="E1734" s="14"/>
      <c r="F1734" s="14"/>
      <c r="G1734" s="20">
        <v>1737</v>
      </c>
      <c r="H1734" s="13" t="s">
        <v>2691</v>
      </c>
      <c r="I1734" s="13" t="str">
        <f t="shared" si="58"/>
        <v>Dixie Hwy/East 1st Av Corridor  (SW 11th St. to Pembroke Rd)</v>
      </c>
      <c r="J1734" s="11" t="s">
        <v>300</v>
      </c>
      <c r="K1734" s="13" t="str">
        <f>VLOOKUP(J1734,'Data-ProjectTypes'!A$3:B$13,2,FALSE)</f>
        <v>Project</v>
      </c>
      <c r="L1734" s="85" t="s">
        <v>526</v>
      </c>
      <c r="M1734" s="11" t="s">
        <v>528</v>
      </c>
      <c r="N1734" s="11" t="s">
        <v>1760</v>
      </c>
      <c r="O1734" s="11"/>
      <c r="P1734" s="11"/>
      <c r="Q1734" s="15">
        <v>1.6</v>
      </c>
      <c r="R1734" s="16">
        <v>11000000</v>
      </c>
      <c r="S1734" s="11"/>
      <c r="T1734" s="11"/>
      <c r="U1734" s="11"/>
      <c r="V1734" s="85" t="s">
        <v>536</v>
      </c>
      <c r="W1734" s="11"/>
      <c r="X1734" s="11"/>
      <c r="Z1734" s="18">
        <f>ROUND(R1734*'Data-CostAssumptions'!$C$9,-3)</f>
        <v>11000000</v>
      </c>
      <c r="AA1734" s="11">
        <f t="shared" si="59"/>
        <v>1</v>
      </c>
      <c r="AB1734" s="11">
        <v>2041</v>
      </c>
      <c r="AC1734" s="11">
        <v>2041</v>
      </c>
      <c r="AD1734" s="11">
        <v>2041</v>
      </c>
      <c r="AE1734" s="11">
        <v>2041</v>
      </c>
      <c r="AF1734" s="11">
        <v>0</v>
      </c>
      <c r="AG1734" s="19">
        <f>ROUND((Z1734*'Data-CostAssumptions'!$G$5)*(1+'Data-CostAssumptions'!$G$3)^(AC1734-'Data-CostAssumptions'!$G$4),-3)</f>
        <v>6205000</v>
      </c>
      <c r="AH1734" s="19">
        <f>ROUND((Z1734)*(1+'Data-CostAssumptions'!$G$3)^(AE1734-'Data-CostAssumptions'!$G$4),-3)</f>
        <v>28203000</v>
      </c>
    </row>
    <row r="1735" spans="1:34" ht="15" customHeight="1" x14ac:dyDescent="0.2">
      <c r="A1735" s="11"/>
      <c r="B1735" s="11" t="s">
        <v>1211</v>
      </c>
      <c r="C1735" s="11">
        <v>12210</v>
      </c>
      <c r="D1735" s="84" t="s">
        <v>297</v>
      </c>
      <c r="E1735" s="14"/>
      <c r="F1735" s="14"/>
      <c r="G1735" s="20">
        <v>1738</v>
      </c>
      <c r="H1735" s="13" t="s">
        <v>2775</v>
      </c>
      <c r="I1735" s="13" t="str">
        <f t="shared" si="58"/>
        <v>Countyline Rd/A1A Intersection ( to )</v>
      </c>
      <c r="J1735" s="11" t="s">
        <v>300</v>
      </c>
      <c r="K1735" s="13" t="str">
        <f>VLOOKUP(J1735,'Data-ProjectTypes'!A$3:B$13,2,FALSE)</f>
        <v>Project</v>
      </c>
      <c r="L1735" s="85" t="s">
        <v>527</v>
      </c>
      <c r="M1735" s="11"/>
      <c r="N1735" s="11"/>
      <c r="O1735" s="11"/>
      <c r="P1735" s="11"/>
      <c r="Q1735" s="15"/>
      <c r="R1735" s="16">
        <v>3500000</v>
      </c>
      <c r="S1735" s="11"/>
      <c r="T1735" s="11"/>
      <c r="U1735" s="11"/>
      <c r="V1735" s="85" t="s">
        <v>537</v>
      </c>
      <c r="W1735" s="11"/>
      <c r="X1735" s="38"/>
      <c r="Z1735" s="18">
        <f>ROUND(R1735*'Data-CostAssumptions'!$C$9,-3)</f>
        <v>3500000</v>
      </c>
      <c r="AA1735" s="11">
        <f t="shared" si="59"/>
        <v>1</v>
      </c>
      <c r="AB1735" s="11">
        <v>2041</v>
      </c>
      <c r="AC1735" s="11">
        <v>2041</v>
      </c>
      <c r="AD1735" s="11">
        <v>2041</v>
      </c>
      <c r="AE1735" s="11">
        <v>2041</v>
      </c>
      <c r="AF1735" s="11">
        <v>0</v>
      </c>
      <c r="AG1735" s="19">
        <f>ROUND((Z1735*'Data-CostAssumptions'!$G$5)*(1+'Data-CostAssumptions'!$G$3)^(AC1735-'Data-CostAssumptions'!$G$4),-3)</f>
        <v>1974000</v>
      </c>
      <c r="AH1735" s="19">
        <f>ROUND((Z1735)*(1+'Data-CostAssumptions'!$G$3)^(AE1735-'Data-CostAssumptions'!$G$4),-3)</f>
        <v>8974000</v>
      </c>
    </row>
    <row r="1736" spans="1:34" ht="15" customHeight="1" x14ac:dyDescent="0.2">
      <c r="A1736" s="11"/>
      <c r="B1736" s="11" t="s">
        <v>1211</v>
      </c>
      <c r="C1736" s="11">
        <v>12208</v>
      </c>
      <c r="D1736" s="84" t="s">
        <v>297</v>
      </c>
      <c r="E1736" s="14"/>
      <c r="F1736" s="14"/>
      <c r="G1736" s="20">
        <v>1739</v>
      </c>
      <c r="H1736" s="13" t="s">
        <v>519</v>
      </c>
      <c r="I1736" s="13" t="str">
        <f t="shared" si="58"/>
        <v>Passenger Rail Station Parking Garage ( to )</v>
      </c>
      <c r="J1736" s="11" t="s">
        <v>347</v>
      </c>
      <c r="K1736" s="13" t="str">
        <f>VLOOKUP(J1736,'Data-ProjectTypes'!A$3:B$13,2,FALSE)</f>
        <v>Project</v>
      </c>
      <c r="L1736" s="85" t="s">
        <v>525</v>
      </c>
      <c r="M1736" s="11"/>
      <c r="N1736" s="11"/>
      <c r="O1736" s="11"/>
      <c r="P1736" s="11"/>
      <c r="Q1736" s="15"/>
      <c r="R1736" s="16">
        <v>11200000</v>
      </c>
      <c r="S1736" s="11"/>
      <c r="T1736" s="11"/>
      <c r="U1736" s="11"/>
      <c r="V1736" s="85" t="s">
        <v>535</v>
      </c>
      <c r="W1736" s="11"/>
      <c r="X1736" s="11"/>
      <c r="Z1736" s="18">
        <f>ROUND(R1736*'Data-CostAssumptions'!$C$9,-3)</f>
        <v>11200000</v>
      </c>
      <c r="AA1736" s="11">
        <f t="shared" si="59"/>
        <v>1</v>
      </c>
      <c r="AB1736" s="11">
        <v>2041</v>
      </c>
      <c r="AC1736" s="11">
        <v>2041</v>
      </c>
      <c r="AD1736" s="11">
        <v>2041</v>
      </c>
      <c r="AE1736" s="11">
        <v>2041</v>
      </c>
      <c r="AF1736" s="11">
        <v>0</v>
      </c>
      <c r="AG1736" s="19">
        <f>ROUND((Z1736*'Data-CostAssumptions'!$G$5)*(1+'Data-CostAssumptions'!$G$3)^(AC1736-'Data-CostAssumptions'!$G$4),-3)</f>
        <v>6318000</v>
      </c>
      <c r="AH1736" s="19">
        <f>ROUND((Z1736)*(1+'Data-CostAssumptions'!$G$3)^(AE1736-'Data-CostAssumptions'!$G$4),-3)</f>
        <v>28716000</v>
      </c>
    </row>
    <row r="1737" spans="1:34" ht="15" customHeight="1" x14ac:dyDescent="0.2">
      <c r="A1737" s="11"/>
      <c r="B1737" s="11" t="s">
        <v>1211</v>
      </c>
      <c r="C1737" s="11">
        <v>12250</v>
      </c>
      <c r="D1737" s="84" t="s">
        <v>282</v>
      </c>
      <c r="E1737" s="14"/>
      <c r="F1737" s="14"/>
      <c r="G1737" s="20">
        <v>1740</v>
      </c>
      <c r="H1737" s="13" t="s">
        <v>1880</v>
      </c>
      <c r="I1737" s="13" t="str">
        <f t="shared" si="58"/>
        <v>Johnson St (Hollywood City Limits to NW 64th Av)</v>
      </c>
      <c r="J1737" s="11" t="s">
        <v>29</v>
      </c>
      <c r="K1737" s="13" t="str">
        <f>VLOOKUP(J1737,'Data-ProjectTypes'!A$3:B$13,2,FALSE)</f>
        <v>Program</v>
      </c>
      <c r="L1737" s="142" t="s">
        <v>589</v>
      </c>
      <c r="M1737" s="11" t="s">
        <v>653</v>
      </c>
      <c r="N1737" s="11" t="s">
        <v>2225</v>
      </c>
      <c r="O1737" s="11"/>
      <c r="P1737" s="11"/>
      <c r="Q1737" s="79">
        <v>1.65</v>
      </c>
      <c r="R1737" s="143">
        <f>ROUND(Q1737*'Data-CostAssumptions'!$C$25,-3)+400000</f>
        <v>678000</v>
      </c>
      <c r="S1737" s="11"/>
      <c r="T1737" s="11"/>
      <c r="U1737" s="11"/>
      <c r="V1737" s="85" t="s">
        <v>662</v>
      </c>
      <c r="W1737" s="11"/>
      <c r="X1737" s="11"/>
      <c r="Z1737" s="18">
        <f>ROUND(R1737*'Data-CostAssumptions'!$C$10,-3)</f>
        <v>678000</v>
      </c>
      <c r="AA1737" s="11">
        <f t="shared" si="59"/>
        <v>1</v>
      </c>
      <c r="AB1737" s="11">
        <v>2041</v>
      </c>
      <c r="AC1737" s="11">
        <v>2041</v>
      </c>
      <c r="AD1737" s="11">
        <v>2041</v>
      </c>
      <c r="AE1737" s="11">
        <v>2041</v>
      </c>
      <c r="AF1737" s="11">
        <v>0</v>
      </c>
      <c r="AG1737" s="19">
        <f>ROUND((Z1737*'Data-CostAssumptions'!$G$5)*(1+'Data-CostAssumptions'!$G$3)^(AC1737-'Data-CostAssumptions'!$G$4),-3)</f>
        <v>382000</v>
      </c>
      <c r="AH1737" s="19">
        <f>ROUND((Z1737)*(1+'Data-CostAssumptions'!$G$3)^(AE1737-'Data-CostAssumptions'!$G$4),-3)</f>
        <v>1738000</v>
      </c>
    </row>
    <row r="1738" spans="1:34" ht="15" customHeight="1" x14ac:dyDescent="0.2">
      <c r="A1738" s="11"/>
      <c r="B1738" s="11" t="s">
        <v>1211</v>
      </c>
      <c r="C1738" s="11">
        <v>12252</v>
      </c>
      <c r="D1738" s="84" t="s">
        <v>282</v>
      </c>
      <c r="E1738" s="14"/>
      <c r="F1738" s="14"/>
      <c r="G1738" s="20">
        <v>1741</v>
      </c>
      <c r="H1738" s="13" t="s">
        <v>1880</v>
      </c>
      <c r="I1738" s="13" t="str">
        <f t="shared" si="58"/>
        <v>Johnson St (64th Av to SR 7)</v>
      </c>
      <c r="J1738" s="11" t="s">
        <v>29</v>
      </c>
      <c r="K1738" s="13" t="str">
        <f>VLOOKUP(J1738,'Data-ProjectTypes'!A$3:B$13,2,FALSE)</f>
        <v>Program</v>
      </c>
      <c r="L1738" s="142" t="s">
        <v>591</v>
      </c>
      <c r="M1738" s="11" t="s">
        <v>2357</v>
      </c>
      <c r="N1738" s="11" t="s">
        <v>53</v>
      </c>
      <c r="O1738" s="11"/>
      <c r="P1738" s="11"/>
      <c r="Q1738" s="79">
        <v>0.5</v>
      </c>
      <c r="R1738" s="143">
        <f>ROUND(Q1738*'Data-CostAssumptions'!$C$25,-3)</f>
        <v>84000</v>
      </c>
      <c r="S1738" s="11"/>
      <c r="T1738" s="11"/>
      <c r="U1738" s="11"/>
      <c r="V1738" s="85" t="s">
        <v>662</v>
      </c>
      <c r="W1738" s="11"/>
      <c r="X1738" s="11"/>
      <c r="Z1738" s="18">
        <f>ROUND(R1738*'Data-CostAssumptions'!$C$10,-3)</f>
        <v>84000</v>
      </c>
      <c r="AA1738" s="11">
        <f t="shared" si="59"/>
        <v>1</v>
      </c>
      <c r="AB1738" s="11">
        <v>2041</v>
      </c>
      <c r="AC1738" s="11">
        <v>2041</v>
      </c>
      <c r="AD1738" s="11">
        <v>2041</v>
      </c>
      <c r="AE1738" s="11">
        <v>2041</v>
      </c>
      <c r="AF1738" s="11">
        <v>0</v>
      </c>
      <c r="AG1738" s="19">
        <f>ROUND((Z1738*'Data-CostAssumptions'!$G$5)*(1+'Data-CostAssumptions'!$G$3)^(AC1738-'Data-CostAssumptions'!$G$4),-3)</f>
        <v>47000</v>
      </c>
      <c r="AH1738" s="19">
        <f>ROUND((Z1738)*(1+'Data-CostAssumptions'!$G$3)^(AE1738-'Data-CostAssumptions'!$G$4),-3)</f>
        <v>215000</v>
      </c>
    </row>
    <row r="1739" spans="1:34" ht="15" customHeight="1" x14ac:dyDescent="0.2">
      <c r="A1739" s="11"/>
      <c r="B1739" s="11" t="s">
        <v>1211</v>
      </c>
      <c r="C1739" s="11">
        <v>12255</v>
      </c>
      <c r="D1739" s="84" t="s">
        <v>282</v>
      </c>
      <c r="E1739" s="14"/>
      <c r="F1739" s="14"/>
      <c r="G1739" s="20">
        <v>1742</v>
      </c>
      <c r="H1739" s="13" t="s">
        <v>1880</v>
      </c>
      <c r="I1739" s="13" t="str">
        <f t="shared" si="58"/>
        <v>Johnson St (N 56th Av to N 41st Av)</v>
      </c>
      <c r="J1739" s="11" t="s">
        <v>29</v>
      </c>
      <c r="K1739" s="13" t="str">
        <f>VLOOKUP(J1739,'Data-ProjectTypes'!A$3:B$13,2,FALSE)</f>
        <v>Program</v>
      </c>
      <c r="L1739" s="142" t="s">
        <v>594</v>
      </c>
      <c r="M1739" s="11" t="s">
        <v>2220</v>
      </c>
      <c r="N1739" s="11" t="s">
        <v>2226</v>
      </c>
      <c r="O1739" s="11"/>
      <c r="P1739" s="11"/>
      <c r="Q1739" s="79">
        <v>0.9</v>
      </c>
      <c r="R1739" s="143">
        <f>ROUND(Q1739*'Data-CostAssumptions'!$C$25,-3)</f>
        <v>152000</v>
      </c>
      <c r="S1739" s="11"/>
      <c r="T1739" s="11"/>
      <c r="U1739" s="11"/>
      <c r="V1739" s="85" t="s">
        <v>662</v>
      </c>
      <c r="W1739" s="11"/>
      <c r="X1739" s="11"/>
      <c r="Z1739" s="18">
        <f>ROUND(R1739*'Data-CostAssumptions'!$C$10,-3)</f>
        <v>152000</v>
      </c>
      <c r="AA1739" s="11">
        <f t="shared" si="59"/>
        <v>1</v>
      </c>
      <c r="AB1739" s="11">
        <v>2041</v>
      </c>
      <c r="AC1739" s="11">
        <v>2041</v>
      </c>
      <c r="AD1739" s="11">
        <v>2041</v>
      </c>
      <c r="AE1739" s="11">
        <v>2041</v>
      </c>
      <c r="AF1739" s="11">
        <v>0</v>
      </c>
      <c r="AG1739" s="19">
        <f>ROUND((Z1739*'Data-CostAssumptions'!$G$5)*(1+'Data-CostAssumptions'!$G$3)^(AC1739-'Data-CostAssumptions'!$G$4),-3)</f>
        <v>86000</v>
      </c>
      <c r="AH1739" s="19">
        <f>ROUND((Z1739)*(1+'Data-CostAssumptions'!$G$3)^(AE1739-'Data-CostAssumptions'!$G$4),-3)</f>
        <v>390000</v>
      </c>
    </row>
    <row r="1740" spans="1:34" ht="15" customHeight="1" x14ac:dyDescent="0.2">
      <c r="A1740" s="11"/>
      <c r="B1740" s="11" t="s">
        <v>1211</v>
      </c>
      <c r="C1740" s="11">
        <v>12256</v>
      </c>
      <c r="D1740" s="84" t="s">
        <v>282</v>
      </c>
      <c r="E1740" s="14"/>
      <c r="F1740" s="14"/>
      <c r="G1740" s="20">
        <v>1743</v>
      </c>
      <c r="H1740" s="13" t="s">
        <v>1880</v>
      </c>
      <c r="I1740" s="13" t="str">
        <f t="shared" si="58"/>
        <v>Johnson St (N 41st Av to N 35th Av)</v>
      </c>
      <c r="J1740" s="11" t="s">
        <v>29</v>
      </c>
      <c r="K1740" s="13" t="str">
        <f>VLOOKUP(J1740,'Data-ProjectTypes'!A$3:B$13,2,FALSE)</f>
        <v>Program</v>
      </c>
      <c r="L1740" s="142" t="s">
        <v>595</v>
      </c>
      <c r="M1740" s="11" t="s">
        <v>2226</v>
      </c>
      <c r="N1740" s="11" t="s">
        <v>2227</v>
      </c>
      <c r="O1740" s="11"/>
      <c r="P1740" s="11"/>
      <c r="Q1740" s="79">
        <v>0.38</v>
      </c>
      <c r="R1740" s="143">
        <f>ROUND(Q1740*'Data-CostAssumptions'!$C$25,-3)</f>
        <v>64000</v>
      </c>
      <c r="S1740" s="11"/>
      <c r="T1740" s="11"/>
      <c r="U1740" s="11"/>
      <c r="V1740" s="85" t="s">
        <v>662</v>
      </c>
      <c r="W1740" s="11"/>
      <c r="X1740" s="11"/>
      <c r="Z1740" s="18">
        <f>ROUND(R1740*'Data-CostAssumptions'!$C$10,-3)</f>
        <v>64000</v>
      </c>
      <c r="AA1740" s="11">
        <f t="shared" si="59"/>
        <v>1</v>
      </c>
      <c r="AB1740" s="11">
        <v>2041</v>
      </c>
      <c r="AC1740" s="11">
        <v>2041</v>
      </c>
      <c r="AD1740" s="11">
        <v>2041</v>
      </c>
      <c r="AE1740" s="11">
        <v>2041</v>
      </c>
      <c r="AF1740" s="11">
        <v>0</v>
      </c>
      <c r="AG1740" s="19">
        <f>ROUND((Z1740*'Data-CostAssumptions'!$G$5)*(1+'Data-CostAssumptions'!$G$3)^(AC1740-'Data-CostAssumptions'!$G$4),-3)</f>
        <v>36000</v>
      </c>
      <c r="AH1740" s="19">
        <f>ROUND((Z1740)*(1+'Data-CostAssumptions'!$G$3)^(AE1740-'Data-CostAssumptions'!$G$4),-3)</f>
        <v>164000</v>
      </c>
    </row>
    <row r="1741" spans="1:34" ht="15" customHeight="1" x14ac:dyDescent="0.2">
      <c r="A1741" s="66"/>
      <c r="B1741" s="66" t="s">
        <v>1211</v>
      </c>
      <c r="C1741" s="66">
        <v>12259</v>
      </c>
      <c r="D1741" s="86" t="s">
        <v>282</v>
      </c>
      <c r="E1741" s="14"/>
      <c r="F1741" s="14"/>
      <c r="G1741" s="20">
        <v>1744</v>
      </c>
      <c r="H1741" s="67" t="s">
        <v>1880</v>
      </c>
      <c r="I1741" s="67" t="str">
        <f t="shared" si="58"/>
        <v>Johnson St (N 35th Av to Park Rd)</v>
      </c>
      <c r="J1741" s="66" t="s">
        <v>29</v>
      </c>
      <c r="K1741" s="67" t="str">
        <f>VLOOKUP(J1741,'Data-ProjectTypes'!A$3:B$13,2,FALSE)</f>
        <v>Program</v>
      </c>
      <c r="L1741" s="87" t="s">
        <v>598</v>
      </c>
      <c r="M1741" s="11" t="s">
        <v>2227</v>
      </c>
      <c r="N1741" s="11" t="s">
        <v>1857</v>
      </c>
      <c r="O1741" s="11"/>
      <c r="P1741" s="11"/>
      <c r="Q1741" s="74">
        <v>0.19</v>
      </c>
      <c r="R1741" s="70">
        <v>5000</v>
      </c>
      <c r="S1741" s="66"/>
      <c r="T1741" s="11"/>
      <c r="U1741" s="11"/>
      <c r="V1741" s="87" t="s">
        <v>662</v>
      </c>
      <c r="W1741" s="11"/>
      <c r="X1741" s="11"/>
      <c r="Y1741" s="83" t="s">
        <v>3100</v>
      </c>
      <c r="Z1741" s="71">
        <f>ROUND(R1741*'Data-CostAssumptions'!$C$10,-3)</f>
        <v>5000</v>
      </c>
      <c r="AA1741" s="11">
        <f t="shared" si="59"/>
        <v>1</v>
      </c>
      <c r="AB1741" s="11">
        <v>2041</v>
      </c>
      <c r="AC1741" s="11">
        <v>2041</v>
      </c>
      <c r="AD1741" s="11">
        <v>2041</v>
      </c>
      <c r="AE1741" s="11">
        <v>2041</v>
      </c>
      <c r="AF1741" s="11">
        <v>0</v>
      </c>
      <c r="AG1741" s="19">
        <f>ROUND((Z1741*'Data-CostAssumptions'!$G$5)*(1+'Data-CostAssumptions'!$G$3)^(AC1741-'Data-CostAssumptions'!$G$4),-3)</f>
        <v>3000</v>
      </c>
      <c r="AH1741" s="19">
        <f>ROUND((Z1741)*(1+'Data-CostAssumptions'!$G$3)^(AE1741-'Data-CostAssumptions'!$G$4),-3)</f>
        <v>13000</v>
      </c>
    </row>
    <row r="1742" spans="1:34" ht="15" customHeight="1" x14ac:dyDescent="0.2">
      <c r="A1742" s="11"/>
      <c r="B1742" s="11" t="s">
        <v>1211</v>
      </c>
      <c r="C1742" s="11">
        <v>12260</v>
      </c>
      <c r="D1742" s="84" t="s">
        <v>282</v>
      </c>
      <c r="E1742" s="14"/>
      <c r="F1742" s="14"/>
      <c r="G1742" s="20">
        <v>1745</v>
      </c>
      <c r="H1742" s="13" t="s">
        <v>1880</v>
      </c>
      <c r="I1742" s="13" t="str">
        <f t="shared" si="58"/>
        <v>Johnson St (Park Rd to C-10 Canal)</v>
      </c>
      <c r="J1742" s="11" t="s">
        <v>29</v>
      </c>
      <c r="K1742" s="13" t="str">
        <f>VLOOKUP(J1742,'Data-ProjectTypes'!A$3:B$13,2,FALSE)</f>
        <v>Program</v>
      </c>
      <c r="L1742" s="142" t="s">
        <v>599</v>
      </c>
      <c r="M1742" s="11" t="s">
        <v>1857</v>
      </c>
      <c r="N1742" s="11" t="s">
        <v>654</v>
      </c>
      <c r="O1742" s="11"/>
      <c r="P1742" s="11"/>
      <c r="Q1742" s="79">
        <v>0.5</v>
      </c>
      <c r="R1742" s="143">
        <f>ROUND(Q1742*'Data-CostAssumptions'!$C$25,-3)</f>
        <v>84000</v>
      </c>
      <c r="S1742" s="11"/>
      <c r="T1742" s="11"/>
      <c r="U1742" s="11"/>
      <c r="V1742" s="85" t="s">
        <v>662</v>
      </c>
      <c r="W1742" s="11"/>
      <c r="X1742" s="11"/>
      <c r="Z1742" s="18">
        <f>ROUND(R1742*'Data-CostAssumptions'!$C$10,-3)</f>
        <v>84000</v>
      </c>
      <c r="AA1742" s="11">
        <f t="shared" si="59"/>
        <v>1</v>
      </c>
      <c r="AB1742" s="11">
        <v>2041</v>
      </c>
      <c r="AC1742" s="11">
        <v>2041</v>
      </c>
      <c r="AD1742" s="11">
        <v>2041</v>
      </c>
      <c r="AE1742" s="11">
        <v>2041</v>
      </c>
      <c r="AF1742" s="11">
        <v>0</v>
      </c>
      <c r="AG1742" s="19">
        <f>ROUND((Z1742*'Data-CostAssumptions'!$G$5)*(1+'Data-CostAssumptions'!$G$3)^(AC1742-'Data-CostAssumptions'!$G$4),-3)</f>
        <v>47000</v>
      </c>
      <c r="AH1742" s="19">
        <f>ROUND((Z1742)*(1+'Data-CostAssumptions'!$G$3)^(AE1742-'Data-CostAssumptions'!$G$4),-3)</f>
        <v>215000</v>
      </c>
    </row>
    <row r="1743" spans="1:34" ht="15" customHeight="1" x14ac:dyDescent="0.2">
      <c r="A1743" s="11"/>
      <c r="B1743" s="11" t="s">
        <v>1211</v>
      </c>
      <c r="C1743" s="11">
        <v>12263</v>
      </c>
      <c r="D1743" s="84" t="s">
        <v>282</v>
      </c>
      <c r="E1743" s="14"/>
      <c r="F1743" s="14"/>
      <c r="G1743" s="20">
        <v>1746</v>
      </c>
      <c r="H1743" s="13" t="s">
        <v>2020</v>
      </c>
      <c r="I1743" s="13" t="str">
        <f t="shared" si="58"/>
        <v>N 64th Av (Hollywood Bl to N of Sheridan St)</v>
      </c>
      <c r="J1743" s="11" t="s">
        <v>29</v>
      </c>
      <c r="K1743" s="13" t="str">
        <f>VLOOKUP(J1743,'Data-ProjectTypes'!A$3:B$13,2,FALSE)</f>
        <v>Program</v>
      </c>
      <c r="L1743" s="142" t="s">
        <v>602</v>
      </c>
      <c r="M1743" s="11" t="s">
        <v>1820</v>
      </c>
      <c r="N1743" s="11" t="s">
        <v>2502</v>
      </c>
      <c r="O1743" s="11"/>
      <c r="P1743" s="11"/>
      <c r="Q1743" s="79">
        <v>1.5</v>
      </c>
      <c r="R1743" s="143">
        <f>ROUND(Q1743*'Data-CostAssumptions'!$C$25,-3)</f>
        <v>253000</v>
      </c>
      <c r="S1743" s="11"/>
      <c r="T1743" s="11"/>
      <c r="U1743" s="11"/>
      <c r="V1743" s="85" t="s">
        <v>662</v>
      </c>
      <c r="W1743" s="11"/>
      <c r="X1743" s="11"/>
      <c r="Z1743" s="18">
        <f>ROUND(R1743*'Data-CostAssumptions'!$C$10,-3)</f>
        <v>253000</v>
      </c>
      <c r="AA1743" s="11">
        <f t="shared" si="59"/>
        <v>1</v>
      </c>
      <c r="AB1743" s="11">
        <v>2041</v>
      </c>
      <c r="AC1743" s="11">
        <v>2041</v>
      </c>
      <c r="AD1743" s="11">
        <v>2041</v>
      </c>
      <c r="AE1743" s="11">
        <v>2041</v>
      </c>
      <c r="AF1743" s="11">
        <v>0</v>
      </c>
      <c r="AG1743" s="19">
        <f>ROUND((Z1743*'Data-CostAssumptions'!$G$5)*(1+'Data-CostAssumptions'!$G$3)^(AC1743-'Data-CostAssumptions'!$G$4),-3)</f>
        <v>143000</v>
      </c>
      <c r="AH1743" s="19">
        <f>ROUND((Z1743)*(1+'Data-CostAssumptions'!$G$3)^(AE1743-'Data-CostAssumptions'!$G$4),-3)</f>
        <v>649000</v>
      </c>
    </row>
    <row r="1744" spans="1:34" ht="15" customHeight="1" x14ac:dyDescent="0.2">
      <c r="A1744" s="11"/>
      <c r="B1744" s="11" t="s">
        <v>1211</v>
      </c>
      <c r="C1744" s="11">
        <v>12266</v>
      </c>
      <c r="D1744" s="84" t="s">
        <v>282</v>
      </c>
      <c r="E1744" s="14"/>
      <c r="F1744" s="14"/>
      <c r="G1744" s="20">
        <v>1747</v>
      </c>
      <c r="H1744" s="13" t="s">
        <v>1971</v>
      </c>
      <c r="I1744" s="13" t="str">
        <f t="shared" si="58"/>
        <v>Washington St (S 62nd Av to SR 7)</v>
      </c>
      <c r="J1744" s="11" t="s">
        <v>29</v>
      </c>
      <c r="K1744" s="13" t="str">
        <f>VLOOKUP(J1744,'Data-ProjectTypes'!A$3:B$13,2,FALSE)</f>
        <v>Program</v>
      </c>
      <c r="L1744" s="142" t="s">
        <v>605</v>
      </c>
      <c r="M1744" s="11" t="s">
        <v>2399</v>
      </c>
      <c r="N1744" s="11" t="s">
        <v>53</v>
      </c>
      <c r="O1744" s="11"/>
      <c r="P1744" s="11"/>
      <c r="Q1744" s="79">
        <v>0.25</v>
      </c>
      <c r="R1744" s="143">
        <f>ROUND(Q1744*'Data-CostAssumptions'!$C$25,-3)+200000</f>
        <v>242000</v>
      </c>
      <c r="S1744" s="11"/>
      <c r="T1744" s="11"/>
      <c r="U1744" s="11"/>
      <c r="V1744" s="85" t="s">
        <v>662</v>
      </c>
      <c r="W1744" s="11"/>
      <c r="X1744" s="11"/>
      <c r="Z1744" s="18">
        <f>ROUND(R1744*'Data-CostAssumptions'!$C$10,-3)</f>
        <v>242000</v>
      </c>
      <c r="AA1744" s="11">
        <f t="shared" si="59"/>
        <v>1</v>
      </c>
      <c r="AB1744" s="11">
        <v>2041</v>
      </c>
      <c r="AC1744" s="11">
        <v>2041</v>
      </c>
      <c r="AD1744" s="11">
        <v>2041</v>
      </c>
      <c r="AE1744" s="11">
        <v>2041</v>
      </c>
      <c r="AF1744" s="11">
        <v>0</v>
      </c>
      <c r="AG1744" s="19">
        <f>ROUND((Z1744*'Data-CostAssumptions'!$G$5)*(1+'Data-CostAssumptions'!$G$3)^(AC1744-'Data-CostAssumptions'!$G$4),-3)</f>
        <v>137000</v>
      </c>
      <c r="AH1744" s="19">
        <f>ROUND((Z1744)*(1+'Data-CostAssumptions'!$G$3)^(AE1744-'Data-CostAssumptions'!$G$4),-3)</f>
        <v>620000</v>
      </c>
    </row>
    <row r="1745" spans="1:34" ht="15" customHeight="1" x14ac:dyDescent="0.2">
      <c r="A1745" s="11"/>
      <c r="B1745" s="11" t="s">
        <v>1211</v>
      </c>
      <c r="C1745" s="11">
        <v>12268</v>
      </c>
      <c r="D1745" s="84" t="s">
        <v>282</v>
      </c>
      <c r="E1745" s="14"/>
      <c r="F1745" s="14"/>
      <c r="G1745" s="20">
        <v>1748</v>
      </c>
      <c r="H1745" s="13" t="s">
        <v>1971</v>
      </c>
      <c r="I1745" s="13" t="str">
        <f t="shared" si="58"/>
        <v>Washington St (SR 7 to 56th Av)</v>
      </c>
      <c r="J1745" s="11" t="s">
        <v>29</v>
      </c>
      <c r="K1745" s="13" t="str">
        <f>VLOOKUP(J1745,'Data-ProjectTypes'!A$3:B$13,2,FALSE)</f>
        <v>Program</v>
      </c>
      <c r="L1745" s="142" t="s">
        <v>607</v>
      </c>
      <c r="M1745" s="11" t="s">
        <v>53</v>
      </c>
      <c r="N1745" s="11" t="s">
        <v>2011</v>
      </c>
      <c r="O1745" s="11"/>
      <c r="P1745" s="11"/>
      <c r="Q1745" s="79">
        <v>0.5</v>
      </c>
      <c r="R1745" s="143">
        <f>ROUND('Data-CostAssumptions'!$C$31*'Data-Projects-All'!Q1745,-1)</f>
        <v>1080000</v>
      </c>
      <c r="S1745" s="11"/>
      <c r="T1745" s="11"/>
      <c r="U1745" s="11"/>
      <c r="V1745" s="85" t="s">
        <v>662</v>
      </c>
      <c r="W1745" s="11"/>
      <c r="X1745" s="11"/>
      <c r="Z1745" s="18">
        <f>ROUND(R1745*'Data-CostAssumptions'!$C$10,-3)</f>
        <v>1080000</v>
      </c>
      <c r="AA1745" s="11">
        <f t="shared" si="59"/>
        <v>1</v>
      </c>
      <c r="AB1745" s="11">
        <v>2041</v>
      </c>
      <c r="AC1745" s="11">
        <v>2041</v>
      </c>
      <c r="AD1745" s="11">
        <v>2041</v>
      </c>
      <c r="AE1745" s="11">
        <v>2041</v>
      </c>
      <c r="AF1745" s="11">
        <v>0</v>
      </c>
      <c r="AG1745" s="19">
        <f>ROUND((Z1745*'Data-CostAssumptions'!$G$5)*(1+'Data-CostAssumptions'!$G$3)^(AC1745-'Data-CostAssumptions'!$G$4),-3)</f>
        <v>609000</v>
      </c>
      <c r="AH1745" s="19">
        <f>ROUND((Z1745)*(1+'Data-CostAssumptions'!$G$3)^(AE1745-'Data-CostAssumptions'!$G$4),-3)</f>
        <v>2769000</v>
      </c>
    </row>
    <row r="1746" spans="1:34" ht="15" customHeight="1" x14ac:dyDescent="0.2">
      <c r="A1746" s="11"/>
      <c r="B1746" s="11" t="s">
        <v>1211</v>
      </c>
      <c r="C1746" s="11">
        <v>12269</v>
      </c>
      <c r="D1746" s="84" t="s">
        <v>282</v>
      </c>
      <c r="E1746" s="14"/>
      <c r="F1746" s="14"/>
      <c r="G1746" s="20">
        <v>1749</v>
      </c>
      <c r="H1746" s="13" t="s">
        <v>1971</v>
      </c>
      <c r="I1746" s="13" t="str">
        <f t="shared" si="58"/>
        <v>Washington St (56th Av to Park Rd)</v>
      </c>
      <c r="J1746" s="11" t="s">
        <v>29</v>
      </c>
      <c r="K1746" s="13" t="str">
        <f>VLOOKUP(J1746,'Data-ProjectTypes'!A$3:B$13,2,FALSE)</f>
        <v>Program</v>
      </c>
      <c r="L1746" s="142" t="s">
        <v>608</v>
      </c>
      <c r="M1746" s="11" t="s">
        <v>2011</v>
      </c>
      <c r="N1746" s="11" t="s">
        <v>1857</v>
      </c>
      <c r="O1746" s="11"/>
      <c r="P1746" s="11"/>
      <c r="Q1746" s="79">
        <v>1.4</v>
      </c>
      <c r="R1746" s="143">
        <f>ROUND(Q1746*'Data-CostAssumptions'!$C$25,-3)</f>
        <v>236000</v>
      </c>
      <c r="S1746" s="11"/>
      <c r="T1746" s="11"/>
      <c r="U1746" s="11"/>
      <c r="V1746" s="85" t="s">
        <v>662</v>
      </c>
      <c r="W1746" s="11"/>
      <c r="X1746" s="11"/>
      <c r="Z1746" s="18">
        <f>ROUND(R1746*'Data-CostAssumptions'!$C$10,-3)</f>
        <v>236000</v>
      </c>
      <c r="AA1746" s="11">
        <f t="shared" si="59"/>
        <v>1</v>
      </c>
      <c r="AB1746" s="11">
        <v>2041</v>
      </c>
      <c r="AC1746" s="11">
        <v>2041</v>
      </c>
      <c r="AD1746" s="11">
        <v>2041</v>
      </c>
      <c r="AE1746" s="11">
        <v>2041</v>
      </c>
      <c r="AF1746" s="11">
        <v>0</v>
      </c>
      <c r="AG1746" s="19">
        <f>ROUND((Z1746*'Data-CostAssumptions'!$G$5)*(1+'Data-CostAssumptions'!$G$3)^(AC1746-'Data-CostAssumptions'!$G$4),-3)</f>
        <v>133000</v>
      </c>
      <c r="AH1746" s="19">
        <f>ROUND((Z1746)*(1+'Data-CostAssumptions'!$G$3)^(AE1746-'Data-CostAssumptions'!$G$4),-3)</f>
        <v>605000</v>
      </c>
    </row>
    <row r="1747" spans="1:34" ht="15" customHeight="1" x14ac:dyDescent="0.2">
      <c r="A1747" s="11"/>
      <c r="B1747" s="11" t="s">
        <v>1211</v>
      </c>
      <c r="C1747" s="11">
        <v>12270</v>
      </c>
      <c r="D1747" s="84" t="s">
        <v>282</v>
      </c>
      <c r="E1747" s="14"/>
      <c r="F1747" s="14"/>
      <c r="G1747" s="20">
        <v>1750</v>
      </c>
      <c r="H1747" s="13" t="s">
        <v>2013</v>
      </c>
      <c r="I1747" s="13" t="str">
        <f t="shared" si="58"/>
        <v>62nd Av (Pembroke Rd to Johnson St)</v>
      </c>
      <c r="J1747" s="11" t="s">
        <v>29</v>
      </c>
      <c r="K1747" s="13" t="str">
        <f>VLOOKUP(J1747,'Data-ProjectTypes'!A$3:B$13,2,FALSE)</f>
        <v>Program</v>
      </c>
      <c r="L1747" s="142" t="s">
        <v>609</v>
      </c>
      <c r="M1747" s="11" t="s">
        <v>1760</v>
      </c>
      <c r="N1747" s="11" t="s">
        <v>1880</v>
      </c>
      <c r="O1747" s="11"/>
      <c r="P1747" s="11"/>
      <c r="Q1747" s="79">
        <v>1.5</v>
      </c>
      <c r="R1747" s="143">
        <f>ROUND(Q1747*'Data-CostAssumptions'!$C$25,-3)+200000</f>
        <v>453000</v>
      </c>
      <c r="S1747" s="11"/>
      <c r="T1747" s="11"/>
      <c r="U1747" s="11"/>
      <c r="V1747" s="85" t="s">
        <v>662</v>
      </c>
      <c r="W1747" s="11"/>
      <c r="X1747" s="11"/>
      <c r="Z1747" s="18">
        <f>ROUND(R1747*'Data-CostAssumptions'!$C$10,-3)</f>
        <v>453000</v>
      </c>
      <c r="AA1747" s="11">
        <f t="shared" si="59"/>
        <v>1</v>
      </c>
      <c r="AB1747" s="11">
        <v>2041</v>
      </c>
      <c r="AC1747" s="11">
        <v>2041</v>
      </c>
      <c r="AD1747" s="11">
        <v>2041</v>
      </c>
      <c r="AE1747" s="11">
        <v>2041</v>
      </c>
      <c r="AF1747" s="11">
        <v>0</v>
      </c>
      <c r="AG1747" s="19">
        <f>ROUND((Z1747*'Data-CostAssumptions'!$G$5)*(1+'Data-CostAssumptions'!$G$3)^(AC1747-'Data-CostAssumptions'!$G$4),-3)</f>
        <v>256000</v>
      </c>
      <c r="AH1747" s="19">
        <f>ROUND((Z1747)*(1+'Data-CostAssumptions'!$G$3)^(AE1747-'Data-CostAssumptions'!$G$4),-3)</f>
        <v>1161000</v>
      </c>
    </row>
    <row r="1748" spans="1:34" ht="15" customHeight="1" x14ac:dyDescent="0.2">
      <c r="A1748" s="66"/>
      <c r="B1748" s="66" t="s">
        <v>1211</v>
      </c>
      <c r="C1748" s="66">
        <v>12277</v>
      </c>
      <c r="D1748" s="86" t="s">
        <v>282</v>
      </c>
      <c r="E1748" s="14"/>
      <c r="F1748" s="14"/>
      <c r="G1748" s="20">
        <v>1751</v>
      </c>
      <c r="H1748" s="67" t="s">
        <v>1974</v>
      </c>
      <c r="I1748" s="67" t="str">
        <f t="shared" si="58"/>
        <v>Columbus Pkwy (Hollywood Bl to Johnson St)</v>
      </c>
      <c r="J1748" s="66" t="s">
        <v>29</v>
      </c>
      <c r="K1748" s="67" t="str">
        <f>VLOOKUP(J1748,'Data-ProjectTypes'!A$3:B$13,2,FALSE)</f>
        <v>Program</v>
      </c>
      <c r="L1748" s="87" t="s">
        <v>616</v>
      </c>
      <c r="M1748" s="11" t="s">
        <v>1820</v>
      </c>
      <c r="N1748" s="11" t="s">
        <v>1880</v>
      </c>
      <c r="O1748" s="11"/>
      <c r="P1748" s="11"/>
      <c r="Q1748" s="74">
        <v>0.7</v>
      </c>
      <c r="R1748" s="70">
        <f>ROUND(Q1748*'Data-CostAssumptions'!C$33,2)</f>
        <v>7000</v>
      </c>
      <c r="S1748" s="66"/>
      <c r="T1748" s="11"/>
      <c r="U1748" s="11"/>
      <c r="V1748" s="87" t="s">
        <v>662</v>
      </c>
      <c r="W1748" s="11"/>
      <c r="X1748" s="11"/>
      <c r="Z1748" s="71">
        <f>ROUND(R1748*'Data-CostAssumptions'!$C$10,-3)</f>
        <v>7000</v>
      </c>
      <c r="AA1748" s="11">
        <f t="shared" si="59"/>
        <v>1</v>
      </c>
      <c r="AB1748" s="11">
        <v>2041</v>
      </c>
      <c r="AC1748" s="11">
        <v>2041</v>
      </c>
      <c r="AD1748" s="11">
        <v>2041</v>
      </c>
      <c r="AE1748" s="11">
        <v>2041</v>
      </c>
      <c r="AF1748" s="11">
        <v>0</v>
      </c>
      <c r="AG1748" s="19">
        <f>ROUND((Z1748*'Data-CostAssumptions'!$G$5)*(1+'Data-CostAssumptions'!$G$3)^(AC1748-'Data-CostAssumptions'!$G$4),-3)</f>
        <v>4000</v>
      </c>
      <c r="AH1748" s="19">
        <f>ROUND((Z1748)*(1+'Data-CostAssumptions'!$G$3)^(AE1748-'Data-CostAssumptions'!$G$4),-3)</f>
        <v>18000</v>
      </c>
    </row>
    <row r="1749" spans="1:34" ht="15" customHeight="1" x14ac:dyDescent="0.2">
      <c r="A1749" s="66"/>
      <c r="B1749" s="66" t="s">
        <v>1211</v>
      </c>
      <c r="C1749" s="66">
        <v>12278</v>
      </c>
      <c r="D1749" s="86" t="s">
        <v>282</v>
      </c>
      <c r="E1749" s="14"/>
      <c r="F1749" s="14"/>
      <c r="G1749" s="20">
        <v>1752</v>
      </c>
      <c r="H1749" s="67" t="s">
        <v>1976</v>
      </c>
      <c r="I1749" s="67" t="str">
        <f t="shared" si="58"/>
        <v>Glenn Pkwy (Johnson St to Hollywood Bl)</v>
      </c>
      <c r="J1749" s="66" t="s">
        <v>29</v>
      </c>
      <c r="K1749" s="67" t="str">
        <f>VLOOKUP(J1749,'Data-ProjectTypes'!A$3:B$13,2,FALSE)</f>
        <v>Program</v>
      </c>
      <c r="L1749" s="87" t="s">
        <v>616</v>
      </c>
      <c r="M1749" s="11" t="s">
        <v>1880</v>
      </c>
      <c r="N1749" s="11" t="s">
        <v>1820</v>
      </c>
      <c r="O1749" s="11"/>
      <c r="P1749" s="11"/>
      <c r="Q1749" s="74">
        <v>0.7</v>
      </c>
      <c r="R1749" s="70">
        <f>ROUND(Q1749*'Data-CostAssumptions'!C$33,2)</f>
        <v>7000</v>
      </c>
      <c r="S1749" s="66"/>
      <c r="T1749" s="11"/>
      <c r="U1749" s="11"/>
      <c r="V1749" s="87" t="s">
        <v>662</v>
      </c>
      <c r="W1749" s="11"/>
      <c r="X1749" s="11"/>
      <c r="Z1749" s="71">
        <f>ROUND(R1749*'Data-CostAssumptions'!$C$10,-3)</f>
        <v>7000</v>
      </c>
      <c r="AA1749" s="11">
        <f t="shared" si="59"/>
        <v>1</v>
      </c>
      <c r="AB1749" s="11">
        <v>2041</v>
      </c>
      <c r="AC1749" s="11">
        <v>2041</v>
      </c>
      <c r="AD1749" s="11">
        <v>2041</v>
      </c>
      <c r="AE1749" s="11">
        <v>2041</v>
      </c>
      <c r="AF1749" s="11">
        <v>0</v>
      </c>
      <c r="AG1749" s="19">
        <f>ROUND((Z1749*'Data-CostAssumptions'!$G$5)*(1+'Data-CostAssumptions'!$G$3)^(AC1749-'Data-CostAssumptions'!$G$4),-3)</f>
        <v>4000</v>
      </c>
      <c r="AH1749" s="19">
        <f>ROUND((Z1749)*(1+'Data-CostAssumptions'!$G$3)^(AE1749-'Data-CostAssumptions'!$G$4),-3)</f>
        <v>18000</v>
      </c>
    </row>
    <row r="1750" spans="1:34" ht="15" customHeight="1" x14ac:dyDescent="0.2">
      <c r="A1750" s="11"/>
      <c r="B1750" s="11" t="s">
        <v>1211</v>
      </c>
      <c r="C1750" s="11">
        <v>12279</v>
      </c>
      <c r="D1750" s="84" t="s">
        <v>282</v>
      </c>
      <c r="E1750" s="14"/>
      <c r="F1750" s="14"/>
      <c r="G1750" s="20">
        <v>1753</v>
      </c>
      <c r="H1750" s="13" t="s">
        <v>2777</v>
      </c>
      <c r="I1750" s="13" t="str">
        <f t="shared" si="58"/>
        <v>Johnson St/Lincoln St (SR 7 to N 56th St)</v>
      </c>
      <c r="J1750" s="11" t="s">
        <v>29</v>
      </c>
      <c r="K1750" s="13" t="str">
        <f>VLOOKUP(J1750,'Data-ProjectTypes'!A$3:B$13,2,FALSE)</f>
        <v>Program</v>
      </c>
      <c r="L1750" s="142" t="s">
        <v>618</v>
      </c>
      <c r="M1750" s="11" t="s">
        <v>53</v>
      </c>
      <c r="N1750" s="11" t="s">
        <v>2494</v>
      </c>
      <c r="O1750" s="11"/>
      <c r="P1750" s="11"/>
      <c r="Q1750" s="79">
        <v>0.5</v>
      </c>
      <c r="R1750" s="143">
        <f>ROUND(Q1750*'Data-CostAssumptions'!$C$25,-3)</f>
        <v>84000</v>
      </c>
      <c r="S1750" s="11"/>
      <c r="T1750" s="11"/>
      <c r="U1750" s="11"/>
      <c r="V1750" s="85" t="s">
        <v>662</v>
      </c>
      <c r="W1750" s="11"/>
      <c r="X1750" s="11"/>
      <c r="Z1750" s="18">
        <f>ROUND(R1750*'Data-CostAssumptions'!$C$10,-3)</f>
        <v>84000</v>
      </c>
      <c r="AA1750" s="11">
        <f t="shared" si="59"/>
        <v>1</v>
      </c>
      <c r="AB1750" s="11">
        <v>2041</v>
      </c>
      <c r="AC1750" s="11">
        <v>2041</v>
      </c>
      <c r="AD1750" s="11">
        <v>2041</v>
      </c>
      <c r="AE1750" s="11">
        <v>2041</v>
      </c>
      <c r="AF1750" s="11">
        <v>0</v>
      </c>
      <c r="AG1750" s="19">
        <f>ROUND((Z1750*'Data-CostAssumptions'!$G$5)*(1+'Data-CostAssumptions'!$G$3)^(AC1750-'Data-CostAssumptions'!$G$4),-3)</f>
        <v>47000</v>
      </c>
      <c r="AH1750" s="19">
        <f>ROUND((Z1750)*(1+'Data-CostAssumptions'!$G$3)^(AE1750-'Data-CostAssumptions'!$G$4),-3)</f>
        <v>215000</v>
      </c>
    </row>
    <row r="1751" spans="1:34" ht="15" customHeight="1" x14ac:dyDescent="0.2">
      <c r="A1751" s="11"/>
      <c r="B1751" s="11" t="s">
        <v>1211</v>
      </c>
      <c r="C1751" s="11">
        <v>12281</v>
      </c>
      <c r="D1751" s="84" t="s">
        <v>282</v>
      </c>
      <c r="E1751" s="14"/>
      <c r="F1751" s="14"/>
      <c r="G1751" s="20">
        <v>1754</v>
      </c>
      <c r="H1751" s="13" t="s">
        <v>1880</v>
      </c>
      <c r="I1751" s="13" t="str">
        <f t="shared" si="58"/>
        <v>Johnson St (Federal Hwy to N 8th Av)</v>
      </c>
      <c r="J1751" s="11" t="s">
        <v>29</v>
      </c>
      <c r="K1751" s="13" t="str">
        <f>VLOOKUP(J1751,'Data-ProjectTypes'!A$3:B$13,2,FALSE)</f>
        <v>Program</v>
      </c>
      <c r="L1751" s="142" t="s">
        <v>620</v>
      </c>
      <c r="M1751" s="11" t="s">
        <v>2595</v>
      </c>
      <c r="N1751" s="11" t="s">
        <v>2228</v>
      </c>
      <c r="O1751" s="11"/>
      <c r="P1751" s="11"/>
      <c r="Q1751" s="79">
        <v>1.4</v>
      </c>
      <c r="R1751" s="143">
        <f>ROUND('Data-CostAssumptions'!$C$33*Q1751,-1)</f>
        <v>14000</v>
      </c>
      <c r="S1751" s="11"/>
      <c r="T1751" s="11"/>
      <c r="U1751" s="11"/>
      <c r="V1751" s="85" t="s">
        <v>662</v>
      </c>
      <c r="W1751" s="11"/>
      <c r="X1751" s="11"/>
      <c r="Z1751" s="18">
        <f>ROUND(R1751*'Data-CostAssumptions'!$C$10,-3)</f>
        <v>14000</v>
      </c>
      <c r="AA1751" s="11">
        <f t="shared" si="59"/>
        <v>1</v>
      </c>
      <c r="AB1751" s="11">
        <v>2041</v>
      </c>
      <c r="AC1751" s="11">
        <v>2041</v>
      </c>
      <c r="AD1751" s="11">
        <v>2041</v>
      </c>
      <c r="AE1751" s="11">
        <v>2041</v>
      </c>
      <c r="AF1751" s="11">
        <v>0</v>
      </c>
      <c r="AG1751" s="19">
        <f>ROUND((Z1751*'Data-CostAssumptions'!$G$5)*(1+'Data-CostAssumptions'!$G$3)^(AC1751-'Data-CostAssumptions'!$G$4),-3)</f>
        <v>8000</v>
      </c>
      <c r="AH1751" s="19">
        <f>ROUND((Z1751)*(1+'Data-CostAssumptions'!$G$3)^(AE1751-'Data-CostAssumptions'!$G$4),-3)</f>
        <v>36000</v>
      </c>
    </row>
    <row r="1752" spans="1:34" ht="15" customHeight="1" x14ac:dyDescent="0.2">
      <c r="A1752" s="11"/>
      <c r="B1752" s="11" t="s">
        <v>1211</v>
      </c>
      <c r="C1752" s="11">
        <v>12283</v>
      </c>
      <c r="D1752" s="84" t="s">
        <v>282</v>
      </c>
      <c r="E1752" s="14"/>
      <c r="F1752" s="14"/>
      <c r="G1752" s="20">
        <v>1755</v>
      </c>
      <c r="H1752" s="13" t="s">
        <v>2011</v>
      </c>
      <c r="I1752" s="13" t="str">
        <f t="shared" si="58"/>
        <v>56th Av (Washington St to Stirling Rd)</v>
      </c>
      <c r="J1752" s="11" t="s">
        <v>29</v>
      </c>
      <c r="K1752" s="13" t="str">
        <f>VLOOKUP(J1752,'Data-ProjectTypes'!A$3:B$13,2,FALSE)</f>
        <v>Program</v>
      </c>
      <c r="L1752" s="142" t="s">
        <v>622</v>
      </c>
      <c r="M1752" s="11" t="s">
        <v>1971</v>
      </c>
      <c r="N1752" s="11" t="s">
        <v>177</v>
      </c>
      <c r="O1752" s="11"/>
      <c r="P1752" s="11"/>
      <c r="Q1752" s="79">
        <v>3</v>
      </c>
      <c r="R1752" s="143">
        <f>ROUND(Q1752*'Data-CostAssumptions'!$C$25,-3)</f>
        <v>505000</v>
      </c>
      <c r="S1752" s="11"/>
      <c r="T1752" s="11"/>
      <c r="U1752" s="11"/>
      <c r="V1752" s="85" t="s">
        <v>662</v>
      </c>
      <c r="W1752" s="11"/>
      <c r="X1752" s="11"/>
      <c r="Z1752" s="18">
        <f>ROUND(R1752*'Data-CostAssumptions'!$C$10,-3)</f>
        <v>505000</v>
      </c>
      <c r="AA1752" s="11">
        <f t="shared" si="59"/>
        <v>1</v>
      </c>
      <c r="AB1752" s="11">
        <v>2041</v>
      </c>
      <c r="AC1752" s="11">
        <v>2041</v>
      </c>
      <c r="AD1752" s="11">
        <v>2041</v>
      </c>
      <c r="AE1752" s="11">
        <v>2041</v>
      </c>
      <c r="AF1752" s="11">
        <v>0</v>
      </c>
      <c r="AG1752" s="19">
        <f>ROUND((Z1752*'Data-CostAssumptions'!$G$5)*(1+'Data-CostAssumptions'!$G$3)^(AC1752-'Data-CostAssumptions'!$G$4),-3)</f>
        <v>285000</v>
      </c>
      <c r="AH1752" s="19">
        <f>ROUND((Z1752)*(1+'Data-CostAssumptions'!$G$3)^(AE1752-'Data-CostAssumptions'!$G$4),-3)</f>
        <v>1295000</v>
      </c>
    </row>
    <row r="1753" spans="1:34" ht="15" customHeight="1" x14ac:dyDescent="0.2">
      <c r="A1753" s="11"/>
      <c r="B1753" s="11" t="s">
        <v>1211</v>
      </c>
      <c r="C1753" s="11">
        <v>12284</v>
      </c>
      <c r="D1753" s="84" t="s">
        <v>282</v>
      </c>
      <c r="E1753" s="14"/>
      <c r="F1753" s="14"/>
      <c r="G1753" s="20">
        <v>1756</v>
      </c>
      <c r="H1753" s="13" t="s">
        <v>2010</v>
      </c>
      <c r="I1753" s="13" t="str">
        <f t="shared" si="58"/>
        <v>46th Av (Washington St to Hollywood Bl)</v>
      </c>
      <c r="J1753" s="11" t="s">
        <v>29</v>
      </c>
      <c r="K1753" s="13" t="str">
        <f>VLOOKUP(J1753,'Data-ProjectTypes'!A$3:B$13,2,FALSE)</f>
        <v>Program</v>
      </c>
      <c r="L1753" s="142" t="s">
        <v>623</v>
      </c>
      <c r="M1753" s="11" t="s">
        <v>1971</v>
      </c>
      <c r="N1753" s="11" t="s">
        <v>1820</v>
      </c>
      <c r="O1753" s="11"/>
      <c r="P1753" s="11"/>
      <c r="Q1753" s="79">
        <v>0.5</v>
      </c>
      <c r="R1753" s="143">
        <f>ROUND(Q1753*'Data-CostAssumptions'!$C$25,-3)</f>
        <v>84000</v>
      </c>
      <c r="S1753" s="11"/>
      <c r="T1753" s="11"/>
      <c r="U1753" s="11"/>
      <c r="V1753" s="85" t="s">
        <v>662</v>
      </c>
      <c r="W1753" s="11"/>
      <c r="X1753" s="11"/>
      <c r="Z1753" s="18">
        <f>ROUND(R1753*'Data-CostAssumptions'!$C$10,-3)</f>
        <v>84000</v>
      </c>
      <c r="AA1753" s="11">
        <f t="shared" si="59"/>
        <v>1</v>
      </c>
      <c r="AB1753" s="11">
        <v>2041</v>
      </c>
      <c r="AC1753" s="11">
        <v>2041</v>
      </c>
      <c r="AD1753" s="11">
        <v>2041</v>
      </c>
      <c r="AE1753" s="11">
        <v>2041</v>
      </c>
      <c r="AF1753" s="11">
        <v>0</v>
      </c>
      <c r="AG1753" s="19">
        <f>ROUND((Z1753*'Data-CostAssumptions'!$G$5)*(1+'Data-CostAssumptions'!$G$3)^(AC1753-'Data-CostAssumptions'!$G$4),-3)</f>
        <v>47000</v>
      </c>
      <c r="AH1753" s="19">
        <f>ROUND((Z1753)*(1+'Data-CostAssumptions'!$G$3)^(AE1753-'Data-CostAssumptions'!$G$4),-3)</f>
        <v>215000</v>
      </c>
    </row>
    <row r="1754" spans="1:34" ht="15" customHeight="1" x14ac:dyDescent="0.2">
      <c r="A1754" s="66"/>
      <c r="B1754" s="66" t="s">
        <v>1211</v>
      </c>
      <c r="C1754" s="66">
        <v>12285</v>
      </c>
      <c r="D1754" s="86" t="s">
        <v>282</v>
      </c>
      <c r="E1754" s="14"/>
      <c r="F1754" s="14"/>
      <c r="G1754" s="20">
        <v>1757</v>
      </c>
      <c r="H1754" s="67" t="s">
        <v>2010</v>
      </c>
      <c r="I1754" s="67" t="str">
        <f t="shared" si="58"/>
        <v>46th Av (Hollywood Bl to Johnson St)</v>
      </c>
      <c r="J1754" s="66" t="s">
        <v>29</v>
      </c>
      <c r="K1754" s="67" t="str">
        <f>VLOOKUP(J1754,'Data-ProjectTypes'!A$3:B$13,2,FALSE)</f>
        <v>Program</v>
      </c>
      <c r="L1754" s="87" t="s">
        <v>624</v>
      </c>
      <c r="M1754" s="11" t="s">
        <v>1820</v>
      </c>
      <c r="N1754" s="11" t="s">
        <v>1880</v>
      </c>
      <c r="O1754" s="11"/>
      <c r="P1754" s="11"/>
      <c r="Q1754" s="74">
        <v>0.5</v>
      </c>
      <c r="R1754" s="70">
        <f>ROUND(Q1754*'Data-CostAssumptions'!C$33,2)</f>
        <v>5000</v>
      </c>
      <c r="S1754" s="66"/>
      <c r="T1754" s="11"/>
      <c r="U1754" s="11"/>
      <c r="V1754" s="87" t="s">
        <v>662</v>
      </c>
      <c r="W1754" s="11"/>
      <c r="X1754" s="11"/>
      <c r="Y1754" s="83" t="s">
        <v>3100</v>
      </c>
      <c r="Z1754" s="71">
        <f>ROUND(R1754*'Data-CostAssumptions'!$C$10,-3)</f>
        <v>5000</v>
      </c>
      <c r="AA1754" s="11">
        <f t="shared" si="59"/>
        <v>1</v>
      </c>
      <c r="AB1754" s="11">
        <v>2041</v>
      </c>
      <c r="AC1754" s="11">
        <v>2041</v>
      </c>
      <c r="AD1754" s="11">
        <v>2041</v>
      </c>
      <c r="AE1754" s="11">
        <v>2041</v>
      </c>
      <c r="AF1754" s="11">
        <v>0</v>
      </c>
      <c r="AG1754" s="19">
        <f>ROUND((Z1754*'Data-CostAssumptions'!$G$5)*(1+'Data-CostAssumptions'!$G$3)^(AC1754-'Data-CostAssumptions'!$G$4),-3)</f>
        <v>3000</v>
      </c>
      <c r="AH1754" s="19">
        <f>ROUND((Z1754)*(1+'Data-CostAssumptions'!$G$3)^(AE1754-'Data-CostAssumptions'!$G$4),-3)</f>
        <v>13000</v>
      </c>
    </row>
    <row r="1755" spans="1:34" ht="15" customHeight="1" x14ac:dyDescent="0.2">
      <c r="A1755" s="66"/>
      <c r="B1755" s="66" t="s">
        <v>1211</v>
      </c>
      <c r="C1755" s="66">
        <v>12286</v>
      </c>
      <c r="D1755" s="86" t="s">
        <v>282</v>
      </c>
      <c r="E1755" s="14"/>
      <c r="F1755" s="14"/>
      <c r="G1755" s="20">
        <v>1758</v>
      </c>
      <c r="H1755" s="67" t="s">
        <v>1936</v>
      </c>
      <c r="I1755" s="67" t="str">
        <f t="shared" si="58"/>
        <v>Polk St (Glenn Parkway to N Rainbow Dr)</v>
      </c>
      <c r="J1755" s="66" t="s">
        <v>29</v>
      </c>
      <c r="K1755" s="67" t="str">
        <f>VLOOKUP(J1755,'Data-ProjectTypes'!A$3:B$13,2,FALSE)</f>
        <v>Program</v>
      </c>
      <c r="L1755" s="87" t="s">
        <v>625</v>
      </c>
      <c r="M1755" s="11" t="s">
        <v>617</v>
      </c>
      <c r="N1755" s="11" t="s">
        <v>2671</v>
      </c>
      <c r="O1755" s="11"/>
      <c r="P1755" s="11"/>
      <c r="Q1755" s="74">
        <v>1.1100000000000001</v>
      </c>
      <c r="R1755" s="70">
        <f>ROUND(Q1755*'Data-CostAssumptions'!C$33,2)</f>
        <v>11100</v>
      </c>
      <c r="S1755" s="66"/>
      <c r="T1755" s="11"/>
      <c r="U1755" s="11"/>
      <c r="V1755" s="87" t="s">
        <v>662</v>
      </c>
      <c r="W1755" s="11"/>
      <c r="X1755" s="11"/>
      <c r="Y1755" s="83" t="s">
        <v>3100</v>
      </c>
      <c r="Z1755" s="71">
        <f>ROUND(R1755*'Data-CostAssumptions'!$C$10,-3)</f>
        <v>11000</v>
      </c>
      <c r="AA1755" s="11">
        <f t="shared" si="59"/>
        <v>1</v>
      </c>
      <c r="AB1755" s="11">
        <v>2041</v>
      </c>
      <c r="AC1755" s="11">
        <v>2041</v>
      </c>
      <c r="AD1755" s="11">
        <v>2041</v>
      </c>
      <c r="AE1755" s="11">
        <v>2041</v>
      </c>
      <c r="AF1755" s="11">
        <v>0</v>
      </c>
      <c r="AG1755" s="19">
        <f>ROUND((Z1755*'Data-CostAssumptions'!$G$5)*(1+'Data-CostAssumptions'!$G$3)^(AC1755-'Data-CostAssumptions'!$G$4),-3)</f>
        <v>6000</v>
      </c>
      <c r="AH1755" s="19">
        <f>ROUND((Z1755)*(1+'Data-CostAssumptions'!$G$3)^(AE1755-'Data-CostAssumptions'!$G$4),-3)</f>
        <v>28000</v>
      </c>
    </row>
    <row r="1756" spans="1:34" ht="15" customHeight="1" x14ac:dyDescent="0.2">
      <c r="A1756" s="66"/>
      <c r="B1756" s="66" t="s">
        <v>1211</v>
      </c>
      <c r="C1756" s="66">
        <v>12287</v>
      </c>
      <c r="D1756" s="86" t="s">
        <v>282</v>
      </c>
      <c r="E1756" s="14"/>
      <c r="F1756" s="14"/>
      <c r="G1756" s="20">
        <v>1759</v>
      </c>
      <c r="H1756" s="67" t="s">
        <v>1796</v>
      </c>
      <c r="I1756" s="67" t="str">
        <f t="shared" si="58"/>
        <v>North Rainbow Dr (Polk St to Johnson St)</v>
      </c>
      <c r="J1756" s="66" t="s">
        <v>29</v>
      </c>
      <c r="K1756" s="67" t="str">
        <f>VLOOKUP(J1756,'Data-ProjectTypes'!A$3:B$13,2,FALSE)</f>
        <v>Program</v>
      </c>
      <c r="L1756" s="87" t="s">
        <v>626</v>
      </c>
      <c r="M1756" s="11" t="s">
        <v>1936</v>
      </c>
      <c r="N1756" s="11" t="s">
        <v>1880</v>
      </c>
      <c r="O1756" s="11"/>
      <c r="P1756" s="11"/>
      <c r="Q1756" s="74">
        <v>0.66</v>
      </c>
      <c r="R1756" s="70">
        <f>ROUND(Q1756*'Data-CostAssumptions'!C$33,2)</f>
        <v>6600</v>
      </c>
      <c r="S1756" s="66"/>
      <c r="T1756" s="11"/>
      <c r="U1756" s="11"/>
      <c r="V1756" s="87" t="s">
        <v>662</v>
      </c>
      <c r="W1756" s="11"/>
      <c r="X1756" s="11"/>
      <c r="Y1756" s="83" t="s">
        <v>3100</v>
      </c>
      <c r="Z1756" s="71">
        <f>ROUND(R1756*'Data-CostAssumptions'!$C$10,-3)</f>
        <v>7000</v>
      </c>
      <c r="AA1756" s="11">
        <f t="shared" si="59"/>
        <v>1</v>
      </c>
      <c r="AB1756" s="11">
        <v>2041</v>
      </c>
      <c r="AC1756" s="11">
        <v>2041</v>
      </c>
      <c r="AD1756" s="11">
        <v>2041</v>
      </c>
      <c r="AE1756" s="11">
        <v>2041</v>
      </c>
      <c r="AF1756" s="11">
        <v>0</v>
      </c>
      <c r="AG1756" s="19">
        <f>ROUND((Z1756*'Data-CostAssumptions'!$G$5)*(1+'Data-CostAssumptions'!$G$3)^(AC1756-'Data-CostAssumptions'!$G$4),-3)</f>
        <v>4000</v>
      </c>
      <c r="AH1756" s="19">
        <f>ROUND((Z1756)*(1+'Data-CostAssumptions'!$G$3)^(AE1756-'Data-CostAssumptions'!$G$4),-3)</f>
        <v>18000</v>
      </c>
    </row>
    <row r="1757" spans="1:34" ht="15" customHeight="1" x14ac:dyDescent="0.2">
      <c r="A1757" s="66"/>
      <c r="B1757" s="66" t="s">
        <v>1211</v>
      </c>
      <c r="C1757" s="66">
        <v>12288</v>
      </c>
      <c r="D1757" s="86" t="s">
        <v>282</v>
      </c>
      <c r="E1757" s="14"/>
      <c r="F1757" s="14"/>
      <c r="G1757" s="20">
        <v>1760</v>
      </c>
      <c r="H1757" s="67" t="s">
        <v>1801</v>
      </c>
      <c r="I1757" s="67" t="str">
        <f t="shared" si="58"/>
        <v>South Rainbow Dr (Van Buren St to Washington St)</v>
      </c>
      <c r="J1757" s="66" t="s">
        <v>29</v>
      </c>
      <c r="K1757" s="67" t="str">
        <f>VLOOKUP(J1757,'Data-ProjectTypes'!A$3:B$13,2,FALSE)</f>
        <v>Program</v>
      </c>
      <c r="L1757" s="87" t="s">
        <v>626</v>
      </c>
      <c r="M1757" s="11" t="s">
        <v>1970</v>
      </c>
      <c r="N1757" s="11" t="s">
        <v>1971</v>
      </c>
      <c r="O1757" s="11"/>
      <c r="P1757" s="11"/>
      <c r="Q1757" s="74">
        <v>0.54</v>
      </c>
      <c r="R1757" s="70">
        <f>ROUND(Q1757*'Data-CostAssumptions'!C$33,2)</f>
        <v>5400</v>
      </c>
      <c r="S1757" s="66"/>
      <c r="T1757" s="11"/>
      <c r="U1757" s="11"/>
      <c r="V1757" s="87" t="s">
        <v>662</v>
      </c>
      <c r="W1757" s="11"/>
      <c r="X1757" s="11"/>
      <c r="Y1757" s="83" t="s">
        <v>3100</v>
      </c>
      <c r="Z1757" s="71">
        <f>ROUND(R1757*'Data-CostAssumptions'!$C$10,-3)</f>
        <v>5000</v>
      </c>
      <c r="AA1757" s="11">
        <f t="shared" si="59"/>
        <v>1</v>
      </c>
      <c r="AB1757" s="11">
        <v>2041</v>
      </c>
      <c r="AC1757" s="11">
        <v>2041</v>
      </c>
      <c r="AD1757" s="11">
        <v>2041</v>
      </c>
      <c r="AE1757" s="11">
        <v>2041</v>
      </c>
      <c r="AF1757" s="11">
        <v>0</v>
      </c>
      <c r="AG1757" s="19">
        <f>ROUND((Z1757*'Data-CostAssumptions'!$G$5)*(1+'Data-CostAssumptions'!$G$3)^(AC1757-'Data-CostAssumptions'!$G$4),-3)</f>
        <v>3000</v>
      </c>
      <c r="AH1757" s="19">
        <f>ROUND((Z1757)*(1+'Data-CostAssumptions'!$G$3)^(AE1757-'Data-CostAssumptions'!$G$4),-3)</f>
        <v>13000</v>
      </c>
    </row>
    <row r="1758" spans="1:34" ht="15" customHeight="1" x14ac:dyDescent="0.2">
      <c r="A1758" s="11"/>
      <c r="B1758" s="11" t="s">
        <v>1211</v>
      </c>
      <c r="C1758" s="11">
        <v>12289</v>
      </c>
      <c r="D1758" s="84" t="s">
        <v>282</v>
      </c>
      <c r="E1758" s="14"/>
      <c r="F1758" s="14"/>
      <c r="G1758" s="20">
        <v>1761</v>
      </c>
      <c r="H1758" s="13" t="s">
        <v>1855</v>
      </c>
      <c r="I1758" s="13" t="str">
        <f t="shared" ref="I1758:I1789" si="60">IF(M1758="@",H1758&amp;" ("&amp;M1758&amp;"  "&amp;N1758&amp;")",H1758&amp;" ("&amp;M1758&amp;" to "&amp;N1758&amp;")")</f>
        <v>N. Park Rd (Hollywood Bl to Johnson St)</v>
      </c>
      <c r="J1758" s="11" t="s">
        <v>29</v>
      </c>
      <c r="K1758" s="13" t="str">
        <f>VLOOKUP(J1758,'Data-ProjectTypes'!A$3:B$13,2,FALSE)</f>
        <v>Program</v>
      </c>
      <c r="L1758" s="142" t="s">
        <v>627</v>
      </c>
      <c r="M1758" s="11" t="s">
        <v>1820</v>
      </c>
      <c r="N1758" s="11" t="s">
        <v>1880</v>
      </c>
      <c r="O1758" s="11"/>
      <c r="P1758" s="11"/>
      <c r="Q1758" s="79">
        <v>0.5</v>
      </c>
      <c r="R1758" s="143">
        <f>ROUND(Q1758*'Data-CostAssumptions'!$C$25,-3)+200000</f>
        <v>284000</v>
      </c>
      <c r="S1758" s="11"/>
      <c r="T1758" s="11"/>
      <c r="U1758" s="11"/>
      <c r="V1758" s="85" t="s">
        <v>662</v>
      </c>
      <c r="W1758" s="11"/>
      <c r="X1758" s="11"/>
      <c r="Z1758" s="18">
        <f>ROUND(R1758*'Data-CostAssumptions'!$C$10,-3)</f>
        <v>284000</v>
      </c>
      <c r="AA1758" s="11">
        <f t="shared" si="59"/>
        <v>1</v>
      </c>
      <c r="AB1758" s="11">
        <v>2041</v>
      </c>
      <c r="AC1758" s="11">
        <v>2041</v>
      </c>
      <c r="AD1758" s="11">
        <v>2041</v>
      </c>
      <c r="AE1758" s="11">
        <v>2041</v>
      </c>
      <c r="AF1758" s="11">
        <v>0</v>
      </c>
      <c r="AG1758" s="19">
        <f>ROUND((Z1758*'Data-CostAssumptions'!$G$5)*(1+'Data-CostAssumptions'!$G$3)^(AC1758-'Data-CostAssumptions'!$G$4),-3)</f>
        <v>160000</v>
      </c>
      <c r="AH1758" s="19">
        <f>ROUND((Z1758)*(1+'Data-CostAssumptions'!$G$3)^(AE1758-'Data-CostAssumptions'!$G$4),-3)</f>
        <v>728000</v>
      </c>
    </row>
    <row r="1759" spans="1:34" ht="15" customHeight="1" x14ac:dyDescent="0.2">
      <c r="A1759" s="11"/>
      <c r="B1759" s="11" t="s">
        <v>1211</v>
      </c>
      <c r="C1759" s="11">
        <v>12290</v>
      </c>
      <c r="D1759" s="84" t="s">
        <v>282</v>
      </c>
      <c r="E1759" s="14"/>
      <c r="F1759" s="14"/>
      <c r="G1759" s="20">
        <v>1762</v>
      </c>
      <c r="H1759" s="13" t="s">
        <v>1862</v>
      </c>
      <c r="I1759" s="13" t="str">
        <f t="shared" si="60"/>
        <v>S. Park Rd (Washington St to Hollywood Bl)</v>
      </c>
      <c r="J1759" s="11" t="s">
        <v>29</v>
      </c>
      <c r="K1759" s="13" t="str">
        <f>VLOOKUP(J1759,'Data-ProjectTypes'!A$3:B$13,2,FALSE)</f>
        <v>Program</v>
      </c>
      <c r="L1759" s="142" t="s">
        <v>628</v>
      </c>
      <c r="M1759" s="11" t="s">
        <v>1971</v>
      </c>
      <c r="N1759" s="11" t="s">
        <v>1820</v>
      </c>
      <c r="O1759" s="11"/>
      <c r="P1759" s="11"/>
      <c r="Q1759" s="79">
        <v>0.54</v>
      </c>
      <c r="R1759" s="143">
        <f>ROUND(Q1759*'Data-CostAssumptions'!$C$25,-3)+200000</f>
        <v>291000</v>
      </c>
      <c r="S1759" s="11"/>
      <c r="T1759" s="11"/>
      <c r="U1759" s="11"/>
      <c r="V1759" s="85" t="s">
        <v>662</v>
      </c>
      <c r="W1759" s="11"/>
      <c r="X1759" s="11"/>
      <c r="Z1759" s="18">
        <f>ROUND(R1759*'Data-CostAssumptions'!$C$10,-3)</f>
        <v>291000</v>
      </c>
      <c r="AA1759" s="11">
        <f t="shared" si="59"/>
        <v>1</v>
      </c>
      <c r="AB1759" s="11">
        <v>2041</v>
      </c>
      <c r="AC1759" s="11">
        <v>2041</v>
      </c>
      <c r="AD1759" s="11">
        <v>2041</v>
      </c>
      <c r="AE1759" s="11">
        <v>2041</v>
      </c>
      <c r="AF1759" s="11">
        <v>0</v>
      </c>
      <c r="AG1759" s="19">
        <f>ROUND((Z1759*'Data-CostAssumptions'!$G$5)*(1+'Data-CostAssumptions'!$G$3)^(AC1759-'Data-CostAssumptions'!$G$4),-3)</f>
        <v>164000</v>
      </c>
      <c r="AH1759" s="19">
        <f>ROUND((Z1759)*(1+'Data-CostAssumptions'!$G$3)^(AE1759-'Data-CostAssumptions'!$G$4),-3)</f>
        <v>746000</v>
      </c>
    </row>
    <row r="1760" spans="1:34" ht="15" customHeight="1" x14ac:dyDescent="0.2">
      <c r="A1760" s="11"/>
      <c r="B1760" s="11" t="s">
        <v>1211</v>
      </c>
      <c r="C1760" s="11">
        <v>12299</v>
      </c>
      <c r="D1760" s="84" t="s">
        <v>282</v>
      </c>
      <c r="E1760" s="14"/>
      <c r="F1760" s="14"/>
      <c r="G1760" s="20">
        <v>1763</v>
      </c>
      <c r="H1760" s="13" t="s">
        <v>2009</v>
      </c>
      <c r="I1760" s="13" t="str">
        <f t="shared" si="60"/>
        <v>35th Av (S Rainbow Dr to Johnson St)</v>
      </c>
      <c r="J1760" s="11" t="s">
        <v>29</v>
      </c>
      <c r="K1760" s="13" t="str">
        <f>VLOOKUP(J1760,'Data-ProjectTypes'!A$3:B$13,2,FALSE)</f>
        <v>Program</v>
      </c>
      <c r="L1760" s="142" t="s">
        <v>636</v>
      </c>
      <c r="M1760" s="11" t="s">
        <v>2644</v>
      </c>
      <c r="N1760" s="11" t="s">
        <v>1880</v>
      </c>
      <c r="O1760" s="11"/>
      <c r="P1760" s="11"/>
      <c r="Q1760" s="79">
        <v>1</v>
      </c>
      <c r="R1760" s="143">
        <f>ROUND('Data-CostAssumptions'!$C$33*Q1760,-1)</f>
        <v>10000</v>
      </c>
      <c r="S1760" s="11"/>
      <c r="T1760" s="11"/>
      <c r="U1760" s="11"/>
      <c r="V1760" s="85" t="s">
        <v>662</v>
      </c>
      <c r="W1760" s="11"/>
      <c r="X1760" s="11"/>
      <c r="Z1760" s="18">
        <f>ROUND(R1760*'Data-CostAssumptions'!$C$10,-3)</f>
        <v>10000</v>
      </c>
      <c r="AA1760" s="11">
        <f t="shared" si="59"/>
        <v>1</v>
      </c>
      <c r="AB1760" s="11">
        <v>2041</v>
      </c>
      <c r="AC1760" s="11">
        <v>2041</v>
      </c>
      <c r="AD1760" s="11">
        <v>2041</v>
      </c>
      <c r="AE1760" s="11">
        <v>2041</v>
      </c>
      <c r="AF1760" s="11">
        <v>0</v>
      </c>
      <c r="AG1760" s="19">
        <f>ROUND((Z1760*'Data-CostAssumptions'!$G$5)*(1+'Data-CostAssumptions'!$G$3)^(AC1760-'Data-CostAssumptions'!$G$4),-3)</f>
        <v>6000</v>
      </c>
      <c r="AH1760" s="19">
        <f>ROUND((Z1760)*(1+'Data-CostAssumptions'!$G$3)^(AE1760-'Data-CostAssumptions'!$G$4),-3)</f>
        <v>26000</v>
      </c>
    </row>
    <row r="1761" spans="1:34" ht="15" customHeight="1" x14ac:dyDescent="0.2">
      <c r="A1761" s="11"/>
      <c r="B1761" s="11" t="s">
        <v>1211</v>
      </c>
      <c r="C1761" s="11">
        <v>12305</v>
      </c>
      <c r="D1761" s="84" t="s">
        <v>282</v>
      </c>
      <c r="E1761" s="14"/>
      <c r="F1761" s="14"/>
      <c r="G1761" s="20">
        <v>1764</v>
      </c>
      <c r="H1761" s="13" t="s">
        <v>2008</v>
      </c>
      <c r="I1761" s="13" t="str">
        <f t="shared" si="60"/>
        <v>24th Av (Washington St to Johnson St)</v>
      </c>
      <c r="J1761" s="11" t="s">
        <v>29</v>
      </c>
      <c r="K1761" s="13" t="str">
        <f>VLOOKUP(J1761,'Data-ProjectTypes'!A$3:B$13,2,FALSE)</f>
        <v>Program</v>
      </c>
      <c r="L1761" s="142" t="s">
        <v>642</v>
      </c>
      <c r="M1761" s="11" t="s">
        <v>1971</v>
      </c>
      <c r="N1761" s="11" t="s">
        <v>1880</v>
      </c>
      <c r="O1761" s="11"/>
      <c r="P1761" s="11"/>
      <c r="Q1761" s="79">
        <v>1</v>
      </c>
      <c r="R1761" s="143">
        <f>ROUND('Data-CostAssumptions'!C32*'Data-Projects-All'!Q1741,-1)</f>
        <v>68400</v>
      </c>
      <c r="S1761" s="11"/>
      <c r="T1761" s="11"/>
      <c r="U1761" s="11"/>
      <c r="V1761" s="85" t="s">
        <v>662</v>
      </c>
      <c r="W1761" s="11"/>
      <c r="X1761" s="11"/>
      <c r="Z1761" s="18">
        <f>ROUND(R1761*'Data-CostAssumptions'!$C$10,-3)</f>
        <v>68000</v>
      </c>
      <c r="AA1761" s="11">
        <f t="shared" si="59"/>
        <v>1</v>
      </c>
      <c r="AB1761" s="11">
        <v>2041</v>
      </c>
      <c r="AC1761" s="11">
        <v>2041</v>
      </c>
      <c r="AD1761" s="11">
        <v>2041</v>
      </c>
      <c r="AE1761" s="11">
        <v>2041</v>
      </c>
      <c r="AF1761" s="11">
        <v>0</v>
      </c>
      <c r="AG1761" s="19">
        <f>ROUND((Z1761*'Data-CostAssumptions'!$G$5)*(1+'Data-CostAssumptions'!$G$3)^(AC1761-'Data-CostAssumptions'!$G$4),-3)</f>
        <v>38000</v>
      </c>
      <c r="AH1761" s="19">
        <f>ROUND((Z1761)*(1+'Data-CostAssumptions'!$G$3)^(AE1761-'Data-CostAssumptions'!$G$4),-3)</f>
        <v>174000</v>
      </c>
    </row>
    <row r="1762" spans="1:34" ht="15" customHeight="1" x14ac:dyDescent="0.2">
      <c r="A1762" s="11"/>
      <c r="B1762" s="11" t="s">
        <v>1211</v>
      </c>
      <c r="C1762" s="11">
        <v>12307</v>
      </c>
      <c r="D1762" s="84" t="s">
        <v>282</v>
      </c>
      <c r="E1762" s="14"/>
      <c r="F1762" s="14"/>
      <c r="G1762" s="20">
        <v>1765</v>
      </c>
      <c r="H1762" s="13" t="s">
        <v>2006</v>
      </c>
      <c r="I1762" s="13" t="str">
        <f t="shared" si="60"/>
        <v>14th Av (Hallendale Beach City Limit to Hollywood Bl)</v>
      </c>
      <c r="J1762" s="11" t="s">
        <v>29</v>
      </c>
      <c r="K1762" s="13" t="str">
        <f>VLOOKUP(J1762,'Data-ProjectTypes'!A$3:B$13,2,FALSE)</f>
        <v>Program</v>
      </c>
      <c r="L1762" s="142" t="s">
        <v>644</v>
      </c>
      <c r="M1762" s="11" t="s">
        <v>661</v>
      </c>
      <c r="N1762" s="11" t="s">
        <v>1820</v>
      </c>
      <c r="O1762" s="11"/>
      <c r="P1762" s="11"/>
      <c r="Q1762" s="79">
        <v>1.8</v>
      </c>
      <c r="R1762" s="143">
        <f>ROUND(Q1762*'Data-CostAssumptions'!$C$25,-1)+(200000)+ROUND('Data-CostAssumptions'!$C$23*'Data-Projects-All'!Q1743,-1)</f>
        <v>722120</v>
      </c>
      <c r="S1762" s="11"/>
      <c r="T1762" s="11"/>
      <c r="U1762" s="11"/>
      <c r="V1762" s="85" t="s">
        <v>662</v>
      </c>
      <c r="W1762" s="11"/>
      <c r="X1762" s="11"/>
      <c r="Y1762" s="12" t="s">
        <v>2830</v>
      </c>
      <c r="Z1762" s="18">
        <f>ROUND(R1762*'Data-CostAssumptions'!$C$10,-3)</f>
        <v>722000</v>
      </c>
      <c r="AA1762" s="11">
        <f t="shared" si="59"/>
        <v>1</v>
      </c>
      <c r="AB1762" s="11">
        <v>2041</v>
      </c>
      <c r="AC1762" s="11">
        <v>2041</v>
      </c>
      <c r="AD1762" s="11">
        <v>2041</v>
      </c>
      <c r="AE1762" s="11">
        <v>2041</v>
      </c>
      <c r="AF1762" s="11">
        <v>0</v>
      </c>
      <c r="AG1762" s="19">
        <f>ROUND((Z1762*'Data-CostAssumptions'!$G$5)*(1+'Data-CostAssumptions'!$G$3)^(AC1762-'Data-CostAssumptions'!$G$4),-3)</f>
        <v>407000</v>
      </c>
      <c r="AH1762" s="19">
        <f>ROUND((Z1762)*(1+'Data-CostAssumptions'!$G$3)^(AE1762-'Data-CostAssumptions'!$G$4),-3)</f>
        <v>1851000</v>
      </c>
    </row>
    <row r="1763" spans="1:34" ht="15" customHeight="1" x14ac:dyDescent="0.2">
      <c r="A1763" s="11"/>
      <c r="B1763" s="11" t="s">
        <v>1211</v>
      </c>
      <c r="C1763" s="11">
        <v>12251</v>
      </c>
      <c r="D1763" s="84" t="s">
        <v>282</v>
      </c>
      <c r="E1763" s="14"/>
      <c r="F1763" s="14"/>
      <c r="G1763" s="20">
        <v>1766</v>
      </c>
      <c r="H1763" s="13" t="s">
        <v>1880</v>
      </c>
      <c r="I1763" s="13" t="str">
        <f t="shared" si="60"/>
        <v>Johnson St (University Dr to NW 64th Av)</v>
      </c>
      <c r="J1763" s="11" t="s">
        <v>27</v>
      </c>
      <c r="K1763" s="13" t="str">
        <f>VLOOKUP(J1763,'Data-ProjectTypes'!A$3:B$13,2,FALSE)</f>
        <v>Program</v>
      </c>
      <c r="L1763" s="142" t="s">
        <v>590</v>
      </c>
      <c r="M1763" s="11" t="s">
        <v>1804</v>
      </c>
      <c r="N1763" s="11" t="s">
        <v>2225</v>
      </c>
      <c r="O1763" s="11"/>
      <c r="P1763" s="11"/>
      <c r="Q1763" s="79">
        <v>2</v>
      </c>
      <c r="R1763" s="143">
        <f>ROUND('Data-CostAssumptions'!$C$26*4,-1)</f>
        <v>10000</v>
      </c>
      <c r="S1763" s="11"/>
      <c r="T1763" s="11"/>
      <c r="U1763" s="11"/>
      <c r="V1763" s="85" t="s">
        <v>662</v>
      </c>
      <c r="W1763" s="11"/>
      <c r="X1763" s="38"/>
      <c r="Z1763" s="18">
        <f>ROUND(R1763*'Data-CostAssumptions'!$C$10,-3)</f>
        <v>10000</v>
      </c>
      <c r="AA1763" s="11">
        <f t="shared" si="59"/>
        <v>1</v>
      </c>
      <c r="AB1763" s="11">
        <v>2041</v>
      </c>
      <c r="AC1763" s="11">
        <v>2041</v>
      </c>
      <c r="AD1763" s="11">
        <v>2041</v>
      </c>
      <c r="AE1763" s="11">
        <v>2041</v>
      </c>
      <c r="AF1763" s="11">
        <v>0</v>
      </c>
      <c r="AG1763" s="19">
        <f>ROUND((Z1763*'Data-CostAssumptions'!$G$5)*(1+'Data-CostAssumptions'!$G$3)^(AC1763-'Data-CostAssumptions'!$G$4),-3)</f>
        <v>6000</v>
      </c>
      <c r="AH1763" s="19">
        <f>ROUND((Z1763)*(1+'Data-CostAssumptions'!$G$3)^(AE1763-'Data-CostAssumptions'!$G$4),-3)</f>
        <v>26000</v>
      </c>
    </row>
    <row r="1764" spans="1:34" ht="15" customHeight="1" x14ac:dyDescent="0.2">
      <c r="A1764" s="66"/>
      <c r="B1764" s="66" t="s">
        <v>1211</v>
      </c>
      <c r="C1764" s="66">
        <v>12254</v>
      </c>
      <c r="D1764" s="86" t="s">
        <v>282</v>
      </c>
      <c r="E1764" s="14"/>
      <c r="F1764" s="14"/>
      <c r="G1764" s="20">
        <v>1767</v>
      </c>
      <c r="H1764" s="67" t="s">
        <v>1880</v>
      </c>
      <c r="I1764" s="67" t="str">
        <f t="shared" si="60"/>
        <v>Johnson St (N 56th Av to )</v>
      </c>
      <c r="J1764" s="66" t="s">
        <v>27</v>
      </c>
      <c r="K1764" s="67" t="str">
        <f>VLOOKUP(J1764,'Data-ProjectTypes'!A$3:B$13,2,FALSE)</f>
        <v>Program</v>
      </c>
      <c r="L1764" s="87" t="s">
        <v>593</v>
      </c>
      <c r="M1764" s="11" t="s">
        <v>2220</v>
      </c>
      <c r="N1764" s="11"/>
      <c r="O1764" s="11"/>
      <c r="P1764" s="11"/>
      <c r="Q1764" s="74">
        <v>0</v>
      </c>
      <c r="R1764" s="70">
        <f>+'Data-CostAssumptions'!C29</f>
        <v>13500</v>
      </c>
      <c r="S1764" s="66"/>
      <c r="T1764" s="11"/>
      <c r="U1764" s="11"/>
      <c r="V1764" s="87" t="s">
        <v>662</v>
      </c>
      <c r="W1764" s="11"/>
      <c r="X1764" s="11"/>
      <c r="Y1764" s="83" t="s">
        <v>3101</v>
      </c>
      <c r="Z1764" s="71">
        <f>ROUND(R1764*'Data-CostAssumptions'!$C$10,-3)</f>
        <v>14000</v>
      </c>
      <c r="AA1764" s="11">
        <f t="shared" si="59"/>
        <v>1</v>
      </c>
      <c r="AB1764" s="11">
        <v>2041</v>
      </c>
      <c r="AC1764" s="11">
        <v>2041</v>
      </c>
      <c r="AD1764" s="11">
        <v>2041</v>
      </c>
      <c r="AE1764" s="11">
        <v>2041</v>
      </c>
      <c r="AF1764" s="11">
        <v>0</v>
      </c>
      <c r="AG1764" s="19">
        <f>ROUND((Z1764*'Data-CostAssumptions'!$G$5)*(1+'Data-CostAssumptions'!$G$3)^(AC1764-'Data-CostAssumptions'!$G$4),-3)</f>
        <v>8000</v>
      </c>
      <c r="AH1764" s="19">
        <f>ROUND((Z1764)*(1+'Data-CostAssumptions'!$G$3)^(AE1764-'Data-CostAssumptions'!$G$4),-3)</f>
        <v>36000</v>
      </c>
    </row>
    <row r="1765" spans="1:34" ht="15" customHeight="1" x14ac:dyDescent="0.2">
      <c r="A1765" s="11"/>
      <c r="B1765" s="11" t="s">
        <v>1211</v>
      </c>
      <c r="C1765" s="11">
        <v>12257</v>
      </c>
      <c r="D1765" s="84" t="s">
        <v>282</v>
      </c>
      <c r="E1765" s="14"/>
      <c r="F1765" s="14"/>
      <c r="G1765" s="20">
        <v>1768</v>
      </c>
      <c r="H1765" s="13" t="s">
        <v>1880</v>
      </c>
      <c r="I1765" s="13" t="str">
        <f t="shared" si="60"/>
        <v>Johnson St (N 40th Av to )</v>
      </c>
      <c r="J1765" s="11" t="s">
        <v>27</v>
      </c>
      <c r="K1765" s="13" t="str">
        <f>VLOOKUP(J1765,'Data-ProjectTypes'!A$3:B$13,2,FALSE)</f>
        <v>Program</v>
      </c>
      <c r="L1765" s="142" t="s">
        <v>596</v>
      </c>
      <c r="M1765" s="11" t="s">
        <v>2358</v>
      </c>
      <c r="N1765" s="11"/>
      <c r="O1765" s="11"/>
      <c r="P1765" s="11"/>
      <c r="Q1765" s="79">
        <v>0</v>
      </c>
      <c r="R1765" s="143">
        <v>7500</v>
      </c>
      <c r="S1765" s="11"/>
      <c r="T1765" s="11"/>
      <c r="U1765" s="11"/>
      <c r="V1765" s="85" t="s">
        <v>662</v>
      </c>
      <c r="W1765" s="11"/>
      <c r="X1765" s="38"/>
      <c r="Z1765" s="18">
        <f>ROUND(R1765*'Data-CostAssumptions'!$C$10,-3)</f>
        <v>8000</v>
      </c>
      <c r="AA1765" s="11">
        <f t="shared" si="59"/>
        <v>1</v>
      </c>
      <c r="AB1765" s="11">
        <v>2041</v>
      </c>
      <c r="AC1765" s="11">
        <v>2041</v>
      </c>
      <c r="AD1765" s="11">
        <v>2041</v>
      </c>
      <c r="AE1765" s="11">
        <v>2041</v>
      </c>
      <c r="AF1765" s="11">
        <v>0</v>
      </c>
      <c r="AG1765" s="19">
        <f>ROUND((Z1765*'Data-CostAssumptions'!$G$5)*(1+'Data-CostAssumptions'!$G$3)^(AC1765-'Data-CostAssumptions'!$G$4),-3)</f>
        <v>5000</v>
      </c>
      <c r="AH1765" s="19">
        <f>ROUND((Z1765)*(1+'Data-CostAssumptions'!$G$3)^(AE1765-'Data-CostAssumptions'!$G$4),-3)</f>
        <v>21000</v>
      </c>
    </row>
    <row r="1766" spans="1:34" ht="15" customHeight="1" x14ac:dyDescent="0.2">
      <c r="A1766" s="11"/>
      <c r="B1766" s="11" t="s">
        <v>1211</v>
      </c>
      <c r="C1766" s="11">
        <v>12258</v>
      </c>
      <c r="D1766" s="84" t="s">
        <v>282</v>
      </c>
      <c r="E1766" s="14"/>
      <c r="F1766" s="14"/>
      <c r="G1766" s="20">
        <v>1769</v>
      </c>
      <c r="H1766" s="13" t="s">
        <v>1880</v>
      </c>
      <c r="I1766" s="13" t="str">
        <f t="shared" si="60"/>
        <v>Johnson St (N 35th Av to )</v>
      </c>
      <c r="J1766" s="11" t="s">
        <v>27</v>
      </c>
      <c r="K1766" s="13" t="str">
        <f>VLOOKUP(J1766,'Data-ProjectTypes'!A$3:B$13,2,FALSE)</f>
        <v>Program</v>
      </c>
      <c r="L1766" s="142" t="s">
        <v>597</v>
      </c>
      <c r="M1766" s="11" t="s">
        <v>2227</v>
      </c>
      <c r="N1766" s="11"/>
      <c r="O1766" s="11"/>
      <c r="P1766" s="11"/>
      <c r="Q1766" s="79">
        <v>0</v>
      </c>
      <c r="R1766" s="143">
        <v>7500</v>
      </c>
      <c r="S1766" s="11"/>
      <c r="T1766" s="11"/>
      <c r="U1766" s="11"/>
      <c r="V1766" s="85" t="s">
        <v>662</v>
      </c>
      <c r="W1766" s="11"/>
      <c r="X1766" s="11"/>
      <c r="Z1766" s="18">
        <f>ROUND(R1766*'Data-CostAssumptions'!$C$10,-3)</f>
        <v>8000</v>
      </c>
      <c r="AA1766" s="11">
        <f t="shared" si="59"/>
        <v>1</v>
      </c>
      <c r="AB1766" s="11">
        <v>2041</v>
      </c>
      <c r="AC1766" s="11">
        <v>2041</v>
      </c>
      <c r="AD1766" s="11">
        <v>2041</v>
      </c>
      <c r="AE1766" s="11">
        <v>2041</v>
      </c>
      <c r="AF1766" s="11">
        <v>0</v>
      </c>
      <c r="AG1766" s="19">
        <f>ROUND((Z1766*'Data-CostAssumptions'!$G$5)*(1+'Data-CostAssumptions'!$G$3)^(AC1766-'Data-CostAssumptions'!$G$4),-3)</f>
        <v>5000</v>
      </c>
      <c r="AH1766" s="19">
        <f>ROUND((Z1766)*(1+'Data-CostAssumptions'!$G$3)^(AE1766-'Data-CostAssumptions'!$G$4),-3)</f>
        <v>21000</v>
      </c>
    </row>
    <row r="1767" spans="1:34" ht="15" customHeight="1" x14ac:dyDescent="0.2">
      <c r="A1767" s="11"/>
      <c r="B1767" s="11" t="s">
        <v>1211</v>
      </c>
      <c r="C1767" s="11">
        <v>12261</v>
      </c>
      <c r="D1767" s="84" t="s">
        <v>282</v>
      </c>
      <c r="E1767" s="14"/>
      <c r="F1767" s="14"/>
      <c r="G1767" s="20">
        <v>1770</v>
      </c>
      <c r="H1767" s="13" t="s">
        <v>1880</v>
      </c>
      <c r="I1767" s="13" t="str">
        <f t="shared" si="60"/>
        <v>Johnson St (E of 31st Rd to C-10 Canal)</v>
      </c>
      <c r="J1767" s="11" t="s">
        <v>27</v>
      </c>
      <c r="K1767" s="13" t="str">
        <f>VLOOKUP(J1767,'Data-ProjectTypes'!A$3:B$13,2,FALSE)</f>
        <v>Program</v>
      </c>
      <c r="L1767" s="142" t="s">
        <v>600</v>
      </c>
      <c r="M1767" s="11" t="s">
        <v>2426</v>
      </c>
      <c r="N1767" s="11" t="s">
        <v>654</v>
      </c>
      <c r="O1767" s="11"/>
      <c r="P1767" s="11"/>
      <c r="Q1767" s="79">
        <v>0.2</v>
      </c>
      <c r="R1767" s="143">
        <f>ROUND('Data-CostAssumptions'!$C$23*Q1767,-1)</f>
        <v>29200</v>
      </c>
      <c r="S1767" s="11"/>
      <c r="T1767" s="11"/>
      <c r="U1767" s="11"/>
      <c r="V1767" s="85" t="s">
        <v>662</v>
      </c>
      <c r="W1767" s="11"/>
      <c r="X1767" s="11"/>
      <c r="Z1767" s="18">
        <f>ROUND(R1767*'Data-CostAssumptions'!$C$10,-3)</f>
        <v>29000</v>
      </c>
      <c r="AA1767" s="11">
        <f t="shared" si="59"/>
        <v>1</v>
      </c>
      <c r="AB1767" s="11">
        <v>2041</v>
      </c>
      <c r="AC1767" s="11">
        <v>2041</v>
      </c>
      <c r="AD1767" s="11">
        <v>2041</v>
      </c>
      <c r="AE1767" s="11">
        <v>2041</v>
      </c>
      <c r="AF1767" s="11">
        <v>0</v>
      </c>
      <c r="AG1767" s="19">
        <f>ROUND((Z1767*'Data-CostAssumptions'!$G$5)*(1+'Data-CostAssumptions'!$G$3)^(AC1767-'Data-CostAssumptions'!$G$4),-3)</f>
        <v>16000</v>
      </c>
      <c r="AH1767" s="19">
        <f>ROUND((Z1767)*(1+'Data-CostAssumptions'!$G$3)^(AE1767-'Data-CostAssumptions'!$G$4),-3)</f>
        <v>74000</v>
      </c>
    </row>
    <row r="1768" spans="1:34" ht="15" customHeight="1" x14ac:dyDescent="0.2">
      <c r="A1768" s="11"/>
      <c r="B1768" s="11" t="s">
        <v>1211</v>
      </c>
      <c r="C1768" s="11">
        <v>12262</v>
      </c>
      <c r="D1768" s="84" t="s">
        <v>282</v>
      </c>
      <c r="E1768" s="14"/>
      <c r="F1768" s="14"/>
      <c r="G1768" s="20">
        <v>1771</v>
      </c>
      <c r="H1768" s="13" t="s">
        <v>1880</v>
      </c>
      <c r="I1768" s="13" t="str">
        <f t="shared" si="60"/>
        <v>Johnson St (31st St to )</v>
      </c>
      <c r="J1768" s="11" t="s">
        <v>27</v>
      </c>
      <c r="K1768" s="13" t="str">
        <f>VLOOKUP(J1768,'Data-ProjectTypes'!A$3:B$13,2,FALSE)</f>
        <v>Program</v>
      </c>
      <c r="L1768" s="142" t="s">
        <v>601</v>
      </c>
      <c r="M1768" s="11" t="s">
        <v>2493</v>
      </c>
      <c r="N1768" s="11"/>
      <c r="O1768" s="11"/>
      <c r="P1768" s="11"/>
      <c r="Q1768" s="79"/>
      <c r="R1768" s="143">
        <f>ROUND('Data-CostAssumptions'!$C$26,-1)</f>
        <v>2500</v>
      </c>
      <c r="S1768" s="11"/>
      <c r="T1768" s="11"/>
      <c r="U1768" s="11"/>
      <c r="V1768" s="85" t="s">
        <v>662</v>
      </c>
      <c r="W1768" s="11"/>
      <c r="X1768" s="11"/>
      <c r="Z1768" s="18">
        <f>ROUND(R1768*'Data-CostAssumptions'!$C$10,-3)</f>
        <v>3000</v>
      </c>
      <c r="AA1768" s="11">
        <f t="shared" si="59"/>
        <v>1</v>
      </c>
      <c r="AB1768" s="11">
        <v>2041</v>
      </c>
      <c r="AC1768" s="11">
        <v>2041</v>
      </c>
      <c r="AD1768" s="11">
        <v>2041</v>
      </c>
      <c r="AE1768" s="11">
        <v>2041</v>
      </c>
      <c r="AF1768" s="11">
        <v>0</v>
      </c>
      <c r="AG1768" s="19">
        <f>ROUND((Z1768*'Data-CostAssumptions'!$G$5)*(1+'Data-CostAssumptions'!$G$3)^(AC1768-'Data-CostAssumptions'!$G$4),-3)</f>
        <v>2000</v>
      </c>
      <c r="AH1768" s="19">
        <f>ROUND((Z1768)*(1+'Data-CostAssumptions'!$G$3)^(AE1768-'Data-CostAssumptions'!$G$4),-3)</f>
        <v>8000</v>
      </c>
    </row>
    <row r="1769" spans="1:34" ht="15" customHeight="1" x14ac:dyDescent="0.2">
      <c r="A1769" s="11"/>
      <c r="B1769" s="11" t="s">
        <v>1211</v>
      </c>
      <c r="C1769" s="11">
        <v>12265</v>
      </c>
      <c r="D1769" s="84" t="s">
        <v>282</v>
      </c>
      <c r="E1769" s="14"/>
      <c r="F1769" s="14"/>
      <c r="G1769" s="20">
        <v>1772</v>
      </c>
      <c r="H1769" s="13" t="s">
        <v>2813</v>
      </c>
      <c r="I1769" s="13" t="str">
        <f t="shared" si="60"/>
        <v>SR 820/Hollywood Bl (62nd Av to )</v>
      </c>
      <c r="J1769" s="11" t="s">
        <v>27</v>
      </c>
      <c r="K1769" s="13" t="str">
        <f>VLOOKUP(J1769,'Data-ProjectTypes'!A$3:B$13,2,FALSE)</f>
        <v>Program</v>
      </c>
      <c r="L1769" s="142" t="s">
        <v>604</v>
      </c>
      <c r="M1769" s="11" t="s">
        <v>2013</v>
      </c>
      <c r="N1769" s="11"/>
      <c r="O1769" s="11"/>
      <c r="P1769" s="11"/>
      <c r="Q1769" s="79">
        <v>0</v>
      </c>
      <c r="R1769" s="143">
        <v>10000</v>
      </c>
      <c r="S1769" s="11"/>
      <c r="T1769" s="11"/>
      <c r="U1769" s="11"/>
      <c r="V1769" s="85" t="s">
        <v>662</v>
      </c>
      <c r="W1769" s="11"/>
      <c r="X1769" s="11"/>
      <c r="Z1769" s="18">
        <f>ROUND(R1769*'Data-CostAssumptions'!$C$10,-3)</f>
        <v>10000</v>
      </c>
      <c r="AA1769" s="11">
        <f t="shared" si="59"/>
        <v>1</v>
      </c>
      <c r="AB1769" s="11">
        <v>2041</v>
      </c>
      <c r="AC1769" s="11">
        <v>2041</v>
      </c>
      <c r="AD1769" s="11">
        <v>2041</v>
      </c>
      <c r="AE1769" s="11">
        <v>2041</v>
      </c>
      <c r="AF1769" s="11">
        <v>0</v>
      </c>
      <c r="AG1769" s="19">
        <f>ROUND((Z1769*'Data-CostAssumptions'!$G$5)*(1+'Data-CostAssumptions'!$G$3)^(AC1769-'Data-CostAssumptions'!$G$4),-3)</f>
        <v>6000</v>
      </c>
      <c r="AH1769" s="19">
        <f>ROUND((Z1769)*(1+'Data-CostAssumptions'!$G$3)^(AE1769-'Data-CostAssumptions'!$G$4),-3)</f>
        <v>26000</v>
      </c>
    </row>
    <row r="1770" spans="1:34" ht="15" customHeight="1" x14ac:dyDescent="0.2">
      <c r="A1770" s="11"/>
      <c r="B1770" s="11" t="s">
        <v>1211</v>
      </c>
      <c r="C1770" s="11">
        <v>12267</v>
      </c>
      <c r="D1770" s="84" t="s">
        <v>282</v>
      </c>
      <c r="E1770" s="14"/>
      <c r="F1770" s="14"/>
      <c r="G1770" s="20">
        <v>1773</v>
      </c>
      <c r="H1770" s="13" t="s">
        <v>1971</v>
      </c>
      <c r="I1770" s="13" t="str">
        <f t="shared" si="60"/>
        <v>Washington St (SR 7 to )</v>
      </c>
      <c r="J1770" s="11" t="s">
        <v>27</v>
      </c>
      <c r="K1770" s="13" t="str">
        <f>VLOOKUP(J1770,'Data-ProjectTypes'!A$3:B$13,2,FALSE)</f>
        <v>Program</v>
      </c>
      <c r="L1770" s="142" t="s">
        <v>606</v>
      </c>
      <c r="M1770" s="11" t="s">
        <v>53</v>
      </c>
      <c r="N1770" s="11"/>
      <c r="O1770" s="11"/>
      <c r="P1770" s="11"/>
      <c r="Q1770" s="79">
        <v>0</v>
      </c>
      <c r="R1770" s="143">
        <f>ROUND('Data-CostAssumptions'!$C$26,-1)</f>
        <v>2500</v>
      </c>
      <c r="S1770" s="11"/>
      <c r="T1770" s="11"/>
      <c r="U1770" s="11"/>
      <c r="V1770" s="85" t="s">
        <v>662</v>
      </c>
      <c r="W1770" s="11"/>
      <c r="X1770" s="11"/>
      <c r="Z1770" s="18">
        <f>ROUND(R1770*'Data-CostAssumptions'!$C$10,-3)</f>
        <v>3000</v>
      </c>
      <c r="AA1770" s="11">
        <f t="shared" si="59"/>
        <v>1</v>
      </c>
      <c r="AB1770" s="11">
        <v>2041</v>
      </c>
      <c r="AC1770" s="11">
        <v>2041</v>
      </c>
      <c r="AD1770" s="11">
        <v>2041</v>
      </c>
      <c r="AE1770" s="11">
        <v>2041</v>
      </c>
      <c r="AF1770" s="11">
        <v>0</v>
      </c>
      <c r="AG1770" s="19">
        <f>ROUND((Z1770*'Data-CostAssumptions'!$G$5)*(1+'Data-CostAssumptions'!$G$3)^(AC1770-'Data-CostAssumptions'!$G$4),-3)</f>
        <v>2000</v>
      </c>
      <c r="AH1770" s="19">
        <f>ROUND((Z1770)*(1+'Data-CostAssumptions'!$G$3)^(AE1770-'Data-CostAssumptions'!$G$4),-3)</f>
        <v>8000</v>
      </c>
    </row>
    <row r="1771" spans="1:34" ht="15" customHeight="1" x14ac:dyDescent="0.2">
      <c r="A1771" s="11"/>
      <c r="B1771" s="11" t="s">
        <v>1211</v>
      </c>
      <c r="C1771" s="11">
        <v>12271</v>
      </c>
      <c r="D1771" s="84" t="s">
        <v>282</v>
      </c>
      <c r="E1771" s="14"/>
      <c r="F1771" s="14"/>
      <c r="G1771" s="20">
        <v>1774</v>
      </c>
      <c r="H1771" s="13" t="s">
        <v>2813</v>
      </c>
      <c r="I1771" s="13" t="str">
        <f t="shared" si="60"/>
        <v>SR 820/Hollywood Bl (58th Av to )</v>
      </c>
      <c r="J1771" s="11" t="s">
        <v>27</v>
      </c>
      <c r="K1771" s="13" t="str">
        <f>VLOOKUP(J1771,'Data-ProjectTypes'!A$3:B$13,2,FALSE)</f>
        <v>Program</v>
      </c>
      <c r="L1771" s="142" t="s">
        <v>610</v>
      </c>
      <c r="M1771" s="11" t="s">
        <v>2012</v>
      </c>
      <c r="N1771" s="11"/>
      <c r="O1771" s="11"/>
      <c r="P1771" s="11"/>
      <c r="Q1771" s="79">
        <v>0</v>
      </c>
      <c r="R1771" s="143">
        <f>ROUND('Data-CostAssumptions'!$C$26,-1)</f>
        <v>2500</v>
      </c>
      <c r="S1771" s="11"/>
      <c r="T1771" s="11"/>
      <c r="U1771" s="11"/>
      <c r="V1771" s="85" t="s">
        <v>662</v>
      </c>
      <c r="W1771" s="11"/>
      <c r="X1771" s="11"/>
      <c r="Z1771" s="18">
        <f>ROUND(R1771*'Data-CostAssumptions'!$C$10,-3)</f>
        <v>3000</v>
      </c>
      <c r="AA1771" s="11">
        <f t="shared" si="59"/>
        <v>1</v>
      </c>
      <c r="AB1771" s="11">
        <v>2041</v>
      </c>
      <c r="AC1771" s="11">
        <v>2041</v>
      </c>
      <c r="AD1771" s="11">
        <v>2041</v>
      </c>
      <c r="AE1771" s="11">
        <v>2041</v>
      </c>
      <c r="AF1771" s="11">
        <v>0</v>
      </c>
      <c r="AG1771" s="19">
        <f>ROUND((Z1771*'Data-CostAssumptions'!$G$5)*(1+'Data-CostAssumptions'!$G$3)^(AC1771-'Data-CostAssumptions'!$G$4),-3)</f>
        <v>2000</v>
      </c>
      <c r="AH1771" s="19">
        <f>ROUND((Z1771)*(1+'Data-CostAssumptions'!$G$3)^(AE1771-'Data-CostAssumptions'!$G$4),-3)</f>
        <v>8000</v>
      </c>
    </row>
    <row r="1772" spans="1:34" s="83" customFormat="1" ht="15" customHeight="1" x14ac:dyDescent="0.2">
      <c r="A1772" s="76"/>
      <c r="B1772" s="76" t="s">
        <v>1211</v>
      </c>
      <c r="C1772" s="76">
        <v>12272</v>
      </c>
      <c r="D1772" s="144" t="s">
        <v>282</v>
      </c>
      <c r="E1772" s="77"/>
      <c r="F1772" s="77"/>
      <c r="G1772" s="20">
        <v>1775</v>
      </c>
      <c r="H1772" s="47" t="s">
        <v>2813</v>
      </c>
      <c r="I1772" s="47" t="str">
        <f t="shared" si="60"/>
        <v>SR 820/Hollywood Bl (56th Av to )</v>
      </c>
      <c r="J1772" s="76" t="s">
        <v>27</v>
      </c>
      <c r="K1772" s="47" t="str">
        <f>VLOOKUP(J1772,'Data-ProjectTypes'!A$3:B$13,2,FALSE)</f>
        <v>Program</v>
      </c>
      <c r="L1772" s="142" t="s">
        <v>611</v>
      </c>
      <c r="M1772" s="76" t="s">
        <v>2011</v>
      </c>
      <c r="N1772" s="76"/>
      <c r="O1772" s="76"/>
      <c r="P1772" s="76"/>
      <c r="Q1772" s="79">
        <v>0</v>
      </c>
      <c r="R1772" s="143">
        <v>25000</v>
      </c>
      <c r="S1772" s="76"/>
      <c r="T1772" s="76"/>
      <c r="U1772" s="76"/>
      <c r="V1772" s="142" t="s">
        <v>662</v>
      </c>
      <c r="W1772" s="76"/>
      <c r="X1772" s="145"/>
      <c r="Z1772" s="146">
        <f>ROUND(R1772*'Data-CostAssumptions'!$C$10,-3)</f>
        <v>25000</v>
      </c>
      <c r="AA1772" s="11">
        <f t="shared" si="59"/>
        <v>1</v>
      </c>
      <c r="AB1772" s="11">
        <v>2041</v>
      </c>
      <c r="AC1772" s="11">
        <v>2041</v>
      </c>
      <c r="AD1772" s="11">
        <v>2041</v>
      </c>
      <c r="AE1772" s="11">
        <v>2041</v>
      </c>
      <c r="AF1772" s="11">
        <v>0</v>
      </c>
      <c r="AG1772" s="19">
        <f>ROUND((Z1772*'Data-CostAssumptions'!$G$5)*(1+'Data-CostAssumptions'!$G$3)^(AC1772-'Data-CostAssumptions'!$G$4),-3)</f>
        <v>14000</v>
      </c>
      <c r="AH1772" s="19">
        <f>ROUND((Z1772)*(1+'Data-CostAssumptions'!$G$3)^(AE1772-'Data-CostAssumptions'!$G$4),-3)</f>
        <v>64000</v>
      </c>
    </row>
    <row r="1773" spans="1:34" ht="15" customHeight="1" x14ac:dyDescent="0.2">
      <c r="A1773" s="11"/>
      <c r="B1773" s="11" t="s">
        <v>1211</v>
      </c>
      <c r="C1773" s="11">
        <v>12273</v>
      </c>
      <c r="D1773" s="84" t="s">
        <v>282</v>
      </c>
      <c r="E1773" s="14"/>
      <c r="F1773" s="14"/>
      <c r="G1773" s="20">
        <v>1776</v>
      </c>
      <c r="H1773" s="13" t="s">
        <v>2813</v>
      </c>
      <c r="I1773" s="13" t="str">
        <f t="shared" si="60"/>
        <v>SR 820/Hollywood Bl (52nd Av to )</v>
      </c>
      <c r="J1773" s="11" t="s">
        <v>27</v>
      </c>
      <c r="K1773" s="13" t="str">
        <f>VLOOKUP(J1773,'Data-ProjectTypes'!A$3:B$13,2,FALSE)</f>
        <v>Program</v>
      </c>
      <c r="L1773" s="142" t="s">
        <v>612</v>
      </c>
      <c r="M1773" s="11" t="s">
        <v>2350</v>
      </c>
      <c r="N1773" s="11"/>
      <c r="O1773" s="11"/>
      <c r="P1773" s="11"/>
      <c r="Q1773" s="79">
        <v>0</v>
      </c>
      <c r="R1773" s="143">
        <v>25000</v>
      </c>
      <c r="S1773" s="11"/>
      <c r="T1773" s="11"/>
      <c r="U1773" s="11"/>
      <c r="V1773" s="85" t="s">
        <v>662</v>
      </c>
      <c r="W1773" s="11"/>
      <c r="X1773" s="11"/>
      <c r="Z1773" s="18">
        <f>ROUND(R1773*'Data-CostAssumptions'!$C$10,-3)</f>
        <v>25000</v>
      </c>
      <c r="AA1773" s="11">
        <f t="shared" si="59"/>
        <v>1</v>
      </c>
      <c r="AB1773" s="11">
        <v>2041</v>
      </c>
      <c r="AC1773" s="11">
        <v>2041</v>
      </c>
      <c r="AD1773" s="11">
        <v>2041</v>
      </c>
      <c r="AE1773" s="11">
        <v>2041</v>
      </c>
      <c r="AF1773" s="11">
        <v>0</v>
      </c>
      <c r="AG1773" s="19">
        <f>ROUND((Z1773*'Data-CostAssumptions'!$G$5)*(1+'Data-CostAssumptions'!$G$3)^(AC1773-'Data-CostAssumptions'!$G$4),-3)</f>
        <v>14000</v>
      </c>
      <c r="AH1773" s="19">
        <f>ROUND((Z1773)*(1+'Data-CostAssumptions'!$G$3)^(AE1773-'Data-CostAssumptions'!$G$4),-3)</f>
        <v>64000</v>
      </c>
    </row>
    <row r="1774" spans="1:34" ht="15" customHeight="1" x14ac:dyDescent="0.2">
      <c r="A1774" s="11"/>
      <c r="B1774" s="11" t="s">
        <v>1211</v>
      </c>
      <c r="C1774" s="11">
        <v>12274</v>
      </c>
      <c r="D1774" s="84" t="s">
        <v>282</v>
      </c>
      <c r="E1774" s="14"/>
      <c r="F1774" s="14"/>
      <c r="G1774" s="20">
        <v>1777</v>
      </c>
      <c r="H1774" s="13" t="s">
        <v>2813</v>
      </c>
      <c r="I1774" s="13" t="str">
        <f t="shared" si="60"/>
        <v>SR 820/Hollywood Bl (46th Av to )</v>
      </c>
      <c r="J1774" s="11" t="s">
        <v>27</v>
      </c>
      <c r="K1774" s="13" t="str">
        <f>VLOOKUP(J1774,'Data-ProjectTypes'!A$3:B$13,2,FALSE)</f>
        <v>Program</v>
      </c>
      <c r="L1774" s="142" t="s">
        <v>613</v>
      </c>
      <c r="M1774" s="11" t="s">
        <v>2010</v>
      </c>
      <c r="N1774" s="11"/>
      <c r="O1774" s="11"/>
      <c r="P1774" s="11"/>
      <c r="Q1774" s="79">
        <v>0</v>
      </c>
      <c r="R1774" s="143">
        <v>25000</v>
      </c>
      <c r="S1774" s="11"/>
      <c r="T1774" s="11"/>
      <c r="U1774" s="11"/>
      <c r="V1774" s="85" t="s">
        <v>662</v>
      </c>
      <c r="W1774" s="11"/>
      <c r="X1774" s="11"/>
      <c r="Z1774" s="18">
        <f>ROUND(R1774*'Data-CostAssumptions'!$C$10,-3)</f>
        <v>25000</v>
      </c>
      <c r="AA1774" s="11">
        <f t="shared" si="59"/>
        <v>1</v>
      </c>
      <c r="AB1774" s="11">
        <v>2041</v>
      </c>
      <c r="AC1774" s="11">
        <v>2041</v>
      </c>
      <c r="AD1774" s="11">
        <v>2041</v>
      </c>
      <c r="AE1774" s="11">
        <v>2041</v>
      </c>
      <c r="AF1774" s="11">
        <v>0</v>
      </c>
      <c r="AG1774" s="19">
        <f>ROUND((Z1774*'Data-CostAssumptions'!$G$5)*(1+'Data-CostAssumptions'!$G$3)^(AC1774-'Data-CostAssumptions'!$G$4),-3)</f>
        <v>14000</v>
      </c>
      <c r="AH1774" s="19">
        <f>ROUND((Z1774)*(1+'Data-CostAssumptions'!$G$3)^(AE1774-'Data-CostAssumptions'!$G$4),-3)</f>
        <v>64000</v>
      </c>
    </row>
    <row r="1775" spans="1:34" ht="15" customHeight="1" x14ac:dyDescent="0.2">
      <c r="A1775" s="11"/>
      <c r="B1775" s="11" t="s">
        <v>1211</v>
      </c>
      <c r="C1775" s="11">
        <v>12275</v>
      </c>
      <c r="D1775" s="84" t="s">
        <v>282</v>
      </c>
      <c r="E1775" s="14"/>
      <c r="F1775" s="14"/>
      <c r="G1775" s="20">
        <v>1778</v>
      </c>
      <c r="H1775" s="13" t="s">
        <v>2012</v>
      </c>
      <c r="I1775" s="13" t="str">
        <f t="shared" si="60"/>
        <v>58th Av (Hollywood Bl to Johnson St)</v>
      </c>
      <c r="J1775" s="11" t="s">
        <v>27</v>
      </c>
      <c r="K1775" s="13" t="str">
        <f>VLOOKUP(J1775,'Data-ProjectTypes'!A$3:B$13,2,FALSE)</f>
        <v>Program</v>
      </c>
      <c r="L1775" s="142" t="s">
        <v>614</v>
      </c>
      <c r="M1775" s="11" t="s">
        <v>1820</v>
      </c>
      <c r="N1775" s="11" t="s">
        <v>1880</v>
      </c>
      <c r="O1775" s="11"/>
      <c r="P1775" s="11"/>
      <c r="Q1775" s="79">
        <v>0.5</v>
      </c>
      <c r="R1775" s="143">
        <f>ROUND('Data-CostAssumptions'!$C$23*Q1775,-1)</f>
        <v>73000</v>
      </c>
      <c r="S1775" s="11"/>
      <c r="T1775" s="11"/>
      <c r="U1775" s="11"/>
      <c r="V1775" s="85" t="s">
        <v>662</v>
      </c>
      <c r="W1775" s="11"/>
      <c r="X1775" s="11"/>
      <c r="Z1775" s="18">
        <f>ROUND(R1775*'Data-CostAssumptions'!$C$10,-3)</f>
        <v>73000</v>
      </c>
      <c r="AA1775" s="11">
        <f t="shared" si="59"/>
        <v>1</v>
      </c>
      <c r="AB1775" s="11">
        <v>2041</v>
      </c>
      <c r="AC1775" s="11">
        <v>2041</v>
      </c>
      <c r="AD1775" s="11">
        <v>2041</v>
      </c>
      <c r="AE1775" s="11">
        <v>2041</v>
      </c>
      <c r="AF1775" s="11">
        <v>0</v>
      </c>
      <c r="AG1775" s="19">
        <f>ROUND((Z1775*'Data-CostAssumptions'!$G$5)*(1+'Data-CostAssumptions'!$G$3)^(AC1775-'Data-CostAssumptions'!$G$4),-3)</f>
        <v>41000</v>
      </c>
      <c r="AH1775" s="19">
        <f>ROUND((Z1775)*(1+'Data-CostAssumptions'!$G$3)^(AE1775-'Data-CostAssumptions'!$G$4),-3)</f>
        <v>187000</v>
      </c>
    </row>
    <row r="1776" spans="1:34" ht="15" customHeight="1" x14ac:dyDescent="0.2">
      <c r="A1776" s="11"/>
      <c r="B1776" s="11" t="s">
        <v>1211</v>
      </c>
      <c r="C1776" s="11">
        <v>12276</v>
      </c>
      <c r="D1776" s="84" t="s">
        <v>282</v>
      </c>
      <c r="E1776" s="14"/>
      <c r="F1776" s="14"/>
      <c r="G1776" s="20">
        <v>1779</v>
      </c>
      <c r="H1776" s="13" t="s">
        <v>1879</v>
      </c>
      <c r="I1776" s="13" t="str">
        <f t="shared" si="60"/>
        <v>Fillmore St (62nd Av to N 56th Av)</v>
      </c>
      <c r="J1776" s="11" t="s">
        <v>27</v>
      </c>
      <c r="K1776" s="13" t="str">
        <f>VLOOKUP(J1776,'Data-ProjectTypes'!A$3:B$13,2,FALSE)</f>
        <v>Program</v>
      </c>
      <c r="L1776" s="142" t="s">
        <v>615</v>
      </c>
      <c r="M1776" s="11" t="s">
        <v>2013</v>
      </c>
      <c r="N1776" s="11" t="s">
        <v>2220</v>
      </c>
      <c r="O1776" s="11"/>
      <c r="P1776" s="11"/>
      <c r="Q1776" s="79">
        <v>0.76</v>
      </c>
      <c r="R1776" s="143">
        <f>ROUND('Data-CostAssumptions'!$C$23*Q1776,-1)</f>
        <v>110960</v>
      </c>
      <c r="S1776" s="11"/>
      <c r="T1776" s="11"/>
      <c r="U1776" s="11"/>
      <c r="V1776" s="85" t="s">
        <v>662</v>
      </c>
      <c r="W1776" s="11"/>
      <c r="X1776" s="11"/>
      <c r="Z1776" s="18">
        <f>ROUND(R1776*'Data-CostAssumptions'!$C$10,-3)</f>
        <v>111000</v>
      </c>
      <c r="AA1776" s="11">
        <f t="shared" si="59"/>
        <v>1</v>
      </c>
      <c r="AB1776" s="11">
        <v>2041</v>
      </c>
      <c r="AC1776" s="11">
        <v>2041</v>
      </c>
      <c r="AD1776" s="11">
        <v>2041</v>
      </c>
      <c r="AE1776" s="11">
        <v>2041</v>
      </c>
      <c r="AF1776" s="11">
        <v>0</v>
      </c>
      <c r="AG1776" s="19">
        <f>ROUND((Z1776*'Data-CostAssumptions'!$G$5)*(1+'Data-CostAssumptions'!$G$3)^(AC1776-'Data-CostAssumptions'!$G$4),-3)</f>
        <v>63000</v>
      </c>
      <c r="AH1776" s="19">
        <f>ROUND((Z1776)*(1+'Data-CostAssumptions'!$G$3)^(AE1776-'Data-CostAssumptions'!$G$4),-3)</f>
        <v>285000</v>
      </c>
    </row>
    <row r="1777" spans="1:34" s="83" customFormat="1" ht="15" customHeight="1" x14ac:dyDescent="0.2">
      <c r="A1777" s="76"/>
      <c r="B1777" s="76" t="s">
        <v>1211</v>
      </c>
      <c r="C1777" s="76">
        <v>12282</v>
      </c>
      <c r="D1777" s="144" t="s">
        <v>282</v>
      </c>
      <c r="E1777" s="77"/>
      <c r="F1777" s="77"/>
      <c r="G1777" s="20">
        <v>1780</v>
      </c>
      <c r="H1777" s="47" t="s">
        <v>1880</v>
      </c>
      <c r="I1777" s="47" t="str">
        <f t="shared" si="60"/>
        <v>Johnson St (Federal Hwy to N 8th Av)</v>
      </c>
      <c r="J1777" s="76" t="s">
        <v>27</v>
      </c>
      <c r="K1777" s="47" t="str">
        <f>VLOOKUP(J1777,'Data-ProjectTypes'!A$3:B$13,2,FALSE)</f>
        <v>Program</v>
      </c>
      <c r="L1777" s="142" t="s">
        <v>621</v>
      </c>
      <c r="M1777" s="76" t="s">
        <v>2595</v>
      </c>
      <c r="N1777" s="76" t="s">
        <v>2228</v>
      </c>
      <c r="O1777" s="76"/>
      <c r="P1777" s="76"/>
      <c r="Q1777" s="79">
        <v>1.4</v>
      </c>
      <c r="R1777" s="143">
        <f>ROUND('Data-CostAssumptions'!$C$23*Q1777,-1)</f>
        <v>204400</v>
      </c>
      <c r="S1777" s="76"/>
      <c r="T1777" s="76"/>
      <c r="U1777" s="76"/>
      <c r="V1777" s="142" t="s">
        <v>662</v>
      </c>
      <c r="W1777" s="76"/>
      <c r="X1777" s="76"/>
      <c r="Z1777" s="146">
        <f>ROUND(R1777*'Data-CostAssumptions'!$C$10,-3)</f>
        <v>204000</v>
      </c>
      <c r="AA1777" s="11">
        <f t="shared" si="59"/>
        <v>1</v>
      </c>
      <c r="AB1777" s="11">
        <v>2041</v>
      </c>
      <c r="AC1777" s="11">
        <v>2041</v>
      </c>
      <c r="AD1777" s="11">
        <v>2041</v>
      </c>
      <c r="AE1777" s="11">
        <v>2041</v>
      </c>
      <c r="AF1777" s="11">
        <v>0</v>
      </c>
      <c r="AG1777" s="19">
        <f>ROUND((Z1777*'Data-CostAssumptions'!$G$5)*(1+'Data-CostAssumptions'!$G$3)^(AC1777-'Data-CostAssumptions'!$G$4),-3)</f>
        <v>115000</v>
      </c>
      <c r="AH1777" s="19">
        <f>ROUND((Z1777)*(1+'Data-CostAssumptions'!$G$3)^(AE1777-'Data-CostAssumptions'!$G$4),-3)</f>
        <v>523000</v>
      </c>
    </row>
    <row r="1778" spans="1:34" ht="15" customHeight="1" x14ac:dyDescent="0.2">
      <c r="A1778" s="11"/>
      <c r="B1778" s="11" t="s">
        <v>1211</v>
      </c>
      <c r="C1778" s="11">
        <v>12291</v>
      </c>
      <c r="D1778" s="84" t="s">
        <v>282</v>
      </c>
      <c r="E1778" s="14"/>
      <c r="F1778" s="14"/>
      <c r="G1778" s="20">
        <v>1781</v>
      </c>
      <c r="H1778" s="13" t="s">
        <v>2813</v>
      </c>
      <c r="I1778" s="13" t="str">
        <f t="shared" si="60"/>
        <v>SR 820/Hollywood Bl (S 35th Av to )</v>
      </c>
      <c r="J1778" s="11" t="s">
        <v>27</v>
      </c>
      <c r="K1778" s="13" t="str">
        <f>VLOOKUP(J1778,'Data-ProjectTypes'!A$3:B$13,2,FALSE)</f>
        <v>Program</v>
      </c>
      <c r="L1778" s="142" t="s">
        <v>629</v>
      </c>
      <c r="M1778" s="11" t="s">
        <v>2351</v>
      </c>
      <c r="N1778" s="11"/>
      <c r="O1778" s="11"/>
      <c r="P1778" s="11"/>
      <c r="Q1778" s="79">
        <v>0</v>
      </c>
      <c r="R1778" s="143">
        <v>25000</v>
      </c>
      <c r="S1778" s="11"/>
      <c r="T1778" s="11"/>
      <c r="U1778" s="11"/>
      <c r="V1778" s="85" t="s">
        <v>662</v>
      </c>
      <c r="W1778" s="11"/>
      <c r="X1778" s="11"/>
      <c r="Z1778" s="18">
        <f>ROUND(R1778*'Data-CostAssumptions'!$C$10,-3)</f>
        <v>25000</v>
      </c>
      <c r="AA1778" s="11">
        <f t="shared" si="59"/>
        <v>1</v>
      </c>
      <c r="AB1778" s="11">
        <v>2041</v>
      </c>
      <c r="AC1778" s="11">
        <v>2041</v>
      </c>
      <c r="AD1778" s="11">
        <v>2041</v>
      </c>
      <c r="AE1778" s="11">
        <v>2041</v>
      </c>
      <c r="AF1778" s="11">
        <v>0</v>
      </c>
      <c r="AG1778" s="19">
        <f>ROUND((Z1778*'Data-CostAssumptions'!$G$5)*(1+'Data-CostAssumptions'!$G$3)^(AC1778-'Data-CostAssumptions'!$G$4),-3)</f>
        <v>14000</v>
      </c>
      <c r="AH1778" s="19">
        <f>ROUND((Z1778)*(1+'Data-CostAssumptions'!$G$3)^(AE1778-'Data-CostAssumptions'!$G$4),-3)</f>
        <v>64000</v>
      </c>
    </row>
    <row r="1779" spans="1:34" ht="15" customHeight="1" x14ac:dyDescent="0.2">
      <c r="A1779" s="11"/>
      <c r="B1779" s="11" t="s">
        <v>1211</v>
      </c>
      <c r="C1779" s="11">
        <v>12292</v>
      </c>
      <c r="D1779" s="84" t="s">
        <v>282</v>
      </c>
      <c r="E1779" s="14"/>
      <c r="F1779" s="14"/>
      <c r="G1779" s="20">
        <v>1782</v>
      </c>
      <c r="H1779" s="13" t="s">
        <v>2813</v>
      </c>
      <c r="I1779" s="13" t="str">
        <f t="shared" si="60"/>
        <v>SR 820/Hollywood Bl (Entrada Dr to )</v>
      </c>
      <c r="J1779" s="11" t="s">
        <v>27</v>
      </c>
      <c r="K1779" s="13" t="str">
        <f>VLOOKUP(J1779,'Data-ProjectTypes'!A$3:B$13,2,FALSE)</f>
        <v>Program</v>
      </c>
      <c r="L1779" s="142" t="s">
        <v>630</v>
      </c>
      <c r="M1779" s="11" t="s">
        <v>2656</v>
      </c>
      <c r="N1779" s="11"/>
      <c r="O1779" s="11"/>
      <c r="P1779" s="11"/>
      <c r="Q1779" s="79">
        <v>0</v>
      </c>
      <c r="R1779" s="143">
        <v>25000</v>
      </c>
      <c r="S1779" s="11"/>
      <c r="T1779" s="11"/>
      <c r="U1779" s="11"/>
      <c r="V1779" s="85" t="s">
        <v>662</v>
      </c>
      <c r="W1779" s="11"/>
      <c r="X1779" s="11"/>
      <c r="Z1779" s="18">
        <f>ROUND(R1779*'Data-CostAssumptions'!$C$10,-3)</f>
        <v>25000</v>
      </c>
      <c r="AA1779" s="11">
        <f t="shared" si="59"/>
        <v>1</v>
      </c>
      <c r="AB1779" s="11">
        <v>2041</v>
      </c>
      <c r="AC1779" s="11">
        <v>2041</v>
      </c>
      <c r="AD1779" s="11">
        <v>2041</v>
      </c>
      <c r="AE1779" s="11">
        <v>2041</v>
      </c>
      <c r="AF1779" s="11">
        <v>0</v>
      </c>
      <c r="AG1779" s="19">
        <f>ROUND((Z1779*'Data-CostAssumptions'!$G$5)*(1+'Data-CostAssumptions'!$G$3)^(AC1779-'Data-CostAssumptions'!$G$4),-3)</f>
        <v>14000</v>
      </c>
      <c r="AH1779" s="19">
        <f>ROUND((Z1779)*(1+'Data-CostAssumptions'!$G$3)^(AE1779-'Data-CostAssumptions'!$G$4),-3)</f>
        <v>64000</v>
      </c>
    </row>
    <row r="1780" spans="1:34" s="83" customFormat="1" ht="15" customHeight="1" x14ac:dyDescent="0.2">
      <c r="A1780" s="76"/>
      <c r="B1780" s="76" t="s">
        <v>1211</v>
      </c>
      <c r="C1780" s="76">
        <v>12293</v>
      </c>
      <c r="D1780" s="144" t="s">
        <v>282</v>
      </c>
      <c r="E1780" s="77"/>
      <c r="F1780" s="77"/>
      <c r="G1780" s="20">
        <v>1783</v>
      </c>
      <c r="H1780" s="47" t="s">
        <v>2813</v>
      </c>
      <c r="I1780" s="47" t="str">
        <f t="shared" si="60"/>
        <v>SR 820/Hollywood Bl (West of RR Tracks to )</v>
      </c>
      <c r="J1780" s="76" t="s">
        <v>27</v>
      </c>
      <c r="K1780" s="47" t="str">
        <f>VLOOKUP(J1780,'Data-ProjectTypes'!A$3:B$13,2,FALSE)</f>
        <v>Program</v>
      </c>
      <c r="L1780" s="142" t="s">
        <v>631</v>
      </c>
      <c r="M1780" s="76" t="s">
        <v>655</v>
      </c>
      <c r="N1780" s="76"/>
      <c r="O1780" s="76"/>
      <c r="P1780" s="76"/>
      <c r="Q1780" s="79">
        <v>0</v>
      </c>
      <c r="R1780" s="143">
        <v>250000</v>
      </c>
      <c r="S1780" s="76"/>
      <c r="T1780" s="76"/>
      <c r="U1780" s="76"/>
      <c r="V1780" s="142" t="s">
        <v>662</v>
      </c>
      <c r="W1780" s="76"/>
      <c r="X1780" s="145"/>
      <c r="Z1780" s="146">
        <f>ROUND(R1780*'Data-CostAssumptions'!$C$10,-3)</f>
        <v>250000</v>
      </c>
      <c r="AA1780" s="11">
        <f t="shared" si="59"/>
        <v>1</v>
      </c>
      <c r="AB1780" s="11">
        <v>2041</v>
      </c>
      <c r="AC1780" s="11">
        <v>2041</v>
      </c>
      <c r="AD1780" s="11">
        <v>2041</v>
      </c>
      <c r="AE1780" s="11">
        <v>2041</v>
      </c>
      <c r="AF1780" s="11">
        <v>0</v>
      </c>
      <c r="AG1780" s="19">
        <f>ROUND((Z1780*'Data-CostAssumptions'!$G$5)*(1+'Data-CostAssumptions'!$G$3)^(AC1780-'Data-CostAssumptions'!$G$4),-3)</f>
        <v>141000</v>
      </c>
      <c r="AH1780" s="19">
        <f>ROUND((Z1780)*(1+'Data-CostAssumptions'!$G$3)^(AE1780-'Data-CostAssumptions'!$G$4),-3)</f>
        <v>641000</v>
      </c>
    </row>
    <row r="1781" spans="1:34" ht="15" customHeight="1" x14ac:dyDescent="0.2">
      <c r="A1781" s="11"/>
      <c r="B1781" s="11" t="s">
        <v>1211</v>
      </c>
      <c r="C1781" s="11">
        <v>12294</v>
      </c>
      <c r="D1781" s="84" t="s">
        <v>282</v>
      </c>
      <c r="E1781" s="14"/>
      <c r="F1781" s="14"/>
      <c r="G1781" s="20">
        <v>1784</v>
      </c>
      <c r="H1781" s="13" t="s">
        <v>2813</v>
      </c>
      <c r="I1781" s="13" t="str">
        <f t="shared" si="60"/>
        <v>SR 820/Hollywood Bl (I-95 SB On-Ramp to )</v>
      </c>
      <c r="J1781" s="11" t="s">
        <v>27</v>
      </c>
      <c r="K1781" s="13" t="str">
        <f>VLOOKUP(J1781,'Data-ProjectTypes'!A$3:B$13,2,FALSE)</f>
        <v>Program</v>
      </c>
      <c r="L1781" s="142" t="s">
        <v>632</v>
      </c>
      <c r="M1781" s="11" t="s">
        <v>656</v>
      </c>
      <c r="N1781" s="11"/>
      <c r="O1781" s="11"/>
      <c r="P1781" s="11"/>
      <c r="Q1781" s="79">
        <v>0</v>
      </c>
      <c r="R1781" s="143">
        <v>50000</v>
      </c>
      <c r="S1781" s="11"/>
      <c r="T1781" s="11"/>
      <c r="U1781" s="11"/>
      <c r="V1781" s="85" t="s">
        <v>662</v>
      </c>
      <c r="W1781" s="11"/>
      <c r="X1781" s="11"/>
      <c r="Z1781" s="18">
        <f>ROUND(R1781*'Data-CostAssumptions'!$C$10,-3)</f>
        <v>50000</v>
      </c>
      <c r="AA1781" s="11">
        <f t="shared" si="59"/>
        <v>1</v>
      </c>
      <c r="AB1781" s="11">
        <v>2041</v>
      </c>
      <c r="AC1781" s="11">
        <v>2041</v>
      </c>
      <c r="AD1781" s="11">
        <v>2041</v>
      </c>
      <c r="AE1781" s="11">
        <v>2041</v>
      </c>
      <c r="AF1781" s="11">
        <v>0</v>
      </c>
      <c r="AG1781" s="19">
        <f>ROUND((Z1781*'Data-CostAssumptions'!$G$5)*(1+'Data-CostAssumptions'!$G$3)^(AC1781-'Data-CostAssumptions'!$G$4),-3)</f>
        <v>28000</v>
      </c>
      <c r="AH1781" s="19">
        <f>ROUND((Z1781)*(1+'Data-CostAssumptions'!$G$3)^(AE1781-'Data-CostAssumptions'!$G$4),-3)</f>
        <v>128000</v>
      </c>
    </row>
    <row r="1782" spans="1:34" ht="15" customHeight="1" x14ac:dyDescent="0.2">
      <c r="A1782" s="11"/>
      <c r="B1782" s="11" t="s">
        <v>1211</v>
      </c>
      <c r="C1782" s="11">
        <v>12296</v>
      </c>
      <c r="D1782" s="84" t="s">
        <v>282</v>
      </c>
      <c r="E1782" s="14"/>
      <c r="F1782" s="14"/>
      <c r="G1782" s="20">
        <v>1785</v>
      </c>
      <c r="H1782" s="13" t="s">
        <v>2813</v>
      </c>
      <c r="I1782" s="13" t="str">
        <f t="shared" si="60"/>
        <v>SR 820/Hollywood Bl (I-95 NB On-Ramp to )</v>
      </c>
      <c r="J1782" s="11" t="s">
        <v>27</v>
      </c>
      <c r="K1782" s="13" t="str">
        <f>VLOOKUP(J1782,'Data-ProjectTypes'!A$3:B$13,2,FALSE)</f>
        <v>Program</v>
      </c>
      <c r="L1782" s="142" t="s">
        <v>632</v>
      </c>
      <c r="M1782" s="11" t="s">
        <v>658</v>
      </c>
      <c r="N1782" s="11"/>
      <c r="O1782" s="11"/>
      <c r="P1782" s="11"/>
      <c r="Q1782" s="79">
        <v>0</v>
      </c>
      <c r="R1782" s="143">
        <v>50000</v>
      </c>
      <c r="S1782" s="11"/>
      <c r="T1782" s="11"/>
      <c r="U1782" s="11"/>
      <c r="V1782" s="85" t="s">
        <v>662</v>
      </c>
      <c r="W1782" s="11"/>
      <c r="X1782" s="11"/>
      <c r="Z1782" s="18">
        <f>ROUND(R1782*'Data-CostAssumptions'!$C$10,-3)</f>
        <v>50000</v>
      </c>
      <c r="AA1782" s="11">
        <f t="shared" si="59"/>
        <v>1</v>
      </c>
      <c r="AB1782" s="11">
        <v>2041</v>
      </c>
      <c r="AC1782" s="11">
        <v>2041</v>
      </c>
      <c r="AD1782" s="11">
        <v>2041</v>
      </c>
      <c r="AE1782" s="11">
        <v>2041</v>
      </c>
      <c r="AF1782" s="11">
        <v>0</v>
      </c>
      <c r="AG1782" s="19">
        <f>ROUND((Z1782*'Data-CostAssumptions'!$G$5)*(1+'Data-CostAssumptions'!$G$3)^(AC1782-'Data-CostAssumptions'!$G$4),-3)</f>
        <v>28000</v>
      </c>
      <c r="AH1782" s="19">
        <f>ROUND((Z1782)*(1+'Data-CostAssumptions'!$G$3)^(AE1782-'Data-CostAssumptions'!$G$4),-3)</f>
        <v>128000</v>
      </c>
    </row>
    <row r="1783" spans="1:34" ht="15" customHeight="1" x14ac:dyDescent="0.2">
      <c r="A1783" s="11"/>
      <c r="B1783" s="11" t="s">
        <v>1211</v>
      </c>
      <c r="C1783" s="11">
        <v>12297</v>
      </c>
      <c r="D1783" s="84" t="s">
        <v>282</v>
      </c>
      <c r="E1783" s="14"/>
      <c r="F1783" s="14"/>
      <c r="G1783" s="20">
        <v>1786</v>
      </c>
      <c r="H1783" s="13" t="s">
        <v>2813</v>
      </c>
      <c r="I1783" s="13" t="str">
        <f t="shared" si="60"/>
        <v>SR 820/Hollywood Bl (I-95 NB Off-Ramp to )</v>
      </c>
      <c r="J1783" s="11" t="s">
        <v>27</v>
      </c>
      <c r="K1783" s="13" t="str">
        <f>VLOOKUP(J1783,'Data-ProjectTypes'!A$3:B$13,2,FALSE)</f>
        <v>Program</v>
      </c>
      <c r="L1783" s="142" t="s">
        <v>634</v>
      </c>
      <c r="M1783" s="11" t="s">
        <v>659</v>
      </c>
      <c r="N1783" s="11"/>
      <c r="O1783" s="11"/>
      <c r="P1783" s="11"/>
      <c r="Q1783" s="79">
        <v>0</v>
      </c>
      <c r="R1783" s="143">
        <v>50000</v>
      </c>
      <c r="S1783" s="11"/>
      <c r="T1783" s="11"/>
      <c r="U1783" s="11"/>
      <c r="V1783" s="85" t="s">
        <v>662</v>
      </c>
      <c r="W1783" s="11"/>
      <c r="X1783" s="11"/>
      <c r="Z1783" s="18">
        <f>ROUND(R1783*'Data-CostAssumptions'!$C$10,-3)</f>
        <v>50000</v>
      </c>
      <c r="AA1783" s="11">
        <f t="shared" si="59"/>
        <v>1</v>
      </c>
      <c r="AB1783" s="11">
        <v>2041</v>
      </c>
      <c r="AC1783" s="11">
        <v>2041</v>
      </c>
      <c r="AD1783" s="11">
        <v>2041</v>
      </c>
      <c r="AE1783" s="11">
        <v>2041</v>
      </c>
      <c r="AF1783" s="11">
        <v>0</v>
      </c>
      <c r="AG1783" s="19">
        <f>ROUND((Z1783*'Data-CostAssumptions'!$G$5)*(1+'Data-CostAssumptions'!$G$3)^(AC1783-'Data-CostAssumptions'!$G$4),-3)</f>
        <v>28000</v>
      </c>
      <c r="AH1783" s="19">
        <f>ROUND((Z1783)*(1+'Data-CostAssumptions'!$G$3)^(AE1783-'Data-CostAssumptions'!$G$4),-3)</f>
        <v>128000</v>
      </c>
    </row>
    <row r="1784" spans="1:34" ht="15" customHeight="1" x14ac:dyDescent="0.2">
      <c r="A1784" s="11"/>
      <c r="B1784" s="11" t="s">
        <v>1211</v>
      </c>
      <c r="C1784" s="11">
        <v>12298</v>
      </c>
      <c r="D1784" s="84" t="s">
        <v>282</v>
      </c>
      <c r="E1784" s="14"/>
      <c r="F1784" s="14"/>
      <c r="G1784" s="20">
        <v>1787</v>
      </c>
      <c r="H1784" s="13" t="s">
        <v>2813</v>
      </c>
      <c r="I1784" s="13" t="str">
        <f t="shared" si="60"/>
        <v>SR 820/Hollywood Bl (I-95 Northbound Ramps to )</v>
      </c>
      <c r="J1784" s="11" t="s">
        <v>27</v>
      </c>
      <c r="K1784" s="13" t="str">
        <f>VLOOKUP(J1784,'Data-ProjectTypes'!A$3:B$13,2,FALSE)</f>
        <v>Program</v>
      </c>
      <c r="L1784" s="142" t="s">
        <v>635</v>
      </c>
      <c r="M1784" s="11" t="s">
        <v>660</v>
      </c>
      <c r="N1784" s="11"/>
      <c r="O1784" s="11"/>
      <c r="P1784" s="11"/>
      <c r="Q1784" s="79">
        <v>0</v>
      </c>
      <c r="R1784" s="143">
        <v>25000</v>
      </c>
      <c r="S1784" s="11"/>
      <c r="T1784" s="11"/>
      <c r="U1784" s="11"/>
      <c r="V1784" s="85" t="s">
        <v>662</v>
      </c>
      <c r="W1784" s="11"/>
      <c r="X1784" s="38"/>
      <c r="Z1784" s="18">
        <f>ROUND(R1784*'Data-CostAssumptions'!$C$10,-3)</f>
        <v>25000</v>
      </c>
      <c r="AA1784" s="11">
        <f t="shared" si="59"/>
        <v>1</v>
      </c>
      <c r="AB1784" s="11">
        <v>2041</v>
      </c>
      <c r="AC1784" s="11">
        <v>2041</v>
      </c>
      <c r="AD1784" s="11">
        <v>2041</v>
      </c>
      <c r="AE1784" s="11">
        <v>2041</v>
      </c>
      <c r="AF1784" s="11">
        <v>0</v>
      </c>
      <c r="AG1784" s="19">
        <f>ROUND((Z1784*'Data-CostAssumptions'!$G$5)*(1+'Data-CostAssumptions'!$G$3)^(AC1784-'Data-CostAssumptions'!$G$4),-3)</f>
        <v>14000</v>
      </c>
      <c r="AH1784" s="19">
        <f>ROUND((Z1784)*(1+'Data-CostAssumptions'!$G$3)^(AE1784-'Data-CostAssumptions'!$G$4),-3)</f>
        <v>64000</v>
      </c>
    </row>
    <row r="1785" spans="1:34" ht="15" customHeight="1" x14ac:dyDescent="0.2">
      <c r="A1785" s="11"/>
      <c r="B1785" s="11" t="s">
        <v>1211</v>
      </c>
      <c r="C1785" s="11">
        <v>12302</v>
      </c>
      <c r="D1785" s="84" t="s">
        <v>282</v>
      </c>
      <c r="E1785" s="14"/>
      <c r="F1785" s="14"/>
      <c r="G1785" s="20">
        <v>1788</v>
      </c>
      <c r="H1785" s="13" t="s">
        <v>1970</v>
      </c>
      <c r="I1785" s="13" t="str">
        <f t="shared" si="60"/>
        <v>Van Buren St (24th Av to )</v>
      </c>
      <c r="J1785" s="11" t="s">
        <v>27</v>
      </c>
      <c r="K1785" s="13" t="str">
        <f>VLOOKUP(J1785,'Data-ProjectTypes'!A$3:B$13,2,FALSE)</f>
        <v>Program</v>
      </c>
      <c r="L1785" s="142" t="s">
        <v>639</v>
      </c>
      <c r="M1785" s="11" t="s">
        <v>2008</v>
      </c>
      <c r="N1785" s="11"/>
      <c r="O1785" s="11"/>
      <c r="P1785" s="11"/>
      <c r="Q1785" s="79">
        <v>0</v>
      </c>
      <c r="R1785" s="143">
        <v>20000</v>
      </c>
      <c r="S1785" s="11"/>
      <c r="T1785" s="11"/>
      <c r="U1785" s="11"/>
      <c r="V1785" s="85" t="s">
        <v>662</v>
      </c>
      <c r="W1785" s="11"/>
      <c r="X1785" s="11"/>
      <c r="Z1785" s="18">
        <f>ROUND(R1785*'Data-CostAssumptions'!$C$10,-3)</f>
        <v>20000</v>
      </c>
      <c r="AA1785" s="11">
        <f t="shared" si="59"/>
        <v>1</v>
      </c>
      <c r="AB1785" s="11">
        <v>2041</v>
      </c>
      <c r="AC1785" s="11">
        <v>2041</v>
      </c>
      <c r="AD1785" s="11">
        <v>2041</v>
      </c>
      <c r="AE1785" s="11">
        <v>2041</v>
      </c>
      <c r="AF1785" s="11">
        <v>0</v>
      </c>
      <c r="AG1785" s="19">
        <f>ROUND((Z1785*'Data-CostAssumptions'!$G$5)*(1+'Data-CostAssumptions'!$G$3)^(AC1785-'Data-CostAssumptions'!$G$4),-3)</f>
        <v>11000</v>
      </c>
      <c r="AH1785" s="19">
        <f>ROUND((Z1785)*(1+'Data-CostAssumptions'!$G$3)^(AE1785-'Data-CostAssumptions'!$G$4),-3)</f>
        <v>51000</v>
      </c>
    </row>
    <row r="1786" spans="1:34" s="83" customFormat="1" ht="15" customHeight="1" x14ac:dyDescent="0.2">
      <c r="A1786" s="76"/>
      <c r="B1786" s="76" t="s">
        <v>1211</v>
      </c>
      <c r="C1786" s="76">
        <v>12304</v>
      </c>
      <c r="D1786" s="144" t="s">
        <v>282</v>
      </c>
      <c r="E1786" s="77"/>
      <c r="F1786" s="77"/>
      <c r="G1786" s="20">
        <v>1789</v>
      </c>
      <c r="H1786" s="47" t="s">
        <v>1936</v>
      </c>
      <c r="I1786" s="47" t="str">
        <f t="shared" si="60"/>
        <v>Polk St (24th Av to )</v>
      </c>
      <c r="J1786" s="76" t="s">
        <v>27</v>
      </c>
      <c r="K1786" s="47" t="str">
        <f>VLOOKUP(J1786,'Data-ProjectTypes'!A$3:B$13,2,FALSE)</f>
        <v>Program</v>
      </c>
      <c r="L1786" s="142" t="s">
        <v>641</v>
      </c>
      <c r="M1786" s="76" t="s">
        <v>2008</v>
      </c>
      <c r="N1786" s="76"/>
      <c r="O1786" s="76"/>
      <c r="P1786" s="76"/>
      <c r="Q1786" s="79">
        <v>0</v>
      </c>
      <c r="R1786" s="143">
        <v>25000</v>
      </c>
      <c r="S1786" s="76"/>
      <c r="T1786" s="76"/>
      <c r="U1786" s="76"/>
      <c r="V1786" s="142" t="s">
        <v>662</v>
      </c>
      <c r="W1786" s="76"/>
      <c r="X1786" s="76"/>
      <c r="Z1786" s="146">
        <f>ROUND(R1786*'Data-CostAssumptions'!$C$10,-3)</f>
        <v>25000</v>
      </c>
      <c r="AA1786" s="11">
        <f t="shared" si="59"/>
        <v>1</v>
      </c>
      <c r="AB1786" s="11">
        <v>2041</v>
      </c>
      <c r="AC1786" s="11">
        <v>2041</v>
      </c>
      <c r="AD1786" s="11">
        <v>2041</v>
      </c>
      <c r="AE1786" s="11">
        <v>2041</v>
      </c>
      <c r="AF1786" s="11">
        <v>0</v>
      </c>
      <c r="AG1786" s="19">
        <f>ROUND((Z1786*'Data-CostAssumptions'!$G$5)*(1+'Data-CostAssumptions'!$G$3)^(AC1786-'Data-CostAssumptions'!$G$4),-3)</f>
        <v>14000</v>
      </c>
      <c r="AH1786" s="19">
        <f>ROUND((Z1786)*(1+'Data-CostAssumptions'!$G$3)^(AE1786-'Data-CostAssumptions'!$G$4),-3)</f>
        <v>64000</v>
      </c>
    </row>
    <row r="1787" spans="1:34" ht="15" customHeight="1" x14ac:dyDescent="0.2">
      <c r="A1787" s="11"/>
      <c r="B1787" s="11" t="s">
        <v>1211</v>
      </c>
      <c r="C1787" s="11">
        <v>12308</v>
      </c>
      <c r="D1787" s="84" t="s">
        <v>282</v>
      </c>
      <c r="E1787" s="14"/>
      <c r="F1787" s="14"/>
      <c r="G1787" s="20">
        <v>1790</v>
      </c>
      <c r="H1787" s="13" t="s">
        <v>2005</v>
      </c>
      <c r="I1787" s="13" t="str">
        <f t="shared" si="60"/>
        <v>13th Av (Washington St to Johnson St)</v>
      </c>
      <c r="J1787" s="11" t="s">
        <v>27</v>
      </c>
      <c r="K1787" s="13" t="str">
        <f>VLOOKUP(J1787,'Data-ProjectTypes'!A$3:B$13,2,FALSE)</f>
        <v>Program</v>
      </c>
      <c r="L1787" s="142" t="s">
        <v>645</v>
      </c>
      <c r="M1787" s="11" t="s">
        <v>1971</v>
      </c>
      <c r="N1787" s="11" t="s">
        <v>1880</v>
      </c>
      <c r="O1787" s="11"/>
      <c r="P1787" s="11"/>
      <c r="Q1787" s="79">
        <v>1</v>
      </c>
      <c r="R1787" s="143">
        <f>ROUND('Data-CostAssumptions'!$C$23*'Data-Projects-All'!Q1744,-1)</f>
        <v>36500</v>
      </c>
      <c r="S1787" s="11"/>
      <c r="T1787" s="11"/>
      <c r="U1787" s="11"/>
      <c r="V1787" s="85" t="s">
        <v>662</v>
      </c>
      <c r="W1787" s="11"/>
      <c r="X1787" s="11"/>
      <c r="Z1787" s="18">
        <f>ROUND(R1787*'Data-CostAssumptions'!$C$10,-3)</f>
        <v>37000</v>
      </c>
      <c r="AA1787" s="11">
        <f t="shared" si="59"/>
        <v>1</v>
      </c>
      <c r="AB1787" s="11">
        <v>2041</v>
      </c>
      <c r="AC1787" s="11">
        <v>2041</v>
      </c>
      <c r="AD1787" s="11">
        <v>2041</v>
      </c>
      <c r="AE1787" s="11">
        <v>2041</v>
      </c>
      <c r="AF1787" s="11">
        <v>0</v>
      </c>
      <c r="AG1787" s="19">
        <f>ROUND((Z1787*'Data-CostAssumptions'!$G$5)*(1+'Data-CostAssumptions'!$G$3)^(AC1787-'Data-CostAssumptions'!$G$4),-3)</f>
        <v>21000</v>
      </c>
      <c r="AH1787" s="19">
        <f>ROUND((Z1787)*(1+'Data-CostAssumptions'!$G$3)^(AE1787-'Data-CostAssumptions'!$G$4),-3)</f>
        <v>95000</v>
      </c>
    </row>
    <row r="1788" spans="1:34" ht="15" customHeight="1" x14ac:dyDescent="0.2">
      <c r="A1788" s="66"/>
      <c r="B1788" s="66" t="s">
        <v>1211</v>
      </c>
      <c r="C1788" s="66">
        <v>12309</v>
      </c>
      <c r="D1788" s="86" t="s">
        <v>282</v>
      </c>
      <c r="E1788" s="14"/>
      <c r="F1788" s="14"/>
      <c r="G1788" s="20">
        <v>1791</v>
      </c>
      <c r="H1788" s="67" t="s">
        <v>2813</v>
      </c>
      <c r="I1788" s="67" t="str">
        <f t="shared" si="60"/>
        <v>SR 820/Hollywood Bl (8th Av to )</v>
      </c>
      <c r="J1788" s="66" t="s">
        <v>27</v>
      </c>
      <c r="K1788" s="67" t="str">
        <f>VLOOKUP(J1788,'Data-ProjectTypes'!A$3:B$13,2,FALSE)</f>
        <v>Program</v>
      </c>
      <c r="L1788" s="87" t="s">
        <v>646</v>
      </c>
      <c r="M1788" s="11" t="s">
        <v>2352</v>
      </c>
      <c r="N1788" s="11"/>
      <c r="O1788" s="11"/>
      <c r="P1788" s="11"/>
      <c r="Q1788" s="74"/>
      <c r="R1788" s="70"/>
      <c r="S1788" s="66"/>
      <c r="T1788" s="11"/>
      <c r="U1788" s="11"/>
      <c r="V1788" s="87" t="s">
        <v>662</v>
      </c>
      <c r="W1788" s="11"/>
      <c r="X1788" s="11"/>
      <c r="Y1788" s="83" t="s">
        <v>3102</v>
      </c>
      <c r="Z1788" s="71">
        <f>ROUND(R1788*'Data-CostAssumptions'!$C$10,-3)</f>
        <v>0</v>
      </c>
      <c r="AA1788" s="11">
        <f t="shared" si="59"/>
        <v>1</v>
      </c>
      <c r="AB1788" s="11">
        <v>2041</v>
      </c>
      <c r="AC1788" s="11">
        <v>2041</v>
      </c>
      <c r="AD1788" s="11">
        <v>2041</v>
      </c>
      <c r="AE1788" s="11">
        <v>2041</v>
      </c>
      <c r="AF1788" s="11">
        <v>0</v>
      </c>
      <c r="AG1788" s="19">
        <f>ROUND((Z1788*'Data-CostAssumptions'!$G$5)*(1+'Data-CostAssumptions'!$G$3)^(AC1788-'Data-CostAssumptions'!$G$4),-3)</f>
        <v>0</v>
      </c>
      <c r="AH1788" s="19">
        <f>ROUND((Z1788)*(1+'Data-CostAssumptions'!$G$3)^(AE1788-'Data-CostAssumptions'!$G$4),-3)</f>
        <v>0</v>
      </c>
    </row>
    <row r="1789" spans="1:34" ht="15" customHeight="1" x14ac:dyDescent="0.2">
      <c r="A1789" s="11"/>
      <c r="B1789" s="11" t="s">
        <v>1211</v>
      </c>
      <c r="C1789" s="11">
        <v>12312</v>
      </c>
      <c r="D1789" s="84" t="s">
        <v>282</v>
      </c>
      <c r="E1789" s="14"/>
      <c r="F1789" s="14"/>
      <c r="G1789" s="20">
        <v>1792</v>
      </c>
      <c r="H1789" s="13" t="s">
        <v>110</v>
      </c>
      <c r="I1789" s="13" t="str">
        <f t="shared" si="60"/>
        <v>SR A1A (Hollywood Bl to )</v>
      </c>
      <c r="J1789" s="11" t="s">
        <v>27</v>
      </c>
      <c r="K1789" s="13" t="str">
        <f>VLOOKUP(J1789,'Data-ProjectTypes'!A$3:B$13,2,FALSE)</f>
        <v>Program</v>
      </c>
      <c r="L1789" s="142" t="s">
        <v>649</v>
      </c>
      <c r="M1789" s="11" t="s">
        <v>1820</v>
      </c>
      <c r="N1789" s="11"/>
      <c r="O1789" s="11"/>
      <c r="P1789" s="11"/>
      <c r="Q1789" s="79">
        <v>0</v>
      </c>
      <c r="R1789" s="147">
        <v>25000</v>
      </c>
      <c r="S1789" s="11"/>
      <c r="T1789" s="11"/>
      <c r="U1789" s="11"/>
      <c r="V1789" s="85" t="s">
        <v>662</v>
      </c>
      <c r="W1789" s="11"/>
      <c r="X1789" s="11"/>
      <c r="Z1789" s="18">
        <f>ROUND(R1789*'Data-CostAssumptions'!$C$10,-3)</f>
        <v>25000</v>
      </c>
      <c r="AA1789" s="11">
        <f t="shared" si="59"/>
        <v>1</v>
      </c>
      <c r="AB1789" s="11">
        <v>2041</v>
      </c>
      <c r="AC1789" s="11">
        <v>2041</v>
      </c>
      <c r="AD1789" s="11">
        <v>2041</v>
      </c>
      <c r="AE1789" s="11">
        <v>2041</v>
      </c>
      <c r="AF1789" s="11">
        <v>0</v>
      </c>
      <c r="AG1789" s="19">
        <f>ROUND((Z1789*'Data-CostAssumptions'!$G$5)*(1+'Data-CostAssumptions'!$G$3)^(AC1789-'Data-CostAssumptions'!$G$4),-3)</f>
        <v>14000</v>
      </c>
      <c r="AH1789" s="19">
        <f>ROUND((Z1789)*(1+'Data-CostAssumptions'!$G$3)^(AE1789-'Data-CostAssumptions'!$G$4),-3)</f>
        <v>64000</v>
      </c>
    </row>
    <row r="1790" spans="1:34" ht="15" customHeight="1" x14ac:dyDescent="0.2">
      <c r="A1790" s="11"/>
      <c r="B1790" s="11" t="s">
        <v>1211</v>
      </c>
      <c r="C1790" s="11">
        <v>12313</v>
      </c>
      <c r="D1790" s="84" t="s">
        <v>282</v>
      </c>
      <c r="E1790" s="14"/>
      <c r="F1790" s="14"/>
      <c r="G1790" s="20">
        <v>1793</v>
      </c>
      <c r="H1790" s="13" t="s">
        <v>110</v>
      </c>
      <c r="I1790" s="13" t="str">
        <f t="shared" ref="I1790:I1821" si="61">IF(M1790="@",H1790&amp;" ("&amp;M1790&amp;"  "&amp;N1790&amp;")",H1790&amp;" ("&amp;M1790&amp;" to "&amp;N1790&amp;")")</f>
        <v>SR A1A (Indiana St to )</v>
      </c>
      <c r="J1790" s="11" t="s">
        <v>27</v>
      </c>
      <c r="K1790" s="13" t="str">
        <f>VLOOKUP(J1790,'Data-ProjectTypes'!A$3:B$13,2,FALSE)</f>
        <v>Program</v>
      </c>
      <c r="L1790" s="142" t="s">
        <v>650</v>
      </c>
      <c r="M1790" s="11" t="s">
        <v>2563</v>
      </c>
      <c r="N1790" s="11"/>
      <c r="O1790" s="11"/>
      <c r="P1790" s="11"/>
      <c r="Q1790" s="79">
        <v>0</v>
      </c>
      <c r="R1790" s="143">
        <v>50000</v>
      </c>
      <c r="S1790" s="11"/>
      <c r="T1790" s="11"/>
      <c r="U1790" s="11"/>
      <c r="V1790" s="85" t="s">
        <v>662</v>
      </c>
      <c r="W1790" s="11"/>
      <c r="X1790" s="11"/>
      <c r="Z1790" s="18">
        <f>ROUND(R1790*'Data-CostAssumptions'!$C$10,-3)</f>
        <v>50000</v>
      </c>
      <c r="AA1790" s="11">
        <f t="shared" si="59"/>
        <v>1</v>
      </c>
      <c r="AB1790" s="11">
        <v>2041</v>
      </c>
      <c r="AC1790" s="11">
        <v>2041</v>
      </c>
      <c r="AD1790" s="11">
        <v>2041</v>
      </c>
      <c r="AE1790" s="11">
        <v>2041</v>
      </c>
      <c r="AF1790" s="11">
        <v>0</v>
      </c>
      <c r="AG1790" s="19">
        <f>ROUND((Z1790*'Data-CostAssumptions'!$G$5)*(1+'Data-CostAssumptions'!$G$3)^(AC1790-'Data-CostAssumptions'!$G$4),-3)</f>
        <v>28000</v>
      </c>
      <c r="AH1790" s="19">
        <f>ROUND((Z1790)*(1+'Data-CostAssumptions'!$G$3)^(AE1790-'Data-CostAssumptions'!$G$4),-3)</f>
        <v>128000</v>
      </c>
    </row>
    <row r="1791" spans="1:34" ht="15" customHeight="1" x14ac:dyDescent="0.2">
      <c r="A1791" s="11"/>
      <c r="B1791" s="11" t="s">
        <v>1211</v>
      </c>
      <c r="C1791" s="11">
        <v>12314</v>
      </c>
      <c r="D1791" s="84" t="s">
        <v>282</v>
      </c>
      <c r="E1791" s="14"/>
      <c r="F1791" s="14"/>
      <c r="G1791" s="20">
        <v>1794</v>
      </c>
      <c r="H1791" s="13" t="s">
        <v>110</v>
      </c>
      <c r="I1791" s="13" t="str">
        <f t="shared" si="61"/>
        <v>SR A1A (Johnson St to )</v>
      </c>
      <c r="J1791" s="11" t="s">
        <v>27</v>
      </c>
      <c r="K1791" s="13" t="str">
        <f>VLOOKUP(J1791,'Data-ProjectTypes'!A$3:B$13,2,FALSE)</f>
        <v>Program</v>
      </c>
      <c r="L1791" s="142" t="s">
        <v>651</v>
      </c>
      <c r="M1791" s="11" t="s">
        <v>1880</v>
      </c>
      <c r="N1791" s="11"/>
      <c r="O1791" s="11"/>
      <c r="P1791" s="11"/>
      <c r="Q1791" s="79">
        <v>0</v>
      </c>
      <c r="R1791" s="143">
        <v>50000</v>
      </c>
      <c r="S1791" s="11"/>
      <c r="T1791" s="11"/>
      <c r="U1791" s="11"/>
      <c r="V1791" s="85" t="s">
        <v>662</v>
      </c>
      <c r="W1791" s="11"/>
      <c r="X1791" s="11"/>
      <c r="Z1791" s="18">
        <f>ROUND(R1791*'Data-CostAssumptions'!$C$10,-3)</f>
        <v>50000</v>
      </c>
      <c r="AA1791" s="11">
        <f t="shared" ref="AA1791:AA1854" si="62">IF(V1791="",IF(W1791="",0,1),1)</f>
        <v>1</v>
      </c>
      <c r="AB1791" s="11">
        <v>2041</v>
      </c>
      <c r="AC1791" s="11">
        <v>2041</v>
      </c>
      <c r="AD1791" s="11">
        <v>2041</v>
      </c>
      <c r="AE1791" s="11">
        <v>2041</v>
      </c>
      <c r="AF1791" s="11">
        <v>0</v>
      </c>
      <c r="AG1791" s="19">
        <f>ROUND((Z1791*'Data-CostAssumptions'!$G$5)*(1+'Data-CostAssumptions'!$G$3)^(AC1791-'Data-CostAssumptions'!$G$4),-3)</f>
        <v>28000</v>
      </c>
      <c r="AH1791" s="19">
        <f>ROUND((Z1791)*(1+'Data-CostAssumptions'!$G$3)^(AE1791-'Data-CostAssumptions'!$G$4),-3)</f>
        <v>128000</v>
      </c>
    </row>
    <row r="1792" spans="1:34" ht="15" customHeight="1" x14ac:dyDescent="0.2">
      <c r="A1792" s="11"/>
      <c r="B1792" s="11" t="s">
        <v>1211</v>
      </c>
      <c r="C1792" s="11">
        <v>12264</v>
      </c>
      <c r="D1792" s="84" t="s">
        <v>282</v>
      </c>
      <c r="E1792" s="14"/>
      <c r="F1792" s="14"/>
      <c r="G1792" s="20">
        <v>1795</v>
      </c>
      <c r="H1792" s="13" t="s">
        <v>2813</v>
      </c>
      <c r="I1792" s="13" t="str">
        <f t="shared" si="61"/>
        <v>SR 820/Hollywood Bl (62nd Av to )</v>
      </c>
      <c r="J1792" s="11" t="s">
        <v>300</v>
      </c>
      <c r="K1792" s="13" t="str">
        <f>VLOOKUP(J1792,'Data-ProjectTypes'!A$3:B$13,2,FALSE)</f>
        <v>Project</v>
      </c>
      <c r="L1792" s="142" t="s">
        <v>603</v>
      </c>
      <c r="M1792" s="11" t="s">
        <v>2013</v>
      </c>
      <c r="N1792" s="11"/>
      <c r="O1792" s="11"/>
      <c r="P1792" s="11"/>
      <c r="Q1792" s="79"/>
      <c r="R1792" s="143">
        <f>'Data-CostAssumptions'!$C$30*0.75</f>
        <v>150000</v>
      </c>
      <c r="S1792" s="11"/>
      <c r="T1792" s="11"/>
      <c r="U1792" s="11"/>
      <c r="V1792" s="85" t="s">
        <v>662</v>
      </c>
      <c r="W1792" s="11"/>
      <c r="X1792" s="11"/>
      <c r="Z1792" s="18">
        <f>ROUND(R1792*'Data-CostAssumptions'!$C$10,-3)</f>
        <v>150000</v>
      </c>
      <c r="AA1792" s="11">
        <f t="shared" si="62"/>
        <v>1</v>
      </c>
      <c r="AB1792" s="11">
        <v>2041</v>
      </c>
      <c r="AC1792" s="11">
        <v>2041</v>
      </c>
      <c r="AD1792" s="11">
        <v>2041</v>
      </c>
      <c r="AE1792" s="11">
        <v>2041</v>
      </c>
      <c r="AF1792" s="11">
        <v>0</v>
      </c>
      <c r="AG1792" s="19">
        <f>ROUND((Z1792*'Data-CostAssumptions'!$G$5)*(1+'Data-CostAssumptions'!$G$3)^(AC1792-'Data-CostAssumptions'!$G$4),-3)</f>
        <v>85000</v>
      </c>
      <c r="AH1792" s="19">
        <f>ROUND((Z1792)*(1+'Data-CostAssumptions'!$G$3)^(AE1792-'Data-CostAssumptions'!$G$4),-3)</f>
        <v>385000</v>
      </c>
    </row>
    <row r="1793" spans="1:34" ht="15" customHeight="1" x14ac:dyDescent="0.2">
      <c r="A1793" s="66"/>
      <c r="B1793" s="66" t="s">
        <v>1211</v>
      </c>
      <c r="C1793" s="66">
        <v>12280</v>
      </c>
      <c r="D1793" s="86" t="s">
        <v>282</v>
      </c>
      <c r="E1793" s="14"/>
      <c r="F1793" s="14"/>
      <c r="G1793" s="20">
        <v>1796</v>
      </c>
      <c r="H1793" s="67" t="s">
        <v>1880</v>
      </c>
      <c r="I1793" s="67" t="str">
        <f t="shared" si="61"/>
        <v>Johnson St (C-10 Canal to Federal Hwy)</v>
      </c>
      <c r="J1793" s="66" t="s">
        <v>300</v>
      </c>
      <c r="K1793" s="67" t="str">
        <f>VLOOKUP(J1793,'Data-ProjectTypes'!A$3:B$13,2,FALSE)</f>
        <v>Project</v>
      </c>
      <c r="L1793" s="87" t="s">
        <v>619</v>
      </c>
      <c r="M1793" s="11" t="s">
        <v>654</v>
      </c>
      <c r="N1793" s="11" t="s">
        <v>2595</v>
      </c>
      <c r="O1793" s="11"/>
      <c r="P1793" s="11"/>
      <c r="Q1793" s="74">
        <v>1.7</v>
      </c>
      <c r="R1793" s="70"/>
      <c r="S1793" s="66"/>
      <c r="T1793" s="11"/>
      <c r="U1793" s="11"/>
      <c r="V1793" s="87" t="s">
        <v>662</v>
      </c>
      <c r="W1793" s="11"/>
      <c r="X1793" s="11"/>
      <c r="Y1793" s="83" t="s">
        <v>3103</v>
      </c>
      <c r="Z1793" s="71">
        <f>ROUND(R1793*'Data-CostAssumptions'!$C$10,-3)</f>
        <v>0</v>
      </c>
      <c r="AA1793" s="11">
        <f t="shared" si="62"/>
        <v>1</v>
      </c>
      <c r="AB1793" s="11">
        <v>2041</v>
      </c>
      <c r="AC1793" s="11">
        <v>2041</v>
      </c>
      <c r="AD1793" s="11">
        <v>2041</v>
      </c>
      <c r="AE1793" s="11">
        <v>2041</v>
      </c>
      <c r="AF1793" s="11">
        <v>0</v>
      </c>
      <c r="AG1793" s="19">
        <f>ROUND((Z1793*'Data-CostAssumptions'!$G$5)*(1+'Data-CostAssumptions'!$G$3)^(AC1793-'Data-CostAssumptions'!$G$4),-3)</f>
        <v>0</v>
      </c>
      <c r="AH1793" s="19">
        <f>ROUND((Z1793)*(1+'Data-CostAssumptions'!$G$3)^(AE1793-'Data-CostAssumptions'!$G$4),-3)</f>
        <v>0</v>
      </c>
    </row>
    <row r="1794" spans="1:34" ht="15" customHeight="1" x14ac:dyDescent="0.2">
      <c r="A1794" s="66"/>
      <c r="B1794" s="66" t="s">
        <v>1213</v>
      </c>
      <c r="C1794" s="66">
        <v>12295</v>
      </c>
      <c r="D1794" s="86" t="s">
        <v>282</v>
      </c>
      <c r="E1794" s="14"/>
      <c r="F1794" s="14"/>
      <c r="G1794" s="20">
        <v>1797</v>
      </c>
      <c r="H1794" s="67" t="s">
        <v>2813</v>
      </c>
      <c r="I1794" s="67" t="str">
        <f t="shared" si="61"/>
        <v>SR 820/Hollywood Bl (I-95 SB Off-Ramp to West)</v>
      </c>
      <c r="J1794" s="66" t="s">
        <v>300</v>
      </c>
      <c r="K1794" s="67" t="str">
        <f>VLOOKUP(J1794,'Data-ProjectTypes'!A$3:B$13,2,FALSE)</f>
        <v>Project</v>
      </c>
      <c r="L1794" s="87" t="s">
        <v>633</v>
      </c>
      <c r="M1794" s="11" t="s">
        <v>657</v>
      </c>
      <c r="N1794" s="13" t="s">
        <v>2753</v>
      </c>
      <c r="O1794" s="11"/>
      <c r="P1794" s="11"/>
      <c r="Q1794" s="124"/>
      <c r="R1794" s="70"/>
      <c r="S1794" s="66"/>
      <c r="T1794" s="11"/>
      <c r="U1794" s="11"/>
      <c r="V1794" s="87" t="s">
        <v>662</v>
      </c>
      <c r="W1794" s="11"/>
      <c r="X1794" s="11"/>
      <c r="Y1794" s="83" t="s">
        <v>3104</v>
      </c>
      <c r="Z1794" s="71">
        <f>ROUND(R1794*'Data-CostAssumptions'!$C$10,-3)</f>
        <v>0</v>
      </c>
      <c r="AA1794" s="11">
        <f t="shared" si="62"/>
        <v>1</v>
      </c>
      <c r="AB1794" s="11">
        <v>2041</v>
      </c>
      <c r="AC1794" s="11">
        <v>2041</v>
      </c>
      <c r="AD1794" s="11">
        <v>2041</v>
      </c>
      <c r="AE1794" s="11">
        <v>2041</v>
      </c>
      <c r="AF1794" s="11">
        <v>0</v>
      </c>
      <c r="AG1794" s="19">
        <f>ROUND((Z1794*'Data-CostAssumptions'!$G$5)*(1+'Data-CostAssumptions'!$G$3)^(AC1794-'Data-CostAssumptions'!$G$4),-3)</f>
        <v>0</v>
      </c>
      <c r="AH1794" s="19">
        <f>ROUND((Z1794)*(1+'Data-CostAssumptions'!$G$3)^(AE1794-'Data-CostAssumptions'!$G$4),-3)</f>
        <v>0</v>
      </c>
    </row>
    <row r="1795" spans="1:34" ht="15" customHeight="1" x14ac:dyDescent="0.2">
      <c r="A1795" s="11"/>
      <c r="B1795" s="11" t="s">
        <v>1211</v>
      </c>
      <c r="C1795" s="11">
        <v>12300</v>
      </c>
      <c r="D1795" s="84" t="s">
        <v>282</v>
      </c>
      <c r="E1795" s="14"/>
      <c r="F1795" s="14"/>
      <c r="G1795" s="20">
        <v>1798</v>
      </c>
      <c r="H1795" s="13" t="s">
        <v>2813</v>
      </c>
      <c r="I1795" s="13" t="str">
        <f t="shared" si="61"/>
        <v>SR 820/Hollywood Bl (City Hall Circle to Dixie Hwy)</v>
      </c>
      <c r="J1795" s="11" t="s">
        <v>300</v>
      </c>
      <c r="K1795" s="13" t="str">
        <f>VLOOKUP(J1795,'Data-ProjectTypes'!A$3:B$13,2,FALSE)</f>
        <v>Project</v>
      </c>
      <c r="L1795" s="142" t="s">
        <v>637</v>
      </c>
      <c r="M1795" s="11" t="s">
        <v>188</v>
      </c>
      <c r="N1795" s="11" t="s">
        <v>728</v>
      </c>
      <c r="O1795" s="11"/>
      <c r="P1795" s="11"/>
      <c r="Q1795" s="79">
        <v>0.54</v>
      </c>
      <c r="R1795" s="143">
        <f>ROUND(Q1795*'Data-CostAssumptions'!$C$34,-1)</f>
        <v>1166400</v>
      </c>
      <c r="S1795" s="11"/>
      <c r="T1795" s="11"/>
      <c r="U1795" s="11"/>
      <c r="V1795" s="85" t="s">
        <v>662</v>
      </c>
      <c r="W1795" s="11"/>
      <c r="X1795" s="11"/>
      <c r="Z1795" s="18">
        <f>ROUND(R1795*'Data-CostAssumptions'!$C$10,-3)</f>
        <v>1166000</v>
      </c>
      <c r="AA1795" s="11">
        <f t="shared" si="62"/>
        <v>1</v>
      </c>
      <c r="AB1795" s="11">
        <v>2041</v>
      </c>
      <c r="AC1795" s="11">
        <v>2041</v>
      </c>
      <c r="AD1795" s="11">
        <v>2041</v>
      </c>
      <c r="AE1795" s="11">
        <v>2041</v>
      </c>
      <c r="AF1795" s="11">
        <v>0</v>
      </c>
      <c r="AG1795" s="19">
        <f>ROUND((Z1795*'Data-CostAssumptions'!$G$5)*(1+'Data-CostAssumptions'!$G$3)^(AC1795-'Data-CostAssumptions'!$G$4),-3)</f>
        <v>658000</v>
      </c>
      <c r="AH1795" s="19">
        <f>ROUND((Z1795)*(1+'Data-CostAssumptions'!$G$3)^(AE1795-'Data-CostAssumptions'!$G$4),-3)</f>
        <v>2990000</v>
      </c>
    </row>
    <row r="1796" spans="1:34" ht="15" customHeight="1" x14ac:dyDescent="0.2">
      <c r="A1796" s="11"/>
      <c r="B1796" s="11" t="s">
        <v>1211</v>
      </c>
      <c r="C1796" s="11">
        <v>12301</v>
      </c>
      <c r="D1796" s="84" t="s">
        <v>282</v>
      </c>
      <c r="E1796" s="14"/>
      <c r="F1796" s="14"/>
      <c r="G1796" s="20">
        <v>1799</v>
      </c>
      <c r="H1796" s="13" t="s">
        <v>1970</v>
      </c>
      <c r="I1796" s="13" t="str">
        <f t="shared" si="61"/>
        <v>Van Buren St (28th Av to US 1 / Federal Hwy)</v>
      </c>
      <c r="J1796" s="11" t="s">
        <v>300</v>
      </c>
      <c r="K1796" s="13" t="str">
        <f>VLOOKUP(J1796,'Data-ProjectTypes'!A$3:B$13,2,FALSE)</f>
        <v>Project</v>
      </c>
      <c r="L1796" s="142" t="s">
        <v>638</v>
      </c>
      <c r="M1796" s="11" t="s">
        <v>2374</v>
      </c>
      <c r="N1796" s="11" t="s">
        <v>2597</v>
      </c>
      <c r="O1796" s="11"/>
      <c r="P1796" s="11"/>
      <c r="Q1796" s="79">
        <v>1.3</v>
      </c>
      <c r="R1796" s="143">
        <f>ROUND(Q1796*'Data-CostAssumptions'!$C$34,-1)</f>
        <v>2808000</v>
      </c>
      <c r="S1796" s="11"/>
      <c r="T1796" s="11"/>
      <c r="U1796" s="11"/>
      <c r="V1796" s="85" t="s">
        <v>662</v>
      </c>
      <c r="W1796" s="11"/>
      <c r="X1796" s="11"/>
      <c r="Z1796" s="18">
        <f>ROUND(R1796*'Data-CostAssumptions'!$C$10,-3)</f>
        <v>2808000</v>
      </c>
      <c r="AA1796" s="11">
        <f t="shared" si="62"/>
        <v>1</v>
      </c>
      <c r="AB1796" s="11">
        <v>2041</v>
      </c>
      <c r="AC1796" s="11">
        <v>2041</v>
      </c>
      <c r="AD1796" s="11">
        <v>2041</v>
      </c>
      <c r="AE1796" s="11">
        <v>2041</v>
      </c>
      <c r="AF1796" s="11">
        <v>0</v>
      </c>
      <c r="AG1796" s="19">
        <f>ROUND((Z1796*'Data-CostAssumptions'!$G$5)*(1+'Data-CostAssumptions'!$G$3)^(AC1796-'Data-CostAssumptions'!$G$4),-3)</f>
        <v>1584000</v>
      </c>
      <c r="AH1796" s="19">
        <f>ROUND((Z1796)*(1+'Data-CostAssumptions'!$G$3)^(AE1796-'Data-CostAssumptions'!$G$4),-3)</f>
        <v>7200000</v>
      </c>
    </row>
    <row r="1797" spans="1:34" ht="15" customHeight="1" x14ac:dyDescent="0.2">
      <c r="A1797" s="11"/>
      <c r="B1797" s="11" t="s">
        <v>1211</v>
      </c>
      <c r="C1797" s="11">
        <v>12303</v>
      </c>
      <c r="D1797" s="84" t="s">
        <v>282</v>
      </c>
      <c r="E1797" s="14"/>
      <c r="F1797" s="14"/>
      <c r="G1797" s="20">
        <v>1800</v>
      </c>
      <c r="H1797" s="13" t="s">
        <v>1936</v>
      </c>
      <c r="I1797" s="13" t="str">
        <f t="shared" si="61"/>
        <v>Polk St (28th Av to US 1 / Federal Hwy)</v>
      </c>
      <c r="J1797" s="11" t="s">
        <v>300</v>
      </c>
      <c r="K1797" s="13" t="str">
        <f>VLOOKUP(J1797,'Data-ProjectTypes'!A$3:B$13,2,FALSE)</f>
        <v>Project</v>
      </c>
      <c r="L1797" s="142" t="s">
        <v>640</v>
      </c>
      <c r="M1797" s="11" t="s">
        <v>2374</v>
      </c>
      <c r="N1797" s="11" t="s">
        <v>2597</v>
      </c>
      <c r="O1797" s="11"/>
      <c r="P1797" s="11"/>
      <c r="Q1797" s="79">
        <v>1.3</v>
      </c>
      <c r="R1797" s="143">
        <f>ROUND(Q1797*'Data-CostAssumptions'!$C$34,-1)</f>
        <v>2808000</v>
      </c>
      <c r="S1797" s="11"/>
      <c r="T1797" s="11"/>
      <c r="U1797" s="11"/>
      <c r="V1797" s="85" t="s">
        <v>662</v>
      </c>
      <c r="W1797" s="11"/>
      <c r="X1797" s="11"/>
      <c r="Z1797" s="18">
        <f>ROUND(R1797*'Data-CostAssumptions'!$C$10,-3)</f>
        <v>2808000</v>
      </c>
      <c r="AA1797" s="11">
        <f t="shared" si="62"/>
        <v>1</v>
      </c>
      <c r="AB1797" s="11">
        <v>2041</v>
      </c>
      <c r="AC1797" s="11">
        <v>2041</v>
      </c>
      <c r="AD1797" s="11">
        <v>2041</v>
      </c>
      <c r="AE1797" s="11">
        <v>2041</v>
      </c>
      <c r="AF1797" s="11">
        <v>0</v>
      </c>
      <c r="AG1797" s="19">
        <f>ROUND((Z1797*'Data-CostAssumptions'!$G$5)*(1+'Data-CostAssumptions'!$G$3)^(AC1797-'Data-CostAssumptions'!$G$4),-3)</f>
        <v>1584000</v>
      </c>
      <c r="AH1797" s="19">
        <f>ROUND((Z1797)*(1+'Data-CostAssumptions'!$G$3)^(AE1797-'Data-CostAssumptions'!$G$4),-3)</f>
        <v>7200000</v>
      </c>
    </row>
    <row r="1798" spans="1:34" ht="15" customHeight="1" x14ac:dyDescent="0.2">
      <c r="A1798" s="11"/>
      <c r="B1798" s="11" t="s">
        <v>1211</v>
      </c>
      <c r="C1798" s="11">
        <v>12306</v>
      </c>
      <c r="D1798" s="84" t="s">
        <v>282</v>
      </c>
      <c r="E1798" s="14"/>
      <c r="F1798" s="14"/>
      <c r="G1798" s="20">
        <v>1801</v>
      </c>
      <c r="H1798" s="13" t="s">
        <v>2776</v>
      </c>
      <c r="I1798" s="13" t="str">
        <f t="shared" si="61"/>
        <v>Dixie Hwy/21st Av (Washington St to Johnson St)</v>
      </c>
      <c r="J1798" s="11" t="s">
        <v>300</v>
      </c>
      <c r="K1798" s="13" t="str">
        <f>VLOOKUP(J1798,'Data-ProjectTypes'!A$3:B$13,2,FALSE)</f>
        <v>Project</v>
      </c>
      <c r="L1798" s="142" t="s">
        <v>643</v>
      </c>
      <c r="M1798" s="11" t="s">
        <v>1971</v>
      </c>
      <c r="N1798" s="11" t="s">
        <v>1880</v>
      </c>
      <c r="O1798" s="11"/>
      <c r="P1798" s="11"/>
      <c r="Q1798" s="79">
        <v>1</v>
      </c>
      <c r="R1798" s="143">
        <f>ROUND(Q1798*'Data-CostAssumptions'!$C$34,-1)</f>
        <v>2160000</v>
      </c>
      <c r="S1798" s="11"/>
      <c r="T1798" s="11"/>
      <c r="U1798" s="11"/>
      <c r="V1798" s="85" t="s">
        <v>662</v>
      </c>
      <c r="W1798" s="11"/>
      <c r="X1798" s="11"/>
      <c r="Z1798" s="18">
        <f>ROUND(R1798*'Data-CostAssumptions'!$C$10,-3)</f>
        <v>2160000</v>
      </c>
      <c r="AA1798" s="11">
        <f t="shared" si="62"/>
        <v>1</v>
      </c>
      <c r="AB1798" s="11">
        <v>2041</v>
      </c>
      <c r="AC1798" s="11">
        <v>2041</v>
      </c>
      <c r="AD1798" s="11">
        <v>2041</v>
      </c>
      <c r="AE1798" s="11">
        <v>2041</v>
      </c>
      <c r="AF1798" s="11">
        <v>0</v>
      </c>
      <c r="AG1798" s="19">
        <f>ROUND((Z1798*'Data-CostAssumptions'!$G$5)*(1+'Data-CostAssumptions'!$G$3)^(AC1798-'Data-CostAssumptions'!$G$4),-3)</f>
        <v>1218000</v>
      </c>
      <c r="AH1798" s="19">
        <f>ROUND((Z1798)*(1+'Data-CostAssumptions'!$G$3)^(AE1798-'Data-CostAssumptions'!$G$4),-3)</f>
        <v>5538000</v>
      </c>
    </row>
    <row r="1799" spans="1:34" s="83" customFormat="1" ht="15" customHeight="1" x14ac:dyDescent="0.2">
      <c r="A1799" s="76"/>
      <c r="B1799" s="76" t="s">
        <v>1211</v>
      </c>
      <c r="C1799" s="76">
        <v>12310</v>
      </c>
      <c r="D1799" s="144" t="s">
        <v>282</v>
      </c>
      <c r="E1799" s="77"/>
      <c r="F1799" s="77"/>
      <c r="G1799" s="20">
        <v>1802</v>
      </c>
      <c r="H1799" s="47" t="s">
        <v>110</v>
      </c>
      <c r="I1799" s="47" t="str">
        <f t="shared" si="61"/>
        <v>SR A1A (Hallendale Beach Bl to Hollywood Bl)</v>
      </c>
      <c r="J1799" s="76" t="s">
        <v>300</v>
      </c>
      <c r="K1799" s="47" t="str">
        <f>VLOOKUP(J1799,'Data-ProjectTypes'!A$3:B$13,2,FALSE)</f>
        <v>Project</v>
      </c>
      <c r="L1799" s="142" t="s">
        <v>647</v>
      </c>
      <c r="M1799" s="76" t="s">
        <v>2332</v>
      </c>
      <c r="N1799" s="76" t="s">
        <v>1820</v>
      </c>
      <c r="O1799" s="76"/>
      <c r="P1799" s="76"/>
      <c r="Q1799" s="79">
        <v>1.7</v>
      </c>
      <c r="R1799" s="143">
        <f>ROUND(Q1799*'Data-CostAssumptions'!$C$37,-1)</f>
        <v>7859100</v>
      </c>
      <c r="S1799" s="76"/>
      <c r="T1799" s="76"/>
      <c r="U1799" s="76"/>
      <c r="V1799" s="142" t="s">
        <v>662</v>
      </c>
      <c r="W1799" s="76"/>
      <c r="X1799" s="76"/>
      <c r="Z1799" s="146">
        <f>ROUND(R1799*'Data-CostAssumptions'!$C$10,-3)</f>
        <v>7859000</v>
      </c>
      <c r="AA1799" s="11">
        <f t="shared" si="62"/>
        <v>1</v>
      </c>
      <c r="AB1799" s="11">
        <v>2041</v>
      </c>
      <c r="AC1799" s="11">
        <v>2041</v>
      </c>
      <c r="AD1799" s="11">
        <v>2041</v>
      </c>
      <c r="AE1799" s="11">
        <v>2041</v>
      </c>
      <c r="AF1799" s="11">
        <v>0</v>
      </c>
      <c r="AG1799" s="19">
        <f>ROUND((Z1799*'Data-CostAssumptions'!$G$5)*(1+'Data-CostAssumptions'!$G$3)^(AC1799-'Data-CostAssumptions'!$G$4),-3)</f>
        <v>4433000</v>
      </c>
      <c r="AH1799" s="19">
        <f>ROUND((Z1799)*(1+'Data-CostAssumptions'!$G$3)^(AE1799-'Data-CostAssumptions'!$G$4),-3)</f>
        <v>20150000</v>
      </c>
    </row>
    <row r="1800" spans="1:34" s="83" customFormat="1" ht="15" customHeight="1" x14ac:dyDescent="0.2">
      <c r="A1800" s="76"/>
      <c r="B1800" s="76" t="s">
        <v>1211</v>
      </c>
      <c r="C1800" s="76">
        <v>12311</v>
      </c>
      <c r="D1800" s="144" t="s">
        <v>282</v>
      </c>
      <c r="E1800" s="77"/>
      <c r="F1800" s="77"/>
      <c r="G1800" s="20">
        <v>1803</v>
      </c>
      <c r="H1800" s="47" t="s">
        <v>110</v>
      </c>
      <c r="I1800" s="47" t="str">
        <f t="shared" si="61"/>
        <v>SR A1A (Hollywood Bl to Johnson St)</v>
      </c>
      <c r="J1800" s="76" t="s">
        <v>300</v>
      </c>
      <c r="K1800" s="47" t="str">
        <f>VLOOKUP(J1800,'Data-ProjectTypes'!A$3:B$13,2,FALSE)</f>
        <v>Project</v>
      </c>
      <c r="L1800" s="142" t="s">
        <v>648</v>
      </c>
      <c r="M1800" s="76" t="s">
        <v>1820</v>
      </c>
      <c r="N1800" s="76" t="s">
        <v>1880</v>
      </c>
      <c r="O1800" s="76"/>
      <c r="P1800" s="76"/>
      <c r="Q1800" s="79">
        <v>0.5</v>
      </c>
      <c r="R1800" s="143">
        <f>ROUND(Q1800*'Data-CostAssumptions'!$C$37,-1)</f>
        <v>2311500</v>
      </c>
      <c r="S1800" s="76"/>
      <c r="T1800" s="76"/>
      <c r="U1800" s="76"/>
      <c r="V1800" s="142" t="s">
        <v>662</v>
      </c>
      <c r="W1800" s="76"/>
      <c r="X1800" s="76"/>
      <c r="Z1800" s="146">
        <f>ROUND(R1800*'Data-CostAssumptions'!$C$10,-3)</f>
        <v>2312000</v>
      </c>
      <c r="AA1800" s="11">
        <f t="shared" si="62"/>
        <v>1</v>
      </c>
      <c r="AB1800" s="11">
        <v>2041</v>
      </c>
      <c r="AC1800" s="11">
        <v>2041</v>
      </c>
      <c r="AD1800" s="11">
        <v>2041</v>
      </c>
      <c r="AE1800" s="11">
        <v>2041</v>
      </c>
      <c r="AF1800" s="11">
        <v>0</v>
      </c>
      <c r="AG1800" s="19">
        <f>ROUND((Z1800*'Data-CostAssumptions'!$G$5)*(1+'Data-CostAssumptions'!$G$3)^(AC1800-'Data-CostAssumptions'!$G$4),-3)</f>
        <v>1304000</v>
      </c>
      <c r="AH1800" s="19">
        <f>ROUND((Z1800)*(1+'Data-CostAssumptions'!$G$3)^(AE1800-'Data-CostAssumptions'!$G$4),-3)</f>
        <v>5928000</v>
      </c>
    </row>
    <row r="1801" spans="1:34" ht="15" customHeight="1" x14ac:dyDescent="0.2">
      <c r="A1801" s="11"/>
      <c r="B1801" s="11" t="s">
        <v>1211</v>
      </c>
      <c r="C1801" s="11">
        <v>12315</v>
      </c>
      <c r="D1801" s="84" t="s">
        <v>282</v>
      </c>
      <c r="E1801" s="14"/>
      <c r="F1801" s="14"/>
      <c r="G1801" s="20">
        <v>1804</v>
      </c>
      <c r="H1801" s="13" t="s">
        <v>1969</v>
      </c>
      <c r="I1801" s="13" t="str">
        <f t="shared" si="61"/>
        <v>Tyler St (Young Circle to Dixie Hwy)</v>
      </c>
      <c r="J1801" s="11" t="s">
        <v>300</v>
      </c>
      <c r="K1801" s="13" t="str">
        <f>VLOOKUP(J1801,'Data-ProjectTypes'!A$3:B$13,2,FALSE)</f>
        <v>Project</v>
      </c>
      <c r="L1801" s="142" t="s">
        <v>652</v>
      </c>
      <c r="M1801" s="11" t="s">
        <v>189</v>
      </c>
      <c r="N1801" s="11" t="s">
        <v>728</v>
      </c>
      <c r="O1801" s="11"/>
      <c r="P1801" s="11"/>
      <c r="Q1801" s="79">
        <v>0.5</v>
      </c>
      <c r="R1801" s="143">
        <f>ROUND(Q1801*'Data-CostAssumptions'!$C$34,-1)</f>
        <v>1080000</v>
      </c>
      <c r="S1801" s="11"/>
      <c r="T1801" s="11"/>
      <c r="U1801" s="11"/>
      <c r="V1801" s="85"/>
      <c r="W1801" s="11"/>
      <c r="X1801" s="11"/>
      <c r="Z1801" s="18">
        <f>ROUND(R1801*'Data-CostAssumptions'!$C$10,-3)</f>
        <v>1080000</v>
      </c>
      <c r="AA1801" s="11">
        <f t="shared" si="62"/>
        <v>0</v>
      </c>
      <c r="AB1801" s="11">
        <v>2041</v>
      </c>
      <c r="AC1801" s="11">
        <v>2041</v>
      </c>
      <c r="AD1801" s="11">
        <v>2041</v>
      </c>
      <c r="AE1801" s="11">
        <v>2041</v>
      </c>
      <c r="AF1801" s="11">
        <v>0</v>
      </c>
      <c r="AG1801" s="19">
        <f>ROUND((Z1801*'Data-CostAssumptions'!$G$5)*(1+'Data-CostAssumptions'!$G$3)^(AC1801-'Data-CostAssumptions'!$G$4),-3)</f>
        <v>609000</v>
      </c>
      <c r="AH1801" s="19">
        <f>ROUND((Z1801)*(1+'Data-CostAssumptions'!$G$3)^(AE1801-'Data-CostAssumptions'!$G$4),-3)</f>
        <v>2769000</v>
      </c>
    </row>
    <row r="1802" spans="1:34" ht="15" customHeight="1" x14ac:dyDescent="0.2">
      <c r="A1802" s="11"/>
      <c r="B1802" s="11" t="s">
        <v>1211</v>
      </c>
      <c r="C1802" s="11">
        <v>12253</v>
      </c>
      <c r="D1802" s="84" t="s">
        <v>282</v>
      </c>
      <c r="E1802" s="14"/>
      <c r="F1802" s="14"/>
      <c r="G1802" s="20">
        <v>1805</v>
      </c>
      <c r="H1802" s="13" t="s">
        <v>1880</v>
      </c>
      <c r="I1802" s="13" t="str">
        <f t="shared" si="61"/>
        <v>Johnson St (64th Av to 62nd Av)</v>
      </c>
      <c r="J1802" s="11" t="s">
        <v>1203</v>
      </c>
      <c r="K1802" s="13" t="str">
        <f>VLOOKUP(J1802,'Data-ProjectTypes'!A$3:B$13,2,FALSE)</f>
        <v>Program</v>
      </c>
      <c r="L1802" s="85" t="s">
        <v>592</v>
      </c>
      <c r="M1802" s="11" t="s">
        <v>2357</v>
      </c>
      <c r="N1802" s="11" t="s">
        <v>2013</v>
      </c>
      <c r="O1802" s="11"/>
      <c r="P1802" s="11"/>
      <c r="Q1802" s="15">
        <v>0.25</v>
      </c>
      <c r="R1802" s="23">
        <f>ROUND(Q1802*'Data-CostAssumptions'!$C$34,-1)</f>
        <v>540000</v>
      </c>
      <c r="S1802" s="11"/>
      <c r="T1802" s="11"/>
      <c r="U1802" s="11"/>
      <c r="V1802" s="85" t="s">
        <v>662</v>
      </c>
      <c r="W1802" s="11"/>
      <c r="X1802" s="11"/>
      <c r="Z1802" s="18">
        <f>ROUND(R1802*'Data-CostAssumptions'!$C$10,-3)</f>
        <v>540000</v>
      </c>
      <c r="AA1802" s="11">
        <f t="shared" si="62"/>
        <v>1</v>
      </c>
      <c r="AB1802" s="11">
        <v>2041</v>
      </c>
      <c r="AC1802" s="11">
        <v>2041</v>
      </c>
      <c r="AD1802" s="11">
        <v>2041</v>
      </c>
      <c r="AE1802" s="11">
        <v>2041</v>
      </c>
      <c r="AF1802" s="11">
        <v>0</v>
      </c>
      <c r="AG1802" s="19">
        <f>ROUND((Z1802*'Data-CostAssumptions'!$G$5)*(1+'Data-CostAssumptions'!$G$3)^(AC1802-'Data-CostAssumptions'!$G$4),-3)</f>
        <v>305000</v>
      </c>
      <c r="AH1802" s="19">
        <f>ROUND((Z1802)*(1+'Data-CostAssumptions'!$G$3)^(AE1802-'Data-CostAssumptions'!$G$4),-3)</f>
        <v>1385000</v>
      </c>
    </row>
    <row r="1803" spans="1:34" ht="15" customHeight="1" x14ac:dyDescent="0.2">
      <c r="A1803" s="11"/>
      <c r="B1803" s="11" t="s">
        <v>1211</v>
      </c>
      <c r="C1803" s="11">
        <v>12350</v>
      </c>
      <c r="D1803" s="84" t="s">
        <v>663</v>
      </c>
      <c r="E1803" s="14"/>
      <c r="F1803" s="14"/>
      <c r="G1803" s="20">
        <v>1806</v>
      </c>
      <c r="H1803" s="13" t="s">
        <v>664</v>
      </c>
      <c r="I1803" s="13" t="str">
        <f t="shared" si="61"/>
        <v>C-13 Greenway trail ( to @ Sr 7 crossing)</v>
      </c>
      <c r="J1803" s="11" t="s">
        <v>366</v>
      </c>
      <c r="K1803" s="13" t="str">
        <f>VLOOKUP(J1803,'Data-ProjectTypes'!A$3:B$13,2,FALSE)</f>
        <v>Program</v>
      </c>
      <c r="L1803" s="11" t="s">
        <v>666</v>
      </c>
      <c r="M1803" s="11"/>
      <c r="N1803" s="97" t="s">
        <v>665</v>
      </c>
      <c r="O1803" s="11"/>
      <c r="P1803" s="11"/>
      <c r="Q1803" s="15">
        <v>0</v>
      </c>
      <c r="R1803" s="16">
        <v>125000</v>
      </c>
      <c r="S1803" s="11"/>
      <c r="T1803" s="11"/>
      <c r="U1803" s="11"/>
      <c r="V1803" s="85" t="s">
        <v>667</v>
      </c>
      <c r="W1803" s="11"/>
      <c r="X1803" s="11"/>
      <c r="Y1803" s="12" t="s">
        <v>2205</v>
      </c>
      <c r="Z1803" s="18">
        <f>ROUND(R1803*'Data-CostAssumptions'!$C$21,-3)</f>
        <v>125000</v>
      </c>
      <c r="AA1803" s="11">
        <f t="shared" si="62"/>
        <v>1</v>
      </c>
      <c r="AB1803" s="11">
        <v>2041</v>
      </c>
      <c r="AC1803" s="11">
        <v>2041</v>
      </c>
      <c r="AD1803" s="11">
        <v>2041</v>
      </c>
      <c r="AE1803" s="11">
        <v>2041</v>
      </c>
      <c r="AF1803" s="11">
        <v>0</v>
      </c>
      <c r="AG1803" s="19">
        <f>ROUND((Z1803*'Data-CostAssumptions'!$G$5)*(1+'Data-CostAssumptions'!$G$3)^(AC1803-'Data-CostAssumptions'!$G$4),-3)</f>
        <v>71000</v>
      </c>
      <c r="AH1803" s="19">
        <f>ROUND((Z1803)*(1+'Data-CostAssumptions'!$G$3)^(AE1803-'Data-CostAssumptions'!$G$4),-3)</f>
        <v>320000</v>
      </c>
    </row>
    <row r="1804" spans="1:34" ht="15" customHeight="1" x14ac:dyDescent="0.2">
      <c r="A1804" s="11"/>
      <c r="B1804" s="11" t="s">
        <v>1211</v>
      </c>
      <c r="C1804" s="11">
        <v>12351</v>
      </c>
      <c r="D1804" s="84" t="s">
        <v>663</v>
      </c>
      <c r="E1804" s="14"/>
      <c r="F1804" s="14"/>
      <c r="G1804" s="20">
        <v>1807</v>
      </c>
      <c r="H1804" s="13" t="s">
        <v>664</v>
      </c>
      <c r="I1804" s="13" t="str">
        <f t="shared" si="61"/>
        <v>C-13 Greenway trail ( to )</v>
      </c>
      <c r="J1804" s="11" t="s">
        <v>366</v>
      </c>
      <c r="K1804" s="13" t="str">
        <f>VLOOKUP(J1804,'Data-ProjectTypes'!A$3:B$13,2,FALSE)</f>
        <v>Program</v>
      </c>
      <c r="L1804" s="85" t="s">
        <v>669</v>
      </c>
      <c r="M1804" s="11"/>
      <c r="N1804" s="11"/>
      <c r="O1804" s="11"/>
      <c r="P1804" s="11"/>
      <c r="Q1804" s="15">
        <v>0.25</v>
      </c>
      <c r="R1804" s="16">
        <v>150000</v>
      </c>
      <c r="S1804" s="11"/>
      <c r="T1804" s="11"/>
      <c r="U1804" s="11"/>
      <c r="V1804" s="85" t="s">
        <v>668</v>
      </c>
      <c r="W1804" s="11"/>
      <c r="X1804" s="38"/>
      <c r="Y1804" s="12" t="s">
        <v>2205</v>
      </c>
      <c r="Z1804" s="18">
        <f>ROUND(R1804*'Data-CostAssumptions'!$C$21,-3)</f>
        <v>150000</v>
      </c>
      <c r="AA1804" s="11">
        <f t="shared" si="62"/>
        <v>1</v>
      </c>
      <c r="AB1804" s="11">
        <v>2041</v>
      </c>
      <c r="AC1804" s="11">
        <v>2041</v>
      </c>
      <c r="AD1804" s="11">
        <v>2041</v>
      </c>
      <c r="AE1804" s="11">
        <v>2041</v>
      </c>
      <c r="AF1804" s="11">
        <v>0</v>
      </c>
      <c r="AG1804" s="19">
        <f>ROUND((Z1804*'Data-CostAssumptions'!$G$5)*(1+'Data-CostAssumptions'!$G$3)^(AC1804-'Data-CostAssumptions'!$G$4),-3)</f>
        <v>85000</v>
      </c>
      <c r="AH1804" s="19">
        <f>ROUND((Z1804)*(1+'Data-CostAssumptions'!$G$3)^(AE1804-'Data-CostAssumptions'!$G$4),-3)</f>
        <v>385000</v>
      </c>
    </row>
    <row r="1805" spans="1:34" ht="15" customHeight="1" x14ac:dyDescent="0.2">
      <c r="A1805" s="11"/>
      <c r="B1805" s="11" t="s">
        <v>1211</v>
      </c>
      <c r="C1805" s="11">
        <v>15000</v>
      </c>
      <c r="D1805" s="84" t="s">
        <v>281</v>
      </c>
      <c r="E1805" s="14"/>
      <c r="F1805" s="14"/>
      <c r="G1805" s="20">
        <v>1808</v>
      </c>
      <c r="H1805" s="13" t="s">
        <v>1821</v>
      </c>
      <c r="I1805" s="13" t="str">
        <f t="shared" si="61"/>
        <v>Inverrary Bl (NW 44 St to W Oakland Park Bl)</v>
      </c>
      <c r="J1805" s="84" t="s">
        <v>29</v>
      </c>
      <c r="K1805" s="13" t="str">
        <f>VLOOKUP(J1805,'Data-ProjectTypes'!A$3:B$13,2,FALSE)</f>
        <v>Program</v>
      </c>
      <c r="L1805" s="148" t="s">
        <v>817</v>
      </c>
      <c r="M1805" s="84" t="s">
        <v>1184</v>
      </c>
      <c r="N1805" s="84" t="s">
        <v>2297</v>
      </c>
      <c r="O1805" s="84" t="s">
        <v>281</v>
      </c>
      <c r="P1805" s="84" t="s">
        <v>281</v>
      </c>
      <c r="Q1805" s="15">
        <v>0.91</v>
      </c>
      <c r="R1805" s="143">
        <f>ROUND(Q1805*'Data-CostAssumptions'!$C$25,-1)</f>
        <v>153240</v>
      </c>
      <c r="S1805" s="11"/>
      <c r="T1805" s="11"/>
      <c r="U1805" s="11"/>
      <c r="V1805" s="149" t="s">
        <v>3244</v>
      </c>
      <c r="W1805" s="11"/>
      <c r="X1805" s="11"/>
      <c r="Z1805" s="18">
        <f>ROUND(R1805*'Data-CostAssumptions'!$C$11,-3)</f>
        <v>153000</v>
      </c>
      <c r="AA1805" s="11">
        <f t="shared" si="62"/>
        <v>1</v>
      </c>
      <c r="AB1805" s="11">
        <v>2041</v>
      </c>
      <c r="AC1805" s="11">
        <v>2041</v>
      </c>
      <c r="AD1805" s="11">
        <v>2041</v>
      </c>
      <c r="AE1805" s="11">
        <v>2041</v>
      </c>
      <c r="AF1805" s="11">
        <v>0</v>
      </c>
      <c r="AG1805" s="19">
        <f>ROUND((Z1805*'Data-CostAssumptions'!$G$5)*(1+'Data-CostAssumptions'!$G$3)^(AC1805-'Data-CostAssumptions'!$G$4),-3)</f>
        <v>86000</v>
      </c>
      <c r="AH1805" s="19">
        <f>ROUND((Z1805)*(1+'Data-CostAssumptions'!$G$3)^(AE1805-'Data-CostAssumptions'!$G$4),-3)</f>
        <v>392000</v>
      </c>
    </row>
    <row r="1806" spans="1:34" ht="15" customHeight="1" x14ac:dyDescent="0.2">
      <c r="A1806" s="11"/>
      <c r="B1806" s="11" t="s">
        <v>1211</v>
      </c>
      <c r="C1806" s="11">
        <v>15001</v>
      </c>
      <c r="D1806" s="84" t="s">
        <v>281</v>
      </c>
      <c r="E1806" s="14"/>
      <c r="F1806" s="14"/>
      <c r="G1806" s="20">
        <v>1809</v>
      </c>
      <c r="H1806" s="13" t="s">
        <v>1995</v>
      </c>
      <c r="I1806" s="13" t="str">
        <f t="shared" si="61"/>
        <v>Environ Bl (Inverrary Bl to Inverrary Bl W)</v>
      </c>
      <c r="J1806" s="84" t="s">
        <v>29</v>
      </c>
      <c r="K1806" s="13" t="str">
        <f>VLOOKUP(J1806,'Data-ProjectTypes'!A$3:B$13,2,FALSE)</f>
        <v>Program</v>
      </c>
      <c r="L1806" s="31" t="s">
        <v>817</v>
      </c>
      <c r="M1806" s="84" t="s">
        <v>1821</v>
      </c>
      <c r="N1806" s="84" t="s">
        <v>1996</v>
      </c>
      <c r="O1806" s="84" t="s">
        <v>281</v>
      </c>
      <c r="P1806" s="84" t="s">
        <v>281</v>
      </c>
      <c r="Q1806" s="15">
        <v>1.25</v>
      </c>
      <c r="R1806" s="143">
        <f>ROUND(Q1806*'Data-CostAssumptions'!$C$25,-1)</f>
        <v>210500</v>
      </c>
      <c r="S1806" s="11"/>
      <c r="T1806" s="11"/>
      <c r="U1806" s="11"/>
      <c r="V1806" s="149" t="s">
        <v>1185</v>
      </c>
      <c r="W1806" s="11"/>
      <c r="X1806" s="11"/>
      <c r="Z1806" s="18">
        <f>ROUND(R1806*'Data-CostAssumptions'!$C$11,-3)</f>
        <v>211000</v>
      </c>
      <c r="AA1806" s="11">
        <f t="shared" si="62"/>
        <v>1</v>
      </c>
      <c r="AB1806" s="11">
        <v>2041</v>
      </c>
      <c r="AC1806" s="11">
        <v>2041</v>
      </c>
      <c r="AD1806" s="11">
        <v>2041</v>
      </c>
      <c r="AE1806" s="11">
        <v>2041</v>
      </c>
      <c r="AF1806" s="11">
        <v>0</v>
      </c>
      <c r="AG1806" s="19">
        <f>ROUND((Z1806*'Data-CostAssumptions'!$G$5)*(1+'Data-CostAssumptions'!$G$3)^(AC1806-'Data-CostAssumptions'!$G$4),-3)</f>
        <v>119000</v>
      </c>
      <c r="AH1806" s="19">
        <f>ROUND((Z1806)*(1+'Data-CostAssumptions'!$G$3)^(AE1806-'Data-CostAssumptions'!$G$4),-3)</f>
        <v>541000</v>
      </c>
    </row>
    <row r="1807" spans="1:34" ht="15" customHeight="1" x14ac:dyDescent="0.2">
      <c r="A1807" s="11"/>
      <c r="B1807" s="11" t="s">
        <v>1211</v>
      </c>
      <c r="C1807" s="11">
        <v>15002</v>
      </c>
      <c r="D1807" s="84" t="s">
        <v>281</v>
      </c>
      <c r="E1807" s="14"/>
      <c r="F1807" s="14"/>
      <c r="G1807" s="20">
        <v>1810</v>
      </c>
      <c r="H1807" s="13" t="s">
        <v>2171</v>
      </c>
      <c r="I1807" s="13" t="str">
        <f t="shared" si="61"/>
        <v>NW 55th Av (NW 26th St to Oakland Park Bl)</v>
      </c>
      <c r="J1807" s="84" t="s">
        <v>29</v>
      </c>
      <c r="K1807" s="13" t="str">
        <f>VLOOKUP(J1807,'Data-ProjectTypes'!A$3:B$13,2,FALSE)</f>
        <v>Program</v>
      </c>
      <c r="L1807" s="31" t="s">
        <v>817</v>
      </c>
      <c r="M1807" s="84" t="s">
        <v>1186</v>
      </c>
      <c r="N1807" s="84" t="s">
        <v>1825</v>
      </c>
      <c r="O1807" s="84" t="s">
        <v>281</v>
      </c>
      <c r="P1807" s="84" t="s">
        <v>281</v>
      </c>
      <c r="Q1807" s="15">
        <v>0.38</v>
      </c>
      <c r="R1807" s="143">
        <f>ROUND(Q1807*'Data-CostAssumptions'!$C$25,-1)</f>
        <v>63990</v>
      </c>
      <c r="S1807" s="11"/>
      <c r="T1807" s="11"/>
      <c r="U1807" s="11"/>
      <c r="V1807" s="149" t="s">
        <v>3245</v>
      </c>
      <c r="W1807" s="11"/>
      <c r="X1807" s="11"/>
      <c r="Z1807" s="18">
        <f>ROUND(R1807*'Data-CostAssumptions'!$C$11,-3)</f>
        <v>64000</v>
      </c>
      <c r="AA1807" s="11">
        <f t="shared" si="62"/>
        <v>1</v>
      </c>
      <c r="AB1807" s="11">
        <v>2041</v>
      </c>
      <c r="AC1807" s="11">
        <v>2041</v>
      </c>
      <c r="AD1807" s="11">
        <v>2041</v>
      </c>
      <c r="AE1807" s="11">
        <v>2041</v>
      </c>
      <c r="AF1807" s="11">
        <v>0</v>
      </c>
      <c r="AG1807" s="19">
        <f>ROUND((Z1807*'Data-CostAssumptions'!$G$5)*(1+'Data-CostAssumptions'!$G$3)^(AC1807-'Data-CostAssumptions'!$G$4),-3)</f>
        <v>36000</v>
      </c>
      <c r="AH1807" s="19">
        <f>ROUND((Z1807)*(1+'Data-CostAssumptions'!$G$3)^(AE1807-'Data-CostAssumptions'!$G$4),-3)</f>
        <v>164000</v>
      </c>
    </row>
    <row r="1808" spans="1:34" ht="15" customHeight="1" x14ac:dyDescent="0.2">
      <c r="A1808" s="11"/>
      <c r="B1808" s="11" t="s">
        <v>1211</v>
      </c>
      <c r="C1808" s="11">
        <v>15003</v>
      </c>
      <c r="D1808" s="84" t="s">
        <v>281</v>
      </c>
      <c r="E1808" s="14"/>
      <c r="F1808" s="14"/>
      <c r="G1808" s="20">
        <v>1811</v>
      </c>
      <c r="H1808" s="13" t="s">
        <v>1187</v>
      </c>
      <c r="I1808" s="13" t="str">
        <f t="shared" si="61"/>
        <v>Inverrary Dr (NW 44th St to Inverrary Bl)</v>
      </c>
      <c r="J1808" s="84" t="s">
        <v>27</v>
      </c>
      <c r="K1808" s="13" t="str">
        <f>VLOOKUP(J1808,'Data-ProjectTypes'!A$3:B$13,2,FALSE)</f>
        <v>Program</v>
      </c>
      <c r="L1808" s="31" t="s">
        <v>1188</v>
      </c>
      <c r="M1808" s="84" t="s">
        <v>1189</v>
      </c>
      <c r="N1808" s="84" t="s">
        <v>1821</v>
      </c>
      <c r="O1808" s="84" t="s">
        <v>281</v>
      </c>
      <c r="P1808" s="84" t="s">
        <v>281</v>
      </c>
      <c r="Q1808" s="15">
        <v>0.63</v>
      </c>
      <c r="R1808" s="143">
        <f>ROUND(Q1808*'Data-CostAssumptions'!$C$23,-1)</f>
        <v>91980</v>
      </c>
      <c r="S1808" s="11"/>
      <c r="T1808" s="11"/>
      <c r="U1808" s="11"/>
      <c r="V1808" s="149" t="s">
        <v>1190</v>
      </c>
      <c r="W1808" s="11"/>
      <c r="X1808" s="11"/>
      <c r="Z1808" s="18">
        <f>ROUND(R1808*'Data-CostAssumptions'!$C$11,-3)</f>
        <v>92000</v>
      </c>
      <c r="AA1808" s="11">
        <f t="shared" si="62"/>
        <v>1</v>
      </c>
      <c r="AB1808" s="11">
        <v>2041</v>
      </c>
      <c r="AC1808" s="11">
        <v>2041</v>
      </c>
      <c r="AD1808" s="11">
        <v>2041</v>
      </c>
      <c r="AE1808" s="11">
        <v>2041</v>
      </c>
      <c r="AF1808" s="11">
        <v>0</v>
      </c>
      <c r="AG1808" s="19">
        <f>ROUND((Z1808*'Data-CostAssumptions'!$G$5)*(1+'Data-CostAssumptions'!$G$3)^(AC1808-'Data-CostAssumptions'!$G$4),-3)</f>
        <v>52000</v>
      </c>
      <c r="AH1808" s="19">
        <f>ROUND((Z1808)*(1+'Data-CostAssumptions'!$G$3)^(AE1808-'Data-CostAssumptions'!$G$4),-3)</f>
        <v>236000</v>
      </c>
    </row>
    <row r="1809" spans="1:34" ht="15" customHeight="1" x14ac:dyDescent="0.2">
      <c r="A1809" s="11"/>
      <c r="B1809" s="11" t="s">
        <v>1211</v>
      </c>
      <c r="C1809" s="11">
        <v>12400</v>
      </c>
      <c r="D1809" s="84" t="s">
        <v>291</v>
      </c>
      <c r="E1809" s="14"/>
      <c r="F1809" s="14"/>
      <c r="G1809" s="20">
        <v>1812</v>
      </c>
      <c r="H1809" s="13" t="s">
        <v>1827</v>
      </c>
      <c r="I1809" s="13" t="str">
        <f t="shared" si="61"/>
        <v>Royal Palm Bl (@  Rock Island Rd)</v>
      </c>
      <c r="J1809" s="11" t="s">
        <v>300</v>
      </c>
      <c r="K1809" s="13" t="str">
        <f>VLOOKUP(J1809,'Data-ProjectTypes'!A$3:B$13,2,FALSE)</f>
        <v>Project</v>
      </c>
      <c r="L1809" s="11" t="s">
        <v>682</v>
      </c>
      <c r="M1809" s="11" t="s">
        <v>2835</v>
      </c>
      <c r="N1809" s="11" t="s">
        <v>1768</v>
      </c>
      <c r="O1809" s="11"/>
      <c r="P1809" s="11"/>
      <c r="Q1809" s="15"/>
      <c r="R1809" s="23">
        <v>350000</v>
      </c>
      <c r="S1809" s="11"/>
      <c r="T1809" s="11"/>
      <c r="U1809" s="11"/>
      <c r="V1809" s="33" t="s">
        <v>683</v>
      </c>
      <c r="W1809" s="11"/>
      <c r="X1809" s="11"/>
      <c r="Y1809" s="12" t="s">
        <v>2969</v>
      </c>
      <c r="Z1809" s="18">
        <f>ROUND(R1809*'Data-CostAssumptions'!$C$12,-3)</f>
        <v>350000</v>
      </c>
      <c r="AA1809" s="11">
        <f t="shared" si="62"/>
        <v>1</v>
      </c>
      <c r="AB1809" s="11">
        <v>2041</v>
      </c>
      <c r="AC1809" s="11">
        <v>2041</v>
      </c>
      <c r="AD1809" s="11">
        <v>2041</v>
      </c>
      <c r="AE1809" s="11">
        <v>2041</v>
      </c>
      <c r="AF1809" s="11">
        <v>0</v>
      </c>
      <c r="AG1809" s="19">
        <f>ROUND((Z1809*'Data-CostAssumptions'!$G$5)*(1+'Data-CostAssumptions'!$G$3)^(AC1809-'Data-CostAssumptions'!$G$4),-3)</f>
        <v>197000</v>
      </c>
      <c r="AH1809" s="19">
        <f>ROUND((Z1809)*(1+'Data-CostAssumptions'!$G$3)^(AE1809-'Data-CostAssumptions'!$G$4),-3)</f>
        <v>897000</v>
      </c>
    </row>
    <row r="1810" spans="1:34" ht="15" customHeight="1" x14ac:dyDescent="0.2">
      <c r="A1810" s="11"/>
      <c r="B1810" s="11" t="s">
        <v>1211</v>
      </c>
      <c r="C1810" s="11">
        <v>12450</v>
      </c>
      <c r="D1810" s="84" t="s">
        <v>274</v>
      </c>
      <c r="E1810" s="14"/>
      <c r="F1810" s="14"/>
      <c r="G1810" s="20">
        <v>1813</v>
      </c>
      <c r="H1810" s="13" t="s">
        <v>2792</v>
      </c>
      <c r="I1810" s="13" t="str">
        <f t="shared" si="61"/>
        <v>SR 827/Pembroke Rd (SW 184th Av to US 27)</v>
      </c>
      <c r="J1810" s="21" t="s">
        <v>300</v>
      </c>
      <c r="K1810" s="13" t="str">
        <f>VLOOKUP(J1810,'Data-ProjectTypes'!A$3:B$13,2,FALSE)</f>
        <v>Project</v>
      </c>
      <c r="L1810" s="21" t="s">
        <v>307</v>
      </c>
      <c r="M1810" s="21" t="s">
        <v>2111</v>
      </c>
      <c r="N1810" s="21" t="s">
        <v>30</v>
      </c>
      <c r="O1810" s="11"/>
      <c r="P1810" s="11"/>
      <c r="Q1810" s="150">
        <v>2.5</v>
      </c>
      <c r="R1810" s="23">
        <f>5635152.09*Q1810</f>
        <v>14087880.225</v>
      </c>
      <c r="S1810" s="11"/>
      <c r="T1810" s="11"/>
      <c r="U1810" s="11"/>
      <c r="V1810" s="24" t="s">
        <v>691</v>
      </c>
      <c r="W1810" s="11"/>
      <c r="X1810" s="11"/>
      <c r="Y1810" s="12" t="s">
        <v>2208</v>
      </c>
      <c r="Z1810" s="18">
        <f>ROUND(R1810*'Data-CostAssumptions'!$C$13,-3)</f>
        <v>14088000</v>
      </c>
      <c r="AA1810" s="11">
        <f t="shared" si="62"/>
        <v>1</v>
      </c>
      <c r="AB1810" s="11">
        <v>2041</v>
      </c>
      <c r="AC1810" s="11">
        <v>2041</v>
      </c>
      <c r="AD1810" s="11">
        <v>2041</v>
      </c>
      <c r="AE1810" s="11">
        <v>2041</v>
      </c>
      <c r="AF1810" s="11">
        <v>0</v>
      </c>
      <c r="AG1810" s="19">
        <f>ROUND((Z1810*'Data-CostAssumptions'!$G$5)*(1+'Data-CostAssumptions'!$G$3)^(AC1810-'Data-CostAssumptions'!$G$4),-3)</f>
        <v>7947000</v>
      </c>
      <c r="AH1810" s="19">
        <f>ROUND((Z1810)*(1+'Data-CostAssumptions'!$G$3)^(AE1810-'Data-CostAssumptions'!$G$4),-3)</f>
        <v>36121000</v>
      </c>
    </row>
    <row r="1811" spans="1:34" ht="15" customHeight="1" x14ac:dyDescent="0.2">
      <c r="A1811" s="11"/>
      <c r="B1811" s="11" t="s">
        <v>1211</v>
      </c>
      <c r="C1811" s="11">
        <v>12500</v>
      </c>
      <c r="D1811" s="84" t="s">
        <v>287</v>
      </c>
      <c r="E1811" s="14"/>
      <c r="F1811" s="14"/>
      <c r="G1811" s="20">
        <v>1814</v>
      </c>
      <c r="H1811" s="13" t="s">
        <v>2014</v>
      </c>
      <c r="I1811" s="13" t="str">
        <f t="shared" si="61"/>
        <v>Andrews Av (Prospect Rd to OPB)</v>
      </c>
      <c r="J1811" s="11" t="s">
        <v>29</v>
      </c>
      <c r="K1811" s="13" t="str">
        <f>VLOOKUP(J1811,'Data-ProjectTypes'!A$3:B$13,2,FALSE)</f>
        <v>Program</v>
      </c>
      <c r="L1811" s="85" t="s">
        <v>718</v>
      </c>
      <c r="M1811" s="11" t="s">
        <v>1859</v>
      </c>
      <c r="N1811" s="11" t="s">
        <v>726</v>
      </c>
      <c r="O1811" s="11"/>
      <c r="P1811" s="11"/>
      <c r="Q1811" s="15">
        <v>1</v>
      </c>
      <c r="R1811" s="16">
        <v>3300000</v>
      </c>
      <c r="S1811" s="11"/>
      <c r="T1811" s="11"/>
      <c r="U1811" s="11"/>
      <c r="V1811" s="85" t="s">
        <v>729</v>
      </c>
      <c r="W1811" s="11"/>
      <c r="X1811" s="11"/>
      <c r="Z1811" s="18">
        <f>ROUND(R1811*'Data-CostAssumptions'!$C$14,-3)</f>
        <v>3300000</v>
      </c>
      <c r="AA1811" s="11">
        <f t="shared" si="62"/>
        <v>1</v>
      </c>
      <c r="AB1811" s="11">
        <v>2041</v>
      </c>
      <c r="AC1811" s="11">
        <v>2041</v>
      </c>
      <c r="AD1811" s="11">
        <v>2041</v>
      </c>
      <c r="AE1811" s="11">
        <v>2041</v>
      </c>
      <c r="AF1811" s="11">
        <v>0</v>
      </c>
      <c r="AG1811" s="19">
        <f>ROUND((Z1811*'Data-CostAssumptions'!$G$5)*(1+'Data-CostAssumptions'!$G$3)^(AC1811-'Data-CostAssumptions'!$G$4),-3)</f>
        <v>1861000</v>
      </c>
      <c r="AH1811" s="19">
        <f>ROUND((Z1811)*(1+'Data-CostAssumptions'!$G$3)^(AE1811-'Data-CostAssumptions'!$G$4),-3)</f>
        <v>8461000</v>
      </c>
    </row>
    <row r="1812" spans="1:34" ht="15" customHeight="1" x14ac:dyDescent="0.2">
      <c r="A1812" s="11"/>
      <c r="B1812" s="11" t="s">
        <v>1211</v>
      </c>
      <c r="C1812" s="11">
        <v>12501</v>
      </c>
      <c r="D1812" s="84" t="s">
        <v>287</v>
      </c>
      <c r="E1812" s="14"/>
      <c r="F1812" s="14"/>
      <c r="G1812" s="20">
        <v>1815</v>
      </c>
      <c r="H1812" s="13" t="s">
        <v>2157</v>
      </c>
      <c r="I1812" s="13" t="str">
        <f t="shared" si="61"/>
        <v>NW 10th Av. (Royal Park Dr to Powerline Rd)</v>
      </c>
      <c r="J1812" s="11" t="s">
        <v>29</v>
      </c>
      <c r="K1812" s="13" t="str">
        <f>VLOOKUP(J1812,'Data-ProjectTypes'!A$3:B$13,2,FALSE)</f>
        <v>Program</v>
      </c>
      <c r="L1812" s="85" t="s">
        <v>719</v>
      </c>
      <c r="M1812" s="11" t="s">
        <v>2663</v>
      </c>
      <c r="N1812" s="11" t="s">
        <v>1858</v>
      </c>
      <c r="O1812" s="11"/>
      <c r="P1812" s="11"/>
      <c r="Q1812" s="15">
        <v>1.1000000000000001</v>
      </c>
      <c r="R1812" s="16">
        <v>1650000</v>
      </c>
      <c r="S1812" s="11"/>
      <c r="T1812" s="11"/>
      <c r="U1812" s="11"/>
      <c r="V1812" s="85" t="s">
        <v>729</v>
      </c>
      <c r="W1812" s="11"/>
      <c r="X1812" s="38"/>
      <c r="Y1812" s="12" t="s">
        <v>2205</v>
      </c>
      <c r="Z1812" s="18">
        <f>ROUND(R1812*'Data-CostAssumptions'!$C$14,-3)</f>
        <v>1650000</v>
      </c>
      <c r="AA1812" s="11">
        <f t="shared" si="62"/>
        <v>1</v>
      </c>
      <c r="AB1812" s="11">
        <v>2041</v>
      </c>
      <c r="AC1812" s="11">
        <v>2041</v>
      </c>
      <c r="AD1812" s="11">
        <v>2041</v>
      </c>
      <c r="AE1812" s="11">
        <v>2041</v>
      </c>
      <c r="AF1812" s="11">
        <v>0</v>
      </c>
      <c r="AG1812" s="19">
        <f>ROUND((Z1812*'Data-CostAssumptions'!$G$5)*(1+'Data-CostAssumptions'!$G$3)^(AC1812-'Data-CostAssumptions'!$G$4),-3)</f>
        <v>931000</v>
      </c>
      <c r="AH1812" s="19">
        <f>ROUND((Z1812)*(1+'Data-CostAssumptions'!$G$3)^(AE1812-'Data-CostAssumptions'!$G$4),-3)</f>
        <v>4231000</v>
      </c>
    </row>
    <row r="1813" spans="1:34" ht="15" customHeight="1" x14ac:dyDescent="0.2">
      <c r="A1813" s="11"/>
      <c r="B1813" s="11" t="s">
        <v>1211</v>
      </c>
      <c r="C1813" s="11">
        <v>12502</v>
      </c>
      <c r="D1813" s="84" t="s">
        <v>287</v>
      </c>
      <c r="E1813" s="14"/>
      <c r="F1813" s="14"/>
      <c r="G1813" s="20">
        <v>1816</v>
      </c>
      <c r="H1813" s="13" t="s">
        <v>2710</v>
      </c>
      <c r="I1813" s="13" t="str">
        <f t="shared" si="61"/>
        <v>SR 816/Oakland Park Bl (I95 to NW 31 Av)</v>
      </c>
      <c r="J1813" s="11" t="s">
        <v>366</v>
      </c>
      <c r="K1813" s="13" t="str">
        <f>VLOOKUP(J1813,'Data-ProjectTypes'!A$3:B$13,2,FALSE)</f>
        <v>Program</v>
      </c>
      <c r="L1813" s="85" t="s">
        <v>720</v>
      </c>
      <c r="M1813" s="11" t="s">
        <v>727</v>
      </c>
      <c r="N1813" s="11" t="s">
        <v>2249</v>
      </c>
      <c r="O1813" s="11"/>
      <c r="P1813" s="11"/>
      <c r="Q1813" s="15">
        <v>2.2999999999999998</v>
      </c>
      <c r="R1813" s="16">
        <v>220000</v>
      </c>
      <c r="S1813" s="11"/>
      <c r="T1813" s="11"/>
      <c r="U1813" s="11"/>
      <c r="V1813" s="85" t="s">
        <v>730</v>
      </c>
      <c r="W1813" s="11"/>
      <c r="X1813" s="11"/>
      <c r="Y1813" s="12" t="s">
        <v>2207</v>
      </c>
      <c r="Z1813" s="18">
        <f>ROUND(R1813*'Data-CostAssumptions'!$C$14,-3)</f>
        <v>220000</v>
      </c>
      <c r="AA1813" s="11">
        <f t="shared" si="62"/>
        <v>1</v>
      </c>
      <c r="AB1813" s="11">
        <v>2041</v>
      </c>
      <c r="AC1813" s="11">
        <v>2041</v>
      </c>
      <c r="AD1813" s="11">
        <v>2041</v>
      </c>
      <c r="AE1813" s="11">
        <v>2041</v>
      </c>
      <c r="AF1813" s="11">
        <v>0</v>
      </c>
      <c r="AG1813" s="19">
        <f>ROUND((Z1813*'Data-CostAssumptions'!$G$5)*(1+'Data-CostAssumptions'!$G$3)^(AC1813-'Data-CostAssumptions'!$G$4),-3)</f>
        <v>124000</v>
      </c>
      <c r="AH1813" s="19">
        <f>ROUND((Z1813)*(1+'Data-CostAssumptions'!$G$3)^(AE1813-'Data-CostAssumptions'!$G$4),-3)</f>
        <v>564000</v>
      </c>
    </row>
    <row r="1814" spans="1:34" ht="15" customHeight="1" x14ac:dyDescent="0.2">
      <c r="A1814" s="11"/>
      <c r="B1814" s="11" t="s">
        <v>1211</v>
      </c>
      <c r="C1814" s="11">
        <v>12505</v>
      </c>
      <c r="D1814" s="84" t="s">
        <v>287</v>
      </c>
      <c r="E1814" s="14"/>
      <c r="F1814" s="14"/>
      <c r="G1814" s="20">
        <v>1817</v>
      </c>
      <c r="H1814" s="13" t="s">
        <v>1184</v>
      </c>
      <c r="I1814" s="13" t="str">
        <f t="shared" si="61"/>
        <v>NW 44 St (NW 21 Av. to NW 31 Av.)</v>
      </c>
      <c r="J1814" s="11" t="s">
        <v>27</v>
      </c>
      <c r="K1814" s="13" t="str">
        <f>VLOOKUP(J1814,'Data-ProjectTypes'!A$3:B$13,2,FALSE)</f>
        <v>Program</v>
      </c>
      <c r="L1814" s="85" t="s">
        <v>724</v>
      </c>
      <c r="M1814" s="11" t="s">
        <v>2622</v>
      </c>
      <c r="N1814" s="11" t="s">
        <v>2621</v>
      </c>
      <c r="O1814" s="11"/>
      <c r="P1814" s="11"/>
      <c r="Q1814" s="15">
        <v>0.8</v>
      </c>
      <c r="R1814" s="16">
        <v>220000</v>
      </c>
      <c r="S1814" s="11"/>
      <c r="T1814" s="11"/>
      <c r="U1814" s="11"/>
      <c r="V1814" s="85" t="s">
        <v>732</v>
      </c>
      <c r="W1814" s="11"/>
      <c r="X1814" s="11"/>
      <c r="Y1814" s="12" t="s">
        <v>2205</v>
      </c>
      <c r="Z1814" s="18">
        <f>ROUND(R1814*'Data-CostAssumptions'!$C$14,-3)</f>
        <v>220000</v>
      </c>
      <c r="AA1814" s="11">
        <f t="shared" si="62"/>
        <v>1</v>
      </c>
      <c r="AB1814" s="11">
        <v>2041</v>
      </c>
      <c r="AC1814" s="11">
        <v>2041</v>
      </c>
      <c r="AD1814" s="11">
        <v>2041</v>
      </c>
      <c r="AE1814" s="11">
        <v>2041</v>
      </c>
      <c r="AF1814" s="11">
        <v>0</v>
      </c>
      <c r="AG1814" s="19">
        <f>ROUND((Z1814*'Data-CostAssumptions'!$G$5)*(1+'Data-CostAssumptions'!$G$3)^(AC1814-'Data-CostAssumptions'!$G$4),-3)</f>
        <v>124000</v>
      </c>
      <c r="AH1814" s="19">
        <f>ROUND((Z1814)*(1+'Data-CostAssumptions'!$G$3)^(AE1814-'Data-CostAssumptions'!$G$4),-3)</f>
        <v>564000</v>
      </c>
    </row>
    <row r="1815" spans="1:34" ht="15" customHeight="1" x14ac:dyDescent="0.2">
      <c r="A1815" s="11"/>
      <c r="B1815" s="11" t="s">
        <v>1211</v>
      </c>
      <c r="C1815" s="11">
        <v>12503</v>
      </c>
      <c r="D1815" s="84" t="s">
        <v>287</v>
      </c>
      <c r="E1815" s="14"/>
      <c r="F1815" s="14"/>
      <c r="G1815" s="20">
        <v>1818</v>
      </c>
      <c r="H1815" s="13" t="s">
        <v>2036</v>
      </c>
      <c r="I1815" s="13" t="str">
        <f t="shared" si="61"/>
        <v>NE 6th Av (Commercial Bl. to Prospect Rd)</v>
      </c>
      <c r="J1815" s="11" t="s">
        <v>300</v>
      </c>
      <c r="K1815" s="13" t="str">
        <f>VLOOKUP(J1815,'Data-ProjectTypes'!A$3:B$13,2,FALSE)</f>
        <v>Project</v>
      </c>
      <c r="L1815" s="85" t="s">
        <v>721</v>
      </c>
      <c r="M1815" s="11" t="s">
        <v>2316</v>
      </c>
      <c r="N1815" s="11" t="s">
        <v>1859</v>
      </c>
      <c r="O1815" s="11"/>
      <c r="P1815" s="11"/>
      <c r="Q1815" s="15">
        <v>0.5</v>
      </c>
      <c r="R1815" s="16">
        <v>1100000</v>
      </c>
      <c r="S1815" s="11"/>
      <c r="T1815" s="11"/>
      <c r="U1815" s="11"/>
      <c r="V1815" s="85" t="s">
        <v>731</v>
      </c>
      <c r="W1815" s="11"/>
      <c r="X1815" s="11"/>
      <c r="Y1815" s="12" t="s">
        <v>2205</v>
      </c>
      <c r="Z1815" s="18">
        <f>ROUND(R1815*'Data-CostAssumptions'!$C$14,-3)</f>
        <v>1100000</v>
      </c>
      <c r="AA1815" s="11">
        <f t="shared" si="62"/>
        <v>1</v>
      </c>
      <c r="AB1815" s="11">
        <v>2041</v>
      </c>
      <c r="AC1815" s="11">
        <v>2041</v>
      </c>
      <c r="AD1815" s="11">
        <v>2041</v>
      </c>
      <c r="AE1815" s="11">
        <v>2041</v>
      </c>
      <c r="AF1815" s="11">
        <v>0</v>
      </c>
      <c r="AG1815" s="19">
        <f>ROUND((Z1815*'Data-CostAssumptions'!$G$5)*(1+'Data-CostAssumptions'!$G$3)^(AC1815-'Data-CostAssumptions'!$G$4),-3)</f>
        <v>620000</v>
      </c>
      <c r="AH1815" s="19">
        <f>ROUND((Z1815)*(1+'Data-CostAssumptions'!$G$3)^(AE1815-'Data-CostAssumptions'!$G$4),-3)</f>
        <v>2820000</v>
      </c>
    </row>
    <row r="1816" spans="1:34" ht="15" customHeight="1" x14ac:dyDescent="0.2">
      <c r="A1816" s="11"/>
      <c r="B1816" s="11" t="s">
        <v>1211</v>
      </c>
      <c r="C1816" s="11">
        <v>12506</v>
      </c>
      <c r="D1816" s="84" t="s">
        <v>287</v>
      </c>
      <c r="E1816" s="14"/>
      <c r="F1816" s="14"/>
      <c r="G1816" s="20">
        <v>1819</v>
      </c>
      <c r="H1816" s="13" t="s">
        <v>725</v>
      </c>
      <c r="I1816" s="13" t="str">
        <f t="shared" si="61"/>
        <v>Bridge Improvement ( to )</v>
      </c>
      <c r="J1816" s="11" t="s">
        <v>300</v>
      </c>
      <c r="K1816" s="13" t="str">
        <f>VLOOKUP(J1816,'Data-ProjectTypes'!A$3:B$13,2,FALSE)</f>
        <v>Project</v>
      </c>
      <c r="L1816" s="85" t="s">
        <v>2704</v>
      </c>
      <c r="M1816" s="11"/>
      <c r="N1816" s="11"/>
      <c r="O1816" s="11"/>
      <c r="P1816" s="11"/>
      <c r="Q1816" s="15"/>
      <c r="R1816" s="16">
        <v>2200000</v>
      </c>
      <c r="S1816" s="11"/>
      <c r="T1816" s="11"/>
      <c r="U1816" s="11"/>
      <c r="V1816" s="85" t="s">
        <v>733</v>
      </c>
      <c r="W1816" s="11"/>
      <c r="X1816" s="38"/>
      <c r="Z1816" s="18">
        <f>ROUND(R1816*'Data-CostAssumptions'!$C$14,-3)</f>
        <v>2200000</v>
      </c>
      <c r="AA1816" s="11">
        <f t="shared" si="62"/>
        <v>1</v>
      </c>
      <c r="AB1816" s="11">
        <v>2041</v>
      </c>
      <c r="AC1816" s="11">
        <v>2041</v>
      </c>
      <c r="AD1816" s="11">
        <v>2041</v>
      </c>
      <c r="AE1816" s="11">
        <v>2041</v>
      </c>
      <c r="AF1816" s="11">
        <v>0</v>
      </c>
      <c r="AG1816" s="19">
        <f>ROUND((Z1816*'Data-CostAssumptions'!$G$5)*(1+'Data-CostAssumptions'!$G$3)^(AC1816-'Data-CostAssumptions'!$G$4),-3)</f>
        <v>1241000</v>
      </c>
      <c r="AH1816" s="19">
        <f>ROUND((Z1816)*(1+'Data-CostAssumptions'!$G$3)^(AE1816-'Data-CostAssumptions'!$G$4),-3)</f>
        <v>5641000</v>
      </c>
    </row>
    <row r="1817" spans="1:34" ht="15" customHeight="1" x14ac:dyDescent="0.2">
      <c r="A1817" s="11"/>
      <c r="B1817" s="11" t="s">
        <v>1211</v>
      </c>
      <c r="C1817" s="11">
        <v>12504</v>
      </c>
      <c r="D1817" s="84" t="s">
        <v>287</v>
      </c>
      <c r="E1817" s="14"/>
      <c r="F1817" s="14"/>
      <c r="G1817" s="20">
        <v>1820</v>
      </c>
      <c r="H1817" s="13" t="s">
        <v>722</v>
      </c>
      <c r="I1817" s="13" t="str">
        <f t="shared" si="61"/>
        <v>Downtown Parking Garage (Dixie Hwy to OPB)</v>
      </c>
      <c r="J1817" s="11" t="s">
        <v>347</v>
      </c>
      <c r="K1817" s="13" t="str">
        <f>VLOOKUP(J1817,'Data-ProjectTypes'!A$3:B$13,2,FALSE)</f>
        <v>Project</v>
      </c>
      <c r="L1817" s="85" t="s">
        <v>723</v>
      </c>
      <c r="M1817" s="11" t="s">
        <v>728</v>
      </c>
      <c r="N1817" s="11" t="s">
        <v>726</v>
      </c>
      <c r="O1817" s="11"/>
      <c r="P1817" s="11"/>
      <c r="Q1817" s="15">
        <v>0</v>
      </c>
      <c r="R1817" s="16">
        <v>5500000</v>
      </c>
      <c r="S1817" s="11"/>
      <c r="T1817" s="11"/>
      <c r="U1817" s="11"/>
      <c r="V1817" s="85" t="s">
        <v>723</v>
      </c>
      <c r="W1817" s="11"/>
      <c r="X1817" s="11"/>
      <c r="Z1817" s="18">
        <f>ROUND(R1817*'Data-CostAssumptions'!$C$3,-3)</f>
        <v>7612000</v>
      </c>
      <c r="AA1817" s="11">
        <f t="shared" si="62"/>
        <v>1</v>
      </c>
      <c r="AB1817" s="11">
        <v>2041</v>
      </c>
      <c r="AC1817" s="11">
        <v>2041</v>
      </c>
      <c r="AD1817" s="11">
        <v>2041</v>
      </c>
      <c r="AE1817" s="11">
        <v>2041</v>
      </c>
      <c r="AF1817" s="11">
        <v>0</v>
      </c>
      <c r="AG1817" s="19">
        <f>ROUND((Z1817*'Data-CostAssumptions'!$G$5)*(1+'Data-CostAssumptions'!$G$3)^(AC1817-'Data-CostAssumptions'!$G$4),-3)</f>
        <v>4294000</v>
      </c>
      <c r="AH1817" s="19">
        <f>ROUND((Z1817)*(1+'Data-CostAssumptions'!$G$3)^(AE1817-'Data-CostAssumptions'!$G$4),-3)</f>
        <v>19517000</v>
      </c>
    </row>
    <row r="1818" spans="1:34" ht="15" customHeight="1" x14ac:dyDescent="0.2">
      <c r="A1818" s="11"/>
      <c r="B1818" s="11" t="s">
        <v>1211</v>
      </c>
      <c r="C1818" s="11">
        <v>12550</v>
      </c>
      <c r="D1818" s="84" t="s">
        <v>296</v>
      </c>
      <c r="E1818" s="14"/>
      <c r="F1818" s="14"/>
      <c r="G1818" s="20">
        <v>1821</v>
      </c>
      <c r="H1818" s="13" t="s">
        <v>1797</v>
      </c>
      <c r="I1818" s="13" t="str">
        <f t="shared" si="61"/>
        <v>Parkside Dr (Loxahatchee Rd to Holmberg Rd)</v>
      </c>
      <c r="J1818" s="11" t="s">
        <v>29</v>
      </c>
      <c r="K1818" s="13" t="str">
        <f>VLOOKUP(J1818,'Data-ProjectTypes'!A$3:B$13,2,FALSE)</f>
        <v>Program</v>
      </c>
      <c r="L1818" s="11" t="s">
        <v>757</v>
      </c>
      <c r="M1818" s="11" t="s">
        <v>1851</v>
      </c>
      <c r="N1818" s="11" t="s">
        <v>2404</v>
      </c>
      <c r="O1818" s="11"/>
      <c r="P1818" s="11"/>
      <c r="Q1818" s="15">
        <v>1.6</v>
      </c>
      <c r="R1818" s="16">
        <v>566448.03999999992</v>
      </c>
      <c r="S1818" s="16"/>
      <c r="T1818" s="11"/>
      <c r="U1818" s="11"/>
      <c r="V1818" s="24" t="s">
        <v>759</v>
      </c>
      <c r="W1818" s="11"/>
      <c r="X1818" s="11"/>
      <c r="Y1818" s="12" t="s">
        <v>2205</v>
      </c>
      <c r="Z1818" s="18">
        <f>ROUND(R1818*'Data-CostAssumptions'!$C$15,-3)</f>
        <v>566000</v>
      </c>
      <c r="AA1818" s="11">
        <f t="shared" si="62"/>
        <v>1</v>
      </c>
      <c r="AB1818" s="11">
        <v>2041</v>
      </c>
      <c r="AC1818" s="11">
        <v>2041</v>
      </c>
      <c r="AD1818" s="11">
        <v>2041</v>
      </c>
      <c r="AE1818" s="11">
        <v>2041</v>
      </c>
      <c r="AF1818" s="11">
        <v>0</v>
      </c>
      <c r="AG1818" s="19">
        <f>ROUND((Z1818*'Data-CostAssumptions'!$G$5)*(1+'Data-CostAssumptions'!$G$3)^(AC1818-'Data-CostAssumptions'!$G$4),-3)</f>
        <v>319000</v>
      </c>
      <c r="AH1818" s="19">
        <f>ROUND((Z1818)*(1+'Data-CostAssumptions'!$G$3)^(AE1818-'Data-CostAssumptions'!$G$4),-3)</f>
        <v>1451000</v>
      </c>
    </row>
    <row r="1819" spans="1:34" ht="15" customHeight="1" x14ac:dyDescent="0.2">
      <c r="A1819" s="11"/>
      <c r="B1819" s="11" t="s">
        <v>1211</v>
      </c>
      <c r="C1819" s="11">
        <v>12551</v>
      </c>
      <c r="D1819" s="84" t="s">
        <v>296</v>
      </c>
      <c r="E1819" s="14"/>
      <c r="F1819" s="14"/>
      <c r="G1819" s="20">
        <v>1822</v>
      </c>
      <c r="H1819" s="13" t="s">
        <v>1849</v>
      </c>
      <c r="I1819" s="13" t="str">
        <f t="shared" si="61"/>
        <v>Holmberg Rd  (Nobhill Rd to Pine Island Rd)</v>
      </c>
      <c r="J1819" s="11" t="s">
        <v>29</v>
      </c>
      <c r="K1819" s="13" t="str">
        <f>VLOOKUP(J1819,'Data-ProjectTypes'!A$3:B$13,2,FALSE)</f>
        <v>Program</v>
      </c>
      <c r="L1819" s="11" t="s">
        <v>757</v>
      </c>
      <c r="M1819" s="11" t="s">
        <v>2416</v>
      </c>
      <c r="N1819" s="11" t="s">
        <v>266</v>
      </c>
      <c r="O1819" s="11"/>
      <c r="P1819" s="11"/>
      <c r="Q1819" s="15">
        <v>0.8</v>
      </c>
      <c r="R1819" s="16">
        <v>602845.30000000005</v>
      </c>
      <c r="S1819" s="16"/>
      <c r="T1819" s="11"/>
      <c r="U1819" s="11"/>
      <c r="V1819" s="24" t="s">
        <v>760</v>
      </c>
      <c r="W1819" s="11"/>
      <c r="X1819" s="11"/>
      <c r="Y1819" s="12" t="s">
        <v>2205</v>
      </c>
      <c r="Z1819" s="18">
        <f>ROUND(R1819*'Data-CostAssumptions'!$C$15,-3)</f>
        <v>603000</v>
      </c>
      <c r="AA1819" s="11">
        <f t="shared" si="62"/>
        <v>1</v>
      </c>
      <c r="AB1819" s="11">
        <v>2041</v>
      </c>
      <c r="AC1819" s="11">
        <v>2041</v>
      </c>
      <c r="AD1819" s="11">
        <v>2041</v>
      </c>
      <c r="AE1819" s="11">
        <v>2041</v>
      </c>
      <c r="AF1819" s="11">
        <v>0</v>
      </c>
      <c r="AG1819" s="19">
        <f>ROUND((Z1819*'Data-CostAssumptions'!$G$5)*(1+'Data-CostAssumptions'!$G$3)^(AC1819-'Data-CostAssumptions'!$G$4),-3)</f>
        <v>340000</v>
      </c>
      <c r="AH1819" s="19">
        <f>ROUND((Z1819)*(1+'Data-CostAssumptions'!$G$3)^(AE1819-'Data-CostAssumptions'!$G$4),-3)</f>
        <v>1546000</v>
      </c>
    </row>
    <row r="1820" spans="1:34" ht="15" customHeight="1" x14ac:dyDescent="0.2">
      <c r="A1820" s="11"/>
      <c r="B1820" s="11" t="s">
        <v>1211</v>
      </c>
      <c r="C1820" s="11">
        <v>12552</v>
      </c>
      <c r="D1820" s="84" t="s">
        <v>296</v>
      </c>
      <c r="E1820" s="14"/>
      <c r="F1820" s="14"/>
      <c r="G1820" s="20">
        <v>1823</v>
      </c>
      <c r="H1820" s="13" t="s">
        <v>1851</v>
      </c>
      <c r="I1820" s="13" t="str">
        <f t="shared" si="61"/>
        <v>Loxahatchee Rd (Parkside Dr to State Rd 7)</v>
      </c>
      <c r="J1820" s="11" t="s">
        <v>300</v>
      </c>
      <c r="K1820" s="13" t="str">
        <f>VLOOKUP(J1820,'Data-ProjectTypes'!A$3:B$13,2,FALSE)</f>
        <v>Project</v>
      </c>
      <c r="L1820" s="11" t="s">
        <v>758</v>
      </c>
      <c r="M1820" s="11" t="s">
        <v>1797</v>
      </c>
      <c r="N1820" s="11" t="s">
        <v>1772</v>
      </c>
      <c r="O1820" s="11"/>
      <c r="P1820" s="11"/>
      <c r="Q1820" s="15">
        <v>1.3</v>
      </c>
      <c r="R1820" s="16">
        <v>3244052.4499999997</v>
      </c>
      <c r="S1820" s="16"/>
      <c r="T1820" s="11"/>
      <c r="U1820" s="11"/>
      <c r="V1820" s="24" t="s">
        <v>761</v>
      </c>
      <c r="W1820" s="11"/>
      <c r="X1820" s="11"/>
      <c r="Y1820" s="12" t="s">
        <v>2205</v>
      </c>
      <c r="Z1820" s="18">
        <f>ROUND(R1820*'Data-CostAssumptions'!$C$15,-3)</f>
        <v>3244000</v>
      </c>
      <c r="AA1820" s="11">
        <f t="shared" si="62"/>
        <v>1</v>
      </c>
      <c r="AB1820" s="11">
        <v>2041</v>
      </c>
      <c r="AC1820" s="11">
        <v>2041</v>
      </c>
      <c r="AD1820" s="11">
        <v>2041</v>
      </c>
      <c r="AE1820" s="11">
        <v>2041</v>
      </c>
      <c r="AF1820" s="11">
        <v>0</v>
      </c>
      <c r="AG1820" s="19">
        <f>ROUND((Z1820*'Data-CostAssumptions'!$G$5)*(1+'Data-CostAssumptions'!$G$3)^(AC1820-'Data-CostAssumptions'!$G$4),-3)</f>
        <v>1830000</v>
      </c>
      <c r="AH1820" s="19">
        <f>ROUND((Z1820)*(1+'Data-CostAssumptions'!$G$3)^(AE1820-'Data-CostAssumptions'!$G$4),-3)</f>
        <v>8317000</v>
      </c>
    </row>
    <row r="1821" spans="1:34" ht="15" customHeight="1" x14ac:dyDescent="0.2">
      <c r="A1821" s="11"/>
      <c r="B1821" s="11" t="s">
        <v>1211</v>
      </c>
      <c r="C1821" s="11">
        <v>12600</v>
      </c>
      <c r="D1821" s="84" t="s">
        <v>271</v>
      </c>
      <c r="E1821" s="14"/>
      <c r="F1821" s="14"/>
      <c r="G1821" s="20">
        <v>1824</v>
      </c>
      <c r="H1821" s="13" t="s">
        <v>2792</v>
      </c>
      <c r="I1821" s="13" t="str">
        <f t="shared" si="61"/>
        <v>SR 827/Pembroke Rd (SW 196 Av to SW 184 Av)</v>
      </c>
      <c r="J1821" s="11" t="s">
        <v>300</v>
      </c>
      <c r="K1821" s="13" t="str">
        <f>VLOOKUP(J1821,'Data-ProjectTypes'!A$3:B$13,2,FALSE)</f>
        <v>Project</v>
      </c>
      <c r="L1821" s="11" t="s">
        <v>762</v>
      </c>
      <c r="M1821" s="11" t="s">
        <v>2113</v>
      </c>
      <c r="N1821" s="11" t="s">
        <v>2251</v>
      </c>
      <c r="O1821" s="11"/>
      <c r="P1821" s="11"/>
      <c r="Q1821" s="15">
        <v>0.9</v>
      </c>
      <c r="R1821" s="16">
        <v>1500000</v>
      </c>
      <c r="S1821" s="11"/>
      <c r="T1821" s="11"/>
      <c r="U1821" s="11"/>
      <c r="V1821" s="24" t="s">
        <v>763</v>
      </c>
      <c r="W1821" s="11"/>
      <c r="X1821" s="11"/>
      <c r="Y1821" s="12" t="s">
        <v>2206</v>
      </c>
      <c r="Z1821" s="18">
        <f>ROUND(R1821*'Data-CostAssumptions'!$C$16,-3)</f>
        <v>1500000</v>
      </c>
      <c r="AA1821" s="11">
        <f t="shared" si="62"/>
        <v>1</v>
      </c>
      <c r="AB1821" s="11">
        <v>2041</v>
      </c>
      <c r="AC1821" s="11">
        <v>2041</v>
      </c>
      <c r="AD1821" s="11">
        <v>2041</v>
      </c>
      <c r="AE1821" s="11">
        <v>2041</v>
      </c>
      <c r="AF1821" s="11">
        <v>0</v>
      </c>
      <c r="AG1821" s="19">
        <f>ROUND((Z1821*'Data-CostAssumptions'!$G$5)*(1+'Data-CostAssumptions'!$G$3)^(AC1821-'Data-CostAssumptions'!$G$4),-3)</f>
        <v>846000</v>
      </c>
      <c r="AH1821" s="19">
        <f>ROUND((Z1821)*(1+'Data-CostAssumptions'!$G$3)^(AE1821-'Data-CostAssumptions'!$G$4),-3)</f>
        <v>3846000</v>
      </c>
    </row>
    <row r="1822" spans="1:34" ht="15" customHeight="1" x14ac:dyDescent="0.2">
      <c r="A1822" s="11"/>
      <c r="B1822" s="11" t="s">
        <v>1211</v>
      </c>
      <c r="C1822" s="11">
        <v>12601</v>
      </c>
      <c r="D1822" s="84" t="s">
        <v>271</v>
      </c>
      <c r="E1822" s="14"/>
      <c r="F1822" s="14"/>
      <c r="G1822" s="20">
        <v>1825</v>
      </c>
      <c r="H1822" s="13" t="s">
        <v>2113</v>
      </c>
      <c r="I1822" s="13" t="str">
        <f t="shared" ref="I1822:I1853" si="63">IF(M1822="@",H1822&amp;" ("&amp;M1822&amp;"  "&amp;N1822&amp;")",H1822&amp;" ("&amp;M1822&amp;" to "&amp;N1822&amp;")")</f>
        <v>SW 196 Av (Pines Bl to Pembroke Rd)</v>
      </c>
      <c r="J1822" s="11" t="s">
        <v>300</v>
      </c>
      <c r="K1822" s="13" t="str">
        <f>VLOOKUP(J1822,'Data-ProjectTypes'!A$3:B$13,2,FALSE)</f>
        <v>Project</v>
      </c>
      <c r="L1822" s="11" t="s">
        <v>762</v>
      </c>
      <c r="M1822" s="11" t="s">
        <v>1826</v>
      </c>
      <c r="N1822" s="11" t="s">
        <v>1760</v>
      </c>
      <c r="O1822" s="11"/>
      <c r="P1822" s="11"/>
      <c r="Q1822" s="15">
        <v>0.9</v>
      </c>
      <c r="R1822" s="16">
        <v>2200000</v>
      </c>
      <c r="S1822" s="11"/>
      <c r="T1822" s="11"/>
      <c r="U1822" s="11"/>
      <c r="V1822" s="24" t="s">
        <v>763</v>
      </c>
      <c r="W1822" s="11"/>
      <c r="X1822" s="11"/>
      <c r="Y1822" s="12" t="s">
        <v>2206</v>
      </c>
      <c r="Z1822" s="18">
        <f>ROUND(R1822*'Data-CostAssumptions'!$C$16,-3)</f>
        <v>2200000</v>
      </c>
      <c r="AA1822" s="11">
        <f t="shared" si="62"/>
        <v>1</v>
      </c>
      <c r="AB1822" s="11">
        <v>2041</v>
      </c>
      <c r="AC1822" s="11">
        <v>2041</v>
      </c>
      <c r="AD1822" s="11">
        <v>2041</v>
      </c>
      <c r="AE1822" s="11">
        <v>2041</v>
      </c>
      <c r="AF1822" s="11">
        <v>0</v>
      </c>
      <c r="AG1822" s="19">
        <f>ROUND((Z1822*'Data-CostAssumptions'!$G$5)*(1+'Data-CostAssumptions'!$G$3)^(AC1822-'Data-CostAssumptions'!$G$4),-3)</f>
        <v>1241000</v>
      </c>
      <c r="AH1822" s="19">
        <f>ROUND((Z1822)*(1+'Data-CostAssumptions'!$G$3)^(AE1822-'Data-CostAssumptions'!$G$4),-3)</f>
        <v>5641000</v>
      </c>
    </row>
    <row r="1823" spans="1:34" ht="15" customHeight="1" x14ac:dyDescent="0.2">
      <c r="A1823" s="11"/>
      <c r="B1823" s="11" t="s">
        <v>1211</v>
      </c>
      <c r="C1823" s="11">
        <v>13158</v>
      </c>
      <c r="D1823" s="84" t="s">
        <v>876</v>
      </c>
      <c r="E1823" s="14"/>
      <c r="F1823" s="14"/>
      <c r="G1823" s="20">
        <v>1826</v>
      </c>
      <c r="H1823" s="13" t="s">
        <v>1068</v>
      </c>
      <c r="I1823" s="13" t="str">
        <f t="shared" si="63"/>
        <v>Streetcar Feasibility studies (Systemwide to Systemwide)</v>
      </c>
      <c r="J1823" s="84" t="s">
        <v>1203</v>
      </c>
      <c r="K1823" s="13" t="str">
        <f>VLOOKUP(J1823,'Data-ProjectTypes'!A$3:B$13,2,FALSE)</f>
        <v>Program</v>
      </c>
      <c r="L1823" s="11"/>
      <c r="M1823" s="11" t="s">
        <v>2834</v>
      </c>
      <c r="N1823" s="11" t="s">
        <v>2834</v>
      </c>
      <c r="O1823" s="84" t="s">
        <v>876</v>
      </c>
      <c r="P1823" s="85" t="s">
        <v>876</v>
      </c>
      <c r="Q1823" s="15"/>
      <c r="R1823" s="16">
        <v>800000</v>
      </c>
      <c r="S1823" s="11"/>
      <c r="T1823" s="11"/>
      <c r="U1823" s="11"/>
      <c r="V1823" s="11"/>
      <c r="W1823" s="11"/>
      <c r="X1823" s="11"/>
      <c r="Z1823" s="18">
        <f>ROUND(R1823*'Data-CostAssumptions'!$C$8,-3)</f>
        <v>800000</v>
      </c>
      <c r="AA1823" s="11">
        <f t="shared" si="62"/>
        <v>0</v>
      </c>
      <c r="AB1823" s="11">
        <v>2041</v>
      </c>
      <c r="AC1823" s="11">
        <v>2041</v>
      </c>
      <c r="AD1823" s="11">
        <v>2041</v>
      </c>
      <c r="AE1823" s="11">
        <v>2041</v>
      </c>
      <c r="AF1823" s="11">
        <v>0</v>
      </c>
      <c r="AG1823" s="19">
        <f>ROUND((Z1823*'Data-CostAssumptions'!$G$5)*(1+'Data-CostAssumptions'!$G$3)^(AC1823-'Data-CostAssumptions'!$G$4),-3)</f>
        <v>451000</v>
      </c>
      <c r="AH1823" s="19">
        <f>ROUND((Z1823)*(1+'Data-CostAssumptions'!$G$3)^(AE1823-'Data-CostAssumptions'!$G$4),-3)</f>
        <v>2051000</v>
      </c>
    </row>
    <row r="1824" spans="1:34" ht="15" customHeight="1" x14ac:dyDescent="0.2">
      <c r="A1824" s="66"/>
      <c r="B1824" s="66" t="s">
        <v>1213</v>
      </c>
      <c r="C1824" s="66">
        <v>12850</v>
      </c>
      <c r="D1824" s="86" t="s">
        <v>876</v>
      </c>
      <c r="E1824" s="73"/>
      <c r="F1824" s="73"/>
      <c r="G1824" s="20">
        <v>1827</v>
      </c>
      <c r="H1824" s="67" t="s">
        <v>2855</v>
      </c>
      <c r="I1824" s="67" t="str">
        <f t="shared" si="63"/>
        <v>Tri-Rail Shuttle (GGI to Aventura Mall and Hallandale Beach)</v>
      </c>
      <c r="J1824" s="86" t="s">
        <v>347</v>
      </c>
      <c r="K1824" s="67" t="str">
        <f>VLOOKUP(J1824,'Data-ProjectTypes'!A$3:B$13,2,FALSE)</f>
        <v>Project</v>
      </c>
      <c r="L1824" s="87" t="s">
        <v>877</v>
      </c>
      <c r="M1824" s="67" t="s">
        <v>3003</v>
      </c>
      <c r="N1824" s="67" t="s">
        <v>3004</v>
      </c>
      <c r="O1824" s="86" t="s">
        <v>876</v>
      </c>
      <c r="P1824" s="87" t="s">
        <v>876</v>
      </c>
      <c r="Q1824" s="74"/>
      <c r="R1824" s="70">
        <v>1</v>
      </c>
      <c r="S1824" s="11"/>
      <c r="T1824" s="11"/>
      <c r="U1824" s="11"/>
      <c r="V1824" s="85" t="s">
        <v>878</v>
      </c>
      <c r="W1824" s="11"/>
      <c r="X1824" s="11"/>
      <c r="Y1824" s="12" t="s">
        <v>2201</v>
      </c>
      <c r="Z1824" s="71">
        <f>ROUND(R1824*'Data-CostAssumptions'!$C$3,-3)</f>
        <v>0</v>
      </c>
      <c r="AA1824" s="11">
        <f t="shared" si="62"/>
        <v>1</v>
      </c>
      <c r="AB1824" s="11">
        <v>2041</v>
      </c>
      <c r="AC1824" s="11">
        <v>2041</v>
      </c>
      <c r="AD1824" s="11">
        <v>2041</v>
      </c>
      <c r="AE1824" s="11">
        <v>2041</v>
      </c>
      <c r="AF1824" s="11">
        <v>0</v>
      </c>
      <c r="AG1824" s="19">
        <f>ROUND((Z1824*'Data-CostAssumptions'!$G$5)*(1+'Data-CostAssumptions'!$G$3)^(AC1824-'Data-CostAssumptions'!$G$4),-3)</f>
        <v>0</v>
      </c>
      <c r="AH1824" s="19">
        <f>ROUND((Z1824)*(1+'Data-CostAssumptions'!$G$3)^(AE1824-'Data-CostAssumptions'!$G$4),-3)</f>
        <v>0</v>
      </c>
    </row>
    <row r="1825" spans="1:34" ht="15" customHeight="1" x14ac:dyDescent="0.2">
      <c r="A1825" s="11"/>
      <c r="B1825" s="11" t="s">
        <v>1211</v>
      </c>
      <c r="C1825" s="11">
        <v>13159</v>
      </c>
      <c r="D1825" s="84" t="s">
        <v>876</v>
      </c>
      <c r="E1825" s="14"/>
      <c r="F1825" s="14"/>
      <c r="G1825" s="20">
        <v>1828</v>
      </c>
      <c r="H1825" s="13" t="s">
        <v>1069</v>
      </c>
      <c r="I1825" s="13" t="str">
        <f t="shared" si="63"/>
        <v>Bike Storage Cars (Systemwide to Systemwide)</v>
      </c>
      <c r="J1825" s="84" t="s">
        <v>347</v>
      </c>
      <c r="K1825" s="13" t="str">
        <f>VLOOKUP(J1825,'Data-ProjectTypes'!A$3:B$13,2,FALSE)</f>
        <v>Project</v>
      </c>
      <c r="L1825" s="11"/>
      <c r="M1825" s="11" t="s">
        <v>2834</v>
      </c>
      <c r="N1825" s="11" t="s">
        <v>2834</v>
      </c>
      <c r="O1825" s="84" t="s">
        <v>876</v>
      </c>
      <c r="P1825" s="85" t="s">
        <v>876</v>
      </c>
      <c r="Q1825" s="15"/>
      <c r="R1825" s="16">
        <v>1000000</v>
      </c>
      <c r="S1825" s="11"/>
      <c r="T1825" s="11"/>
      <c r="U1825" s="11"/>
      <c r="V1825" s="11"/>
      <c r="W1825" s="11"/>
      <c r="X1825" s="11"/>
      <c r="Z1825" s="18">
        <f>ROUND(R1825*'Data-CostAssumptions'!$C$3,-3)</f>
        <v>1384000</v>
      </c>
      <c r="AA1825" s="11">
        <f t="shared" si="62"/>
        <v>0</v>
      </c>
      <c r="AB1825" s="11">
        <v>2041</v>
      </c>
      <c r="AC1825" s="11">
        <v>2041</v>
      </c>
      <c r="AD1825" s="11">
        <v>2041</v>
      </c>
      <c r="AE1825" s="11">
        <v>2041</v>
      </c>
      <c r="AF1825" s="11">
        <v>0</v>
      </c>
      <c r="AG1825" s="19">
        <f>ROUND((Z1825*'Data-CostAssumptions'!$G$5)*(1+'Data-CostAssumptions'!$G$3)^(AC1825-'Data-CostAssumptions'!$G$4),-3)</f>
        <v>781000</v>
      </c>
      <c r="AH1825" s="19">
        <f>ROUND((Z1825)*(1+'Data-CostAssumptions'!$G$3)^(AE1825-'Data-CostAssumptions'!$G$4),-3)</f>
        <v>3549000</v>
      </c>
    </row>
    <row r="1826" spans="1:34" ht="15" customHeight="1" x14ac:dyDescent="0.2">
      <c r="A1826" s="11"/>
      <c r="B1826" s="11" t="s">
        <v>1211</v>
      </c>
      <c r="C1826" s="11">
        <v>13157</v>
      </c>
      <c r="D1826" s="84" t="s">
        <v>876</v>
      </c>
      <c r="E1826" s="14"/>
      <c r="F1826" s="14"/>
      <c r="G1826" s="20">
        <v>1829</v>
      </c>
      <c r="H1826" s="13" t="s">
        <v>1066</v>
      </c>
      <c r="I1826" s="13" t="str">
        <f t="shared" si="63"/>
        <v>Tri-Rail Coastal Link (Systemwide to Systemwide)</v>
      </c>
      <c r="J1826" s="84" t="s">
        <v>347</v>
      </c>
      <c r="K1826" s="13" t="str">
        <f>VLOOKUP(J1826,'Data-ProjectTypes'!A$3:B$13,2,FALSE)</f>
        <v>Project</v>
      </c>
      <c r="L1826" s="85" t="s">
        <v>1067</v>
      </c>
      <c r="M1826" s="11" t="s">
        <v>2834</v>
      </c>
      <c r="N1826" s="11" t="s">
        <v>2834</v>
      </c>
      <c r="O1826" s="84" t="s">
        <v>876</v>
      </c>
      <c r="P1826" s="85" t="s">
        <v>876</v>
      </c>
      <c r="Q1826" s="15"/>
      <c r="R1826" s="16">
        <v>725000000</v>
      </c>
      <c r="S1826" s="11"/>
      <c r="T1826" s="11"/>
      <c r="U1826" s="11"/>
      <c r="V1826" s="11"/>
      <c r="W1826" s="11"/>
      <c r="X1826" s="11"/>
      <c r="Z1826" s="18">
        <f>ROUND(R1826*'Data-CostAssumptions'!$C$8,-3)</f>
        <v>725000000</v>
      </c>
      <c r="AA1826" s="11">
        <f t="shared" si="62"/>
        <v>0</v>
      </c>
      <c r="AB1826" s="11">
        <v>2041</v>
      </c>
      <c r="AC1826" s="11">
        <v>2041</v>
      </c>
      <c r="AD1826" s="11">
        <v>2041</v>
      </c>
      <c r="AE1826" s="11">
        <v>2041</v>
      </c>
      <c r="AF1826" s="11">
        <v>0</v>
      </c>
      <c r="AG1826" s="19">
        <f>ROUND((Z1826*'Data-CostAssumptions'!$G$5)*(1+'Data-CostAssumptions'!$G$3)^(AC1826-'Data-CostAssumptions'!$G$4),-3)</f>
        <v>408950000</v>
      </c>
      <c r="AH1826" s="19">
        <f>ROUND((Z1826)*(1+'Data-CostAssumptions'!$G$3)^(AE1826-'Data-CostAssumptions'!$G$4),-3)</f>
        <v>1858863000</v>
      </c>
    </row>
    <row r="1827" spans="1:34" ht="15" customHeight="1" x14ac:dyDescent="0.2">
      <c r="A1827" s="66"/>
      <c r="B1827" s="66" t="s">
        <v>1213</v>
      </c>
      <c r="C1827" s="66">
        <v>12851</v>
      </c>
      <c r="D1827" s="86" t="s">
        <v>876</v>
      </c>
      <c r="E1827" s="73"/>
      <c r="F1827" s="73"/>
      <c r="G1827" s="20">
        <v>1830</v>
      </c>
      <c r="H1827" s="67" t="s">
        <v>2855</v>
      </c>
      <c r="I1827" s="67" t="str">
        <f t="shared" si="63"/>
        <v>Tri-Rail Shuttle (FLL to Miami Beach)</v>
      </c>
      <c r="J1827" s="86" t="s">
        <v>347</v>
      </c>
      <c r="K1827" s="67" t="str">
        <f>VLOOKUP(J1827,'Data-ProjectTypes'!A$3:B$13,2,FALSE)</f>
        <v>Project</v>
      </c>
      <c r="L1827" s="87" t="s">
        <v>883</v>
      </c>
      <c r="M1827" s="66" t="s">
        <v>2852</v>
      </c>
      <c r="N1827" s="67" t="s">
        <v>2866</v>
      </c>
      <c r="O1827" s="86" t="s">
        <v>876</v>
      </c>
      <c r="P1827" s="87" t="s">
        <v>876</v>
      </c>
      <c r="Q1827" s="74"/>
      <c r="R1827" s="70">
        <v>1</v>
      </c>
      <c r="S1827" s="11"/>
      <c r="T1827" s="11"/>
      <c r="U1827" s="11"/>
      <c r="V1827" s="85" t="s">
        <v>879</v>
      </c>
      <c r="W1827" s="11"/>
      <c r="X1827" s="11"/>
      <c r="Y1827" s="12" t="s">
        <v>2201</v>
      </c>
      <c r="Z1827" s="71">
        <f>ROUND(R1827*'Data-CostAssumptions'!$C$8,-3)</f>
        <v>0</v>
      </c>
      <c r="AA1827" s="11">
        <f t="shared" si="62"/>
        <v>1</v>
      </c>
      <c r="AB1827" s="11">
        <v>2041</v>
      </c>
      <c r="AC1827" s="11">
        <v>2041</v>
      </c>
      <c r="AD1827" s="11">
        <v>2041</v>
      </c>
      <c r="AE1827" s="11">
        <v>2041</v>
      </c>
      <c r="AF1827" s="11">
        <v>0</v>
      </c>
      <c r="AG1827" s="19">
        <f>ROUND((Z1827*'Data-CostAssumptions'!$G$5)*(1+'Data-CostAssumptions'!$G$3)^(AC1827-'Data-CostAssumptions'!$G$4),-3)</f>
        <v>0</v>
      </c>
      <c r="AH1827" s="19">
        <f>ROUND((Z1827)*(1+'Data-CostAssumptions'!$G$3)^(AE1827-'Data-CostAssumptions'!$G$4),-3)</f>
        <v>0</v>
      </c>
    </row>
    <row r="1828" spans="1:34" ht="15" customHeight="1" x14ac:dyDescent="0.2">
      <c r="A1828" s="66"/>
      <c r="B1828" s="66" t="s">
        <v>1213</v>
      </c>
      <c r="C1828" s="66">
        <v>12852</v>
      </c>
      <c r="D1828" s="86" t="s">
        <v>876</v>
      </c>
      <c r="E1828" s="73"/>
      <c r="F1828" s="73"/>
      <c r="G1828" s="20">
        <v>1831</v>
      </c>
      <c r="H1828" s="67" t="s">
        <v>2855</v>
      </c>
      <c r="I1828" s="67" t="str">
        <f t="shared" si="63"/>
        <v>Tri-Rail Shuttle (FLL/GGI to Port of Miami)</v>
      </c>
      <c r="J1828" s="86" t="s">
        <v>347</v>
      </c>
      <c r="K1828" s="67" t="str">
        <f>VLOOKUP(J1828,'Data-ProjectTypes'!A$3:B$13,2,FALSE)</f>
        <v>Project</v>
      </c>
      <c r="L1828" s="87" t="s">
        <v>880</v>
      </c>
      <c r="M1828" s="66" t="s">
        <v>2878</v>
      </c>
      <c r="N1828" s="66" t="s">
        <v>2879</v>
      </c>
      <c r="O1828" s="86" t="s">
        <v>876</v>
      </c>
      <c r="P1828" s="87" t="s">
        <v>876</v>
      </c>
      <c r="Q1828" s="74"/>
      <c r="R1828" s="70">
        <v>1</v>
      </c>
      <c r="S1828" s="11"/>
      <c r="T1828" s="11"/>
      <c r="U1828" s="11"/>
      <c r="V1828" s="85" t="s">
        <v>881</v>
      </c>
      <c r="W1828" s="11"/>
      <c r="X1828" s="11"/>
      <c r="Y1828" s="12" t="s">
        <v>2201</v>
      </c>
      <c r="Z1828" s="71">
        <f>ROUND(R1828*'Data-CostAssumptions'!$C$8,-3)</f>
        <v>0</v>
      </c>
      <c r="AA1828" s="11">
        <f t="shared" si="62"/>
        <v>1</v>
      </c>
      <c r="AB1828" s="11">
        <v>2041</v>
      </c>
      <c r="AC1828" s="11">
        <v>2041</v>
      </c>
      <c r="AD1828" s="11">
        <v>2041</v>
      </c>
      <c r="AE1828" s="11">
        <v>2041</v>
      </c>
      <c r="AF1828" s="11">
        <v>0</v>
      </c>
      <c r="AG1828" s="19">
        <f>ROUND((Z1828*'Data-CostAssumptions'!$G$5)*(1+'Data-CostAssumptions'!$G$3)^(AC1828-'Data-CostAssumptions'!$G$4),-3)</f>
        <v>0</v>
      </c>
      <c r="AH1828" s="19">
        <f>ROUND((Z1828)*(1+'Data-CostAssumptions'!$G$3)^(AE1828-'Data-CostAssumptions'!$G$4),-3)</f>
        <v>0</v>
      </c>
    </row>
    <row r="1829" spans="1:34" ht="15" customHeight="1" x14ac:dyDescent="0.2">
      <c r="A1829" s="66"/>
      <c r="B1829" s="66" t="s">
        <v>1211</v>
      </c>
      <c r="C1829" s="66">
        <v>12853</v>
      </c>
      <c r="D1829" s="86" t="s">
        <v>876</v>
      </c>
      <c r="E1829" s="73"/>
      <c r="F1829" s="73"/>
      <c r="G1829" s="20">
        <v>1832</v>
      </c>
      <c r="H1829" s="67" t="s">
        <v>2855</v>
      </c>
      <c r="I1829" s="67" t="str">
        <f t="shared" si="63"/>
        <v>Tri-Rail Shuttle (Hollywood Stn to Hollywood Bch)</v>
      </c>
      <c r="J1829" s="86" t="s">
        <v>347</v>
      </c>
      <c r="K1829" s="67" t="str">
        <f>VLOOKUP(J1829,'Data-ProjectTypes'!A$3:B$13,2,FALSE)</f>
        <v>Project</v>
      </c>
      <c r="L1829" s="87" t="s">
        <v>882</v>
      </c>
      <c r="M1829" s="67" t="s">
        <v>2858</v>
      </c>
      <c r="N1829" s="67" t="s">
        <v>2859</v>
      </c>
      <c r="O1829" s="86" t="s">
        <v>876</v>
      </c>
      <c r="P1829" s="87" t="s">
        <v>876</v>
      </c>
      <c r="Q1829" s="74"/>
      <c r="R1829" s="70">
        <v>1</v>
      </c>
      <c r="S1829" s="11"/>
      <c r="T1829" s="11"/>
      <c r="U1829" s="11"/>
      <c r="V1829" s="85" t="s">
        <v>884</v>
      </c>
      <c r="W1829" s="11"/>
      <c r="X1829" s="11"/>
      <c r="Y1829" s="12" t="s">
        <v>3099</v>
      </c>
      <c r="Z1829" s="71">
        <f>ROUND(R1829*'Data-CostAssumptions'!$C$8,-3)</f>
        <v>0</v>
      </c>
      <c r="AA1829" s="11">
        <f t="shared" si="62"/>
        <v>1</v>
      </c>
      <c r="AB1829" s="11">
        <v>2041</v>
      </c>
      <c r="AC1829" s="11">
        <v>2041</v>
      </c>
      <c r="AD1829" s="11">
        <v>2041</v>
      </c>
      <c r="AE1829" s="11">
        <v>2041</v>
      </c>
      <c r="AF1829" s="11">
        <v>0</v>
      </c>
      <c r="AG1829" s="19">
        <f>ROUND((Z1829*'Data-CostAssumptions'!$G$5)*(1+'Data-CostAssumptions'!$G$3)^(AC1829-'Data-CostAssumptions'!$G$4),-3)</f>
        <v>0</v>
      </c>
      <c r="AH1829" s="19">
        <f>ROUND((Z1829)*(1+'Data-CostAssumptions'!$G$3)^(AE1829-'Data-CostAssumptions'!$G$4),-3)</f>
        <v>0</v>
      </c>
    </row>
    <row r="1830" spans="1:34" ht="15" customHeight="1" x14ac:dyDescent="0.2">
      <c r="A1830" s="66"/>
      <c r="B1830" s="66" t="s">
        <v>1211</v>
      </c>
      <c r="C1830" s="66">
        <v>12854</v>
      </c>
      <c r="D1830" s="86" t="s">
        <v>876</v>
      </c>
      <c r="E1830" s="73"/>
      <c r="F1830" s="73"/>
      <c r="G1830" s="20">
        <v>1833</v>
      </c>
      <c r="H1830" s="67" t="s">
        <v>2855</v>
      </c>
      <c r="I1830" s="67" t="str">
        <f t="shared" si="63"/>
        <v>Tri-Rail Shuttle (FLL to Plantation)</v>
      </c>
      <c r="J1830" s="86" t="s">
        <v>347</v>
      </c>
      <c r="K1830" s="67" t="str">
        <f>VLOOKUP(J1830,'Data-ProjectTypes'!A$3:B$13,2,FALSE)</f>
        <v>Project</v>
      </c>
      <c r="L1830" s="87" t="s">
        <v>885</v>
      </c>
      <c r="M1830" s="87" t="s">
        <v>2852</v>
      </c>
      <c r="N1830" s="66" t="s">
        <v>284</v>
      </c>
      <c r="O1830" s="86" t="s">
        <v>876</v>
      </c>
      <c r="P1830" s="87" t="s">
        <v>876</v>
      </c>
      <c r="Q1830" s="74"/>
      <c r="R1830" s="70">
        <v>1</v>
      </c>
      <c r="S1830" s="11"/>
      <c r="T1830" s="11"/>
      <c r="U1830" s="11"/>
      <c r="V1830" s="85" t="s">
        <v>886</v>
      </c>
      <c r="W1830" s="11"/>
      <c r="X1830" s="11"/>
      <c r="Y1830" s="12" t="s">
        <v>3099</v>
      </c>
      <c r="Z1830" s="71">
        <f>ROUND(R1830*'Data-CostAssumptions'!$C$8,-3)</f>
        <v>0</v>
      </c>
      <c r="AA1830" s="11">
        <f t="shared" si="62"/>
        <v>1</v>
      </c>
      <c r="AB1830" s="11">
        <v>2041</v>
      </c>
      <c r="AC1830" s="11">
        <v>2041</v>
      </c>
      <c r="AD1830" s="11">
        <v>2041</v>
      </c>
      <c r="AE1830" s="11">
        <v>2041</v>
      </c>
      <c r="AF1830" s="11">
        <v>0</v>
      </c>
      <c r="AG1830" s="19">
        <f>ROUND((Z1830*'Data-CostAssumptions'!$G$5)*(1+'Data-CostAssumptions'!$G$3)^(AC1830-'Data-CostAssumptions'!$G$4),-3)</f>
        <v>0</v>
      </c>
      <c r="AH1830" s="19">
        <f>ROUND((Z1830)*(1+'Data-CostAssumptions'!$G$3)^(AE1830-'Data-CostAssumptions'!$G$4),-3)</f>
        <v>0</v>
      </c>
    </row>
    <row r="1831" spans="1:34" ht="15" customHeight="1" x14ac:dyDescent="0.2">
      <c r="A1831" s="66"/>
      <c r="B1831" s="66" t="s">
        <v>1211</v>
      </c>
      <c r="C1831" s="66">
        <v>12855</v>
      </c>
      <c r="D1831" s="86" t="s">
        <v>876</v>
      </c>
      <c r="E1831" s="73"/>
      <c r="F1831" s="73"/>
      <c r="G1831" s="20">
        <v>1834</v>
      </c>
      <c r="H1831" s="67" t="s">
        <v>2855</v>
      </c>
      <c r="I1831" s="67" t="str">
        <f t="shared" si="63"/>
        <v>Tri-Rail Shuttle (FLL to Hard Rock Casino)</v>
      </c>
      <c r="J1831" s="86" t="s">
        <v>347</v>
      </c>
      <c r="K1831" s="67" t="str">
        <f>VLOOKUP(J1831,'Data-ProjectTypes'!A$3:B$13,2,FALSE)</f>
        <v>Project</v>
      </c>
      <c r="L1831" s="87" t="s">
        <v>887</v>
      </c>
      <c r="M1831" s="87" t="s">
        <v>2852</v>
      </c>
      <c r="N1831" s="66" t="s">
        <v>2853</v>
      </c>
      <c r="O1831" s="86" t="s">
        <v>876</v>
      </c>
      <c r="P1831" s="87" t="s">
        <v>876</v>
      </c>
      <c r="Q1831" s="74"/>
      <c r="R1831" s="70">
        <v>1</v>
      </c>
      <c r="S1831" s="11"/>
      <c r="T1831" s="11"/>
      <c r="U1831" s="11"/>
      <c r="V1831" s="85" t="s">
        <v>888</v>
      </c>
      <c r="W1831" s="11"/>
      <c r="X1831" s="11"/>
      <c r="Y1831" s="12" t="s">
        <v>3099</v>
      </c>
      <c r="Z1831" s="71">
        <f>ROUND(R1831*'Data-CostAssumptions'!$C$8,-3)</f>
        <v>0</v>
      </c>
      <c r="AA1831" s="11">
        <f t="shared" si="62"/>
        <v>1</v>
      </c>
      <c r="AB1831" s="11">
        <v>2041</v>
      </c>
      <c r="AC1831" s="11">
        <v>2041</v>
      </c>
      <c r="AD1831" s="11">
        <v>2041</v>
      </c>
      <c r="AE1831" s="11">
        <v>2041</v>
      </c>
      <c r="AF1831" s="11">
        <v>0</v>
      </c>
      <c r="AG1831" s="19">
        <f>ROUND((Z1831*'Data-CostAssumptions'!$G$5)*(1+'Data-CostAssumptions'!$G$3)^(AC1831-'Data-CostAssumptions'!$G$4),-3)</f>
        <v>0</v>
      </c>
      <c r="AH1831" s="19">
        <f>ROUND((Z1831)*(1+'Data-CostAssumptions'!$G$3)^(AE1831-'Data-CostAssumptions'!$G$4),-3)</f>
        <v>0</v>
      </c>
    </row>
    <row r="1832" spans="1:34" ht="15" customHeight="1" x14ac:dyDescent="0.2">
      <c r="A1832" s="66"/>
      <c r="B1832" s="66" t="s">
        <v>1211</v>
      </c>
      <c r="C1832" s="66">
        <v>12856</v>
      </c>
      <c r="D1832" s="86" t="s">
        <v>876</v>
      </c>
      <c r="E1832" s="73"/>
      <c r="F1832" s="73"/>
      <c r="G1832" s="20">
        <v>1835</v>
      </c>
      <c r="H1832" s="67" t="s">
        <v>2855</v>
      </c>
      <c r="I1832" s="67" t="str">
        <f t="shared" si="63"/>
        <v>Tri-Rail Shuttle (FLL to Broward Mall)</v>
      </c>
      <c r="J1832" s="86" t="s">
        <v>347</v>
      </c>
      <c r="K1832" s="67" t="str">
        <f>VLOOKUP(J1832,'Data-ProjectTypes'!A$3:B$13,2,FALSE)</f>
        <v>Project</v>
      </c>
      <c r="L1832" s="87" t="s">
        <v>889</v>
      </c>
      <c r="M1832" s="87" t="s">
        <v>2852</v>
      </c>
      <c r="N1832" s="66" t="s">
        <v>2854</v>
      </c>
      <c r="O1832" s="86" t="s">
        <v>876</v>
      </c>
      <c r="P1832" s="87" t="s">
        <v>876</v>
      </c>
      <c r="Q1832" s="74"/>
      <c r="R1832" s="70">
        <v>1</v>
      </c>
      <c r="S1832" s="11"/>
      <c r="T1832" s="11"/>
      <c r="U1832" s="11"/>
      <c r="V1832" s="85" t="s">
        <v>886</v>
      </c>
      <c r="W1832" s="11"/>
      <c r="X1832" s="11"/>
      <c r="Y1832" s="12" t="s">
        <v>3099</v>
      </c>
      <c r="Z1832" s="71">
        <f>ROUND(R1832*'Data-CostAssumptions'!$C$8,-3)</f>
        <v>0</v>
      </c>
      <c r="AA1832" s="11">
        <f t="shared" si="62"/>
        <v>1</v>
      </c>
      <c r="AB1832" s="11">
        <v>2041</v>
      </c>
      <c r="AC1832" s="11">
        <v>2041</v>
      </c>
      <c r="AD1832" s="11">
        <v>2041</v>
      </c>
      <c r="AE1832" s="11">
        <v>2041</v>
      </c>
      <c r="AF1832" s="11">
        <v>0</v>
      </c>
      <c r="AG1832" s="19">
        <f>ROUND((Z1832*'Data-CostAssumptions'!$G$5)*(1+'Data-CostAssumptions'!$G$3)^(AC1832-'Data-CostAssumptions'!$G$4),-3)</f>
        <v>0</v>
      </c>
      <c r="AH1832" s="19">
        <f>ROUND((Z1832)*(1+'Data-CostAssumptions'!$G$3)^(AE1832-'Data-CostAssumptions'!$G$4),-3)</f>
        <v>0</v>
      </c>
    </row>
    <row r="1833" spans="1:34" ht="15" customHeight="1" x14ac:dyDescent="0.2">
      <c r="A1833" s="11"/>
      <c r="B1833" s="11" t="s">
        <v>1211</v>
      </c>
      <c r="C1833" s="11">
        <v>12650</v>
      </c>
      <c r="D1833" s="84" t="s">
        <v>294</v>
      </c>
      <c r="E1833" s="14"/>
      <c r="F1833" s="14"/>
      <c r="G1833" s="20">
        <v>1836</v>
      </c>
      <c r="H1833" s="13" t="s">
        <v>1869</v>
      </c>
      <c r="I1833" s="13" t="str">
        <f t="shared" si="63"/>
        <v>Weston Rd Bridge (Weston Rd and Griffin Rd Intersection to Bridge)</v>
      </c>
      <c r="J1833" s="11" t="s">
        <v>300</v>
      </c>
      <c r="K1833" s="13" t="str">
        <f>VLOOKUP(J1833,'Data-ProjectTypes'!A$3:B$13,2,FALSE)</f>
        <v>Project</v>
      </c>
      <c r="L1833" s="11" t="s">
        <v>798</v>
      </c>
      <c r="M1833" s="11" t="s">
        <v>2471</v>
      </c>
      <c r="N1833" s="11" t="s">
        <v>801</v>
      </c>
      <c r="O1833" s="11"/>
      <c r="P1833" s="11"/>
      <c r="Q1833" s="15">
        <v>0.02</v>
      </c>
      <c r="R1833" s="23">
        <f>'Data-CostAssumptions'!C35*(Q1833*2*5280*36)</f>
        <v>1292544.0000000002</v>
      </c>
      <c r="S1833" s="11"/>
      <c r="T1833" s="11"/>
      <c r="U1833" s="11"/>
      <c r="V1833" s="24" t="s">
        <v>802</v>
      </c>
      <c r="W1833" s="11"/>
      <c r="X1833" s="11"/>
      <c r="Y1833" s="12" t="s">
        <v>2205</v>
      </c>
      <c r="Z1833" s="18">
        <f>ROUND(R1833*'Data-CostAssumptions'!$C$17,-3)</f>
        <v>1293000</v>
      </c>
      <c r="AA1833" s="11">
        <f t="shared" si="62"/>
        <v>1</v>
      </c>
      <c r="AB1833" s="11">
        <v>2041</v>
      </c>
      <c r="AC1833" s="11">
        <v>2041</v>
      </c>
      <c r="AD1833" s="11">
        <v>2041</v>
      </c>
      <c r="AE1833" s="11">
        <v>2041</v>
      </c>
      <c r="AF1833" s="11">
        <v>0</v>
      </c>
      <c r="AG1833" s="19">
        <f>ROUND((Z1833*'Data-CostAssumptions'!$G$5)*(1+'Data-CostAssumptions'!$G$3)^(AC1833-'Data-CostAssumptions'!$G$4),-3)</f>
        <v>729000</v>
      </c>
      <c r="AH1833" s="19">
        <f>ROUND((Z1833)*(1+'Data-CostAssumptions'!$G$3)^(AE1833-'Data-CostAssumptions'!$G$4),-3)</f>
        <v>3315000</v>
      </c>
    </row>
    <row r="1834" spans="1:34" ht="15" customHeight="1" x14ac:dyDescent="0.2">
      <c r="A1834" s="11"/>
      <c r="B1834" s="11" t="s">
        <v>1211</v>
      </c>
      <c r="C1834" s="11">
        <v>12651</v>
      </c>
      <c r="D1834" s="84" t="s">
        <v>294</v>
      </c>
      <c r="E1834" s="14"/>
      <c r="F1834" s="14"/>
      <c r="G1834" s="20">
        <v>1837</v>
      </c>
      <c r="H1834" s="13" t="s">
        <v>799</v>
      </c>
      <c r="I1834" s="13" t="str">
        <f t="shared" si="63"/>
        <v>SW 210 Terrace (Stirling Rd to SW 54 St)</v>
      </c>
      <c r="J1834" s="11" t="s">
        <v>300</v>
      </c>
      <c r="K1834" s="13" t="str">
        <f>VLOOKUP(J1834,'Data-ProjectTypes'!A$3:B$13,2,FALSE)</f>
        <v>Project</v>
      </c>
      <c r="L1834" s="11" t="s">
        <v>800</v>
      </c>
      <c r="M1834" s="11" t="s">
        <v>177</v>
      </c>
      <c r="N1834" s="11" t="s">
        <v>2574</v>
      </c>
      <c r="O1834" s="11"/>
      <c r="P1834" s="11"/>
      <c r="Q1834" s="15">
        <v>0.5</v>
      </c>
      <c r="R1834" s="23">
        <f>ROUND(Q1834*'Data-CostAssumptions'!$C$36,-1)</f>
        <v>2946550</v>
      </c>
      <c r="S1834" s="11"/>
      <c r="T1834" s="11"/>
      <c r="U1834" s="11"/>
      <c r="V1834" s="24" t="s">
        <v>803</v>
      </c>
      <c r="W1834" s="11"/>
      <c r="X1834" s="11"/>
      <c r="Y1834" s="12" t="s">
        <v>2205</v>
      </c>
      <c r="Z1834" s="18">
        <f>ROUND(R1834*'Data-CostAssumptions'!$C$17,-3)</f>
        <v>2947000</v>
      </c>
      <c r="AA1834" s="11">
        <f t="shared" si="62"/>
        <v>1</v>
      </c>
      <c r="AB1834" s="11">
        <v>2041</v>
      </c>
      <c r="AC1834" s="11">
        <v>2041</v>
      </c>
      <c r="AD1834" s="11">
        <v>2041</v>
      </c>
      <c r="AE1834" s="11">
        <v>2041</v>
      </c>
      <c r="AF1834" s="11">
        <v>0</v>
      </c>
      <c r="AG1834" s="19">
        <f>ROUND((Z1834*'Data-CostAssumptions'!$G$5)*(1+'Data-CostAssumptions'!$G$3)^(AC1834-'Data-CostAssumptions'!$G$4),-3)</f>
        <v>1662000</v>
      </c>
      <c r="AH1834" s="19">
        <f>ROUND((Z1834)*(1+'Data-CostAssumptions'!$G$3)^(AE1834-'Data-CostAssumptions'!$G$4),-3)</f>
        <v>7556000</v>
      </c>
    </row>
    <row r="1835" spans="1:34" ht="15" customHeight="1" x14ac:dyDescent="0.2">
      <c r="A1835" s="11"/>
      <c r="B1835" s="11" t="s">
        <v>1211</v>
      </c>
      <c r="C1835" s="11">
        <v>12652</v>
      </c>
      <c r="D1835" s="84" t="s">
        <v>294</v>
      </c>
      <c r="E1835" s="14"/>
      <c r="F1835" s="14"/>
      <c r="G1835" s="20">
        <v>1838</v>
      </c>
      <c r="H1835" s="13" t="s">
        <v>2185</v>
      </c>
      <c r="I1835" s="13" t="str">
        <f t="shared" si="63"/>
        <v>SW 188th Av (Sheridan St to SW 63 St)</v>
      </c>
      <c r="J1835" s="11" t="s">
        <v>300</v>
      </c>
      <c r="K1835" s="13" t="str">
        <f>VLOOKUP(J1835,'Data-ProjectTypes'!A$3:B$13,2,FALSE)</f>
        <v>Project</v>
      </c>
      <c r="L1835" s="11" t="s">
        <v>800</v>
      </c>
      <c r="M1835" s="11" t="s">
        <v>1951</v>
      </c>
      <c r="N1835" s="11" t="s">
        <v>2572</v>
      </c>
      <c r="O1835" s="11"/>
      <c r="P1835" s="11"/>
      <c r="Q1835" s="15">
        <v>0.8</v>
      </c>
      <c r="R1835" s="23">
        <f>ROUND(Q1835*'Data-CostAssumptions'!$C$36,-1)</f>
        <v>4714480</v>
      </c>
      <c r="S1835" s="11"/>
      <c r="T1835" s="11"/>
      <c r="U1835" s="11"/>
      <c r="V1835" s="151" t="s">
        <v>804</v>
      </c>
      <c r="W1835" s="11"/>
      <c r="X1835" s="11"/>
      <c r="Y1835" s="17" t="s">
        <v>805</v>
      </c>
      <c r="Z1835" s="18">
        <f>ROUND(R1835*'Data-CostAssumptions'!$C$17,-3)</f>
        <v>4714000</v>
      </c>
      <c r="AA1835" s="11">
        <f t="shared" si="62"/>
        <v>1</v>
      </c>
      <c r="AB1835" s="11">
        <v>2041</v>
      </c>
      <c r="AC1835" s="11">
        <v>2041</v>
      </c>
      <c r="AD1835" s="11">
        <v>2041</v>
      </c>
      <c r="AE1835" s="11">
        <v>2041</v>
      </c>
      <c r="AF1835" s="11">
        <v>0</v>
      </c>
      <c r="AG1835" s="19">
        <f>ROUND((Z1835*'Data-CostAssumptions'!$G$5)*(1+'Data-CostAssumptions'!$G$3)^(AC1835-'Data-CostAssumptions'!$G$4),-3)</f>
        <v>2659000</v>
      </c>
      <c r="AH1835" s="19">
        <f>ROUND((Z1835)*(1+'Data-CostAssumptions'!$G$3)^(AE1835-'Data-CostAssumptions'!$G$4),-3)</f>
        <v>12086000</v>
      </c>
    </row>
    <row r="1836" spans="1:34" ht="15" customHeight="1" x14ac:dyDescent="0.2">
      <c r="A1836" s="11"/>
      <c r="B1836" s="11" t="s">
        <v>1211</v>
      </c>
      <c r="C1836" s="11">
        <v>12700</v>
      </c>
      <c r="D1836" s="84" t="s">
        <v>278</v>
      </c>
      <c r="E1836" s="14"/>
      <c r="F1836" s="14"/>
      <c r="G1836" s="20">
        <v>1839</v>
      </c>
      <c r="H1836" s="13" t="s">
        <v>1980</v>
      </c>
      <c r="I1836" s="13" t="str">
        <f t="shared" si="63"/>
        <v>Sawgrass Corporate Pkwy (Sunrise Bl to International Dr)</v>
      </c>
      <c r="J1836" s="11" t="s">
        <v>29</v>
      </c>
      <c r="K1836" s="13" t="str">
        <f>VLOOKUP(J1836,'Data-ProjectTypes'!A$3:B$13,2,FALSE)</f>
        <v>Program</v>
      </c>
      <c r="L1836" s="11" t="s">
        <v>817</v>
      </c>
      <c r="M1836" s="11" t="s">
        <v>1830</v>
      </c>
      <c r="N1836" s="11" t="s">
        <v>1792</v>
      </c>
      <c r="O1836" s="11"/>
      <c r="P1836" s="11"/>
      <c r="Q1836" s="15">
        <v>0.5</v>
      </c>
      <c r="R1836" s="16">
        <v>220000</v>
      </c>
      <c r="S1836" s="11"/>
      <c r="T1836" s="11"/>
      <c r="U1836" s="11"/>
      <c r="V1836" s="85" t="s">
        <v>816</v>
      </c>
      <c r="W1836" s="11"/>
      <c r="X1836" s="11"/>
      <c r="Z1836" s="18">
        <f>ROUND(R1836*'Data-CostAssumptions'!$C$18,-3)</f>
        <v>220000</v>
      </c>
      <c r="AA1836" s="11">
        <f t="shared" si="62"/>
        <v>1</v>
      </c>
      <c r="AB1836" s="11">
        <v>2041</v>
      </c>
      <c r="AC1836" s="11">
        <v>2041</v>
      </c>
      <c r="AD1836" s="11">
        <v>2041</v>
      </c>
      <c r="AE1836" s="11">
        <v>2041</v>
      </c>
      <c r="AF1836" s="11">
        <v>0</v>
      </c>
      <c r="AG1836" s="19">
        <f>ROUND((Z1836*'Data-CostAssumptions'!$G$5)*(1+'Data-CostAssumptions'!$G$3)^(AC1836-'Data-CostAssumptions'!$G$4),-3)</f>
        <v>124000</v>
      </c>
      <c r="AH1836" s="19">
        <f>ROUND((Z1836)*(1+'Data-CostAssumptions'!$G$3)^(AE1836-'Data-CostAssumptions'!$G$4),-3)</f>
        <v>564000</v>
      </c>
    </row>
    <row r="1837" spans="1:34" ht="15" customHeight="1" x14ac:dyDescent="0.2">
      <c r="A1837" s="11"/>
      <c r="B1837" s="11" t="s">
        <v>1211</v>
      </c>
      <c r="C1837" s="11">
        <v>12701</v>
      </c>
      <c r="D1837" s="84" t="s">
        <v>278</v>
      </c>
      <c r="E1837" s="14"/>
      <c r="F1837" s="14"/>
      <c r="G1837" s="20">
        <v>1840</v>
      </c>
      <c r="H1837" s="13" t="s">
        <v>1792</v>
      </c>
      <c r="I1837" s="13" t="str">
        <f t="shared" si="63"/>
        <v>International Dr (State Rd 84 to Sawgrass Corporate Parkway)</v>
      </c>
      <c r="J1837" s="11" t="s">
        <v>29</v>
      </c>
      <c r="K1837" s="13" t="str">
        <f>VLOOKUP(J1837,'Data-ProjectTypes'!A$3:B$13,2,FALSE)</f>
        <v>Program</v>
      </c>
      <c r="L1837" s="11" t="s">
        <v>817</v>
      </c>
      <c r="M1837" s="11" t="s">
        <v>1774</v>
      </c>
      <c r="N1837" s="11" t="s">
        <v>821</v>
      </c>
      <c r="O1837" s="11"/>
      <c r="P1837" s="11"/>
      <c r="Q1837" s="15">
        <v>1.3</v>
      </c>
      <c r="R1837" s="16">
        <v>570000</v>
      </c>
      <c r="S1837" s="11"/>
      <c r="T1837" s="11"/>
      <c r="U1837" s="11"/>
      <c r="V1837" s="85" t="s">
        <v>816</v>
      </c>
      <c r="W1837" s="11"/>
      <c r="X1837" s="11"/>
      <c r="Z1837" s="18">
        <f>ROUND(R1837*'Data-CostAssumptions'!$C$18,-3)</f>
        <v>570000</v>
      </c>
      <c r="AA1837" s="11">
        <f t="shared" si="62"/>
        <v>1</v>
      </c>
      <c r="AB1837" s="11">
        <v>2041</v>
      </c>
      <c r="AC1837" s="11">
        <v>2041</v>
      </c>
      <c r="AD1837" s="11">
        <v>2041</v>
      </c>
      <c r="AE1837" s="11">
        <v>2041</v>
      </c>
      <c r="AF1837" s="11">
        <v>0</v>
      </c>
      <c r="AG1837" s="19">
        <f>ROUND((Z1837*'Data-CostAssumptions'!$G$5)*(1+'Data-CostAssumptions'!$G$3)^(AC1837-'Data-CostAssumptions'!$G$4),-3)</f>
        <v>322000</v>
      </c>
      <c r="AH1837" s="19">
        <f>ROUND((Z1837)*(1+'Data-CostAssumptions'!$G$3)^(AE1837-'Data-CostAssumptions'!$G$4),-3)</f>
        <v>1461000</v>
      </c>
    </row>
    <row r="1838" spans="1:34" ht="15" customHeight="1" x14ac:dyDescent="0.2">
      <c r="A1838" s="11"/>
      <c r="B1838" s="11" t="s">
        <v>1211</v>
      </c>
      <c r="C1838" s="11">
        <v>12702</v>
      </c>
      <c r="D1838" s="84" t="s">
        <v>278</v>
      </c>
      <c r="E1838" s="14"/>
      <c r="F1838" s="14"/>
      <c r="G1838" s="20">
        <v>1841</v>
      </c>
      <c r="H1838" s="13" t="s">
        <v>159</v>
      </c>
      <c r="I1838" s="13" t="str">
        <f t="shared" si="63"/>
        <v>Flamingo Rd (Panther Parkway to Broward Bl)</v>
      </c>
      <c r="J1838" s="11" t="s">
        <v>29</v>
      </c>
      <c r="K1838" s="13" t="str">
        <f>VLOOKUP(J1838,'Data-ProjectTypes'!A$3:B$13,2,FALSE)</f>
        <v>Program</v>
      </c>
      <c r="L1838" s="11" t="s">
        <v>817</v>
      </c>
      <c r="M1838" s="11" t="s">
        <v>86</v>
      </c>
      <c r="N1838" s="11" t="s">
        <v>1811</v>
      </c>
      <c r="O1838" s="11"/>
      <c r="P1838" s="11"/>
      <c r="Q1838" s="15">
        <v>2.7</v>
      </c>
      <c r="R1838" s="16">
        <v>1200000</v>
      </c>
      <c r="S1838" s="11"/>
      <c r="T1838" s="11"/>
      <c r="U1838" s="11"/>
      <c r="V1838" s="85" t="s">
        <v>816</v>
      </c>
      <c r="W1838" s="11"/>
      <c r="X1838" s="11"/>
      <c r="Z1838" s="18">
        <f>ROUND(R1838*'Data-CostAssumptions'!$C$18,-3)</f>
        <v>1200000</v>
      </c>
      <c r="AA1838" s="11">
        <f t="shared" si="62"/>
        <v>1</v>
      </c>
      <c r="AB1838" s="11">
        <v>2041</v>
      </c>
      <c r="AC1838" s="11">
        <v>2041</v>
      </c>
      <c r="AD1838" s="11">
        <v>2041</v>
      </c>
      <c r="AE1838" s="11">
        <v>2041</v>
      </c>
      <c r="AF1838" s="11">
        <v>0</v>
      </c>
      <c r="AG1838" s="19">
        <f>ROUND((Z1838*'Data-CostAssumptions'!$G$5)*(1+'Data-CostAssumptions'!$G$3)^(AC1838-'Data-CostAssumptions'!$G$4),-3)</f>
        <v>677000</v>
      </c>
      <c r="AH1838" s="19">
        <f>ROUND((Z1838)*(1+'Data-CostAssumptions'!$G$3)^(AE1838-'Data-CostAssumptions'!$G$4),-3)</f>
        <v>3077000</v>
      </c>
    </row>
    <row r="1839" spans="1:34" ht="15" customHeight="1" x14ac:dyDescent="0.2">
      <c r="A1839" s="11"/>
      <c r="B1839" s="11" t="s">
        <v>1211</v>
      </c>
      <c r="C1839" s="11">
        <v>12703</v>
      </c>
      <c r="D1839" s="84" t="s">
        <v>278</v>
      </c>
      <c r="E1839" s="14"/>
      <c r="F1839" s="14"/>
      <c r="G1839" s="20">
        <v>1842</v>
      </c>
      <c r="H1839" s="13" t="s">
        <v>1978</v>
      </c>
      <c r="I1839" s="13" t="str">
        <f t="shared" si="63"/>
        <v>Panther Pkwy (Sunrise Bl to Flamingo Rd)</v>
      </c>
      <c r="J1839" s="11" t="s">
        <v>29</v>
      </c>
      <c r="K1839" s="13" t="str">
        <f>VLOOKUP(J1839,'Data-ProjectTypes'!A$3:B$13,2,FALSE)</f>
        <v>Program</v>
      </c>
      <c r="L1839" s="11" t="s">
        <v>817</v>
      </c>
      <c r="M1839" s="11" t="s">
        <v>1830</v>
      </c>
      <c r="N1839" s="11" t="s">
        <v>159</v>
      </c>
      <c r="O1839" s="11"/>
      <c r="P1839" s="11"/>
      <c r="Q1839" s="15">
        <v>1.6</v>
      </c>
      <c r="R1839" s="16">
        <v>700000</v>
      </c>
      <c r="S1839" s="11"/>
      <c r="T1839" s="11"/>
      <c r="U1839" s="11"/>
      <c r="V1839" s="85" t="s">
        <v>816</v>
      </c>
      <c r="W1839" s="11"/>
      <c r="X1839" s="11"/>
      <c r="Z1839" s="18">
        <f>ROUND(R1839*'Data-CostAssumptions'!$C$18,-3)</f>
        <v>700000</v>
      </c>
      <c r="AA1839" s="11">
        <f t="shared" si="62"/>
        <v>1</v>
      </c>
      <c r="AB1839" s="11">
        <v>2041</v>
      </c>
      <c r="AC1839" s="11">
        <v>2041</v>
      </c>
      <c r="AD1839" s="11">
        <v>2041</v>
      </c>
      <c r="AE1839" s="11">
        <v>2041</v>
      </c>
      <c r="AF1839" s="11">
        <v>0</v>
      </c>
      <c r="AG1839" s="19">
        <f>ROUND((Z1839*'Data-CostAssumptions'!$G$5)*(1+'Data-CostAssumptions'!$G$3)^(AC1839-'Data-CostAssumptions'!$G$4),-3)</f>
        <v>395000</v>
      </c>
      <c r="AH1839" s="19">
        <f>ROUND((Z1839)*(1+'Data-CostAssumptions'!$G$3)^(AE1839-'Data-CostAssumptions'!$G$4),-3)</f>
        <v>1795000</v>
      </c>
    </row>
    <row r="1840" spans="1:34" ht="15" customHeight="1" x14ac:dyDescent="0.2">
      <c r="A1840" s="11"/>
      <c r="B1840" s="11" t="s">
        <v>1211</v>
      </c>
      <c r="C1840" s="11">
        <v>12704</v>
      </c>
      <c r="D1840" s="84" t="s">
        <v>278</v>
      </c>
      <c r="E1840" s="14"/>
      <c r="F1840" s="14"/>
      <c r="G1840" s="20">
        <v>1843</v>
      </c>
      <c r="H1840" s="13" t="s">
        <v>2728</v>
      </c>
      <c r="I1840" s="13" t="str">
        <f t="shared" si="63"/>
        <v>SR 838/Sunrise Bl (Sawgrass Corporate Parkway to Sawgrass Expressway)</v>
      </c>
      <c r="J1840" s="11" t="s">
        <v>29</v>
      </c>
      <c r="K1840" s="13" t="str">
        <f>VLOOKUP(J1840,'Data-ProjectTypes'!A$3:B$13,2,FALSE)</f>
        <v>Program</v>
      </c>
      <c r="L1840" s="11" t="s">
        <v>817</v>
      </c>
      <c r="M1840" s="11" t="s">
        <v>821</v>
      </c>
      <c r="N1840" s="11" t="s">
        <v>72</v>
      </c>
      <c r="O1840" s="11"/>
      <c r="P1840" s="11"/>
      <c r="Q1840" s="15">
        <v>0.2</v>
      </c>
      <c r="R1840" s="16">
        <v>90000</v>
      </c>
      <c r="S1840" s="11"/>
      <c r="T1840" s="11"/>
      <c r="U1840" s="11"/>
      <c r="V1840" s="85" t="s">
        <v>816</v>
      </c>
      <c r="W1840" s="11"/>
      <c r="X1840" s="11"/>
      <c r="Z1840" s="18">
        <f>ROUND(R1840*'Data-CostAssumptions'!$C$18,-3)</f>
        <v>90000</v>
      </c>
      <c r="AA1840" s="11">
        <f t="shared" si="62"/>
        <v>1</v>
      </c>
      <c r="AB1840" s="11">
        <v>2041</v>
      </c>
      <c r="AC1840" s="11">
        <v>2041</v>
      </c>
      <c r="AD1840" s="11">
        <v>2041</v>
      </c>
      <c r="AE1840" s="11">
        <v>2041</v>
      </c>
      <c r="AF1840" s="11">
        <v>0</v>
      </c>
      <c r="AG1840" s="19">
        <f>ROUND((Z1840*'Data-CostAssumptions'!$G$5)*(1+'Data-CostAssumptions'!$G$3)^(AC1840-'Data-CostAssumptions'!$G$4),-3)</f>
        <v>51000</v>
      </c>
      <c r="AH1840" s="19">
        <f>ROUND((Z1840)*(1+'Data-CostAssumptions'!$G$3)^(AE1840-'Data-CostAssumptions'!$G$4),-3)</f>
        <v>231000</v>
      </c>
    </row>
    <row r="1841" spans="1:39" ht="15" customHeight="1" x14ac:dyDescent="0.2">
      <c r="A1841" s="11"/>
      <c r="B1841" s="11" t="s">
        <v>1211</v>
      </c>
      <c r="C1841" s="11">
        <v>12705</v>
      </c>
      <c r="D1841" s="84" t="s">
        <v>278</v>
      </c>
      <c r="E1841" s="14"/>
      <c r="F1841" s="14"/>
      <c r="G1841" s="20">
        <v>1844</v>
      </c>
      <c r="H1841" s="13" t="s">
        <v>1934</v>
      </c>
      <c r="I1841" s="13" t="str">
        <f t="shared" si="63"/>
        <v>NW 8th St (Flamingo Rd to NW 136th Av)</v>
      </c>
      <c r="J1841" s="11" t="s">
        <v>29</v>
      </c>
      <c r="K1841" s="13" t="str">
        <f>VLOOKUP(J1841,'Data-ProjectTypes'!A$3:B$13,2,FALSE)</f>
        <v>Program</v>
      </c>
      <c r="L1841" s="11" t="s">
        <v>817</v>
      </c>
      <c r="M1841" s="11" t="s">
        <v>159</v>
      </c>
      <c r="N1841" s="11" t="s">
        <v>2052</v>
      </c>
      <c r="O1841" s="11"/>
      <c r="P1841" s="11"/>
      <c r="Q1841" s="15">
        <v>1</v>
      </c>
      <c r="R1841" s="16">
        <v>435000</v>
      </c>
      <c r="S1841" s="11"/>
      <c r="T1841" s="11"/>
      <c r="U1841" s="11"/>
      <c r="V1841" s="85" t="s">
        <v>816</v>
      </c>
      <c r="W1841" s="11"/>
      <c r="X1841" s="11"/>
      <c r="Z1841" s="18">
        <f>ROUND(R1841*'Data-CostAssumptions'!$C$18,-3)</f>
        <v>435000</v>
      </c>
      <c r="AA1841" s="11">
        <f t="shared" si="62"/>
        <v>1</v>
      </c>
      <c r="AB1841" s="11">
        <v>2041</v>
      </c>
      <c r="AC1841" s="11">
        <v>2041</v>
      </c>
      <c r="AD1841" s="11">
        <v>2041</v>
      </c>
      <c r="AE1841" s="11">
        <v>2041</v>
      </c>
      <c r="AF1841" s="11">
        <v>0</v>
      </c>
      <c r="AG1841" s="19">
        <f>ROUND((Z1841*'Data-CostAssumptions'!$G$5)*(1+'Data-CostAssumptions'!$G$3)^(AC1841-'Data-CostAssumptions'!$G$4),-3)</f>
        <v>245000</v>
      </c>
      <c r="AH1841" s="19">
        <f>ROUND((Z1841)*(1+'Data-CostAssumptions'!$G$3)^(AE1841-'Data-CostAssumptions'!$G$4),-3)</f>
        <v>1115000</v>
      </c>
    </row>
    <row r="1842" spans="1:39" ht="15" customHeight="1" x14ac:dyDescent="0.2">
      <c r="A1842" s="11"/>
      <c r="B1842" s="11" t="s">
        <v>1211</v>
      </c>
      <c r="C1842" s="11">
        <v>12706</v>
      </c>
      <c r="D1842" s="84" t="s">
        <v>278</v>
      </c>
      <c r="E1842" s="14"/>
      <c r="F1842" s="14"/>
      <c r="G1842" s="20">
        <v>1845</v>
      </c>
      <c r="H1842" s="13" t="s">
        <v>2052</v>
      </c>
      <c r="I1842" s="13" t="str">
        <f t="shared" si="63"/>
        <v>NW 136th Av (NW 2nd St to I-595)</v>
      </c>
      <c r="J1842" s="11" t="s">
        <v>29</v>
      </c>
      <c r="K1842" s="13" t="str">
        <f>VLOOKUP(J1842,'Data-ProjectTypes'!A$3:B$13,2,FALSE)</f>
        <v>Program</v>
      </c>
      <c r="L1842" s="11" t="s">
        <v>817</v>
      </c>
      <c r="M1842" s="11" t="s">
        <v>1912</v>
      </c>
      <c r="N1842" s="11" t="s">
        <v>34</v>
      </c>
      <c r="O1842" s="11"/>
      <c r="P1842" s="11"/>
      <c r="Q1842" s="15">
        <v>0.34</v>
      </c>
      <c r="R1842" s="16">
        <v>130000</v>
      </c>
      <c r="S1842" s="11"/>
      <c r="T1842" s="11"/>
      <c r="U1842" s="11"/>
      <c r="V1842" s="85" t="s">
        <v>816</v>
      </c>
      <c r="W1842" s="11"/>
      <c r="X1842" s="11"/>
      <c r="Z1842" s="18">
        <f>ROUND(R1842*'Data-CostAssumptions'!$C$18,-3)</f>
        <v>130000</v>
      </c>
      <c r="AA1842" s="11">
        <f t="shared" si="62"/>
        <v>1</v>
      </c>
      <c r="AB1842" s="11">
        <v>2041</v>
      </c>
      <c r="AC1842" s="11">
        <v>2041</v>
      </c>
      <c r="AD1842" s="11">
        <v>2041</v>
      </c>
      <c r="AE1842" s="11">
        <v>2041</v>
      </c>
      <c r="AF1842" s="11">
        <v>0</v>
      </c>
      <c r="AG1842" s="19">
        <f>ROUND((Z1842*'Data-CostAssumptions'!$G$5)*(1+'Data-CostAssumptions'!$G$3)^(AC1842-'Data-CostAssumptions'!$G$4),-3)</f>
        <v>73000</v>
      </c>
      <c r="AH1842" s="19">
        <f>ROUND((Z1842)*(1+'Data-CostAssumptions'!$G$3)^(AE1842-'Data-CostAssumptions'!$G$4),-3)</f>
        <v>333000</v>
      </c>
    </row>
    <row r="1843" spans="1:39" ht="15" customHeight="1" x14ac:dyDescent="0.2">
      <c r="A1843" s="11"/>
      <c r="B1843" s="11" t="s">
        <v>1211</v>
      </c>
      <c r="C1843" s="11">
        <v>12707</v>
      </c>
      <c r="D1843" s="84" t="s">
        <v>278</v>
      </c>
      <c r="E1843" s="14"/>
      <c r="F1843" s="14"/>
      <c r="G1843" s="20">
        <v>1846</v>
      </c>
      <c r="H1843" s="13" t="s">
        <v>822</v>
      </c>
      <c r="I1843" s="13" t="str">
        <f t="shared" si="63"/>
        <v>L-35A (Commercial Bl to Sunrise Bl)</v>
      </c>
      <c r="J1843" s="11" t="s">
        <v>29</v>
      </c>
      <c r="K1843" s="13" t="str">
        <f>VLOOKUP(J1843,'Data-ProjectTypes'!A$3:B$13,2,FALSE)</f>
        <v>Program</v>
      </c>
      <c r="L1843" s="11" t="s">
        <v>823</v>
      </c>
      <c r="M1843" s="11" t="s">
        <v>1813</v>
      </c>
      <c r="N1843" s="11" t="s">
        <v>1830</v>
      </c>
      <c r="O1843" s="11"/>
      <c r="P1843" s="11"/>
      <c r="Q1843" s="15">
        <v>4.3899999999999997</v>
      </c>
      <c r="R1843" s="16">
        <v>2000000</v>
      </c>
      <c r="S1843" s="11"/>
      <c r="T1843" s="11"/>
      <c r="U1843" s="11"/>
      <c r="V1843" s="85" t="s">
        <v>827</v>
      </c>
      <c r="W1843" s="11"/>
      <c r="X1843" s="11"/>
      <c r="Y1843" s="12" t="s">
        <v>2204</v>
      </c>
      <c r="Z1843" s="18">
        <f>ROUND(R1843*'Data-CostAssumptions'!$C$18,-3)</f>
        <v>2000000</v>
      </c>
      <c r="AA1843" s="11">
        <f t="shared" si="62"/>
        <v>1</v>
      </c>
      <c r="AB1843" s="11">
        <v>2041</v>
      </c>
      <c r="AC1843" s="11">
        <v>2041</v>
      </c>
      <c r="AD1843" s="11">
        <v>2041</v>
      </c>
      <c r="AE1843" s="11">
        <v>2041</v>
      </c>
      <c r="AF1843" s="11">
        <v>0</v>
      </c>
      <c r="AG1843" s="19">
        <f>ROUND((Z1843*'Data-CostAssumptions'!$G$5)*(1+'Data-CostAssumptions'!$G$3)^(AC1843-'Data-CostAssumptions'!$G$4),-3)</f>
        <v>1128000</v>
      </c>
      <c r="AH1843" s="19">
        <f>ROUND((Z1843)*(1+'Data-CostAssumptions'!$G$3)^(AE1843-'Data-CostAssumptions'!$G$4),-3)</f>
        <v>5128000</v>
      </c>
    </row>
    <row r="1844" spans="1:39" ht="15" customHeight="1" x14ac:dyDescent="0.2">
      <c r="A1844" s="11"/>
      <c r="B1844" s="11" t="s">
        <v>1211</v>
      </c>
      <c r="C1844" s="11">
        <v>12708</v>
      </c>
      <c r="D1844" s="84" t="s">
        <v>278</v>
      </c>
      <c r="E1844" s="14"/>
      <c r="F1844" s="14"/>
      <c r="G1844" s="20">
        <v>1847</v>
      </c>
      <c r="H1844" s="13" t="s">
        <v>2709</v>
      </c>
      <c r="I1844" s="13" t="str">
        <f t="shared" si="63"/>
        <v>SR 817/University Dr (Sunrise Bl to Oakland Park Bl)</v>
      </c>
      <c r="J1844" s="11" t="s">
        <v>29</v>
      </c>
      <c r="K1844" s="13" t="str">
        <f>VLOOKUP(J1844,'Data-ProjectTypes'!A$3:B$13,2,FALSE)</f>
        <v>Program</v>
      </c>
      <c r="L1844" s="11" t="s">
        <v>817</v>
      </c>
      <c r="M1844" s="11" t="s">
        <v>1830</v>
      </c>
      <c r="N1844" s="11" t="s">
        <v>1825</v>
      </c>
      <c r="O1844" s="11"/>
      <c r="P1844" s="11"/>
      <c r="Q1844" s="15">
        <v>1.3</v>
      </c>
      <c r="R1844" s="16">
        <v>570000</v>
      </c>
      <c r="S1844" s="11"/>
      <c r="T1844" s="11"/>
      <c r="U1844" s="11"/>
      <c r="V1844" s="85" t="s">
        <v>816</v>
      </c>
      <c r="W1844" s="11"/>
      <c r="X1844" s="11"/>
      <c r="Z1844" s="18">
        <f>ROUND(R1844*'Data-CostAssumptions'!$C$18,-3)</f>
        <v>570000</v>
      </c>
      <c r="AA1844" s="11">
        <f t="shared" si="62"/>
        <v>1</v>
      </c>
      <c r="AB1844" s="11">
        <v>2041</v>
      </c>
      <c r="AC1844" s="11">
        <v>2041</v>
      </c>
      <c r="AD1844" s="11">
        <v>2041</v>
      </c>
      <c r="AE1844" s="11">
        <v>2041</v>
      </c>
      <c r="AF1844" s="11">
        <v>0</v>
      </c>
      <c r="AG1844" s="19">
        <f>ROUND((Z1844*'Data-CostAssumptions'!$G$5)*(1+'Data-CostAssumptions'!$G$3)^(AC1844-'Data-CostAssumptions'!$G$4),-3)</f>
        <v>322000</v>
      </c>
      <c r="AH1844" s="19">
        <f>ROUND((Z1844)*(1+'Data-CostAssumptions'!$G$3)^(AE1844-'Data-CostAssumptions'!$G$4),-3)</f>
        <v>1461000</v>
      </c>
    </row>
    <row r="1845" spans="1:39" ht="15" customHeight="1" x14ac:dyDescent="0.2">
      <c r="A1845" s="11"/>
      <c r="B1845" s="11" t="s">
        <v>1211</v>
      </c>
      <c r="C1845" s="11">
        <v>12714</v>
      </c>
      <c r="D1845" s="84" t="s">
        <v>278</v>
      </c>
      <c r="E1845" s="14"/>
      <c r="F1845" s="14"/>
      <c r="G1845" s="20">
        <v>1848</v>
      </c>
      <c r="H1845" s="13" t="s">
        <v>2728</v>
      </c>
      <c r="I1845" s="13" t="str">
        <f t="shared" si="63"/>
        <v>SR 838/Sunrise Bl (Sawgrass Expressway (west) to Sawgrass Expressway (east))</v>
      </c>
      <c r="J1845" s="152" t="s">
        <v>27</v>
      </c>
      <c r="K1845" s="13" t="str">
        <f>VLOOKUP(J1845,'Data-ProjectTypes'!A$3:B$13,2,FALSE)</f>
        <v>Program</v>
      </c>
      <c r="L1845" s="152" t="s">
        <v>801</v>
      </c>
      <c r="M1845" s="21" t="s">
        <v>1182</v>
      </c>
      <c r="N1845" s="21" t="s">
        <v>1181</v>
      </c>
      <c r="O1845" s="11"/>
      <c r="P1845" s="11"/>
      <c r="Q1845" s="150">
        <v>0.2</v>
      </c>
      <c r="R1845" s="153">
        <v>2000000</v>
      </c>
      <c r="S1845" s="11"/>
      <c r="T1845" s="11"/>
      <c r="U1845" s="11"/>
      <c r="V1845" s="24" t="s">
        <v>1183</v>
      </c>
      <c r="W1845" s="11"/>
      <c r="X1845" s="11"/>
      <c r="Z1845" s="18">
        <f>ROUND(R1845*'Data-CostAssumptions'!$C$18,-3)</f>
        <v>2000000</v>
      </c>
      <c r="AA1845" s="11">
        <f t="shared" si="62"/>
        <v>1</v>
      </c>
      <c r="AB1845" s="11">
        <v>2041</v>
      </c>
      <c r="AC1845" s="11">
        <v>2041</v>
      </c>
      <c r="AD1845" s="11">
        <v>2041</v>
      </c>
      <c r="AE1845" s="11">
        <v>2041</v>
      </c>
      <c r="AF1845" s="11">
        <v>0</v>
      </c>
      <c r="AG1845" s="19">
        <f>ROUND((Z1845*'Data-CostAssumptions'!$G$5)*(1+'Data-CostAssumptions'!$G$3)^(AC1845-'Data-CostAssumptions'!$G$4),-3)</f>
        <v>1128000</v>
      </c>
      <c r="AH1845" s="19">
        <f>ROUND((Z1845)*(1+'Data-CostAssumptions'!$G$3)^(AE1845-'Data-CostAssumptions'!$G$4),-3)</f>
        <v>5128000</v>
      </c>
    </row>
    <row r="1846" spans="1:39" s="34" customFormat="1" ht="15" customHeight="1" x14ac:dyDescent="0.2">
      <c r="A1846" s="11"/>
      <c r="B1846" s="11" t="s">
        <v>1211</v>
      </c>
      <c r="C1846" s="11">
        <v>12715</v>
      </c>
      <c r="D1846" s="84" t="s">
        <v>278</v>
      </c>
      <c r="E1846" s="14"/>
      <c r="F1846" s="14"/>
      <c r="G1846" s="20">
        <v>1849</v>
      </c>
      <c r="H1846" s="13" t="s">
        <v>2803</v>
      </c>
      <c r="I1846" s="13" t="str">
        <f t="shared" si="63"/>
        <v>SR 870/Commercial Bl (Sawgrass Expressway (west) to Sawgrass Expressway (east))</v>
      </c>
      <c r="J1846" s="152" t="s">
        <v>27</v>
      </c>
      <c r="K1846" s="13" t="str">
        <f>VLOOKUP(J1846,'Data-ProjectTypes'!A$3:B$13,2,FALSE)</f>
        <v>Program</v>
      </c>
      <c r="L1846" s="152" t="s">
        <v>801</v>
      </c>
      <c r="M1846" s="21" t="s">
        <v>1182</v>
      </c>
      <c r="N1846" s="21" t="s">
        <v>1181</v>
      </c>
      <c r="O1846" s="11"/>
      <c r="P1846" s="11"/>
      <c r="Q1846" s="150">
        <v>0.2</v>
      </c>
      <c r="R1846" s="153">
        <v>2000000</v>
      </c>
      <c r="S1846" s="11"/>
      <c r="T1846" s="11"/>
      <c r="U1846" s="11"/>
      <c r="V1846" s="24" t="s">
        <v>1183</v>
      </c>
      <c r="W1846" s="11"/>
      <c r="X1846" s="11"/>
      <c r="Y1846" s="12"/>
      <c r="Z1846" s="18">
        <f>ROUND(R1846*'Data-CostAssumptions'!$C$18,-3)</f>
        <v>2000000</v>
      </c>
      <c r="AA1846" s="11">
        <f t="shared" si="62"/>
        <v>1</v>
      </c>
      <c r="AB1846" s="11">
        <v>2041</v>
      </c>
      <c r="AC1846" s="11">
        <v>2041</v>
      </c>
      <c r="AD1846" s="11">
        <v>2041</v>
      </c>
      <c r="AE1846" s="11">
        <v>2041</v>
      </c>
      <c r="AF1846" s="11">
        <v>0</v>
      </c>
      <c r="AG1846" s="19">
        <f>ROUND((Z1846*'Data-CostAssumptions'!$G$5)*(1+'Data-CostAssumptions'!$G$3)^(AC1846-'Data-CostAssumptions'!$G$4),-3)</f>
        <v>1128000</v>
      </c>
      <c r="AH1846" s="19">
        <f>ROUND((Z1846)*(1+'Data-CostAssumptions'!$G$3)^(AE1846-'Data-CostAssumptions'!$G$4),-3)</f>
        <v>5128000</v>
      </c>
      <c r="AI1846" s="12"/>
      <c r="AJ1846" s="12"/>
      <c r="AK1846" s="12"/>
      <c r="AL1846" s="12"/>
      <c r="AM1846" s="12"/>
    </row>
    <row r="1847" spans="1:39" s="119" customFormat="1" ht="15" customHeight="1" x14ac:dyDescent="0.2">
      <c r="A1847" s="11"/>
      <c r="B1847" s="11" t="s">
        <v>1211</v>
      </c>
      <c r="C1847" s="11">
        <v>12712</v>
      </c>
      <c r="D1847" s="84" t="s">
        <v>278</v>
      </c>
      <c r="E1847" s="14"/>
      <c r="F1847" s="14"/>
      <c r="G1847" s="20">
        <v>1850</v>
      </c>
      <c r="H1847" s="13" t="s">
        <v>2052</v>
      </c>
      <c r="I1847" s="13" t="str">
        <f t="shared" si="63"/>
        <v>NW 136th Av (NW 2nd St to I-595)</v>
      </c>
      <c r="J1847" s="152" t="s">
        <v>300</v>
      </c>
      <c r="K1847" s="13" t="str">
        <f>VLOOKUP(J1847,'Data-ProjectTypes'!A$3:B$13,2,FALSE)</f>
        <v>Project</v>
      </c>
      <c r="L1847" s="152" t="s">
        <v>1178</v>
      </c>
      <c r="M1847" s="21" t="s">
        <v>1912</v>
      </c>
      <c r="N1847" s="21" t="s">
        <v>34</v>
      </c>
      <c r="O1847" s="11"/>
      <c r="P1847" s="11"/>
      <c r="Q1847" s="150">
        <v>0.3</v>
      </c>
      <c r="R1847" s="153">
        <v>5000000</v>
      </c>
      <c r="S1847" s="11"/>
      <c r="T1847" s="11"/>
      <c r="U1847" s="11"/>
      <c r="V1847" s="24" t="s">
        <v>1179</v>
      </c>
      <c r="W1847" s="11"/>
      <c r="X1847" s="11"/>
      <c r="Y1847" s="12"/>
      <c r="Z1847" s="18">
        <f>ROUND(R1847*'Data-CostAssumptions'!$C$18,-3)</f>
        <v>5000000</v>
      </c>
      <c r="AA1847" s="11">
        <f t="shared" si="62"/>
        <v>1</v>
      </c>
      <c r="AB1847" s="11">
        <v>2041</v>
      </c>
      <c r="AC1847" s="11">
        <v>2041</v>
      </c>
      <c r="AD1847" s="11">
        <v>2041</v>
      </c>
      <c r="AE1847" s="11">
        <v>2041</v>
      </c>
      <c r="AF1847" s="11">
        <v>0</v>
      </c>
      <c r="AG1847" s="19">
        <f>ROUND((Z1847*'Data-CostAssumptions'!$G$5)*(1+'Data-CostAssumptions'!$G$3)^(AC1847-'Data-CostAssumptions'!$G$4),-3)</f>
        <v>2820000</v>
      </c>
      <c r="AH1847" s="19">
        <f>ROUND((Z1847)*(1+'Data-CostAssumptions'!$G$3)^(AE1847-'Data-CostAssumptions'!$G$4),-3)</f>
        <v>12820000</v>
      </c>
      <c r="AI1847" s="12"/>
      <c r="AJ1847" s="12"/>
      <c r="AK1847" s="12"/>
      <c r="AL1847" s="12"/>
      <c r="AM1847" s="12"/>
    </row>
    <row r="1848" spans="1:39" s="119" customFormat="1" ht="15" customHeight="1" x14ac:dyDescent="0.2">
      <c r="A1848" s="11"/>
      <c r="B1848" s="11" t="s">
        <v>1211</v>
      </c>
      <c r="C1848" s="11">
        <v>12713</v>
      </c>
      <c r="D1848" s="84" t="s">
        <v>278</v>
      </c>
      <c r="E1848" s="14"/>
      <c r="F1848" s="14"/>
      <c r="G1848" s="20">
        <v>1851</v>
      </c>
      <c r="H1848" s="13" t="s">
        <v>2728</v>
      </c>
      <c r="I1848" s="13" t="str">
        <f t="shared" si="63"/>
        <v>SR 838/Sunrise Bl (Sawgrass Corporate Parkway to Sawgrass Expressway)</v>
      </c>
      <c r="J1848" s="152" t="s">
        <v>300</v>
      </c>
      <c r="K1848" s="13" t="str">
        <f>VLOOKUP(J1848,'Data-ProjectTypes'!A$3:B$13,2,FALSE)</f>
        <v>Project</v>
      </c>
      <c r="L1848" s="152" t="s">
        <v>1178</v>
      </c>
      <c r="M1848" s="21" t="s">
        <v>821</v>
      </c>
      <c r="N1848" s="21" t="s">
        <v>72</v>
      </c>
      <c r="O1848" s="11"/>
      <c r="P1848" s="11"/>
      <c r="Q1848" s="150">
        <v>0.2</v>
      </c>
      <c r="R1848" s="153">
        <v>5000000</v>
      </c>
      <c r="S1848" s="11"/>
      <c r="T1848" s="11"/>
      <c r="U1848" s="11"/>
      <c r="V1848" s="24" t="s">
        <v>1180</v>
      </c>
      <c r="W1848" s="11"/>
      <c r="X1848" s="11"/>
      <c r="Y1848" s="12"/>
      <c r="Z1848" s="18">
        <f>ROUND(R1848*'Data-CostAssumptions'!$C$18,-3)</f>
        <v>5000000</v>
      </c>
      <c r="AA1848" s="11">
        <f t="shared" si="62"/>
        <v>1</v>
      </c>
      <c r="AB1848" s="11">
        <v>2041</v>
      </c>
      <c r="AC1848" s="11">
        <v>2041</v>
      </c>
      <c r="AD1848" s="11">
        <v>2041</v>
      </c>
      <c r="AE1848" s="11">
        <v>2041</v>
      </c>
      <c r="AF1848" s="11">
        <v>0</v>
      </c>
      <c r="AG1848" s="19">
        <f>ROUND((Z1848*'Data-CostAssumptions'!$G$5)*(1+'Data-CostAssumptions'!$G$3)^(AC1848-'Data-CostAssumptions'!$G$4),-3)</f>
        <v>2820000</v>
      </c>
      <c r="AH1848" s="19">
        <f>ROUND((Z1848)*(1+'Data-CostAssumptions'!$G$3)^(AE1848-'Data-CostAssumptions'!$G$4),-3)</f>
        <v>12820000</v>
      </c>
      <c r="AI1848" s="12"/>
      <c r="AJ1848" s="12"/>
      <c r="AK1848" s="12"/>
      <c r="AL1848" s="12"/>
      <c r="AM1848" s="12"/>
    </row>
    <row r="1849" spans="1:39" s="119" customFormat="1" ht="15" customHeight="1" x14ac:dyDescent="0.2">
      <c r="A1849" s="11"/>
      <c r="B1849" s="11" t="s">
        <v>1211</v>
      </c>
      <c r="C1849" s="11">
        <v>12711</v>
      </c>
      <c r="D1849" s="84" t="s">
        <v>278</v>
      </c>
      <c r="E1849" s="14"/>
      <c r="F1849" s="14"/>
      <c r="G1849" s="20">
        <v>1852</v>
      </c>
      <c r="H1849" s="13" t="s">
        <v>825</v>
      </c>
      <c r="I1849" s="13" t="str">
        <f t="shared" si="63"/>
        <v>Community Shuttle (@  City of Sunrise)</v>
      </c>
      <c r="J1849" s="11" t="s">
        <v>347</v>
      </c>
      <c r="K1849" s="13" t="str">
        <f>VLOOKUP(J1849,'Data-ProjectTypes'!A$3:B$13,2,FALSE)</f>
        <v>Project</v>
      </c>
      <c r="L1849" s="11" t="s">
        <v>826</v>
      </c>
      <c r="M1849" s="154" t="s">
        <v>2835</v>
      </c>
      <c r="N1849" s="155" t="s">
        <v>2966</v>
      </c>
      <c r="O1849" s="11"/>
      <c r="P1849" s="11"/>
      <c r="Q1849" s="15"/>
      <c r="R1849" s="16">
        <v>300000</v>
      </c>
      <c r="S1849" s="11"/>
      <c r="T1849" s="11"/>
      <c r="U1849" s="11"/>
      <c r="V1849" s="85" t="s">
        <v>830</v>
      </c>
      <c r="W1849" s="11"/>
      <c r="X1849" s="11"/>
      <c r="Y1849" s="12" t="s">
        <v>2961</v>
      </c>
      <c r="Z1849" s="18">
        <f>ROUND(R1849*'Data-CostAssumptions'!$C$18,-3)</f>
        <v>300000</v>
      </c>
      <c r="AA1849" s="11">
        <f t="shared" si="62"/>
        <v>1</v>
      </c>
      <c r="AB1849" s="11">
        <v>2041</v>
      </c>
      <c r="AC1849" s="11">
        <v>2041</v>
      </c>
      <c r="AD1849" s="11">
        <v>2041</v>
      </c>
      <c r="AE1849" s="11">
        <v>2041</v>
      </c>
      <c r="AF1849" s="11">
        <v>0</v>
      </c>
      <c r="AG1849" s="19">
        <f>ROUND((Z1849*'Data-CostAssumptions'!$G$5)*(1+'Data-CostAssumptions'!$G$3)^(AC1849-'Data-CostAssumptions'!$G$4),-3)</f>
        <v>169000</v>
      </c>
      <c r="AH1849" s="19">
        <f>ROUND((Z1849)*(1+'Data-CostAssumptions'!$G$3)^(AE1849-'Data-CostAssumptions'!$G$4),-3)</f>
        <v>769000</v>
      </c>
      <c r="AI1849" s="12"/>
      <c r="AJ1849" s="12"/>
      <c r="AK1849" s="12"/>
      <c r="AL1849" s="12"/>
      <c r="AM1849" s="12"/>
    </row>
    <row r="1850" spans="1:39" s="119" customFormat="1" ht="15" customHeight="1" x14ac:dyDescent="0.2">
      <c r="A1850" s="11"/>
      <c r="B1850" s="11" t="s">
        <v>1211</v>
      </c>
      <c r="C1850" s="11">
        <v>12710</v>
      </c>
      <c r="D1850" s="84" t="s">
        <v>278</v>
      </c>
      <c r="E1850" s="14"/>
      <c r="F1850" s="14"/>
      <c r="G1850" s="20">
        <v>1853</v>
      </c>
      <c r="H1850" s="13" t="s">
        <v>2710</v>
      </c>
      <c r="I1850" s="13" t="str">
        <f t="shared" si="63"/>
        <v>SR 816/Oakland Park Bl (Sawgrass Expressway to NW 60 Av)</v>
      </c>
      <c r="J1850" s="11" t="s">
        <v>347</v>
      </c>
      <c r="K1850" s="13" t="str">
        <f>VLOOKUP(J1850,'Data-ProjectTypes'!A$3:B$13,2,FALSE)</f>
        <v>Project</v>
      </c>
      <c r="L1850" s="11" t="s">
        <v>824</v>
      </c>
      <c r="M1850" s="11" t="s">
        <v>72</v>
      </c>
      <c r="N1850" s="11" t="s">
        <v>2624</v>
      </c>
      <c r="O1850" s="11"/>
      <c r="P1850" s="11"/>
      <c r="Q1850" s="15">
        <v>5.0999999999999996</v>
      </c>
      <c r="R1850" s="16">
        <v>1400000</v>
      </c>
      <c r="S1850" s="11"/>
      <c r="T1850" s="11"/>
      <c r="U1850" s="11"/>
      <c r="V1850" s="85" t="s">
        <v>829</v>
      </c>
      <c r="W1850" s="11"/>
      <c r="X1850" s="11"/>
      <c r="Y1850" s="12" t="s">
        <v>2203</v>
      </c>
      <c r="Z1850" s="18">
        <f>ROUND(R1850*'Data-CostAssumptions'!$C$18,-3)</f>
        <v>1400000</v>
      </c>
      <c r="AA1850" s="11">
        <f t="shared" si="62"/>
        <v>1</v>
      </c>
      <c r="AB1850" s="11">
        <v>2041</v>
      </c>
      <c r="AC1850" s="11">
        <v>2041</v>
      </c>
      <c r="AD1850" s="11">
        <v>2041</v>
      </c>
      <c r="AE1850" s="11">
        <v>2041</v>
      </c>
      <c r="AF1850" s="11">
        <v>0</v>
      </c>
      <c r="AG1850" s="19">
        <f>ROUND((Z1850*'Data-CostAssumptions'!$G$5)*(1+'Data-CostAssumptions'!$G$3)^(AC1850-'Data-CostAssumptions'!$G$4),-3)</f>
        <v>790000</v>
      </c>
      <c r="AH1850" s="19">
        <f>ROUND((Z1850)*(1+'Data-CostAssumptions'!$G$3)^(AE1850-'Data-CostAssumptions'!$G$4),-3)</f>
        <v>3590000</v>
      </c>
      <c r="AI1850" s="12"/>
      <c r="AJ1850" s="12"/>
      <c r="AK1850" s="12"/>
      <c r="AL1850" s="12"/>
      <c r="AM1850" s="12"/>
    </row>
    <row r="1851" spans="1:39" s="119" customFormat="1" ht="15" customHeight="1" x14ac:dyDescent="0.2">
      <c r="A1851" s="11"/>
      <c r="B1851" s="11" t="s">
        <v>1211</v>
      </c>
      <c r="C1851" s="11">
        <v>12709</v>
      </c>
      <c r="D1851" s="84" t="s">
        <v>278</v>
      </c>
      <c r="E1851" s="14"/>
      <c r="F1851" s="14"/>
      <c r="G1851" s="20">
        <v>1854</v>
      </c>
      <c r="H1851" s="13" t="s">
        <v>2709</v>
      </c>
      <c r="I1851" s="13" t="str">
        <f t="shared" si="63"/>
        <v>SR 817/University Dr (Sunrise Bl to NW 44 St)</v>
      </c>
      <c r="J1851" s="11" t="s">
        <v>347</v>
      </c>
      <c r="K1851" s="13" t="str">
        <f>VLOOKUP(J1851,'Data-ProjectTypes'!A$3:B$13,2,FALSE)</f>
        <v>Project</v>
      </c>
      <c r="L1851" s="11" t="s">
        <v>824</v>
      </c>
      <c r="M1851" s="11" t="s">
        <v>1830</v>
      </c>
      <c r="N1851" s="11" t="s">
        <v>1184</v>
      </c>
      <c r="O1851" s="11"/>
      <c r="P1851" s="11"/>
      <c r="Q1851" s="15">
        <v>2.1</v>
      </c>
      <c r="R1851" s="16">
        <v>570000</v>
      </c>
      <c r="S1851" s="11"/>
      <c r="T1851" s="11"/>
      <c r="U1851" s="11"/>
      <c r="V1851" s="85" t="s">
        <v>828</v>
      </c>
      <c r="W1851" s="11"/>
      <c r="X1851" s="11"/>
      <c r="Y1851" s="12" t="s">
        <v>2203</v>
      </c>
      <c r="Z1851" s="18">
        <f>ROUND(R1851*'Data-CostAssumptions'!$C$18,-3)</f>
        <v>570000</v>
      </c>
      <c r="AA1851" s="11">
        <f t="shared" si="62"/>
        <v>1</v>
      </c>
      <c r="AB1851" s="11">
        <v>2041</v>
      </c>
      <c r="AC1851" s="11">
        <v>2041</v>
      </c>
      <c r="AD1851" s="11">
        <v>2041</v>
      </c>
      <c r="AE1851" s="11">
        <v>2041</v>
      </c>
      <c r="AF1851" s="11">
        <v>0</v>
      </c>
      <c r="AG1851" s="19">
        <f>ROUND((Z1851*'Data-CostAssumptions'!$G$5)*(1+'Data-CostAssumptions'!$G$3)^(AC1851-'Data-CostAssumptions'!$G$4),-3)</f>
        <v>322000</v>
      </c>
      <c r="AH1851" s="19">
        <f>ROUND((Z1851)*(1+'Data-CostAssumptions'!$G$3)^(AE1851-'Data-CostAssumptions'!$G$4),-3)</f>
        <v>1461000</v>
      </c>
      <c r="AI1851" s="12"/>
      <c r="AJ1851" s="12"/>
      <c r="AK1851" s="12"/>
      <c r="AL1851" s="12"/>
      <c r="AM1851" s="12"/>
    </row>
    <row r="1852" spans="1:39" s="119" customFormat="1" ht="15" customHeight="1" x14ac:dyDescent="0.2">
      <c r="A1852" s="11"/>
      <c r="B1852" s="11" t="s">
        <v>1211</v>
      </c>
      <c r="C1852" s="11">
        <f>1+C1851</f>
        <v>12710</v>
      </c>
      <c r="D1852" s="84" t="s">
        <v>295</v>
      </c>
      <c r="E1852" s="14"/>
      <c r="F1852" s="14"/>
      <c r="G1852" s="20">
        <v>1855</v>
      </c>
      <c r="H1852" s="13" t="s">
        <v>1958</v>
      </c>
      <c r="I1852" s="13" t="str">
        <f t="shared" si="63"/>
        <v>SW 25th St (State Rd 7 (US 441) to S.W. 68th Av)</v>
      </c>
      <c r="J1852" s="11" t="s">
        <v>27</v>
      </c>
      <c r="K1852" s="13" t="str">
        <f>VLOOKUP(J1852,'Data-ProjectTypes'!A$3:B$13,2,FALSE)</f>
        <v>Program</v>
      </c>
      <c r="L1852" s="11" t="s">
        <v>1131</v>
      </c>
      <c r="M1852" s="11" t="s">
        <v>2448</v>
      </c>
      <c r="N1852" s="11" t="s">
        <v>2257</v>
      </c>
      <c r="O1852" s="84" t="s">
        <v>295</v>
      </c>
      <c r="P1852" s="84" t="s">
        <v>295</v>
      </c>
      <c r="Q1852" s="15">
        <v>1.48</v>
      </c>
      <c r="R1852" s="16">
        <v>2017999</v>
      </c>
      <c r="S1852" s="11"/>
      <c r="T1852" s="11"/>
      <c r="U1852" s="11"/>
      <c r="V1852" s="85" t="s">
        <v>1138</v>
      </c>
      <c r="W1852" s="11"/>
      <c r="X1852" s="11"/>
      <c r="Y1852" s="12" t="s">
        <v>2202</v>
      </c>
      <c r="Z1852" s="18">
        <f>ROUND(R1852*'Data-CostAssumptions'!$C$19,-3)</f>
        <v>2018000</v>
      </c>
      <c r="AA1852" s="11">
        <f t="shared" si="62"/>
        <v>1</v>
      </c>
      <c r="AB1852" s="11">
        <v>2041</v>
      </c>
      <c r="AC1852" s="11">
        <v>2041</v>
      </c>
      <c r="AD1852" s="11">
        <v>2041</v>
      </c>
      <c r="AE1852" s="11">
        <v>2041</v>
      </c>
      <c r="AF1852" s="11">
        <v>0</v>
      </c>
      <c r="AG1852" s="19">
        <f>ROUND((Z1852*'Data-CostAssumptions'!$G$5)*(1+'Data-CostAssumptions'!$G$3)^(AC1852-'Data-CostAssumptions'!$G$4),-3)</f>
        <v>1138000</v>
      </c>
      <c r="AH1852" s="19">
        <f>ROUND((Z1852)*(1+'Data-CostAssumptions'!$G$3)^(AE1852-'Data-CostAssumptions'!$G$4),-3)</f>
        <v>5174000</v>
      </c>
      <c r="AI1852" s="12"/>
      <c r="AJ1852" s="12"/>
      <c r="AK1852" s="12"/>
      <c r="AL1852" s="12"/>
      <c r="AM1852" s="12"/>
    </row>
    <row r="1853" spans="1:39" s="119" customFormat="1" ht="15" customHeight="1" x14ac:dyDescent="0.2">
      <c r="A1853" s="11"/>
      <c r="B1853" s="11" t="s">
        <v>1211</v>
      </c>
      <c r="C1853" s="11">
        <v>14000</v>
      </c>
      <c r="D1853" s="84" t="s">
        <v>295</v>
      </c>
      <c r="E1853" s="14"/>
      <c r="F1853" s="14"/>
      <c r="G1853" s="20">
        <v>1856</v>
      </c>
      <c r="H1853" s="13" t="s">
        <v>2128</v>
      </c>
      <c r="I1853" s="13" t="str">
        <f t="shared" si="63"/>
        <v>SW 56th Av (Pembroke Rd to Countyline Rd )</v>
      </c>
      <c r="J1853" s="11" t="s">
        <v>27</v>
      </c>
      <c r="K1853" s="13" t="str">
        <f>VLOOKUP(J1853,'Data-ProjectTypes'!A$3:B$13,2,FALSE)</f>
        <v>Program</v>
      </c>
      <c r="L1853" s="11" t="s">
        <v>1130</v>
      </c>
      <c r="M1853" s="11" t="s">
        <v>1760</v>
      </c>
      <c r="N1853" s="11" t="s">
        <v>2449</v>
      </c>
      <c r="O1853" s="84" t="s">
        <v>295</v>
      </c>
      <c r="P1853" s="84" t="s">
        <v>295</v>
      </c>
      <c r="Q1853" s="15">
        <v>1.534</v>
      </c>
      <c r="R1853" s="16">
        <v>2133626.34</v>
      </c>
      <c r="S1853" s="11"/>
      <c r="T1853" s="11"/>
      <c r="U1853" s="11"/>
      <c r="V1853" s="85" t="s">
        <v>1137</v>
      </c>
      <c r="W1853" s="11"/>
      <c r="X1853" s="11"/>
      <c r="Y1853" s="12" t="s">
        <v>2202</v>
      </c>
      <c r="Z1853" s="18">
        <f>ROUND(R1853*'Data-CostAssumptions'!$C$19,-3)</f>
        <v>2134000</v>
      </c>
      <c r="AA1853" s="11">
        <f t="shared" si="62"/>
        <v>1</v>
      </c>
      <c r="AB1853" s="11">
        <v>2041</v>
      </c>
      <c r="AC1853" s="11">
        <v>2041</v>
      </c>
      <c r="AD1853" s="11">
        <v>2041</v>
      </c>
      <c r="AE1853" s="11">
        <v>2041</v>
      </c>
      <c r="AF1853" s="11">
        <v>0</v>
      </c>
      <c r="AG1853" s="19">
        <f>ROUND((Z1853*'Data-CostAssumptions'!$G$5)*(1+'Data-CostAssumptions'!$G$3)^(AC1853-'Data-CostAssumptions'!$G$4),-3)</f>
        <v>1204000</v>
      </c>
      <c r="AH1853" s="19">
        <f>ROUND((Z1853)*(1+'Data-CostAssumptions'!$G$3)^(AE1853-'Data-CostAssumptions'!$G$4),-3)</f>
        <v>5471000</v>
      </c>
      <c r="AI1853" s="12"/>
      <c r="AJ1853" s="12"/>
      <c r="AK1853" s="12"/>
      <c r="AL1853" s="12"/>
      <c r="AM1853" s="12"/>
    </row>
    <row r="1854" spans="1:39" s="34" customFormat="1" ht="15" customHeight="1" x14ac:dyDescent="0.2">
      <c r="A1854" s="11"/>
      <c r="B1854" s="11" t="s">
        <v>1211</v>
      </c>
      <c r="C1854" s="11">
        <v>14002</v>
      </c>
      <c r="D1854" s="84" t="s">
        <v>295</v>
      </c>
      <c r="E1854" s="14"/>
      <c r="F1854" s="14"/>
      <c r="G1854" s="20">
        <v>1857</v>
      </c>
      <c r="H1854" s="13" t="s">
        <v>2124</v>
      </c>
      <c r="I1854" s="13" t="str">
        <f t="shared" ref="I1854:I1859" si="64">IF(M1854="@",H1854&amp;" ("&amp;M1854&amp;"  "&amp;N1854&amp;")",H1854&amp;" ("&amp;M1854&amp;" to "&amp;N1854&amp;")")</f>
        <v>SW 40th Av (S.W. 20th Court (southbound) to S.W. 25th St)</v>
      </c>
      <c r="J1854" s="11" t="s">
        <v>27</v>
      </c>
      <c r="K1854" s="13" t="str">
        <f>VLOOKUP(J1854,'Data-ProjectTypes'!A$3:B$13,2,FALSE)</f>
        <v>Program</v>
      </c>
      <c r="L1854" s="11" t="s">
        <v>1132</v>
      </c>
      <c r="M1854" s="11" t="s">
        <v>1136</v>
      </c>
      <c r="N1854" s="11" t="s">
        <v>1937</v>
      </c>
      <c r="O1854" s="84" t="s">
        <v>295</v>
      </c>
      <c r="P1854" s="84" t="s">
        <v>295</v>
      </c>
      <c r="Q1854" s="15">
        <v>1.54</v>
      </c>
      <c r="R1854" s="16">
        <v>1319000</v>
      </c>
      <c r="S1854" s="11"/>
      <c r="T1854" s="11"/>
      <c r="U1854" s="11"/>
      <c r="V1854" s="85" t="s">
        <v>1139</v>
      </c>
      <c r="W1854" s="11"/>
      <c r="X1854" s="11"/>
      <c r="Y1854" s="12" t="s">
        <v>2202</v>
      </c>
      <c r="Z1854" s="18">
        <f>ROUND(R1854*'Data-CostAssumptions'!$C$19,-3)</f>
        <v>1319000</v>
      </c>
      <c r="AA1854" s="11">
        <f t="shared" si="62"/>
        <v>1</v>
      </c>
      <c r="AB1854" s="11">
        <v>2041</v>
      </c>
      <c r="AC1854" s="11">
        <v>2041</v>
      </c>
      <c r="AD1854" s="11">
        <v>2041</v>
      </c>
      <c r="AE1854" s="11">
        <v>2041</v>
      </c>
      <c r="AF1854" s="11">
        <v>0</v>
      </c>
      <c r="AG1854" s="19">
        <f>ROUND((Z1854*'Data-CostAssumptions'!$G$5)*(1+'Data-CostAssumptions'!$G$3)^(AC1854-'Data-CostAssumptions'!$G$4),-3)</f>
        <v>744000</v>
      </c>
      <c r="AH1854" s="19">
        <f>ROUND((Z1854)*(1+'Data-CostAssumptions'!$G$3)^(AE1854-'Data-CostAssumptions'!$G$4),-3)</f>
        <v>3382000</v>
      </c>
      <c r="AI1854" s="12"/>
      <c r="AJ1854" s="12"/>
      <c r="AK1854" s="12"/>
      <c r="AL1854" s="12"/>
      <c r="AM1854" s="12"/>
    </row>
    <row r="1855" spans="1:39" s="34" customFormat="1" ht="15" customHeight="1" x14ac:dyDescent="0.2">
      <c r="A1855" s="11"/>
      <c r="B1855" s="11" t="s">
        <v>1211</v>
      </c>
      <c r="C1855" s="11">
        <v>14003</v>
      </c>
      <c r="D1855" s="84" t="s">
        <v>295</v>
      </c>
      <c r="E1855" s="14"/>
      <c r="F1855" s="14"/>
      <c r="G1855" s="20">
        <v>1858</v>
      </c>
      <c r="H1855" s="13" t="s">
        <v>2578</v>
      </c>
      <c r="I1855" s="13" t="str">
        <f t="shared" si="64"/>
        <v>SW 21st St (S.W. 40th Av to South State Rd 7 (US 441))</v>
      </c>
      <c r="J1855" s="11" t="s">
        <v>27</v>
      </c>
      <c r="K1855" s="13" t="str">
        <f>VLOOKUP(J1855,'Data-ProjectTypes'!A$3:B$13,2,FALSE)</f>
        <v>Program</v>
      </c>
      <c r="L1855" s="11" t="s">
        <v>1133</v>
      </c>
      <c r="M1855" s="11" t="s">
        <v>2086</v>
      </c>
      <c r="N1855" s="11" t="s">
        <v>2447</v>
      </c>
      <c r="O1855" s="84" t="s">
        <v>295</v>
      </c>
      <c r="P1855" s="84" t="s">
        <v>295</v>
      </c>
      <c r="Q1855" s="15">
        <v>1.5</v>
      </c>
      <c r="R1855" s="16">
        <v>178455.3</v>
      </c>
      <c r="S1855" s="11"/>
      <c r="T1855" s="11"/>
      <c r="U1855" s="11"/>
      <c r="V1855" s="85" t="s">
        <v>1140</v>
      </c>
      <c r="W1855" s="11"/>
      <c r="X1855" s="11"/>
      <c r="Y1855" s="12" t="s">
        <v>2202</v>
      </c>
      <c r="Z1855" s="18">
        <f>ROUND(R1855*'Data-CostAssumptions'!$C$19,-3)</f>
        <v>178000</v>
      </c>
      <c r="AA1855" s="11">
        <f t="shared" ref="AA1855:AA1859" si="65">IF(V1855="",IF(W1855="",0,1),1)</f>
        <v>1</v>
      </c>
      <c r="AB1855" s="11">
        <v>2041</v>
      </c>
      <c r="AC1855" s="11">
        <v>2041</v>
      </c>
      <c r="AD1855" s="11">
        <v>2041</v>
      </c>
      <c r="AE1855" s="11">
        <v>2041</v>
      </c>
      <c r="AF1855" s="11">
        <v>0</v>
      </c>
      <c r="AG1855" s="19">
        <f>ROUND((Z1855*'Data-CostAssumptions'!$G$5)*(1+'Data-CostAssumptions'!$G$3)^(AC1855-'Data-CostAssumptions'!$G$4),-3)</f>
        <v>100000</v>
      </c>
      <c r="AH1855" s="19">
        <f>ROUND((Z1855)*(1+'Data-CostAssumptions'!$G$3)^(AE1855-'Data-CostAssumptions'!$G$4),-3)</f>
        <v>456000</v>
      </c>
      <c r="AI1855" s="12"/>
      <c r="AJ1855" s="12"/>
      <c r="AK1855" s="12"/>
      <c r="AL1855" s="12"/>
      <c r="AM1855" s="12"/>
    </row>
    <row r="1856" spans="1:39" s="34" customFormat="1" ht="15" customHeight="1" x14ac:dyDescent="0.2">
      <c r="A1856" s="11"/>
      <c r="B1856" s="11" t="s">
        <v>1211</v>
      </c>
      <c r="C1856" s="11">
        <v>14004</v>
      </c>
      <c r="D1856" s="84" t="s">
        <v>295</v>
      </c>
      <c r="E1856" s="14"/>
      <c r="F1856" s="14"/>
      <c r="G1856" s="20">
        <v>1859</v>
      </c>
      <c r="H1856" s="13" t="s">
        <v>1775</v>
      </c>
      <c r="I1856" s="13" t="str">
        <f t="shared" si="64"/>
        <v>Sutton Rd (S.W. 56th Av to South State Rd 7 (US 441))</v>
      </c>
      <c r="J1856" s="11" t="s">
        <v>27</v>
      </c>
      <c r="K1856" s="13" t="str">
        <f>VLOOKUP(J1856,'Data-ProjectTypes'!A$3:B$13,2,FALSE)</f>
        <v>Program</v>
      </c>
      <c r="L1856" s="11" t="s">
        <v>1134</v>
      </c>
      <c r="M1856" s="11" t="s">
        <v>2388</v>
      </c>
      <c r="N1856" s="11" t="s">
        <v>2447</v>
      </c>
      <c r="O1856" s="84" t="s">
        <v>295</v>
      </c>
      <c r="P1856" s="84" t="s">
        <v>295</v>
      </c>
      <c r="Q1856" s="15">
        <v>0.7</v>
      </c>
      <c r="R1856" s="16">
        <v>125000</v>
      </c>
      <c r="S1856" s="11"/>
      <c r="T1856" s="11"/>
      <c r="U1856" s="11"/>
      <c r="V1856" s="85" t="s">
        <v>1141</v>
      </c>
      <c r="W1856" s="11"/>
      <c r="X1856" s="11"/>
      <c r="Y1856" s="12" t="s">
        <v>2202</v>
      </c>
      <c r="Z1856" s="18">
        <f>ROUND(R1856*'Data-CostAssumptions'!$C$19,-3)</f>
        <v>125000</v>
      </c>
      <c r="AA1856" s="11">
        <f t="shared" si="65"/>
        <v>1</v>
      </c>
      <c r="AB1856" s="11">
        <v>2041</v>
      </c>
      <c r="AC1856" s="11">
        <v>2041</v>
      </c>
      <c r="AD1856" s="11">
        <v>2041</v>
      </c>
      <c r="AE1856" s="11">
        <v>2041</v>
      </c>
      <c r="AF1856" s="11">
        <v>0</v>
      </c>
      <c r="AG1856" s="19">
        <f>ROUND((Z1856*'Data-CostAssumptions'!$G$5)*(1+'Data-CostAssumptions'!$G$3)^(AC1856-'Data-CostAssumptions'!$G$4),-3)</f>
        <v>71000</v>
      </c>
      <c r="AH1856" s="19">
        <f>ROUND((Z1856)*(1+'Data-CostAssumptions'!$G$3)^(AE1856-'Data-CostAssumptions'!$G$4),-3)</f>
        <v>320000</v>
      </c>
      <c r="AI1856" s="12"/>
      <c r="AJ1856" s="12"/>
      <c r="AK1856" s="12"/>
      <c r="AL1856" s="12"/>
      <c r="AM1856" s="12"/>
    </row>
    <row r="1857" spans="1:39" s="34" customFormat="1" ht="15" customHeight="1" x14ac:dyDescent="0.2">
      <c r="A1857" s="11"/>
      <c r="B1857" s="11" t="s">
        <v>1211</v>
      </c>
      <c r="C1857" s="11">
        <v>14005</v>
      </c>
      <c r="D1857" s="84" t="s">
        <v>295</v>
      </c>
      <c r="E1857" s="14"/>
      <c r="F1857" s="14"/>
      <c r="G1857" s="20">
        <v>1860</v>
      </c>
      <c r="H1857" s="13" t="s">
        <v>2888</v>
      </c>
      <c r="I1857" s="13" t="str">
        <f t="shared" si="64"/>
        <v>SW 48th Av (Pembroke Rd to Countyline Rd )</v>
      </c>
      <c r="J1857" s="11" t="s">
        <v>27</v>
      </c>
      <c r="K1857" s="13" t="str">
        <f>VLOOKUP(J1857,'Data-ProjectTypes'!A$3:B$13,2,FALSE)</f>
        <v>Program</v>
      </c>
      <c r="L1857" s="11" t="s">
        <v>1135</v>
      </c>
      <c r="M1857" s="11" t="s">
        <v>1760</v>
      </c>
      <c r="N1857" s="11" t="s">
        <v>2449</v>
      </c>
      <c r="O1857" s="84" t="s">
        <v>295</v>
      </c>
      <c r="P1857" s="84" t="s">
        <v>295</v>
      </c>
      <c r="Q1857" s="15">
        <v>1.52</v>
      </c>
      <c r="R1857" s="16">
        <v>3203450</v>
      </c>
      <c r="S1857" s="11"/>
      <c r="T1857" s="11"/>
      <c r="U1857" s="11"/>
      <c r="V1857" s="85" t="s">
        <v>1138</v>
      </c>
      <c r="W1857" s="11"/>
      <c r="X1857" s="11"/>
      <c r="Y1857" s="12" t="s">
        <v>2202</v>
      </c>
      <c r="Z1857" s="18">
        <f>ROUND(R1857*'Data-CostAssumptions'!$C$19,-3)</f>
        <v>3203000</v>
      </c>
      <c r="AA1857" s="11">
        <f t="shared" si="65"/>
        <v>1</v>
      </c>
      <c r="AB1857" s="11">
        <v>2041</v>
      </c>
      <c r="AC1857" s="11">
        <v>2041</v>
      </c>
      <c r="AD1857" s="11">
        <v>2041</v>
      </c>
      <c r="AE1857" s="11">
        <v>2041</v>
      </c>
      <c r="AF1857" s="11">
        <v>0</v>
      </c>
      <c r="AG1857" s="19">
        <f>ROUND((Z1857*'Data-CostAssumptions'!$G$5)*(1+'Data-CostAssumptions'!$G$3)^(AC1857-'Data-CostAssumptions'!$G$4),-3)</f>
        <v>1807000</v>
      </c>
      <c r="AH1857" s="19">
        <f>ROUND((Z1857)*(1+'Data-CostAssumptions'!$G$3)^(AE1857-'Data-CostAssumptions'!$G$4),-3)</f>
        <v>8212000</v>
      </c>
      <c r="AI1857" s="12"/>
      <c r="AJ1857" s="12"/>
      <c r="AK1857" s="12"/>
      <c r="AL1857" s="12"/>
      <c r="AM1857" s="12"/>
    </row>
    <row r="1858" spans="1:39" ht="15" customHeight="1" x14ac:dyDescent="0.2">
      <c r="A1858" s="11"/>
      <c r="B1858" s="11" t="s">
        <v>1211</v>
      </c>
      <c r="C1858" s="11">
        <v>12750</v>
      </c>
      <c r="D1858" s="84" t="s">
        <v>1212</v>
      </c>
      <c r="E1858" s="14"/>
      <c r="F1858" s="14"/>
      <c r="G1858" s="20">
        <v>1861</v>
      </c>
      <c r="H1858" s="13" t="s">
        <v>1807</v>
      </c>
      <c r="I1858" s="13" t="str">
        <f t="shared" si="64"/>
        <v>Wilton Dr (Southern City limits at bridge over the south fork of Middle River to NE 26 St)</v>
      </c>
      <c r="J1858" s="11" t="s">
        <v>27</v>
      </c>
      <c r="K1858" s="13" t="str">
        <f>VLOOKUP(J1858,'Data-ProjectTypes'!A$3:B$13,2,FALSE)</f>
        <v>Program</v>
      </c>
      <c r="L1858" s="11" t="s">
        <v>851</v>
      </c>
      <c r="M1858" s="11" t="s">
        <v>853</v>
      </c>
      <c r="N1858" s="11" t="s">
        <v>2593</v>
      </c>
      <c r="O1858" s="11"/>
      <c r="P1858" s="11"/>
      <c r="Q1858" s="15">
        <v>1</v>
      </c>
      <c r="R1858" s="16">
        <f>4500000+85000+150000</f>
        <v>4735000</v>
      </c>
      <c r="S1858" s="11"/>
      <c r="T1858" s="11"/>
      <c r="U1858" s="11"/>
      <c r="V1858" s="156" t="s">
        <v>854</v>
      </c>
      <c r="W1858" s="11"/>
      <c r="X1858" s="11"/>
      <c r="Y1858" s="12" t="s">
        <v>2202</v>
      </c>
      <c r="Z1858" s="18">
        <f>ROUND(R1858*'Data-CostAssumptions'!$C$20,-3)</f>
        <v>4735000</v>
      </c>
      <c r="AA1858" s="11">
        <f t="shared" si="65"/>
        <v>1</v>
      </c>
      <c r="AB1858" s="11">
        <v>2041</v>
      </c>
      <c r="AC1858" s="11">
        <v>2041</v>
      </c>
      <c r="AD1858" s="11">
        <v>2041</v>
      </c>
      <c r="AE1858" s="11">
        <v>2041</v>
      </c>
      <c r="AF1858" s="11">
        <v>0</v>
      </c>
      <c r="AG1858" s="19">
        <f>ROUND((Z1858*'Data-CostAssumptions'!$G$5)*(1+'Data-CostAssumptions'!$G$3)^(AC1858-'Data-CostAssumptions'!$G$4),-3)</f>
        <v>2671000</v>
      </c>
      <c r="AH1858" s="19">
        <f>ROUND((Z1858)*(1+'Data-CostAssumptions'!$G$3)^(AE1858-'Data-CostAssumptions'!$G$4),-3)</f>
        <v>12140000</v>
      </c>
    </row>
    <row r="1859" spans="1:39" ht="15" customHeight="1" x14ac:dyDescent="0.2">
      <c r="A1859" s="11"/>
      <c r="B1859" s="11" t="s">
        <v>1211</v>
      </c>
      <c r="C1859" s="11">
        <v>12751</v>
      </c>
      <c r="D1859" s="84" t="s">
        <v>1212</v>
      </c>
      <c r="E1859" s="14"/>
      <c r="F1859" s="14"/>
      <c r="G1859" s="20">
        <v>1862</v>
      </c>
      <c r="H1859" s="13" t="s">
        <v>2014</v>
      </c>
      <c r="I1859" s="13" t="str">
        <f t="shared" si="64"/>
        <v>Andrews Av (South City limits on Andrews Av to Oakland Park Bl)</v>
      </c>
      <c r="J1859" s="11" t="s">
        <v>300</v>
      </c>
      <c r="K1859" s="13" t="str">
        <f>VLOOKUP(J1859,'Data-ProjectTypes'!A$3:B$13,2,FALSE)</f>
        <v>Project</v>
      </c>
      <c r="L1859" s="11" t="s">
        <v>852</v>
      </c>
      <c r="M1859" s="11" t="s">
        <v>2336</v>
      </c>
      <c r="N1859" s="11" t="s">
        <v>1825</v>
      </c>
      <c r="O1859" s="11"/>
      <c r="P1859" s="11"/>
      <c r="Q1859" s="15">
        <v>1</v>
      </c>
      <c r="R1859" s="16">
        <f>2450000+150000</f>
        <v>2600000</v>
      </c>
      <c r="S1859" s="11"/>
      <c r="T1859" s="11"/>
      <c r="U1859" s="11"/>
      <c r="V1859" s="33" t="s">
        <v>855</v>
      </c>
      <c r="W1859" s="11"/>
      <c r="X1859" s="11"/>
      <c r="Y1859" s="12" t="s">
        <v>2202</v>
      </c>
      <c r="Z1859" s="18">
        <f>ROUND(R1859*'Data-CostAssumptions'!$C$20,-3)</f>
        <v>2600000</v>
      </c>
      <c r="AA1859" s="11">
        <f t="shared" si="65"/>
        <v>1</v>
      </c>
      <c r="AB1859" s="11">
        <v>2041</v>
      </c>
      <c r="AC1859" s="11">
        <v>2041</v>
      </c>
      <c r="AD1859" s="11">
        <v>2041</v>
      </c>
      <c r="AE1859" s="11">
        <v>2041</v>
      </c>
      <c r="AF1859" s="11">
        <v>0</v>
      </c>
      <c r="AG1859" s="19">
        <f>ROUND((Z1859*'Data-CostAssumptions'!$G$5)*(1+'Data-CostAssumptions'!$G$3)^(AC1859-'Data-CostAssumptions'!$G$4),-3)</f>
        <v>1467000</v>
      </c>
      <c r="AH1859" s="19">
        <f>ROUND((Z1859)*(1+'Data-CostAssumptions'!$G$3)^(AE1859-'Data-CostAssumptions'!$G$4),-3)</f>
        <v>6666000</v>
      </c>
    </row>
    <row r="1860" spans="1:39" s="121" customFormat="1" ht="15" customHeight="1" x14ac:dyDescent="0.25">
      <c r="E1860" s="104"/>
      <c r="F1860" s="104"/>
      <c r="G1860" s="104"/>
      <c r="M1860" s="105"/>
      <c r="N1860" s="12"/>
      <c r="O1860" s="12"/>
      <c r="P1860" s="12"/>
      <c r="Q1860" s="157"/>
      <c r="R1860" s="158"/>
      <c r="T1860" s="12"/>
      <c r="U1860" s="12"/>
      <c r="W1860" s="12"/>
      <c r="X1860" s="12"/>
      <c r="Y1860" s="12"/>
      <c r="Z1860" s="159"/>
    </row>
    <row r="1861" spans="1:39" s="121" customFormat="1" ht="15" customHeight="1" x14ac:dyDescent="0.25">
      <c r="E1861" s="104"/>
      <c r="F1861" s="104"/>
      <c r="G1861" s="104"/>
      <c r="M1861" s="105"/>
      <c r="N1861" s="12"/>
      <c r="O1861" s="12"/>
      <c r="P1861" s="12"/>
      <c r="Q1861" s="157" t="s">
        <v>3097</v>
      </c>
      <c r="R1861" s="158">
        <f>COUNTA(R2:R1859)</f>
        <v>1793</v>
      </c>
      <c r="T1861" s="12"/>
      <c r="U1861" s="12"/>
      <c r="W1861" s="12"/>
      <c r="X1861" s="12"/>
      <c r="Y1861" s="12"/>
      <c r="Z1861" s="159"/>
    </row>
    <row r="1862" spans="1:39" s="121" customFormat="1" ht="15" customHeight="1" x14ac:dyDescent="0.25">
      <c r="E1862" s="104"/>
      <c r="F1862" s="104"/>
      <c r="G1862" s="104"/>
      <c r="M1862" s="105"/>
      <c r="N1862" s="12"/>
      <c r="O1862" s="12"/>
      <c r="P1862" s="12"/>
      <c r="Q1862" s="157" t="s">
        <v>3098</v>
      </c>
      <c r="R1862" s="158">
        <f>COUNTBLANK(R2:R1859)+COUNTIF(R2:R1859,"0")</f>
        <v>77</v>
      </c>
      <c r="T1862" s="12"/>
      <c r="U1862" s="12"/>
      <c r="W1862" s="12"/>
      <c r="X1862" s="12"/>
      <c r="Y1862" s="12"/>
      <c r="Z1862" s="159"/>
    </row>
    <row r="1863" spans="1:39" s="121" customFormat="1" ht="15" customHeight="1" x14ac:dyDescent="0.25">
      <c r="E1863" s="104"/>
      <c r="F1863" s="104"/>
      <c r="G1863" s="104"/>
      <c r="M1863" s="105"/>
      <c r="N1863" s="12"/>
      <c r="O1863" s="12"/>
      <c r="P1863" s="12"/>
      <c r="Q1863" s="157"/>
      <c r="T1863" s="12"/>
      <c r="U1863" s="12"/>
      <c r="W1863" s="12"/>
      <c r="X1863" s="12"/>
      <c r="Y1863" s="12"/>
      <c r="Z1863" s="159"/>
    </row>
    <row r="1864" spans="1:39" s="121" customFormat="1" ht="15" customHeight="1" x14ac:dyDescent="0.25">
      <c r="E1864" s="104"/>
      <c r="F1864" s="104"/>
      <c r="G1864" s="104"/>
      <c r="M1864" s="105"/>
      <c r="N1864" s="12"/>
      <c r="O1864" s="12"/>
      <c r="P1864" s="12"/>
      <c r="Q1864" s="157"/>
      <c r="T1864" s="12"/>
      <c r="U1864" s="12"/>
      <c r="W1864" s="12"/>
      <c r="X1864" s="12"/>
      <c r="Y1864" s="12"/>
      <c r="Z1864" s="159"/>
    </row>
    <row r="1865" spans="1:39" s="121" customFormat="1" ht="15" customHeight="1" x14ac:dyDescent="0.25">
      <c r="E1865" s="104"/>
      <c r="F1865" s="104"/>
      <c r="G1865" s="104"/>
      <c r="M1865" s="105"/>
      <c r="N1865" s="12"/>
      <c r="O1865" s="12"/>
      <c r="P1865" s="12"/>
      <c r="Q1865" s="157"/>
      <c r="T1865" s="12"/>
      <c r="U1865" s="12"/>
      <c r="W1865" s="12"/>
      <c r="X1865" s="12"/>
      <c r="Y1865" s="12"/>
      <c r="Z1865" s="159"/>
    </row>
    <row r="1866" spans="1:39" s="121" customFormat="1" ht="15" customHeight="1" x14ac:dyDescent="0.25">
      <c r="E1866" s="104"/>
      <c r="F1866" s="104"/>
      <c r="G1866" s="104"/>
      <c r="M1866" s="105"/>
      <c r="N1866" s="12"/>
      <c r="O1866" s="12"/>
      <c r="P1866" s="12"/>
      <c r="Q1866" s="157"/>
      <c r="T1866" s="12"/>
      <c r="U1866" s="12"/>
      <c r="W1866" s="12"/>
      <c r="X1866" s="12"/>
      <c r="Y1866" s="12"/>
      <c r="Z1866" s="159"/>
    </row>
    <row r="1867" spans="1:39" s="121" customFormat="1" ht="15" customHeight="1" x14ac:dyDescent="0.25">
      <c r="E1867" s="104"/>
      <c r="F1867" s="104"/>
      <c r="G1867" s="104"/>
      <c r="M1867" s="105"/>
      <c r="N1867" s="12"/>
      <c r="O1867" s="12"/>
      <c r="P1867" s="12"/>
      <c r="Q1867" s="157"/>
      <c r="T1867" s="12"/>
      <c r="U1867" s="12"/>
      <c r="W1867" s="12"/>
      <c r="X1867" s="12"/>
      <c r="Y1867" s="12"/>
      <c r="Z1867" s="159"/>
    </row>
    <row r="1868" spans="1:39" s="121" customFormat="1" ht="15" customHeight="1" x14ac:dyDescent="0.25">
      <c r="E1868" s="104"/>
      <c r="F1868" s="104"/>
      <c r="G1868" s="104"/>
      <c r="M1868" s="105"/>
      <c r="N1868" s="12"/>
      <c r="O1868" s="12"/>
      <c r="P1868" s="12"/>
      <c r="Q1868" s="157"/>
      <c r="T1868" s="12"/>
      <c r="U1868" s="12"/>
      <c r="W1868" s="12"/>
      <c r="X1868" s="12"/>
      <c r="Y1868" s="12"/>
      <c r="Z1868" s="159"/>
    </row>
    <row r="1869" spans="1:39" ht="15" customHeight="1" x14ac:dyDescent="0.25">
      <c r="H1869" s="13"/>
      <c r="I1869" s="13"/>
    </row>
    <row r="1870" spans="1:39" ht="15" customHeight="1" x14ac:dyDescent="0.25">
      <c r="H1870" s="13"/>
      <c r="I1870" s="13"/>
    </row>
    <row r="1871" spans="1:39" ht="15" customHeight="1" x14ac:dyDescent="0.25">
      <c r="H1871" s="13"/>
      <c r="I1871" s="13"/>
    </row>
    <row r="1872" spans="1:39" ht="15" customHeight="1" x14ac:dyDescent="0.25">
      <c r="H1872" s="13"/>
      <c r="I1872" s="13"/>
    </row>
    <row r="1873" spans="8:9" ht="15" customHeight="1" x14ac:dyDescent="0.25">
      <c r="H1873" s="13"/>
      <c r="I1873" s="13"/>
    </row>
    <row r="1874" spans="8:9" ht="15" customHeight="1" x14ac:dyDescent="0.25">
      <c r="H1874" s="13"/>
      <c r="I1874" s="13"/>
    </row>
    <row r="1875" spans="8:9" ht="15" customHeight="1" x14ac:dyDescent="0.25">
      <c r="H1875" s="13"/>
      <c r="I1875" s="13"/>
    </row>
    <row r="1876" spans="8:9" ht="15" customHeight="1" x14ac:dyDescent="0.25">
      <c r="H1876" s="13"/>
      <c r="I1876" s="13"/>
    </row>
    <row r="1877" spans="8:9" ht="15" customHeight="1" x14ac:dyDescent="0.25">
      <c r="H1877" s="13"/>
      <c r="I1877" s="13"/>
    </row>
    <row r="1878" spans="8:9" ht="15" customHeight="1" x14ac:dyDescent="0.25">
      <c r="H1878" s="13"/>
      <c r="I1878" s="13"/>
    </row>
    <row r="1879" spans="8:9" ht="15" customHeight="1" x14ac:dyDescent="0.25">
      <c r="H1879" s="13"/>
      <c r="I1879" s="13"/>
    </row>
    <row r="1880" spans="8:9" ht="15" customHeight="1" x14ac:dyDescent="0.25">
      <c r="H1880" s="13"/>
      <c r="I1880" s="13"/>
    </row>
    <row r="1881" spans="8:9" ht="15" customHeight="1" x14ac:dyDescent="0.25">
      <c r="H1881" s="13"/>
      <c r="I1881" s="13"/>
    </row>
    <row r="1882" spans="8:9" ht="15" customHeight="1" x14ac:dyDescent="0.25">
      <c r="H1882" s="13"/>
      <c r="I1882" s="13"/>
    </row>
    <row r="1883" spans="8:9" ht="15" customHeight="1" x14ac:dyDescent="0.25">
      <c r="H1883" s="13"/>
      <c r="I1883" s="13"/>
    </row>
    <row r="1884" spans="8:9" ht="15" customHeight="1" x14ac:dyDescent="0.25">
      <c r="H1884" s="13"/>
      <c r="I1884" s="13"/>
    </row>
    <row r="1885" spans="8:9" ht="15" customHeight="1" x14ac:dyDescent="0.25">
      <c r="H1885" s="13"/>
      <c r="I1885" s="13"/>
    </row>
    <row r="1886" spans="8:9" ht="15" customHeight="1" x14ac:dyDescent="0.25">
      <c r="H1886" s="13"/>
      <c r="I1886" s="13"/>
    </row>
    <row r="1887" spans="8:9" ht="15" customHeight="1" x14ac:dyDescent="0.25">
      <c r="H1887" s="13"/>
      <c r="I1887" s="13"/>
    </row>
    <row r="1888" spans="8:9" ht="15" customHeight="1" x14ac:dyDescent="0.25">
      <c r="H1888" s="13"/>
      <c r="I1888" s="13"/>
    </row>
    <row r="1889" spans="8:9" ht="15" customHeight="1" x14ac:dyDescent="0.25">
      <c r="H1889" s="13"/>
      <c r="I1889" s="13"/>
    </row>
    <row r="1890" spans="8:9" ht="15" customHeight="1" x14ac:dyDescent="0.25">
      <c r="H1890" s="13"/>
      <c r="I1890" s="13"/>
    </row>
    <row r="1891" spans="8:9" ht="15" customHeight="1" x14ac:dyDescent="0.25">
      <c r="H1891" s="13"/>
      <c r="I1891" s="13"/>
    </row>
    <row r="1892" spans="8:9" ht="15" customHeight="1" x14ac:dyDescent="0.25">
      <c r="H1892" s="13"/>
      <c r="I1892" s="13"/>
    </row>
    <row r="1893" spans="8:9" ht="15" customHeight="1" x14ac:dyDescent="0.25">
      <c r="H1893" s="13"/>
      <c r="I1893" s="13"/>
    </row>
    <row r="1894" spans="8:9" ht="15" customHeight="1" x14ac:dyDescent="0.25">
      <c r="H1894" s="13"/>
      <c r="I1894" s="13"/>
    </row>
    <row r="1895" spans="8:9" ht="15" customHeight="1" x14ac:dyDescent="0.25">
      <c r="H1895" s="13"/>
      <c r="I1895" s="13"/>
    </row>
    <row r="1896" spans="8:9" ht="15" customHeight="1" x14ac:dyDescent="0.25">
      <c r="H1896" s="13"/>
      <c r="I1896" s="13"/>
    </row>
    <row r="1897" spans="8:9" ht="15" customHeight="1" x14ac:dyDescent="0.25">
      <c r="H1897" s="13"/>
      <c r="I1897" s="13"/>
    </row>
    <row r="1898" spans="8:9" ht="15" customHeight="1" x14ac:dyDescent="0.25">
      <c r="H1898" s="13"/>
      <c r="I1898" s="13"/>
    </row>
    <row r="1899" spans="8:9" ht="15" customHeight="1" x14ac:dyDescent="0.25">
      <c r="H1899" s="13"/>
      <c r="I1899" s="13"/>
    </row>
    <row r="1900" spans="8:9" ht="15" customHeight="1" x14ac:dyDescent="0.25">
      <c r="H1900" s="13"/>
      <c r="I1900" s="13"/>
    </row>
    <row r="1901" spans="8:9" ht="15" customHeight="1" x14ac:dyDescent="0.25">
      <c r="H1901" s="13"/>
      <c r="I1901" s="13"/>
    </row>
    <row r="1902" spans="8:9" x14ac:dyDescent="0.25">
      <c r="H1902" s="13"/>
      <c r="I1902" s="13"/>
    </row>
    <row r="1903" spans="8:9" x14ac:dyDescent="0.25">
      <c r="H1903" s="13"/>
      <c r="I1903" s="13"/>
    </row>
    <row r="1904" spans="8:9" x14ac:dyDescent="0.25">
      <c r="H1904" s="13"/>
      <c r="I1904" s="13"/>
    </row>
    <row r="1905" spans="8:9" x14ac:dyDescent="0.25">
      <c r="H1905" s="13"/>
      <c r="I1905" s="13"/>
    </row>
  </sheetData>
  <sortState ref="A2:AO1863">
    <sortCondition ref="D2:D1863"/>
    <sortCondition ref="J2:J1863"/>
  </sortState>
  <conditionalFormatting sqref="H2:I2 H12:I1905 I2:I1846">
    <cfRule type="expression" dxfId="200" priority="39">
      <formula>B2="KILL"</formula>
    </cfRule>
  </conditionalFormatting>
  <conditionalFormatting sqref="H3:I11">
    <cfRule type="expression" dxfId="199" priority="38">
      <formula>B3="KILL"</formula>
    </cfRule>
  </conditionalFormatting>
  <conditionalFormatting sqref="N388 N1503:N1504 N1509:N1513">
    <cfRule type="expression" dxfId="198" priority="35">
      <formula>H388="KILL"</formula>
    </cfRule>
  </conditionalFormatting>
  <conditionalFormatting sqref="M388 M1503:M1513">
    <cfRule type="expression" dxfId="197" priority="34">
      <formula>I388="KILL"</formula>
    </cfRule>
  </conditionalFormatting>
  <conditionalFormatting sqref="N391">
    <cfRule type="expression" dxfId="196" priority="33">
      <formula>H391="KILL"</formula>
    </cfRule>
  </conditionalFormatting>
  <conditionalFormatting sqref="M391">
    <cfRule type="expression" dxfId="195" priority="32">
      <formula>I391="KILL"</formula>
    </cfRule>
  </conditionalFormatting>
  <conditionalFormatting sqref="N1501">
    <cfRule type="expression" dxfId="194" priority="31">
      <formula>H1501="KILL"</formula>
    </cfRule>
  </conditionalFormatting>
  <conditionalFormatting sqref="M1501">
    <cfRule type="expression" dxfId="193" priority="30">
      <formula>I1501="KILL"</formula>
    </cfRule>
  </conditionalFormatting>
  <conditionalFormatting sqref="N1502">
    <cfRule type="expression" dxfId="192" priority="29">
      <formula>H1502="KILL"</formula>
    </cfRule>
  </conditionalFormatting>
  <conditionalFormatting sqref="M1502">
    <cfRule type="expression" dxfId="191" priority="28">
      <formula>I1502="KILL"</formula>
    </cfRule>
  </conditionalFormatting>
  <conditionalFormatting sqref="M307:M309">
    <cfRule type="expression" dxfId="190" priority="27">
      <formula>H307="KILL"</formula>
    </cfRule>
  </conditionalFormatting>
  <conditionalFormatting sqref="N307:N309">
    <cfRule type="expression" dxfId="189" priority="26">
      <formula>I307="KILL"</formula>
    </cfRule>
  </conditionalFormatting>
  <conditionalFormatting sqref="N1331:N1337">
    <cfRule type="expression" dxfId="188" priority="25">
      <formula>I1331="KILL"</formula>
    </cfRule>
  </conditionalFormatting>
  <conditionalFormatting sqref="N1306">
    <cfRule type="expression" dxfId="187" priority="24">
      <formula>I1306="KILL"</formula>
    </cfRule>
  </conditionalFormatting>
  <conditionalFormatting sqref="N1537:N1540">
    <cfRule type="expression" dxfId="186" priority="22">
      <formula>I1537="KILL"</formula>
    </cfRule>
  </conditionalFormatting>
  <conditionalFormatting sqref="N1506">
    <cfRule type="expression" dxfId="185" priority="21">
      <formula>J1506="KILL"</formula>
    </cfRule>
  </conditionalFormatting>
  <conditionalFormatting sqref="M1483:M1486 M1442">
    <cfRule type="expression" dxfId="184" priority="20">
      <formula>I1442="KILL"</formula>
    </cfRule>
  </conditionalFormatting>
  <conditionalFormatting sqref="M1272:M1273">
    <cfRule type="expression" dxfId="183" priority="19">
      <formula>I1272="KILL"</formula>
    </cfRule>
  </conditionalFormatting>
  <conditionalFormatting sqref="M1341">
    <cfRule type="expression" dxfId="182" priority="18">
      <formula>I1341="KILL"</formula>
    </cfRule>
  </conditionalFormatting>
  <conditionalFormatting sqref="N1341">
    <cfRule type="expression" dxfId="181" priority="17">
      <formula>I1341="KILL"</formula>
    </cfRule>
  </conditionalFormatting>
  <conditionalFormatting sqref="M1275:M1276">
    <cfRule type="expression" dxfId="180" priority="16">
      <formula>I1275="KILL"</formula>
    </cfRule>
  </conditionalFormatting>
  <conditionalFormatting sqref="N1272:N1273">
    <cfRule type="expression" dxfId="179" priority="15">
      <formula>I1272="KILL"</formula>
    </cfRule>
  </conditionalFormatting>
  <conditionalFormatting sqref="N1507:N1508">
    <cfRule type="expression" dxfId="178" priority="14">
      <formula>J1507="KILL"</formula>
    </cfRule>
  </conditionalFormatting>
  <conditionalFormatting sqref="N1505">
    <cfRule type="expression" dxfId="177" priority="13">
      <formula>J1505="KILL"</formula>
    </cfRule>
  </conditionalFormatting>
  <conditionalFormatting sqref="M1540:M1544">
    <cfRule type="expression" dxfId="176" priority="12">
      <formula>H1540="KILL"</formula>
    </cfRule>
  </conditionalFormatting>
  <conditionalFormatting sqref="N1541:N1544">
    <cfRule type="expression" dxfId="175" priority="11">
      <formula>I1541="KILL"</formula>
    </cfRule>
  </conditionalFormatting>
  <conditionalFormatting sqref="M1830:M1831">
    <cfRule type="expression" dxfId="174" priority="10">
      <formula>H1830="KILL"</formula>
    </cfRule>
  </conditionalFormatting>
  <conditionalFormatting sqref="N1830:N1831">
    <cfRule type="expression" dxfId="173" priority="9">
      <formula>I1830="KILL"</formula>
    </cfRule>
  </conditionalFormatting>
  <conditionalFormatting sqref="M1534">
    <cfRule type="expression" dxfId="172" priority="8">
      <formula>H1534="KILL"</formula>
    </cfRule>
  </conditionalFormatting>
  <conditionalFormatting sqref="N1534">
    <cfRule type="expression" dxfId="171" priority="7">
      <formula>I1534="KILL"</formula>
    </cfRule>
  </conditionalFormatting>
  <conditionalFormatting sqref="M1535">
    <cfRule type="expression" dxfId="170" priority="6">
      <formula>H1535="KILL"</formula>
    </cfRule>
  </conditionalFormatting>
  <conditionalFormatting sqref="N1535">
    <cfRule type="expression" dxfId="169" priority="5">
      <formula>I1535="KILL"</formula>
    </cfRule>
  </conditionalFormatting>
  <conditionalFormatting sqref="M1536">
    <cfRule type="expression" dxfId="168" priority="4">
      <formula>H1536="KILL"</formula>
    </cfRule>
  </conditionalFormatting>
  <conditionalFormatting sqref="N1536">
    <cfRule type="expression" dxfId="167" priority="3">
      <formula>I1536="KILL"</formula>
    </cfRule>
  </conditionalFormatting>
  <conditionalFormatting sqref="M61">
    <cfRule type="expression" dxfId="166" priority="2">
      <formula>H61="KILL"</formula>
    </cfRule>
  </conditionalFormatting>
  <conditionalFormatting sqref="N61">
    <cfRule type="expression" dxfId="165" priority="1">
      <formula>I61="KILL"</formula>
    </cfRule>
  </conditionalFormatting>
  <dataValidations disablePrompts="1" count="3">
    <dataValidation type="list" allowBlank="1" showInputMessage="1" showErrorMessage="1" sqref="J1174">
      <formula1>Type</formula1>
    </dataValidation>
    <dataValidation type="list" allowBlank="1" showInputMessage="1" showErrorMessage="1" sqref="J1847:J1853">
      <formula1>$U$10:$U$12</formula1>
    </dataValidation>
    <dataValidation type="list" allowBlank="1" showInputMessage="1" showErrorMessage="1" sqref="J1854:J1859">
      <formula1>$V$10:$V$12</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19"/>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3.85546875" style="11" bestFit="1" customWidth="1"/>
    <col min="2" max="2" width="5.28515625" style="11" hidden="1" customWidth="1"/>
    <col min="3" max="3" width="6.85546875" style="11" bestFit="1" customWidth="1"/>
    <col min="4" max="4" width="10.28515625" style="11" bestFit="1" customWidth="1"/>
    <col min="5" max="5" width="9.5703125" style="11" bestFit="1" customWidth="1"/>
    <col min="6" max="6" width="8.140625" style="11" bestFit="1" customWidth="1"/>
    <col min="7" max="7" width="7.85546875" style="11" customWidth="1"/>
    <col min="8" max="8" width="41.42578125" style="11" bestFit="1" customWidth="1"/>
    <col min="9" max="9" width="53" style="11" bestFit="1" customWidth="1"/>
    <col min="10" max="10" width="6.5703125" style="11" bestFit="1" customWidth="1"/>
    <col min="11" max="11" width="14" style="11" bestFit="1" customWidth="1"/>
    <col min="12" max="12" width="52.5703125" style="11" bestFit="1" customWidth="1"/>
    <col min="13" max="13" width="18.28515625" style="11" bestFit="1" customWidth="1"/>
    <col min="14" max="14" width="28.7109375"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94.85546875" style="11" hidden="1" customWidth="1"/>
    <col min="23" max="23" width="154.42578125" style="11" hidden="1" customWidth="1"/>
    <col min="24" max="24" width="27.28515625" style="11" hidden="1" customWidth="1"/>
    <col min="25" max="25" width="30"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5" style="11" bestFit="1" customWidth="1"/>
    <col min="33" max="33" width="14.42578125" style="11" hidden="1" customWidth="1"/>
    <col min="34" max="16384" width="9.140625" style="11"/>
  </cols>
  <sheetData>
    <row r="1" spans="1:33" ht="15" customHeight="1" x14ac:dyDescent="0.2">
      <c r="A1" s="284" t="s">
        <v>1192</v>
      </c>
      <c r="B1" s="284" t="s">
        <v>1211</v>
      </c>
      <c r="C1" s="284" t="s">
        <v>1193</v>
      </c>
      <c r="D1" s="284" t="s">
        <v>419</v>
      </c>
      <c r="E1" s="288" t="s">
        <v>1217</v>
      </c>
      <c r="F1" s="288" t="s">
        <v>1218</v>
      </c>
      <c r="G1" s="288" t="s">
        <v>3105</v>
      </c>
      <c r="H1" s="284" t="s">
        <v>1</v>
      </c>
      <c r="I1" s="284" t="s">
        <v>1739</v>
      </c>
      <c r="J1" s="284" t="s">
        <v>299</v>
      </c>
      <c r="K1" s="286" t="s">
        <v>1209</v>
      </c>
      <c r="L1" s="284" t="s">
        <v>2</v>
      </c>
      <c r="M1" s="289" t="s">
        <v>1191</v>
      </c>
      <c r="N1" s="284" t="s">
        <v>1198</v>
      </c>
      <c r="O1" s="284" t="s">
        <v>1196</v>
      </c>
      <c r="P1" s="284" t="s">
        <v>1197</v>
      </c>
      <c r="Q1" s="290" t="s">
        <v>1194</v>
      </c>
      <c r="R1" s="284" t="s">
        <v>1195</v>
      </c>
      <c r="S1" s="284" t="s">
        <v>2705</v>
      </c>
      <c r="T1" s="303" t="s">
        <v>349</v>
      </c>
      <c r="U1" s="303" t="s">
        <v>358</v>
      </c>
      <c r="V1" s="303" t="s">
        <v>434</v>
      </c>
      <c r="W1" s="303" t="s">
        <v>3251</v>
      </c>
      <c r="X1" s="303" t="s">
        <v>360</v>
      </c>
      <c r="Y1" s="284" t="s">
        <v>2703</v>
      </c>
      <c r="Z1" s="291" t="s">
        <v>3045</v>
      </c>
      <c r="AA1" s="304" t="s">
        <v>3107</v>
      </c>
      <c r="AB1" s="305" t="s">
        <v>3167</v>
      </c>
      <c r="AC1" s="305" t="s">
        <v>3117</v>
      </c>
      <c r="AD1" s="305" t="s">
        <v>3118</v>
      </c>
      <c r="AE1" s="306" t="s">
        <v>3168</v>
      </c>
      <c r="AF1" s="306" t="s">
        <v>3125</v>
      </c>
      <c r="AG1" s="307" t="s">
        <v>3155</v>
      </c>
    </row>
    <row r="2" spans="1:33" ht="15" customHeight="1" x14ac:dyDescent="0.2">
      <c r="B2" s="11" t="s">
        <v>1211</v>
      </c>
      <c r="C2" s="11">
        <v>13159</v>
      </c>
      <c r="D2" s="84" t="s">
        <v>876</v>
      </c>
      <c r="E2" s="14"/>
      <c r="F2" s="14"/>
      <c r="G2" s="20">
        <v>1828</v>
      </c>
      <c r="H2" s="13" t="s">
        <v>1069</v>
      </c>
      <c r="I2" s="13" t="str">
        <f>IF(M2="@",H2&amp;" ("&amp;M2&amp;"  "&amp;N2&amp;")",H2&amp;" ("&amp;M2&amp;" to "&amp;N2&amp;")")</f>
        <v>Bike Storage Cars (Systemwide to Systemwide)</v>
      </c>
      <c r="J2" s="84" t="s">
        <v>347</v>
      </c>
      <c r="K2" s="13" t="str">
        <f>VLOOKUP(J2,'Data-ProjectTypes'!A$3:B$13,2,FALSE)</f>
        <v>Project</v>
      </c>
      <c r="M2" s="11" t="s">
        <v>2834</v>
      </c>
      <c r="N2" s="11" t="s">
        <v>2834</v>
      </c>
      <c r="O2" s="84" t="s">
        <v>876</v>
      </c>
      <c r="P2" s="85" t="s">
        <v>876</v>
      </c>
      <c r="Q2" s="15"/>
      <c r="R2" s="16">
        <v>1000000</v>
      </c>
      <c r="S2" s="109"/>
      <c r="T2" s="12"/>
      <c r="U2" s="12"/>
      <c r="V2" s="116"/>
      <c r="W2" s="12"/>
      <c r="X2" s="12"/>
      <c r="Y2" s="117"/>
      <c r="Z2" s="118">
        <f>ROUND(R2*'Data-CostAssumptions'!$C$8,-3)</f>
        <v>1000000</v>
      </c>
      <c r="AA2" s="11">
        <f>IF(V2="",IF(W2="",0,1),1)</f>
        <v>0</v>
      </c>
      <c r="AB2" s="11">
        <v>2041</v>
      </c>
      <c r="AC2" s="11">
        <v>2041</v>
      </c>
      <c r="AD2" s="11">
        <v>2041</v>
      </c>
      <c r="AE2" s="19">
        <f>ROUND((Z2*'Data-CostAssumptions'!$G$5)*(1+'Data-CostAssumptions'!$G$3)^(AB2-'Data-CostAssumptions'!$G$4),-3)</f>
        <v>564000</v>
      </c>
      <c r="AF2" s="19">
        <f>ROUND((Z2)*(1+'Data-CostAssumptions'!$G$3)^(AD2-'Data-CostAssumptions'!$G$4),-3)</f>
        <v>2564000</v>
      </c>
      <c r="AG2" s="170" t="str">
        <f>IF(MIN(AC2:AD2)&lt;2041,"Yes","No")</f>
        <v>No</v>
      </c>
    </row>
    <row r="3" spans="1:33" ht="15" customHeight="1" x14ac:dyDescent="0.2">
      <c r="A3" s="66"/>
      <c r="B3" s="66" t="s">
        <v>1211</v>
      </c>
      <c r="C3" s="66">
        <v>12855</v>
      </c>
      <c r="D3" s="86" t="s">
        <v>876</v>
      </c>
      <c r="E3" s="73"/>
      <c r="F3" s="73"/>
      <c r="G3" s="20">
        <v>1834</v>
      </c>
      <c r="H3" s="67" t="s">
        <v>2855</v>
      </c>
      <c r="I3" s="67" t="str">
        <f>IF(M3="@",H3&amp;" ("&amp;M3&amp;"  "&amp;N3&amp;")",H3&amp;" ("&amp;M3&amp;" to "&amp;N3&amp;")")</f>
        <v>Tri-Rail Shuttle (FLL to Hard Rock Casino)</v>
      </c>
      <c r="J3" s="86" t="s">
        <v>347</v>
      </c>
      <c r="K3" s="67" t="str">
        <f>VLOOKUP(J3,'Data-ProjectTypes'!A$3:B$13,2,FALSE)</f>
        <v>Project</v>
      </c>
      <c r="L3" s="87" t="s">
        <v>887</v>
      </c>
      <c r="M3" s="87" t="s">
        <v>2852</v>
      </c>
      <c r="N3" s="66" t="s">
        <v>2853</v>
      </c>
      <c r="O3" s="86" t="s">
        <v>876</v>
      </c>
      <c r="P3" s="87" t="s">
        <v>876</v>
      </c>
      <c r="Q3" s="74"/>
      <c r="R3" s="70">
        <v>1</v>
      </c>
      <c r="S3" s="109"/>
      <c r="T3" s="12"/>
      <c r="U3" s="12"/>
      <c r="V3" s="116"/>
      <c r="W3" s="12"/>
      <c r="X3" s="12"/>
      <c r="Y3" s="117"/>
      <c r="Z3" s="118">
        <f>ROUND(R3*'Data-CostAssumptions'!$C$8,-3)</f>
        <v>0</v>
      </c>
      <c r="AA3" s="11">
        <f t="shared" ref="AA3:AA5" si="0">IF(V3="",IF(W3="",0,1),1)</f>
        <v>0</v>
      </c>
      <c r="AB3" s="11">
        <v>2041</v>
      </c>
      <c r="AC3" s="11">
        <v>2041</v>
      </c>
      <c r="AD3" s="11">
        <v>2041</v>
      </c>
      <c r="AE3" s="19">
        <f>ROUND((Z3*'Data-CostAssumptions'!$G$5)*(1+'Data-CostAssumptions'!$G$3)^(AB3-'Data-CostAssumptions'!$G$4),-3)</f>
        <v>0</v>
      </c>
      <c r="AF3" s="19">
        <f>ROUND((Z3)*(1+'Data-CostAssumptions'!$G$3)^(AD3-'Data-CostAssumptions'!$G$4),-3)</f>
        <v>0</v>
      </c>
      <c r="AG3" s="170" t="str">
        <f t="shared" ref="AG3:AG19" si="1">IF(MIN(AC3:AD3)&lt;2041,"Yes","No")</f>
        <v>No</v>
      </c>
    </row>
    <row r="4" spans="1:33" ht="15" customHeight="1" x14ac:dyDescent="0.2">
      <c r="A4" s="66"/>
      <c r="B4" s="66" t="s">
        <v>1211</v>
      </c>
      <c r="C4" s="66">
        <v>12854</v>
      </c>
      <c r="D4" s="86" t="s">
        <v>876</v>
      </c>
      <c r="E4" s="73"/>
      <c r="F4" s="73"/>
      <c r="G4" s="20">
        <v>1833</v>
      </c>
      <c r="H4" s="67" t="s">
        <v>2855</v>
      </c>
      <c r="I4" s="67" t="str">
        <f>IF(M4="@",H4&amp;" ("&amp;M4&amp;"  "&amp;N4&amp;")",H4&amp;" ("&amp;M4&amp;" to "&amp;N4&amp;")")</f>
        <v>Tri-Rail Shuttle (FLL to Plantation)</v>
      </c>
      <c r="J4" s="86" t="s">
        <v>347</v>
      </c>
      <c r="K4" s="67" t="str">
        <f>VLOOKUP(J4,'Data-ProjectTypes'!A$3:B$13,2,FALSE)</f>
        <v>Project</v>
      </c>
      <c r="L4" s="87" t="s">
        <v>885</v>
      </c>
      <c r="M4" s="87" t="s">
        <v>2852</v>
      </c>
      <c r="N4" s="66" t="s">
        <v>284</v>
      </c>
      <c r="O4" s="86" t="s">
        <v>876</v>
      </c>
      <c r="P4" s="87" t="s">
        <v>876</v>
      </c>
      <c r="Q4" s="74"/>
      <c r="R4" s="70">
        <v>1</v>
      </c>
      <c r="S4" s="109"/>
      <c r="T4" s="12"/>
      <c r="U4" s="12"/>
      <c r="V4" s="116"/>
      <c r="W4" s="12"/>
      <c r="X4" s="12"/>
      <c r="Y4" s="117"/>
      <c r="Z4" s="118">
        <f>ROUND(R4*'Data-CostAssumptions'!$C$8,-3)</f>
        <v>0</v>
      </c>
      <c r="AA4" s="11">
        <f t="shared" si="0"/>
        <v>0</v>
      </c>
      <c r="AB4" s="11">
        <v>2041</v>
      </c>
      <c r="AC4" s="11">
        <v>2041</v>
      </c>
      <c r="AD4" s="11">
        <v>2041</v>
      </c>
      <c r="AE4" s="19">
        <f>ROUND((Z4*'Data-CostAssumptions'!$G$5)*(1+'Data-CostAssumptions'!$G$3)^(AB4-'Data-CostAssumptions'!$G$4),-3)</f>
        <v>0</v>
      </c>
      <c r="AF4" s="19">
        <f>ROUND((Z4)*(1+'Data-CostAssumptions'!$G$3)^(AD4-'Data-CostAssumptions'!$G$4),-3)</f>
        <v>0</v>
      </c>
      <c r="AG4" s="170" t="str">
        <f t="shared" si="1"/>
        <v>No</v>
      </c>
    </row>
    <row r="5" spans="1:33" ht="15" customHeight="1" x14ac:dyDescent="0.2">
      <c r="A5" s="66"/>
      <c r="B5" s="66" t="s">
        <v>1211</v>
      </c>
      <c r="C5" s="66">
        <v>12856</v>
      </c>
      <c r="D5" s="86" t="s">
        <v>876</v>
      </c>
      <c r="E5" s="73"/>
      <c r="F5" s="73"/>
      <c r="G5" s="20">
        <v>1835</v>
      </c>
      <c r="H5" s="67" t="s">
        <v>2855</v>
      </c>
      <c r="I5" s="67" t="str">
        <f>IF(M5="@",H5&amp;" ("&amp;M5&amp;"  "&amp;N5&amp;")",H5&amp;" ("&amp;M5&amp;" to "&amp;N5&amp;")")</f>
        <v>Tri-Rail Shuttle (FLL to Broward Mall)</v>
      </c>
      <c r="J5" s="86" t="s">
        <v>347</v>
      </c>
      <c r="K5" s="67" t="str">
        <f>VLOOKUP(J5,'Data-ProjectTypes'!A$3:B$13,2,FALSE)</f>
        <v>Project</v>
      </c>
      <c r="L5" s="87" t="s">
        <v>889</v>
      </c>
      <c r="M5" s="87" t="s">
        <v>2852</v>
      </c>
      <c r="N5" s="66" t="s">
        <v>2854</v>
      </c>
      <c r="O5" s="86" t="s">
        <v>876</v>
      </c>
      <c r="P5" s="87" t="s">
        <v>876</v>
      </c>
      <c r="Q5" s="74"/>
      <c r="R5" s="70">
        <v>1</v>
      </c>
      <c r="S5" s="109"/>
      <c r="T5" s="12"/>
      <c r="U5" s="12"/>
      <c r="V5" s="116"/>
      <c r="W5" s="12"/>
      <c r="X5" s="12"/>
      <c r="Y5" s="117"/>
      <c r="Z5" s="118">
        <f>ROUND(R5*'Data-CostAssumptions'!$C$8,-3)</f>
        <v>0</v>
      </c>
      <c r="AA5" s="11">
        <f t="shared" si="0"/>
        <v>0</v>
      </c>
      <c r="AB5" s="11">
        <v>2041</v>
      </c>
      <c r="AC5" s="11">
        <v>2041</v>
      </c>
      <c r="AD5" s="11">
        <v>2041</v>
      </c>
      <c r="AE5" s="19">
        <f>ROUND((Z5*'Data-CostAssumptions'!$G$5)*(1+'Data-CostAssumptions'!$G$3)^(AB5-'Data-CostAssumptions'!$G$4),-3)</f>
        <v>0</v>
      </c>
      <c r="AF5" s="19">
        <f>ROUND((Z5)*(1+'Data-CostAssumptions'!$G$3)^(AD5-'Data-CostAssumptions'!$G$4),-3)</f>
        <v>0</v>
      </c>
      <c r="AG5" s="170" t="str">
        <f t="shared" si="1"/>
        <v>No</v>
      </c>
    </row>
    <row r="6" spans="1:33" ht="15" customHeight="1" x14ac:dyDescent="0.2">
      <c r="A6" s="66"/>
      <c r="B6" s="66" t="s">
        <v>1211</v>
      </c>
      <c r="C6" s="66">
        <v>12853</v>
      </c>
      <c r="D6" s="86" t="s">
        <v>876</v>
      </c>
      <c r="E6" s="73"/>
      <c r="F6" s="73"/>
      <c r="G6" s="20">
        <v>1832</v>
      </c>
      <c r="H6" s="67" t="s">
        <v>2855</v>
      </c>
      <c r="I6" s="67" t="str">
        <f>IF(M6="@",H6&amp;" ("&amp;M6&amp;"  "&amp;N6&amp;")",H6&amp;" ("&amp;M6&amp;" to "&amp;N6&amp;")")</f>
        <v>Tri-Rail Shuttle (Hollywood Stn to Hollywood Bch)</v>
      </c>
      <c r="J6" s="86" t="s">
        <v>347</v>
      </c>
      <c r="K6" s="67" t="str">
        <f>VLOOKUP(J6,'Data-ProjectTypes'!A$3:B$13,2,FALSE)</f>
        <v>Project</v>
      </c>
      <c r="L6" s="87" t="s">
        <v>882</v>
      </c>
      <c r="M6" s="67" t="s">
        <v>2858</v>
      </c>
      <c r="N6" s="67" t="s">
        <v>2859</v>
      </c>
      <c r="O6" s="86" t="s">
        <v>876</v>
      </c>
      <c r="P6" s="87" t="s">
        <v>876</v>
      </c>
      <c r="Q6" s="74"/>
      <c r="R6" s="70">
        <v>1</v>
      </c>
      <c r="S6" s="109"/>
      <c r="T6" s="12"/>
      <c r="U6" s="12"/>
      <c r="V6" s="116"/>
      <c r="W6" s="12"/>
      <c r="X6" s="12"/>
      <c r="Y6" s="117"/>
      <c r="Z6" s="118">
        <f>ROUND(R6*'Data-CostAssumptions'!$C$8,-3)</f>
        <v>0</v>
      </c>
      <c r="AA6" s="11">
        <f t="shared" ref="AA6:AA9" si="2">IF(V6="",IF(W6="",0,1),1)</f>
        <v>0</v>
      </c>
      <c r="AB6" s="11">
        <v>2041</v>
      </c>
      <c r="AC6" s="11">
        <v>2041</v>
      </c>
      <c r="AD6" s="11">
        <v>2041</v>
      </c>
      <c r="AE6" s="19">
        <f>ROUND((Z6*'Data-CostAssumptions'!$G$5)*(1+'Data-CostAssumptions'!$G$3)^(AB6-'Data-CostAssumptions'!$G$4),-3)</f>
        <v>0</v>
      </c>
      <c r="AF6" s="19">
        <f>ROUND((Z6)*(1+'Data-CostAssumptions'!$G$3)^(AD6-'Data-CostAssumptions'!$G$4),-3)</f>
        <v>0</v>
      </c>
      <c r="AG6" s="170" t="str">
        <f t="shared" si="1"/>
        <v>No</v>
      </c>
    </row>
    <row r="7" spans="1:33" ht="15" customHeight="1" x14ac:dyDescent="0.2">
      <c r="B7" s="11" t="s">
        <v>1211</v>
      </c>
      <c r="C7" s="11">
        <v>13157</v>
      </c>
      <c r="D7" s="84" t="s">
        <v>876</v>
      </c>
      <c r="E7" s="14"/>
      <c r="F7" s="14"/>
      <c r="G7" s="20">
        <v>1829</v>
      </c>
      <c r="H7" s="13" t="s">
        <v>1066</v>
      </c>
      <c r="I7" s="13" t="str">
        <f t="shared" ref="I7" si="3">IF(M7="@",H7&amp;" ("&amp;M7&amp;"  "&amp;N7&amp;")",H7&amp;" ("&amp;M7&amp;" to "&amp;N7&amp;")")</f>
        <v>Tri-Rail Coastal Link (Systemwide to Systemwide)</v>
      </c>
      <c r="J7" s="84" t="s">
        <v>347</v>
      </c>
      <c r="K7" s="13" t="str">
        <f>VLOOKUP(J7,'Data-ProjectTypes'!A$3:B$13,2,FALSE)</f>
        <v>Project</v>
      </c>
      <c r="L7" s="85" t="s">
        <v>1067</v>
      </c>
      <c r="M7" s="11" t="s">
        <v>2834</v>
      </c>
      <c r="N7" s="11" t="s">
        <v>2834</v>
      </c>
      <c r="O7" s="84" t="s">
        <v>876</v>
      </c>
      <c r="P7" s="85" t="s">
        <v>876</v>
      </c>
      <c r="Q7" s="15"/>
      <c r="R7" s="16">
        <v>725000000</v>
      </c>
      <c r="Y7" s="12"/>
      <c r="Z7" s="18">
        <f>ROUND(R7*'Data-CostAssumptions'!$C$8,-3)</f>
        <v>725000000</v>
      </c>
      <c r="AA7" s="11">
        <f t="shared" si="2"/>
        <v>0</v>
      </c>
      <c r="AB7" s="11">
        <v>2041</v>
      </c>
      <c r="AC7" s="11">
        <v>2041</v>
      </c>
      <c r="AD7" s="11">
        <v>2041</v>
      </c>
      <c r="AE7" s="19">
        <f>ROUND((Z7*'Data-CostAssumptions'!$G$5)*(1+'Data-CostAssumptions'!$G$3)^(AB7-'Data-CostAssumptions'!$G$4),-3)</f>
        <v>408950000</v>
      </c>
      <c r="AF7" s="19">
        <f>ROUND((Z7)*(1+'Data-CostAssumptions'!$G$3)^(AD7-'Data-CostAssumptions'!$G$4),-3)</f>
        <v>1858863000</v>
      </c>
      <c r="AG7" s="170" t="str">
        <f t="shared" si="1"/>
        <v>No</v>
      </c>
    </row>
    <row r="8" spans="1:33" ht="15" customHeight="1" x14ac:dyDescent="0.2">
      <c r="A8" s="66">
        <v>4294871</v>
      </c>
      <c r="B8" s="66" t="s">
        <v>1211</v>
      </c>
      <c r="C8" s="66">
        <v>13046</v>
      </c>
      <c r="D8" s="86" t="s">
        <v>1732</v>
      </c>
      <c r="E8" s="73"/>
      <c r="F8" s="73"/>
      <c r="G8" s="20">
        <v>1260</v>
      </c>
      <c r="H8" s="67" t="s">
        <v>383</v>
      </c>
      <c r="I8" s="67" t="str">
        <f t="shared" ref="I8:I19" si="4">IF(M8="@",H8&amp;" ("&amp;M8&amp;"  "&amp;N8&amp;")",H8&amp;" ("&amp;M8&amp;" to "&amp;N8&amp;")")</f>
        <v>Tri-Rail (Hialeah Mkt Station to MIC)</v>
      </c>
      <c r="J8" s="86" t="s">
        <v>347</v>
      </c>
      <c r="K8" s="67" t="str">
        <f>VLOOKUP(J8,'Data-ProjectTypes'!A$3:B$13,2,FALSE)</f>
        <v>Project</v>
      </c>
      <c r="L8" s="87" t="s">
        <v>902</v>
      </c>
      <c r="M8" s="66" t="s">
        <v>2986</v>
      </c>
      <c r="N8" s="86" t="s">
        <v>2987</v>
      </c>
      <c r="O8" s="86" t="s">
        <v>270</v>
      </c>
      <c r="P8" s="87" t="s">
        <v>270</v>
      </c>
      <c r="Q8" s="74"/>
      <c r="R8" s="70"/>
      <c r="V8" s="85" t="s">
        <v>662</v>
      </c>
      <c r="Y8" s="12"/>
      <c r="Z8" s="18">
        <f>ROUND(R8*'Data-CostAssumptions'!$C$10,-3)</f>
        <v>0</v>
      </c>
      <c r="AA8" s="11">
        <f t="shared" si="2"/>
        <v>1</v>
      </c>
      <c r="AB8" s="11">
        <v>2041</v>
      </c>
      <c r="AC8" s="11">
        <v>2041</v>
      </c>
      <c r="AD8" s="11">
        <v>2041</v>
      </c>
      <c r="AE8" s="19">
        <f>ROUND((Z8*'Data-CostAssumptions'!$G$5)*(1+'Data-CostAssumptions'!$G$3)^(AB8-'Data-CostAssumptions'!$G$4),-3)</f>
        <v>0</v>
      </c>
      <c r="AF8" s="19">
        <f>ROUND((Z8)*(1+'Data-CostAssumptions'!$G$3)^(AD8-'Data-CostAssumptions'!$G$4),-3)</f>
        <v>0</v>
      </c>
      <c r="AG8" s="170" t="str">
        <f t="shared" si="1"/>
        <v>No</v>
      </c>
    </row>
    <row r="9" spans="1:33" ht="15" customHeight="1" x14ac:dyDescent="0.2">
      <c r="A9" s="66">
        <v>4170315</v>
      </c>
      <c r="B9" s="66" t="s">
        <v>1211</v>
      </c>
      <c r="C9" s="66">
        <v>13044</v>
      </c>
      <c r="D9" s="86" t="s">
        <v>1732</v>
      </c>
      <c r="E9" s="73"/>
      <c r="F9" s="73"/>
      <c r="G9" s="20">
        <v>1258</v>
      </c>
      <c r="H9" s="67" t="s">
        <v>1066</v>
      </c>
      <c r="I9" s="67" t="str">
        <f t="shared" si="4"/>
        <v>Tri-Rail Coastal Link (Miami to Pompano Beach)</v>
      </c>
      <c r="J9" s="86" t="s">
        <v>347</v>
      </c>
      <c r="K9" s="67" t="str">
        <f>VLOOKUP(J9,'Data-ProjectTypes'!A$3:B$13,2,FALSE)</f>
        <v>Project</v>
      </c>
      <c r="L9" s="87" t="s">
        <v>901</v>
      </c>
      <c r="M9" s="66" t="s">
        <v>2981</v>
      </c>
      <c r="N9" s="86" t="s">
        <v>275</v>
      </c>
      <c r="O9" s="86" t="s">
        <v>270</v>
      </c>
      <c r="P9" s="87" t="s">
        <v>270</v>
      </c>
      <c r="Q9" s="74"/>
      <c r="R9" s="70"/>
      <c r="V9" s="85" t="s">
        <v>662</v>
      </c>
      <c r="Y9" s="12"/>
      <c r="Z9" s="18">
        <f>ROUND(R9*'Data-CostAssumptions'!$C$10,-3)</f>
        <v>0</v>
      </c>
      <c r="AA9" s="11">
        <f t="shared" si="2"/>
        <v>1</v>
      </c>
      <c r="AB9" s="11">
        <v>2041</v>
      </c>
      <c r="AC9" s="11">
        <v>2041</v>
      </c>
      <c r="AD9" s="11">
        <v>2041</v>
      </c>
      <c r="AE9" s="19">
        <f>ROUND((Z9*'Data-CostAssumptions'!$G$5)*(1+'Data-CostAssumptions'!$G$3)^(AB9-'Data-CostAssumptions'!$G$4),-3)</f>
        <v>0</v>
      </c>
      <c r="AF9" s="19">
        <f>ROUND((Z9)*(1+'Data-CostAssumptions'!$G$3)^(AD9-'Data-CostAssumptions'!$G$4),-3)</f>
        <v>0</v>
      </c>
      <c r="AG9" s="170" t="str">
        <f t="shared" si="1"/>
        <v>No</v>
      </c>
    </row>
    <row r="10" spans="1:33" ht="15" customHeight="1" x14ac:dyDescent="0.2">
      <c r="A10" s="66">
        <v>4170316</v>
      </c>
      <c r="B10" s="66" t="s">
        <v>1211</v>
      </c>
      <c r="C10" s="66">
        <v>13045</v>
      </c>
      <c r="D10" s="86" t="s">
        <v>1732</v>
      </c>
      <c r="E10" s="73"/>
      <c r="F10" s="73"/>
      <c r="G10" s="20">
        <v>1259</v>
      </c>
      <c r="H10" s="67" t="s">
        <v>1066</v>
      </c>
      <c r="I10" s="67" t="str">
        <f t="shared" si="4"/>
        <v>Tri-Rail Coastal Link (Pompano Beach to West Palm Beach)</v>
      </c>
      <c r="J10" s="86" t="s">
        <v>347</v>
      </c>
      <c r="K10" s="67" t="str">
        <f>VLOOKUP(J10,'Data-ProjectTypes'!A$3:B$13,2,FALSE)</f>
        <v>Project</v>
      </c>
      <c r="L10" s="87" t="s">
        <v>901</v>
      </c>
      <c r="M10" s="66" t="s">
        <v>275</v>
      </c>
      <c r="N10" s="86" t="s">
        <v>2984</v>
      </c>
      <c r="O10" s="86" t="s">
        <v>270</v>
      </c>
      <c r="P10" s="87" t="s">
        <v>270</v>
      </c>
      <c r="Q10" s="74"/>
      <c r="R10" s="70"/>
      <c r="V10" s="85" t="s">
        <v>662</v>
      </c>
      <c r="Y10" s="12"/>
      <c r="Z10" s="18">
        <f>ROUND(R10*'Data-CostAssumptions'!$C$10,-3)</f>
        <v>0</v>
      </c>
      <c r="AA10" s="11">
        <f t="shared" ref="AA10:AA19" si="5">IF(V10="",IF(W10="",0,1),1)</f>
        <v>1</v>
      </c>
      <c r="AB10" s="11">
        <v>2041</v>
      </c>
      <c r="AC10" s="11">
        <v>2041</v>
      </c>
      <c r="AD10" s="11">
        <v>2041</v>
      </c>
      <c r="AE10" s="19">
        <f>ROUND((Z10*'Data-CostAssumptions'!$G$5)*(1+'Data-CostAssumptions'!$G$3)^(AB10-'Data-CostAssumptions'!$G$4),-3)</f>
        <v>0</v>
      </c>
      <c r="AF10" s="19">
        <f>ROUND((Z10)*(1+'Data-CostAssumptions'!$G$3)^(AD10-'Data-CostAssumptions'!$G$4),-3)</f>
        <v>0</v>
      </c>
      <c r="AG10" s="170" t="str">
        <f t="shared" si="1"/>
        <v>No</v>
      </c>
    </row>
    <row r="11" spans="1:33" ht="15" customHeight="1" x14ac:dyDescent="0.2">
      <c r="B11" s="11" t="s">
        <v>1211</v>
      </c>
      <c r="C11" s="11">
        <v>10008</v>
      </c>
      <c r="D11" s="13" t="s">
        <v>420</v>
      </c>
      <c r="E11" s="14"/>
      <c r="F11" s="14">
        <v>139</v>
      </c>
      <c r="G11" s="20">
        <v>1056</v>
      </c>
      <c r="H11" s="13" t="s">
        <v>383</v>
      </c>
      <c r="I11" s="13" t="str">
        <f t="shared" si="4"/>
        <v>Tri-Rail ( to )</v>
      </c>
      <c r="J11" s="11" t="s">
        <v>347</v>
      </c>
      <c r="K11" s="13" t="str">
        <f>VLOOKUP(J11,'Data-ProjectTypes'!A$3:B$13,2,FALSE)</f>
        <v>Project</v>
      </c>
      <c r="L11" s="11" t="s">
        <v>403</v>
      </c>
      <c r="O11" s="84" t="s">
        <v>876</v>
      </c>
      <c r="P11" s="85" t="s">
        <v>876</v>
      </c>
      <c r="Q11" s="15"/>
      <c r="R11" s="16">
        <v>62972723</v>
      </c>
      <c r="S11" s="66"/>
      <c r="V11" s="87" t="s">
        <v>662</v>
      </c>
      <c r="Y11" s="12"/>
      <c r="Z11" s="71">
        <f>ROUND(R11*'Data-CostAssumptions'!$C$10,-3)</f>
        <v>62973000</v>
      </c>
      <c r="AA11" s="11">
        <f t="shared" si="5"/>
        <v>1</v>
      </c>
      <c r="AB11" s="11">
        <v>2041</v>
      </c>
      <c r="AC11" s="11">
        <v>2041</v>
      </c>
      <c r="AD11" s="11">
        <v>2041</v>
      </c>
      <c r="AE11" s="19">
        <f>ROUND((Z11*'Data-CostAssumptions'!$G$5)*(1+'Data-CostAssumptions'!$G$3)^(AB11-'Data-CostAssumptions'!$G$4),-3)</f>
        <v>35521000</v>
      </c>
      <c r="AF11" s="19">
        <f>ROUND((Z11)*(1+'Data-CostAssumptions'!$G$3)^(AD11-'Data-CostAssumptions'!$G$4),-3)</f>
        <v>161460000</v>
      </c>
      <c r="AG11" s="170" t="str">
        <f t="shared" si="1"/>
        <v>No</v>
      </c>
    </row>
    <row r="12" spans="1:33" ht="15" customHeight="1" x14ac:dyDescent="0.2">
      <c r="B12" s="11" t="s">
        <v>1211</v>
      </c>
      <c r="C12" s="11">
        <v>10196</v>
      </c>
      <c r="D12" s="13" t="s">
        <v>420</v>
      </c>
      <c r="E12" s="14"/>
      <c r="F12" s="14"/>
      <c r="G12" s="20">
        <v>1057</v>
      </c>
      <c r="H12" s="13" t="s">
        <v>3136</v>
      </c>
      <c r="I12" s="13" t="str">
        <f t="shared" si="4"/>
        <v>Tri-Rail New Parking Deck (@  Deerfield Beach Station)</v>
      </c>
      <c r="J12" s="11" t="s">
        <v>347</v>
      </c>
      <c r="K12" s="13" t="str">
        <f>VLOOKUP(J12,'Data-ProjectTypes'!A$3:B$13,2,FALSE)</f>
        <v>Project</v>
      </c>
      <c r="L12" s="11" t="s">
        <v>403</v>
      </c>
      <c r="M12" s="66" t="s">
        <v>2835</v>
      </c>
      <c r="N12" s="86" t="s">
        <v>3135</v>
      </c>
      <c r="O12" s="84" t="s">
        <v>876</v>
      </c>
      <c r="P12" s="85" t="s">
        <v>876</v>
      </c>
      <c r="Q12" s="15"/>
      <c r="R12" s="16">
        <v>11398610</v>
      </c>
      <c r="V12" s="85" t="s">
        <v>662</v>
      </c>
      <c r="Y12" s="12"/>
      <c r="Z12" s="18">
        <f>ROUND(R12*'Data-CostAssumptions'!$C$10,-3)</f>
        <v>11399000</v>
      </c>
      <c r="AA12" s="11">
        <f t="shared" si="5"/>
        <v>1</v>
      </c>
      <c r="AB12" s="11">
        <v>2041</v>
      </c>
      <c r="AC12" s="11">
        <v>2041</v>
      </c>
      <c r="AD12" s="11">
        <v>2041</v>
      </c>
      <c r="AE12" s="19">
        <f>ROUND((Z12*'Data-CostAssumptions'!$G$5)*(1+'Data-CostAssumptions'!$G$3)^(AB12-'Data-CostAssumptions'!$G$4),-3)</f>
        <v>6430000</v>
      </c>
      <c r="AF12" s="19">
        <f>ROUND((Z12)*(1+'Data-CostAssumptions'!$G$3)^(AD12-'Data-CostAssumptions'!$G$4),-3)</f>
        <v>29226000</v>
      </c>
      <c r="AG12" s="170" t="str">
        <f t="shared" si="1"/>
        <v>No</v>
      </c>
    </row>
    <row r="13" spans="1:33" ht="15" customHeight="1" x14ac:dyDescent="0.2">
      <c r="B13" s="11" t="s">
        <v>1211</v>
      </c>
      <c r="C13" s="11">
        <v>10197</v>
      </c>
      <c r="D13" s="13" t="s">
        <v>420</v>
      </c>
      <c r="E13" s="14"/>
      <c r="F13" s="14"/>
      <c r="G13" s="20">
        <v>1058</v>
      </c>
      <c r="H13" s="13" t="s">
        <v>391</v>
      </c>
      <c r="I13" s="13" t="str">
        <f t="shared" si="4"/>
        <v>Tri-Rail Hollywood Station, New Parking Deck ( to )</v>
      </c>
      <c r="J13" s="11" t="s">
        <v>347</v>
      </c>
      <c r="K13" s="13" t="str">
        <f>VLOOKUP(J13,'Data-ProjectTypes'!A$3:B$13,2,FALSE)</f>
        <v>Project</v>
      </c>
      <c r="L13" s="11" t="s">
        <v>403</v>
      </c>
      <c r="O13" s="84" t="s">
        <v>876</v>
      </c>
      <c r="P13" s="85" t="s">
        <v>876</v>
      </c>
      <c r="Q13" s="15"/>
      <c r="R13" s="16">
        <v>13628667</v>
      </c>
      <c r="V13" s="85" t="s">
        <v>662</v>
      </c>
      <c r="Y13" s="12"/>
      <c r="Z13" s="18">
        <f>ROUND(R13*'Data-CostAssumptions'!$C$10,-3)</f>
        <v>13629000</v>
      </c>
      <c r="AA13" s="11">
        <f t="shared" si="5"/>
        <v>1</v>
      </c>
      <c r="AB13" s="11">
        <v>2041</v>
      </c>
      <c r="AC13" s="11">
        <v>2041</v>
      </c>
      <c r="AD13" s="11">
        <v>2041</v>
      </c>
      <c r="AE13" s="19">
        <f>ROUND((Z13*'Data-CostAssumptions'!$G$5)*(1+'Data-CostAssumptions'!$G$3)^(AB13-'Data-CostAssumptions'!$G$4),-3)</f>
        <v>7688000</v>
      </c>
      <c r="AF13" s="19">
        <f>ROUND((Z13)*(1+'Data-CostAssumptions'!$G$3)^(AD13-'Data-CostAssumptions'!$G$4),-3)</f>
        <v>34944000</v>
      </c>
      <c r="AG13" s="170" t="str">
        <f t="shared" si="1"/>
        <v>No</v>
      </c>
    </row>
    <row r="14" spans="1:33" ht="15" customHeight="1" x14ac:dyDescent="0.2">
      <c r="A14" s="66">
        <v>4297671</v>
      </c>
      <c r="B14" s="66" t="s">
        <v>1211</v>
      </c>
      <c r="C14" s="66">
        <v>13047</v>
      </c>
      <c r="D14" s="86" t="s">
        <v>1732</v>
      </c>
      <c r="E14" s="73"/>
      <c r="F14" s="73"/>
      <c r="G14" s="20">
        <v>1261</v>
      </c>
      <c r="H14" s="67" t="s">
        <v>2988</v>
      </c>
      <c r="I14" s="67" t="str">
        <f t="shared" si="4"/>
        <v>Tri-Rail Maintenance Facility ( to )</v>
      </c>
      <c r="J14" s="86" t="s">
        <v>347</v>
      </c>
      <c r="K14" s="67" t="str">
        <f>VLOOKUP(J14,'Data-ProjectTypes'!A$3:B$13,2,FALSE)</f>
        <v>Project</v>
      </c>
      <c r="L14" s="87" t="s">
        <v>903</v>
      </c>
      <c r="M14" s="66"/>
      <c r="N14" s="66"/>
      <c r="O14" s="86" t="s">
        <v>270</v>
      </c>
      <c r="P14" s="87" t="s">
        <v>270</v>
      </c>
      <c r="Q14" s="74"/>
      <c r="R14" s="70"/>
      <c r="S14" s="66"/>
      <c r="V14" s="87" t="s">
        <v>662</v>
      </c>
      <c r="Y14" s="83" t="s">
        <v>3103</v>
      </c>
      <c r="Z14" s="71">
        <f>ROUND(R14*'Data-CostAssumptions'!$C$10,-3)</f>
        <v>0</v>
      </c>
      <c r="AA14" s="11">
        <f t="shared" si="5"/>
        <v>1</v>
      </c>
      <c r="AB14" s="11">
        <v>2041</v>
      </c>
      <c r="AC14" s="11">
        <v>2041</v>
      </c>
      <c r="AD14" s="11">
        <v>2041</v>
      </c>
      <c r="AE14" s="19">
        <f>ROUND((Z14*'Data-CostAssumptions'!$G$5)*(1+'Data-CostAssumptions'!$G$3)^(AB14-'Data-CostAssumptions'!$G$4),-3)</f>
        <v>0</v>
      </c>
      <c r="AF14" s="19">
        <f>ROUND((Z14)*(1+'Data-CostAssumptions'!$G$3)^(AD14-'Data-CostAssumptions'!$G$4),-3)</f>
        <v>0</v>
      </c>
      <c r="AG14" s="170" t="str">
        <f t="shared" si="1"/>
        <v>No</v>
      </c>
    </row>
    <row r="15" spans="1:33" ht="15" customHeight="1" x14ac:dyDescent="0.2">
      <c r="B15" s="11" t="s">
        <v>1211</v>
      </c>
      <c r="C15" s="13">
        <v>10017</v>
      </c>
      <c r="D15" s="13" t="s">
        <v>420</v>
      </c>
      <c r="E15" s="20" t="s">
        <v>298</v>
      </c>
      <c r="F15" s="20">
        <v>140</v>
      </c>
      <c r="G15" s="20">
        <v>1059</v>
      </c>
      <c r="H15" s="13" t="s">
        <v>933</v>
      </c>
      <c r="I15" s="13" t="str">
        <f t="shared" si="4"/>
        <v>Tri-Rail Station (@  Cypress Creek)</v>
      </c>
      <c r="J15" s="13" t="s">
        <v>347</v>
      </c>
      <c r="K15" s="13" t="str">
        <f>VLOOKUP(J15,'Data-ProjectTypes'!A$3:B$13,2,FALSE)</f>
        <v>Project</v>
      </c>
      <c r="L15" s="21" t="s">
        <v>85</v>
      </c>
      <c r="M15" s="13" t="s">
        <v>2835</v>
      </c>
      <c r="N15" s="13" t="s">
        <v>2837</v>
      </c>
      <c r="O15" s="13" t="s">
        <v>365</v>
      </c>
      <c r="P15" s="13" t="s">
        <v>365</v>
      </c>
      <c r="Q15" s="22"/>
      <c r="R15" s="23">
        <v>9426949.8170891684</v>
      </c>
      <c r="V15" s="85" t="s">
        <v>662</v>
      </c>
      <c r="Y15" s="12"/>
      <c r="Z15" s="18">
        <f>ROUND(R15*'Data-CostAssumptions'!$C$10,-3)</f>
        <v>9427000</v>
      </c>
      <c r="AA15" s="11">
        <f t="shared" si="5"/>
        <v>1</v>
      </c>
      <c r="AB15" s="11">
        <v>2041</v>
      </c>
      <c r="AC15" s="11">
        <v>2041</v>
      </c>
      <c r="AD15" s="11">
        <v>2041</v>
      </c>
      <c r="AE15" s="19">
        <f>ROUND((Z15*'Data-CostAssumptions'!$G$5)*(1+'Data-CostAssumptions'!$G$3)^(AB15-'Data-CostAssumptions'!$G$4),-3)</f>
        <v>5317000</v>
      </c>
      <c r="AF15" s="19">
        <f>ROUND((Z15)*(1+'Data-CostAssumptions'!$G$3)^(AD15-'Data-CostAssumptions'!$G$4),-3)</f>
        <v>24170000</v>
      </c>
      <c r="AG15" s="170" t="str">
        <f t="shared" si="1"/>
        <v>No</v>
      </c>
    </row>
    <row r="16" spans="1:33" ht="15" customHeight="1" x14ac:dyDescent="0.2">
      <c r="B16" s="11" t="s">
        <v>1211</v>
      </c>
      <c r="C16" s="13">
        <v>10019</v>
      </c>
      <c r="D16" s="13" t="s">
        <v>420</v>
      </c>
      <c r="E16" s="20" t="s">
        <v>298</v>
      </c>
      <c r="F16" s="20">
        <v>140</v>
      </c>
      <c r="G16" s="20">
        <v>1060</v>
      </c>
      <c r="H16" s="13" t="s">
        <v>933</v>
      </c>
      <c r="I16" s="13" t="str">
        <f t="shared" si="4"/>
        <v>Tri-Rail Station (@  Deerfield Beach/Amtrak)</v>
      </c>
      <c r="J16" s="13" t="s">
        <v>347</v>
      </c>
      <c r="K16" s="13" t="str">
        <f>VLOOKUP(J16,'Data-ProjectTypes'!A$3:B$13,2,FALSE)</f>
        <v>Project</v>
      </c>
      <c r="L16" s="21" t="s">
        <v>85</v>
      </c>
      <c r="M16" s="13" t="s">
        <v>2835</v>
      </c>
      <c r="N16" s="13" t="s">
        <v>2839</v>
      </c>
      <c r="O16" s="13" t="s">
        <v>365</v>
      </c>
      <c r="P16" s="13" t="s">
        <v>365</v>
      </c>
      <c r="Q16" s="22"/>
      <c r="R16" s="23">
        <v>9426949.8170891684</v>
      </c>
      <c r="V16" s="85" t="s">
        <v>662</v>
      </c>
      <c r="Y16" s="12"/>
      <c r="Z16" s="18">
        <f>ROUND(R16*'Data-CostAssumptions'!$C$10,-3)</f>
        <v>9427000</v>
      </c>
      <c r="AA16" s="11">
        <f t="shared" si="5"/>
        <v>1</v>
      </c>
      <c r="AB16" s="11">
        <v>2041</v>
      </c>
      <c r="AC16" s="11">
        <v>2041</v>
      </c>
      <c r="AD16" s="11">
        <v>2041</v>
      </c>
      <c r="AE16" s="19">
        <f>ROUND((Z16*'Data-CostAssumptions'!$G$5)*(1+'Data-CostAssumptions'!$G$3)^(AB16-'Data-CostAssumptions'!$G$4),-3)</f>
        <v>5317000</v>
      </c>
      <c r="AF16" s="19">
        <f>ROUND((Z16)*(1+'Data-CostAssumptions'!$G$3)^(AD16-'Data-CostAssumptions'!$G$4),-3)</f>
        <v>24170000</v>
      </c>
      <c r="AG16" s="170" t="str">
        <f t="shared" si="1"/>
        <v>No</v>
      </c>
    </row>
    <row r="17" spans="1:33" ht="15" customHeight="1" x14ac:dyDescent="0.2">
      <c r="A17" s="11" t="s">
        <v>953</v>
      </c>
      <c r="B17" s="11" t="s">
        <v>1211</v>
      </c>
      <c r="C17" s="11">
        <v>13092</v>
      </c>
      <c r="D17" s="84" t="s">
        <v>1732</v>
      </c>
      <c r="E17" s="14"/>
      <c r="F17" s="14"/>
      <c r="G17" s="20">
        <v>1279</v>
      </c>
      <c r="H17" s="13" t="s">
        <v>933</v>
      </c>
      <c r="I17" s="13" t="str">
        <f t="shared" si="4"/>
        <v>Tri-Rail Station (@  Deerfield Beach Tri-Rail Station)</v>
      </c>
      <c r="J17" s="84" t="s">
        <v>347</v>
      </c>
      <c r="K17" s="13" t="str">
        <f>VLOOKUP(J17,'Data-ProjectTypes'!A$3:B$13,2,FALSE)</f>
        <v>Project</v>
      </c>
      <c r="L17" s="85" t="s">
        <v>957</v>
      </c>
      <c r="M17" s="96" t="s">
        <v>2835</v>
      </c>
      <c r="N17" s="85" t="s">
        <v>227</v>
      </c>
      <c r="O17" s="84" t="s">
        <v>270</v>
      </c>
      <c r="P17" s="85" t="s">
        <v>270</v>
      </c>
      <c r="Q17" s="15"/>
      <c r="R17" s="16">
        <v>19369000</v>
      </c>
      <c r="V17" s="85" t="s">
        <v>729</v>
      </c>
      <c r="Y17" s="12"/>
      <c r="Z17" s="18">
        <f>ROUND(R17*'Data-CostAssumptions'!$C$14,-3)</f>
        <v>19369000</v>
      </c>
      <c r="AA17" s="11">
        <f t="shared" si="5"/>
        <v>1</v>
      </c>
      <c r="AB17" s="11">
        <v>2041</v>
      </c>
      <c r="AC17" s="11">
        <v>2041</v>
      </c>
      <c r="AD17" s="11">
        <v>2041</v>
      </c>
      <c r="AE17" s="19">
        <f>ROUND((Z17*'Data-CostAssumptions'!$G$5)*(1+'Data-CostAssumptions'!$G$3)^(AB17-'Data-CostAssumptions'!$G$4),-3)</f>
        <v>10925000</v>
      </c>
      <c r="AF17" s="19">
        <f>ROUND((Z17)*(1+'Data-CostAssumptions'!$G$3)^(AD17-'Data-CostAssumptions'!$G$4),-3)</f>
        <v>49661000</v>
      </c>
      <c r="AG17" s="170" t="str">
        <f t="shared" si="1"/>
        <v>No</v>
      </c>
    </row>
    <row r="18" spans="1:33" ht="15" customHeight="1" x14ac:dyDescent="0.2">
      <c r="A18" s="11" t="s">
        <v>954</v>
      </c>
      <c r="B18" s="11" t="s">
        <v>1211</v>
      </c>
      <c r="C18" s="11">
        <v>13093</v>
      </c>
      <c r="D18" s="84" t="s">
        <v>1732</v>
      </c>
      <c r="E18" s="14"/>
      <c r="F18" s="14"/>
      <c r="G18" s="20">
        <v>1280</v>
      </c>
      <c r="H18" s="13" t="s">
        <v>933</v>
      </c>
      <c r="I18" s="13" t="str">
        <f t="shared" si="4"/>
        <v>Tri-Rail Station (@  Hollywood Tri-Rail Station)</v>
      </c>
      <c r="J18" s="84" t="s">
        <v>347</v>
      </c>
      <c r="K18" s="13" t="str">
        <f>VLOOKUP(J18,'Data-ProjectTypes'!A$3:B$13,2,FALSE)</f>
        <v>Project</v>
      </c>
      <c r="L18" s="85" t="s">
        <v>957</v>
      </c>
      <c r="M18" s="96" t="s">
        <v>2835</v>
      </c>
      <c r="N18" s="85" t="s">
        <v>2889</v>
      </c>
      <c r="O18" s="84" t="s">
        <v>270</v>
      </c>
      <c r="P18" s="85" t="s">
        <v>270</v>
      </c>
      <c r="Q18" s="15"/>
      <c r="R18" s="16">
        <v>19145000</v>
      </c>
      <c r="V18" s="85" t="s">
        <v>729</v>
      </c>
      <c r="X18" s="38"/>
      <c r="Y18" s="12" t="s">
        <v>2205</v>
      </c>
      <c r="Z18" s="18">
        <f>ROUND(R18*'Data-CostAssumptions'!$C$14,-3)</f>
        <v>19145000</v>
      </c>
      <c r="AA18" s="11">
        <f t="shared" si="5"/>
        <v>1</v>
      </c>
      <c r="AB18" s="11">
        <v>2041</v>
      </c>
      <c r="AC18" s="11">
        <v>2041</v>
      </c>
      <c r="AD18" s="11">
        <v>2041</v>
      </c>
      <c r="AE18" s="19">
        <f>ROUND((Z18*'Data-CostAssumptions'!$G$5)*(1+'Data-CostAssumptions'!$G$3)^(AB18-'Data-CostAssumptions'!$G$4),-3)</f>
        <v>10799000</v>
      </c>
      <c r="AF18" s="19">
        <f>ROUND((Z18)*(1+'Data-CostAssumptions'!$G$3)^(AD18-'Data-CostAssumptions'!$G$4),-3)</f>
        <v>49087000</v>
      </c>
      <c r="AG18" s="170" t="str">
        <f t="shared" si="1"/>
        <v>No</v>
      </c>
    </row>
    <row r="19" spans="1:33" ht="15" customHeight="1" x14ac:dyDescent="0.2">
      <c r="A19" s="11" t="s">
        <v>955</v>
      </c>
      <c r="B19" s="11" t="s">
        <v>1211</v>
      </c>
      <c r="C19" s="11">
        <v>13094</v>
      </c>
      <c r="D19" s="84" t="s">
        <v>1732</v>
      </c>
      <c r="E19" s="14"/>
      <c r="F19" s="14"/>
      <c r="G19" s="20">
        <v>1281</v>
      </c>
      <c r="H19" s="13" t="s">
        <v>933</v>
      </c>
      <c r="I19" s="13" t="str">
        <f t="shared" si="4"/>
        <v>Tri-Rail Station (@  Pompano Beach Tr-Rail Station)</v>
      </c>
      <c r="J19" s="84" t="s">
        <v>347</v>
      </c>
      <c r="K19" s="13" t="str">
        <f>VLOOKUP(J19,'Data-ProjectTypes'!A$3:B$13,2,FALSE)</f>
        <v>Project</v>
      </c>
      <c r="L19" s="85" t="s">
        <v>957</v>
      </c>
      <c r="M19" s="96" t="s">
        <v>2835</v>
      </c>
      <c r="N19" s="85" t="s">
        <v>2890</v>
      </c>
      <c r="O19" s="84" t="s">
        <v>270</v>
      </c>
      <c r="P19" s="85" t="s">
        <v>270</v>
      </c>
      <c r="Q19" s="15"/>
      <c r="R19" s="16">
        <v>7899000</v>
      </c>
      <c r="V19" s="85" t="s">
        <v>730</v>
      </c>
      <c r="Y19" s="12" t="s">
        <v>2207</v>
      </c>
      <c r="Z19" s="18">
        <f>ROUND(R19*'Data-CostAssumptions'!$C$14,-3)</f>
        <v>7899000</v>
      </c>
      <c r="AA19" s="11">
        <f t="shared" si="5"/>
        <v>1</v>
      </c>
      <c r="AB19" s="11">
        <v>2041</v>
      </c>
      <c r="AC19" s="11">
        <v>2041</v>
      </c>
      <c r="AD19" s="11">
        <v>2041</v>
      </c>
      <c r="AE19" s="19">
        <f>ROUND((Z19*'Data-CostAssumptions'!$G$5)*(1+'Data-CostAssumptions'!$G$3)^(AB19-'Data-CostAssumptions'!$G$4),-3)</f>
        <v>4456000</v>
      </c>
      <c r="AF19" s="19">
        <f>ROUND((Z19)*(1+'Data-CostAssumptions'!$G$3)^(AD19-'Data-CostAssumptions'!$G$4),-3)</f>
        <v>20253000</v>
      </c>
      <c r="AG19" s="170" t="str">
        <f t="shared" si="1"/>
        <v>No</v>
      </c>
    </row>
  </sheetData>
  <conditionalFormatting sqref="H2:I2 H11:I19">
    <cfRule type="expression" dxfId="120" priority="27">
      <formula>B2="KILL"</formula>
    </cfRule>
  </conditionalFormatting>
  <conditionalFormatting sqref="M2:N2">
    <cfRule type="expression" dxfId="119" priority="26">
      <formula>H2="KILL"</formula>
    </cfRule>
  </conditionalFormatting>
  <conditionalFormatting sqref="H3:I6">
    <cfRule type="expression" dxfId="118" priority="25">
      <formula>B3="KILL"</formula>
    </cfRule>
  </conditionalFormatting>
  <conditionalFormatting sqref="I7">
    <cfRule type="expression" dxfId="117" priority="7">
      <formula>C7="KILL"</formula>
    </cfRule>
  </conditionalFormatting>
  <conditionalFormatting sqref="I7">
    <cfRule type="expression" dxfId="116" priority="6">
      <formula>C7="KILL"</formula>
    </cfRule>
  </conditionalFormatting>
  <conditionalFormatting sqref="I7">
    <cfRule type="expression" dxfId="115" priority="5">
      <formula>C7="KILL"</formula>
    </cfRule>
  </conditionalFormatting>
  <conditionalFormatting sqref="H8:I10">
    <cfRule type="expression" dxfId="114" priority="4">
      <formula>B8="KILL"</formula>
    </cfRule>
  </conditionalFormatting>
  <conditionalFormatting sqref="H7:I7">
    <cfRule type="expression" dxfId="113" priority="8">
      <formula>B7="KILL"</formula>
    </cfRule>
  </conditionalFormatting>
  <conditionalFormatting sqref="AB2:AD19">
    <cfRule type="cellIs" dxfId="112" priority="2" operator="lessThan">
      <formula>2041</formula>
    </cfRule>
  </conditionalFormatting>
  <conditionalFormatting sqref="AG2:AG19">
    <cfRule type="cellIs" dxfId="111" priority="1" operator="equal">
      <formula>"Yes"</formula>
    </cfRule>
  </conditionalFormatting>
  <dataValidations count="1">
    <dataValidation type="list" allowBlank="1" showInputMessage="1" showErrorMessage="1" sqref="J5:J6 J15:J19">
      <formula1>#REF!</formula1>
    </dataValidation>
  </dataValidations>
  <pageMargins left="0.25" right="0.25" top="0.75" bottom="0.75" header="0.3" footer="0.3"/>
  <pageSetup scale="5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E0F7"/>
    <pageSetUpPr fitToPage="1"/>
  </sheetPr>
  <dimension ref="A1:AG603"/>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2" bestFit="1" customWidth="1"/>
    <col min="2" max="2" width="5.28515625" style="12" hidden="1" customWidth="1"/>
    <col min="3" max="3" width="6.85546875" style="12" bestFit="1" customWidth="1"/>
    <col min="4" max="4" width="15" style="12" bestFit="1" customWidth="1"/>
    <col min="5" max="5" width="9.5703125" style="104" bestFit="1" customWidth="1"/>
    <col min="6" max="6" width="8.140625" style="104" bestFit="1" customWidth="1"/>
    <col min="7" max="7" width="8" style="104" bestFit="1" customWidth="1"/>
    <col min="8" max="8" width="50.5703125" style="12" bestFit="1" customWidth="1"/>
    <col min="9" max="9" width="83.5703125" style="12" bestFit="1" customWidth="1"/>
    <col min="10" max="10" width="7" style="12" bestFit="1" customWidth="1"/>
    <col min="11" max="11" width="14" style="12" bestFit="1" customWidth="1"/>
    <col min="12" max="12" width="255.7109375" style="12" bestFit="1" customWidth="1"/>
    <col min="13" max="13" width="31.85546875" style="105" bestFit="1" customWidth="1"/>
    <col min="14" max="14" width="41.28515625" style="12" bestFit="1" customWidth="1"/>
    <col min="15" max="16" width="20.140625" style="12" bestFit="1" customWidth="1"/>
    <col min="17" max="17" width="12.28515625" style="72" bestFit="1" customWidth="1"/>
    <col min="18" max="18" width="13.42578125" style="12" bestFit="1" customWidth="1"/>
    <col min="19" max="19" width="39.85546875" style="12" bestFit="1" customWidth="1"/>
    <col min="20" max="20" width="78.140625" style="12" bestFit="1" customWidth="1"/>
    <col min="21" max="21" width="77.42578125" style="12" bestFit="1" customWidth="1"/>
    <col min="22" max="22" width="255.7109375" style="12" bestFit="1" customWidth="1"/>
    <col min="23" max="23" width="187.85546875" style="12" bestFit="1" customWidth="1"/>
    <col min="24" max="24" width="255.7109375" style="12" bestFit="1" customWidth="1"/>
    <col min="25" max="25" width="43.28515625" style="12" bestFit="1" customWidth="1"/>
    <col min="26" max="26" width="22.7109375" style="49"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hidden="1" customWidth="1"/>
    <col min="34" max="16384" width="9.140625" style="11"/>
  </cols>
  <sheetData>
    <row r="1" spans="1:33" ht="15" customHeight="1" x14ac:dyDescent="0.2">
      <c r="A1" s="322" t="s">
        <v>1192</v>
      </c>
      <c r="B1" s="322" t="s">
        <v>1211</v>
      </c>
      <c r="C1" s="322" t="s">
        <v>1193</v>
      </c>
      <c r="D1" s="322" t="s">
        <v>419</v>
      </c>
      <c r="E1" s="323" t="s">
        <v>1217</v>
      </c>
      <c r="F1" s="323" t="s">
        <v>1218</v>
      </c>
      <c r="G1" s="323" t="s">
        <v>3105</v>
      </c>
      <c r="H1" s="322" t="s">
        <v>1</v>
      </c>
      <c r="I1" s="322" t="s">
        <v>1739</v>
      </c>
      <c r="J1" s="322" t="s">
        <v>299</v>
      </c>
      <c r="K1" s="324" t="s">
        <v>1209</v>
      </c>
      <c r="L1" s="322" t="s">
        <v>2</v>
      </c>
      <c r="M1" s="325" t="s">
        <v>1191</v>
      </c>
      <c r="N1" s="322" t="s">
        <v>1198</v>
      </c>
      <c r="O1" s="322" t="s">
        <v>1196</v>
      </c>
      <c r="P1" s="322" t="s">
        <v>1197</v>
      </c>
      <c r="Q1" s="326" t="s">
        <v>1194</v>
      </c>
      <c r="R1" s="322" t="s">
        <v>1195</v>
      </c>
      <c r="S1" s="322" t="s">
        <v>2705</v>
      </c>
      <c r="T1" s="327" t="s">
        <v>349</v>
      </c>
      <c r="U1" s="327" t="s">
        <v>358</v>
      </c>
      <c r="V1" s="327" t="s">
        <v>434</v>
      </c>
      <c r="W1" s="327" t="s">
        <v>3252</v>
      </c>
      <c r="X1" s="327" t="s">
        <v>360</v>
      </c>
      <c r="Y1" s="322" t="s">
        <v>2703</v>
      </c>
      <c r="Z1" s="328" t="s">
        <v>3045</v>
      </c>
      <c r="AA1" s="329" t="s">
        <v>3107</v>
      </c>
      <c r="AB1" s="330" t="s">
        <v>3167</v>
      </c>
      <c r="AC1" s="330" t="s">
        <v>3117</v>
      </c>
      <c r="AD1" s="330" t="s">
        <v>3118</v>
      </c>
      <c r="AE1" s="331" t="s">
        <v>3168</v>
      </c>
      <c r="AF1" s="331" t="s">
        <v>3125</v>
      </c>
      <c r="AG1" s="332" t="s">
        <v>3155</v>
      </c>
    </row>
    <row r="2" spans="1:33" ht="15" customHeight="1" x14ac:dyDescent="0.2">
      <c r="B2" s="11" t="s">
        <v>1211</v>
      </c>
      <c r="D2" s="84" t="s">
        <v>276</v>
      </c>
      <c r="E2" s="104" t="s">
        <v>1472</v>
      </c>
      <c r="G2" s="20">
        <v>1339</v>
      </c>
      <c r="H2" s="13" t="s">
        <v>1835</v>
      </c>
      <c r="I2" s="13" t="str">
        <f t="shared" ref="I2:I65" si="0">IF(M2="@",H2&amp;" ("&amp;M2&amp;"  "&amp;N2&amp;")",H2&amp;" ("&amp;M2&amp;" to "&amp;N2&amp;")")</f>
        <v>CITY-WIDE SECONDARY Rd BIKE ACCOMMODATIONS (CITY-WIDE to CITY-WIDE)</v>
      </c>
      <c r="J2" s="12" t="s">
        <v>29</v>
      </c>
      <c r="K2" s="13" t="str">
        <f>VLOOKUP(J2,'Data-ProjectTypes'!A$3:B$13,2,FALSE)</f>
        <v>Program</v>
      </c>
      <c r="L2" s="12" t="s">
        <v>1666</v>
      </c>
      <c r="M2" s="105" t="s">
        <v>1668</v>
      </c>
      <c r="N2" s="12" t="s">
        <v>1668</v>
      </c>
      <c r="Q2" s="72">
        <v>67.7</v>
      </c>
      <c r="R2" s="23">
        <v>28596480</v>
      </c>
      <c r="S2" s="21"/>
      <c r="T2" s="21"/>
      <c r="U2" s="21"/>
      <c r="V2" s="24"/>
      <c r="W2" s="24"/>
      <c r="X2" s="24"/>
      <c r="Y2" s="17"/>
      <c r="Z2" s="18">
        <f>ROUND(R2*'Data-CostAssumptions'!$C$8,-3)</f>
        <v>28596000</v>
      </c>
      <c r="AA2" s="11">
        <f t="shared" ref="AA2:AA65" si="1">IF(V2="",IF(W2="",0,1),1)</f>
        <v>0</v>
      </c>
      <c r="AB2" s="11">
        <v>2041</v>
      </c>
      <c r="AC2" s="11">
        <v>2041</v>
      </c>
      <c r="AD2" s="11">
        <v>2041</v>
      </c>
      <c r="AE2" s="19">
        <f>ROUND((Z2*'Data-CostAssumptions'!$G$5)*(1+'Data-CostAssumptions'!$G$3)^(AB2-'Data-CostAssumptions'!$G$4),-3)</f>
        <v>16130000</v>
      </c>
      <c r="AF2" s="19">
        <f>ROUND((Z2)*(1+'Data-CostAssumptions'!$G$3)^(AD2-'Data-CostAssumptions'!$G$4),-3)</f>
        <v>73319000</v>
      </c>
      <c r="AG2" s="170" t="str">
        <f t="shared" ref="AG2:AG65" si="2">IF(MIN(AC2:AD2)&lt;2041,"Yes","No")</f>
        <v>No</v>
      </c>
    </row>
    <row r="3" spans="1:33" ht="15" customHeight="1" x14ac:dyDescent="0.2">
      <c r="B3" s="11" t="s">
        <v>1211</v>
      </c>
      <c r="D3" s="84" t="s">
        <v>276</v>
      </c>
      <c r="E3" s="104">
        <v>87</v>
      </c>
      <c r="G3" s="20">
        <v>1486</v>
      </c>
      <c r="H3" s="13" t="s">
        <v>110</v>
      </c>
      <c r="I3" s="13" t="str">
        <f t="shared" si="0"/>
        <v>SR A1A (LAS OLAS Bl to FLAMINGO Av)</v>
      </c>
      <c r="J3" s="12" t="s">
        <v>29</v>
      </c>
      <c r="K3" s="13" t="str">
        <f>VLOOKUP(J3,'Data-ProjectTypes'!A$3:B$13,2,FALSE)</f>
        <v>Program</v>
      </c>
      <c r="L3" s="12" t="s">
        <v>1381</v>
      </c>
      <c r="M3" s="105" t="s">
        <v>1997</v>
      </c>
      <c r="N3" s="12" t="s">
        <v>2630</v>
      </c>
      <c r="Q3" s="72">
        <v>4.4000000000000004</v>
      </c>
      <c r="R3" s="23">
        <v>7109000</v>
      </c>
      <c r="S3" s="21"/>
      <c r="T3" s="21"/>
      <c r="U3" s="21"/>
      <c r="V3" s="24"/>
      <c r="W3" s="24"/>
      <c r="X3" s="24"/>
      <c r="Y3" s="17"/>
      <c r="Z3" s="18">
        <f>ROUND(R3*'Data-CostAssumptions'!$C$3,-3)</f>
        <v>9839000</v>
      </c>
      <c r="AA3" s="11">
        <f t="shared" si="1"/>
        <v>0</v>
      </c>
      <c r="AB3" s="11">
        <v>2041</v>
      </c>
      <c r="AC3" s="11">
        <v>2041</v>
      </c>
      <c r="AD3" s="11">
        <v>2041</v>
      </c>
      <c r="AE3" s="19">
        <f>ROUND((Z3*'Data-CostAssumptions'!$G$5)*(1+'Data-CostAssumptions'!$G$3)^(AB3-'Data-CostAssumptions'!$G$4),-3)</f>
        <v>5550000</v>
      </c>
      <c r="AF3" s="19">
        <f>ROUND((Z3)*(1+'Data-CostAssumptions'!$G$3)^(AD3-'Data-CostAssumptions'!$G$4),-3)</f>
        <v>25227000</v>
      </c>
      <c r="AG3" s="170" t="str">
        <f t="shared" si="2"/>
        <v>No</v>
      </c>
    </row>
    <row r="4" spans="1:33" ht="15" customHeight="1" x14ac:dyDescent="0.2">
      <c r="B4" s="11" t="s">
        <v>1211</v>
      </c>
      <c r="D4" s="84" t="s">
        <v>276</v>
      </c>
      <c r="E4" s="104" t="s">
        <v>1464</v>
      </c>
      <c r="G4" s="20">
        <v>1438</v>
      </c>
      <c r="H4" s="13" t="s">
        <v>2880</v>
      </c>
      <c r="I4" s="13" t="str">
        <f t="shared" si="0"/>
        <v>Progresso Dr Greenway (SUNRISE Bl to NE 4TH ST)</v>
      </c>
      <c r="J4" s="12" t="s">
        <v>29</v>
      </c>
      <c r="K4" s="13" t="str">
        <f>VLOOKUP(J4,'Data-ProjectTypes'!A$3:B$13,2,FALSE)</f>
        <v>Program</v>
      </c>
      <c r="L4" s="12" t="s">
        <v>1625</v>
      </c>
      <c r="M4" s="105" t="s">
        <v>2002</v>
      </c>
      <c r="N4" s="12" t="s">
        <v>1229</v>
      </c>
      <c r="Q4" s="72">
        <v>0.9</v>
      </c>
      <c r="R4" s="23">
        <v>6000000</v>
      </c>
      <c r="S4" s="21"/>
      <c r="T4" s="21"/>
      <c r="U4" s="21"/>
      <c r="V4" s="24"/>
      <c r="W4" s="24" t="s">
        <v>545</v>
      </c>
      <c r="X4" s="24"/>
      <c r="Y4" s="17" t="s">
        <v>538</v>
      </c>
      <c r="Z4" s="18">
        <f>ROUND(R4*'Data-CostAssumptions'!$C$3,-3)</f>
        <v>8304000</v>
      </c>
      <c r="AA4" s="11">
        <f t="shared" si="1"/>
        <v>1</v>
      </c>
      <c r="AB4" s="11">
        <v>2041</v>
      </c>
      <c r="AC4" s="11">
        <v>2041</v>
      </c>
      <c r="AD4" s="11">
        <v>2041</v>
      </c>
      <c r="AE4" s="19">
        <f>ROUND((Z4*'Data-CostAssumptions'!$G$5)*(1+'Data-CostAssumptions'!$G$3)^(AB4-'Data-CostAssumptions'!$G$4),-3)</f>
        <v>4684000</v>
      </c>
      <c r="AF4" s="19">
        <f>ROUND((Z4)*(1+'Data-CostAssumptions'!$G$3)^(AD4-'Data-CostAssumptions'!$G$4),-3)</f>
        <v>21291000</v>
      </c>
      <c r="AG4" s="170" t="str">
        <f t="shared" si="2"/>
        <v>No</v>
      </c>
    </row>
    <row r="5" spans="1:33" ht="15" customHeight="1" x14ac:dyDescent="0.2">
      <c r="B5" s="11" t="s">
        <v>1211</v>
      </c>
      <c r="D5" s="84" t="s">
        <v>276</v>
      </c>
      <c r="E5" s="104">
        <v>88</v>
      </c>
      <c r="G5" s="20">
        <v>1485</v>
      </c>
      <c r="H5" s="13" t="s">
        <v>110</v>
      </c>
      <c r="I5" s="13" t="str">
        <f t="shared" si="0"/>
        <v>SR A1A (EISENHOWER Bl to LAS OLAS Bl)</v>
      </c>
      <c r="J5" s="12" t="s">
        <v>29</v>
      </c>
      <c r="K5" s="13" t="str">
        <f>VLOOKUP(J5,'Data-ProjectTypes'!A$3:B$13,2,FALSE)</f>
        <v>Program</v>
      </c>
      <c r="L5" s="12" t="s">
        <v>1383</v>
      </c>
      <c r="M5" s="105" t="s">
        <v>1993</v>
      </c>
      <c r="N5" s="12" t="s">
        <v>1997</v>
      </c>
      <c r="Q5" s="72">
        <v>2.2000000000000002</v>
      </c>
      <c r="R5" s="23">
        <v>3555000</v>
      </c>
      <c r="S5" s="21"/>
      <c r="T5" s="21"/>
      <c r="U5" s="21"/>
      <c r="V5" s="24"/>
      <c r="W5" s="24"/>
      <c r="X5" s="24" t="s">
        <v>764</v>
      </c>
      <c r="Y5" s="17" t="s">
        <v>765</v>
      </c>
      <c r="Z5" s="18">
        <f>ROUND(R5*'Data-CostAssumptions'!$C$3,-3)</f>
        <v>4920000</v>
      </c>
      <c r="AA5" s="11">
        <f t="shared" si="1"/>
        <v>0</v>
      </c>
      <c r="AB5" s="11">
        <v>2041</v>
      </c>
      <c r="AC5" s="11">
        <v>2041</v>
      </c>
      <c r="AD5" s="11">
        <v>2041</v>
      </c>
      <c r="AE5" s="19">
        <f>ROUND((Z5*'Data-CostAssumptions'!$G$5)*(1+'Data-CostAssumptions'!$G$3)^(AB5-'Data-CostAssumptions'!$G$4),-3)</f>
        <v>2775000</v>
      </c>
      <c r="AF5" s="19">
        <f>ROUND((Z5)*(1+'Data-CostAssumptions'!$G$3)^(AD5-'Data-CostAssumptions'!$G$4),-3)</f>
        <v>12615000</v>
      </c>
      <c r="AG5" s="170" t="str">
        <f t="shared" si="2"/>
        <v>No</v>
      </c>
    </row>
    <row r="6" spans="1:33" ht="15" customHeight="1" x14ac:dyDescent="0.2">
      <c r="A6" s="11"/>
      <c r="B6" s="11" t="s">
        <v>1211</v>
      </c>
      <c r="C6" s="11">
        <v>12500</v>
      </c>
      <c r="D6" s="84" t="s">
        <v>287</v>
      </c>
      <c r="E6" s="14"/>
      <c r="F6" s="14"/>
      <c r="G6" s="20">
        <v>1814</v>
      </c>
      <c r="H6" s="13" t="s">
        <v>2014</v>
      </c>
      <c r="I6" s="13" t="str">
        <f t="shared" si="0"/>
        <v>Andrews Av (Prospect Rd to OPB)</v>
      </c>
      <c r="J6" s="11" t="s">
        <v>29</v>
      </c>
      <c r="K6" s="13" t="str">
        <f>VLOOKUP(J6,'Data-ProjectTypes'!A$3:B$13,2,FALSE)</f>
        <v>Program</v>
      </c>
      <c r="L6" s="85" t="s">
        <v>718</v>
      </c>
      <c r="M6" s="11" t="s">
        <v>1859</v>
      </c>
      <c r="N6" s="11" t="s">
        <v>726</v>
      </c>
      <c r="O6" s="11"/>
      <c r="P6" s="11"/>
      <c r="Q6" s="15">
        <v>1</v>
      </c>
      <c r="R6" s="16">
        <v>3300000</v>
      </c>
      <c r="S6" s="21"/>
      <c r="T6" s="21"/>
      <c r="U6" s="21"/>
      <c r="V6" s="24"/>
      <c r="W6" s="24"/>
      <c r="X6" s="24"/>
      <c r="Y6" s="17"/>
      <c r="Z6" s="18">
        <f>ROUND(R6*'Data-CostAssumptions'!$C$3,-3)</f>
        <v>4567000</v>
      </c>
      <c r="AA6" s="11">
        <f t="shared" si="1"/>
        <v>0</v>
      </c>
      <c r="AB6" s="11">
        <v>2041</v>
      </c>
      <c r="AC6" s="11">
        <v>2041</v>
      </c>
      <c r="AD6" s="11">
        <v>2041</v>
      </c>
      <c r="AE6" s="19">
        <f>ROUND((Z6*'Data-CostAssumptions'!$G$5)*(1+'Data-CostAssumptions'!$G$3)^(AB6-'Data-CostAssumptions'!$G$4),-3)</f>
        <v>2576000</v>
      </c>
      <c r="AF6" s="19">
        <f>ROUND((Z6)*(1+'Data-CostAssumptions'!$G$3)^(AD6-'Data-CostAssumptions'!$G$4),-3)</f>
        <v>11710000</v>
      </c>
      <c r="AG6" s="170" t="str">
        <f t="shared" si="2"/>
        <v>No</v>
      </c>
    </row>
    <row r="7" spans="1:33" ht="15" customHeight="1" x14ac:dyDescent="0.2">
      <c r="B7" s="11" t="s">
        <v>1211</v>
      </c>
      <c r="D7" s="84" t="s">
        <v>276</v>
      </c>
      <c r="E7" s="104">
        <v>86</v>
      </c>
      <c r="G7" s="20">
        <v>1476</v>
      </c>
      <c r="H7" s="13" t="s">
        <v>45</v>
      </c>
      <c r="I7" s="13" t="str">
        <f t="shared" si="0"/>
        <v>SR 84 (US 1 to I-95)</v>
      </c>
      <c r="J7" s="12" t="s">
        <v>29</v>
      </c>
      <c r="K7" s="13" t="str">
        <f>VLOOKUP(J7,'Data-ProjectTypes'!A$3:B$13,2,FALSE)</f>
        <v>Program</v>
      </c>
      <c r="L7" s="12" t="s">
        <v>1389</v>
      </c>
      <c r="M7" s="105" t="s">
        <v>98</v>
      </c>
      <c r="N7" s="12" t="s">
        <v>41</v>
      </c>
      <c r="Q7" s="72">
        <v>2</v>
      </c>
      <c r="R7" s="23">
        <v>3231000</v>
      </c>
      <c r="S7" s="21"/>
      <c r="T7" s="21"/>
      <c r="U7" s="21"/>
      <c r="V7" s="24"/>
      <c r="W7" s="24" t="s">
        <v>696</v>
      </c>
      <c r="X7" s="24"/>
      <c r="Y7" s="17" t="s">
        <v>287</v>
      </c>
      <c r="Z7" s="18">
        <f>ROUND(R7*'Data-CostAssumptions'!$C$3,-3)</f>
        <v>4472000</v>
      </c>
      <c r="AA7" s="11">
        <f t="shared" si="1"/>
        <v>1</v>
      </c>
      <c r="AB7" s="11">
        <v>2041</v>
      </c>
      <c r="AC7" s="11">
        <v>2041</v>
      </c>
      <c r="AD7" s="11">
        <v>2041</v>
      </c>
      <c r="AE7" s="19">
        <f>ROUND((Z7*'Data-CostAssumptions'!$G$5)*(1+'Data-CostAssumptions'!$G$3)^(AB7-'Data-CostAssumptions'!$G$4),-3)</f>
        <v>2523000</v>
      </c>
      <c r="AF7" s="19">
        <f>ROUND((Z7)*(1+'Data-CostAssumptions'!$G$3)^(AD7-'Data-CostAssumptions'!$G$4),-3)</f>
        <v>11466000</v>
      </c>
      <c r="AG7" s="170" t="str">
        <f t="shared" si="2"/>
        <v>No</v>
      </c>
    </row>
    <row r="8" spans="1:33" ht="15" customHeight="1" x14ac:dyDescent="0.2">
      <c r="A8" s="11"/>
      <c r="B8" s="11" t="s">
        <v>1211</v>
      </c>
      <c r="C8" s="11"/>
      <c r="D8" s="84" t="s">
        <v>276</v>
      </c>
      <c r="E8" s="14">
        <v>12</v>
      </c>
      <c r="F8" s="14"/>
      <c r="G8" s="20">
        <v>1482</v>
      </c>
      <c r="H8" s="13" t="s">
        <v>2803</v>
      </c>
      <c r="I8" s="13" t="str">
        <f t="shared" si="0"/>
        <v>SR 870/Commercial Bl (I-95 to SR 7)</v>
      </c>
      <c r="J8" s="11" t="s">
        <v>29</v>
      </c>
      <c r="K8" s="13" t="str">
        <f>VLOOKUP(J8,'Data-ProjectTypes'!A$3:B$13,2,FALSE)</f>
        <v>Program</v>
      </c>
      <c r="L8" s="11" t="s">
        <v>1271</v>
      </c>
      <c r="M8" s="106" t="s">
        <v>41</v>
      </c>
      <c r="N8" s="84" t="s">
        <v>53</v>
      </c>
      <c r="O8" s="11"/>
      <c r="P8" s="11"/>
      <c r="Q8" s="107">
        <v>3</v>
      </c>
      <c r="R8" s="23">
        <v>3213000</v>
      </c>
      <c r="S8" s="21"/>
      <c r="T8" s="21"/>
      <c r="U8" s="21"/>
      <c r="V8" s="24"/>
      <c r="W8" s="24"/>
      <c r="X8" s="24"/>
      <c r="Y8" s="17"/>
      <c r="Z8" s="18">
        <f>ROUND(R8*'Data-CostAssumptions'!$C$3,-3)</f>
        <v>4447000</v>
      </c>
      <c r="AA8" s="11">
        <f t="shared" si="1"/>
        <v>0</v>
      </c>
      <c r="AB8" s="11">
        <v>2041</v>
      </c>
      <c r="AC8" s="11">
        <v>2041</v>
      </c>
      <c r="AD8" s="11">
        <v>2041</v>
      </c>
      <c r="AE8" s="19">
        <f>ROUND((Z8*'Data-CostAssumptions'!$G$5)*(1+'Data-CostAssumptions'!$G$3)^(AB8-'Data-CostAssumptions'!$G$4),-3)</f>
        <v>2508000</v>
      </c>
      <c r="AF8" s="19">
        <f>ROUND((Z8)*(1+'Data-CostAssumptions'!$G$3)^(AD8-'Data-CostAssumptions'!$G$4),-3)</f>
        <v>11402000</v>
      </c>
      <c r="AG8" s="170" t="str">
        <f t="shared" si="2"/>
        <v>No</v>
      </c>
    </row>
    <row r="9" spans="1:33" ht="15" customHeight="1" x14ac:dyDescent="0.2">
      <c r="B9" s="11" t="s">
        <v>1211</v>
      </c>
      <c r="D9" s="84" t="s">
        <v>276</v>
      </c>
      <c r="E9" s="104">
        <v>108</v>
      </c>
      <c r="G9" s="20">
        <v>1464</v>
      </c>
      <c r="H9" s="13" t="s">
        <v>2209</v>
      </c>
      <c r="I9" s="13" t="str">
        <f t="shared" si="0"/>
        <v>SR 5/ US 1 (NE 13TH ST to MCNAB RD)</v>
      </c>
      <c r="J9" s="12" t="s">
        <v>29</v>
      </c>
      <c r="K9" s="13" t="str">
        <f>VLOOKUP(J9,'Data-ProjectTypes'!A$3:B$13,2,FALSE)</f>
        <v>Program</v>
      </c>
      <c r="L9" s="12" t="s">
        <v>1417</v>
      </c>
      <c r="M9" s="105" t="s">
        <v>1432</v>
      </c>
      <c r="N9" s="12" t="s">
        <v>1227</v>
      </c>
      <c r="Q9" s="72">
        <v>5</v>
      </c>
      <c r="R9" s="23">
        <v>3195450</v>
      </c>
      <c r="S9" s="21"/>
      <c r="T9" s="21"/>
      <c r="U9" s="21"/>
      <c r="V9" s="24"/>
      <c r="W9" s="24"/>
      <c r="X9" s="24"/>
      <c r="Y9" s="17"/>
      <c r="Z9" s="18">
        <f>ROUND(R9*'Data-CostAssumptions'!$C$3,-3)</f>
        <v>4423000</v>
      </c>
      <c r="AA9" s="11">
        <f t="shared" si="1"/>
        <v>0</v>
      </c>
      <c r="AB9" s="11">
        <v>2041</v>
      </c>
      <c r="AC9" s="11">
        <v>2041</v>
      </c>
      <c r="AD9" s="11">
        <v>2041</v>
      </c>
      <c r="AE9" s="19">
        <f>ROUND((Z9*'Data-CostAssumptions'!$G$5)*(1+'Data-CostAssumptions'!$G$3)^(AB9-'Data-CostAssumptions'!$G$4),-3)</f>
        <v>2495000</v>
      </c>
      <c r="AF9" s="19">
        <f>ROUND((Z9)*(1+'Data-CostAssumptions'!$G$3)^(AD9-'Data-CostAssumptions'!$G$4),-3)</f>
        <v>11340000</v>
      </c>
      <c r="AG9" s="170" t="str">
        <f t="shared" si="2"/>
        <v>No</v>
      </c>
    </row>
    <row r="10" spans="1:33" ht="15" customHeight="1" x14ac:dyDescent="0.2">
      <c r="B10" s="11" t="s">
        <v>1211</v>
      </c>
      <c r="D10" s="84" t="s">
        <v>276</v>
      </c>
      <c r="E10" s="104">
        <v>30</v>
      </c>
      <c r="G10" s="20">
        <v>1366</v>
      </c>
      <c r="H10" s="13" t="s">
        <v>1854</v>
      </c>
      <c r="I10" s="13" t="str">
        <f t="shared" si="0"/>
        <v>McNab Rd (NW 31ST Av to NE 69TH ST)</v>
      </c>
      <c r="J10" s="12" t="s">
        <v>29</v>
      </c>
      <c r="K10" s="13" t="str">
        <f>VLOOKUP(J10,'Data-ProjectTypes'!A$3:B$13,2,FALSE)</f>
        <v>Program</v>
      </c>
      <c r="L10" s="12" t="s">
        <v>1299</v>
      </c>
      <c r="M10" s="105" t="s">
        <v>2167</v>
      </c>
      <c r="N10" s="12" t="s">
        <v>1435</v>
      </c>
      <c r="Q10" s="72">
        <v>2.5</v>
      </c>
      <c r="R10" s="23">
        <v>2039400</v>
      </c>
      <c r="S10" s="21"/>
      <c r="T10" s="21"/>
      <c r="U10" s="21"/>
      <c r="V10" s="24"/>
      <c r="W10" s="24"/>
      <c r="X10" s="24"/>
      <c r="Y10" s="17"/>
      <c r="Z10" s="18">
        <f>ROUND(R10*'Data-CostAssumptions'!$C$3,-3)</f>
        <v>2823000</v>
      </c>
      <c r="AA10" s="11">
        <f t="shared" si="1"/>
        <v>0</v>
      </c>
      <c r="AB10" s="11">
        <v>2041</v>
      </c>
      <c r="AC10" s="11">
        <v>2041</v>
      </c>
      <c r="AD10" s="11">
        <v>2041</v>
      </c>
      <c r="AE10" s="19">
        <f>ROUND((Z10*'Data-CostAssumptions'!$G$5)*(1+'Data-CostAssumptions'!$G$3)^(AB10-'Data-CostAssumptions'!$G$4),-3)</f>
        <v>1592000</v>
      </c>
      <c r="AF10" s="19">
        <f>ROUND((Z10)*(1+'Data-CostAssumptions'!$G$3)^(AD10-'Data-CostAssumptions'!$G$4),-3)</f>
        <v>7238000</v>
      </c>
      <c r="AG10" s="170" t="str">
        <f t="shared" si="2"/>
        <v>No</v>
      </c>
    </row>
    <row r="11" spans="1:33" ht="15" customHeight="1" x14ac:dyDescent="0.2">
      <c r="B11" s="11" t="s">
        <v>1211</v>
      </c>
      <c r="D11" s="84" t="s">
        <v>276</v>
      </c>
      <c r="E11" s="104" t="s">
        <v>1463</v>
      </c>
      <c r="G11" s="20">
        <v>1354</v>
      </c>
      <c r="H11" s="13" t="s">
        <v>2848</v>
      </c>
      <c r="I11" s="13" t="str">
        <f t="shared" si="0"/>
        <v>Flagler Greenway (Phase 2) (BROWARD Bl to ANDREWS Av)</v>
      </c>
      <c r="J11" s="12" t="s">
        <v>29</v>
      </c>
      <c r="K11" s="13" t="str">
        <f>VLOOKUP(J11,'Data-ProjectTypes'!A$3:B$13,2,FALSE)</f>
        <v>Program</v>
      </c>
      <c r="L11" s="12" t="s">
        <v>1624</v>
      </c>
      <c r="M11" s="105" t="s">
        <v>1988</v>
      </c>
      <c r="N11" s="12" t="s">
        <v>2139</v>
      </c>
      <c r="Q11" s="72">
        <v>0.6</v>
      </c>
      <c r="R11" s="23">
        <v>2000000</v>
      </c>
      <c r="S11" s="21"/>
      <c r="T11" s="21"/>
      <c r="U11" s="21"/>
      <c r="V11" s="24"/>
      <c r="W11" s="24"/>
      <c r="X11" s="24"/>
      <c r="Y11" s="17"/>
      <c r="Z11" s="18">
        <f>ROUND(R11*'Data-CostAssumptions'!$C$3,-3)</f>
        <v>2768000</v>
      </c>
      <c r="AA11" s="11">
        <f t="shared" si="1"/>
        <v>0</v>
      </c>
      <c r="AB11" s="11">
        <v>2041</v>
      </c>
      <c r="AC11" s="11">
        <v>2041</v>
      </c>
      <c r="AD11" s="11">
        <v>2041</v>
      </c>
      <c r="AE11" s="19">
        <f>ROUND((Z11*'Data-CostAssumptions'!$G$5)*(1+'Data-CostAssumptions'!$G$3)^(AB11-'Data-CostAssumptions'!$G$4),-3)</f>
        <v>1561000</v>
      </c>
      <c r="AF11" s="19">
        <f>ROUND((Z11)*(1+'Data-CostAssumptions'!$G$3)^(AD11-'Data-CostAssumptions'!$G$4),-3)</f>
        <v>7097000</v>
      </c>
      <c r="AG11" s="170" t="str">
        <f t="shared" si="2"/>
        <v>No</v>
      </c>
    </row>
    <row r="12" spans="1:33" ht="15" customHeight="1" x14ac:dyDescent="0.2">
      <c r="A12" s="11"/>
      <c r="B12" s="11" t="s">
        <v>1211</v>
      </c>
      <c r="C12" s="11">
        <v>12707</v>
      </c>
      <c r="D12" s="84" t="s">
        <v>278</v>
      </c>
      <c r="E12" s="14"/>
      <c r="F12" s="14"/>
      <c r="G12" s="20">
        <v>1846</v>
      </c>
      <c r="H12" s="13" t="s">
        <v>822</v>
      </c>
      <c r="I12" s="13" t="str">
        <f t="shared" si="0"/>
        <v>L-35A (Commercial Bl to Sunrise Bl)</v>
      </c>
      <c r="J12" s="11" t="s">
        <v>29</v>
      </c>
      <c r="K12" s="13" t="str">
        <f>VLOOKUP(J12,'Data-ProjectTypes'!A$3:B$13,2,FALSE)</f>
        <v>Program</v>
      </c>
      <c r="L12" s="11" t="s">
        <v>823</v>
      </c>
      <c r="M12" s="11" t="s">
        <v>1813</v>
      </c>
      <c r="N12" s="11" t="s">
        <v>1830</v>
      </c>
      <c r="O12" s="11"/>
      <c r="P12" s="11"/>
      <c r="Q12" s="15">
        <v>4.3899999999999997</v>
      </c>
      <c r="R12" s="16">
        <v>2000000</v>
      </c>
      <c r="S12" s="21" t="s">
        <v>24</v>
      </c>
      <c r="T12" s="21" t="s">
        <v>25</v>
      </c>
      <c r="U12" s="21" t="s">
        <v>24</v>
      </c>
      <c r="V12" s="24"/>
      <c r="W12" s="24"/>
      <c r="X12" s="24"/>
      <c r="Y12" s="17" t="s">
        <v>538</v>
      </c>
      <c r="Z12" s="18">
        <f>ROUND(R12*'Data-CostAssumptions'!$C$3,-3)</f>
        <v>2768000</v>
      </c>
      <c r="AA12" s="11">
        <f t="shared" si="1"/>
        <v>0</v>
      </c>
      <c r="AB12" s="11">
        <v>2041</v>
      </c>
      <c r="AC12" s="11">
        <v>2041</v>
      </c>
      <c r="AD12" s="11">
        <v>2041</v>
      </c>
      <c r="AE12" s="19">
        <f>ROUND((Z12*'Data-CostAssumptions'!$G$5)*(1+'Data-CostAssumptions'!$G$3)^(AB12-'Data-CostAssumptions'!$G$4),-3)</f>
        <v>1561000</v>
      </c>
      <c r="AF12" s="19">
        <f>ROUND((Z12)*(1+'Data-CostAssumptions'!$G$3)^(AD12-'Data-CostAssumptions'!$G$4),-3)</f>
        <v>7097000</v>
      </c>
      <c r="AG12" s="170" t="str">
        <f t="shared" si="2"/>
        <v>No</v>
      </c>
    </row>
    <row r="13" spans="1:33" ht="15" customHeight="1" x14ac:dyDescent="0.2">
      <c r="B13" s="11" t="s">
        <v>1211</v>
      </c>
      <c r="D13" s="84" t="s">
        <v>276</v>
      </c>
      <c r="E13" s="104">
        <v>92</v>
      </c>
      <c r="G13" s="20">
        <v>1473</v>
      </c>
      <c r="H13" s="13" t="s">
        <v>2728</v>
      </c>
      <c r="I13" s="13" t="str">
        <f t="shared" si="0"/>
        <v>SR 838/Sunrise Bl (NW 24TH Av to US 1)</v>
      </c>
      <c r="J13" s="12" t="s">
        <v>29</v>
      </c>
      <c r="K13" s="13" t="str">
        <f>VLOOKUP(J13,'Data-ProjectTypes'!A$3:B$13,2,FALSE)</f>
        <v>Program</v>
      </c>
      <c r="L13" s="12" t="s">
        <v>1391</v>
      </c>
      <c r="M13" s="105" t="s">
        <v>2631</v>
      </c>
      <c r="N13" s="12" t="s">
        <v>98</v>
      </c>
      <c r="Q13" s="72">
        <v>1.9</v>
      </c>
      <c r="R13" s="23">
        <v>1735200</v>
      </c>
      <c r="S13" s="21"/>
      <c r="T13" s="21"/>
      <c r="U13" s="21"/>
      <c r="V13" s="24"/>
      <c r="W13" s="24"/>
      <c r="X13" s="24"/>
      <c r="Y13" s="17"/>
      <c r="Z13" s="18">
        <f>ROUND(R13*'Data-CostAssumptions'!$C$3,-3)</f>
        <v>2402000</v>
      </c>
      <c r="AA13" s="11">
        <f t="shared" si="1"/>
        <v>0</v>
      </c>
      <c r="AB13" s="11">
        <v>2041</v>
      </c>
      <c r="AC13" s="11">
        <v>2041</v>
      </c>
      <c r="AD13" s="11">
        <v>2041</v>
      </c>
      <c r="AE13" s="19">
        <f>ROUND((Z13*'Data-CostAssumptions'!$G$5)*(1+'Data-CostAssumptions'!$G$3)^(AB13-'Data-CostAssumptions'!$G$4),-3)</f>
        <v>1355000</v>
      </c>
      <c r="AF13" s="19">
        <f>ROUND((Z13)*(1+'Data-CostAssumptions'!$G$3)^(AD13-'Data-CostAssumptions'!$G$4),-3)</f>
        <v>6159000</v>
      </c>
      <c r="AG13" s="170" t="str">
        <f t="shared" si="2"/>
        <v>No</v>
      </c>
    </row>
    <row r="14" spans="1:33" ht="15" customHeight="1" x14ac:dyDescent="0.2">
      <c r="A14" s="11"/>
      <c r="B14" s="11" t="s">
        <v>1211</v>
      </c>
      <c r="C14" s="11">
        <v>12501</v>
      </c>
      <c r="D14" s="84" t="s">
        <v>287</v>
      </c>
      <c r="E14" s="14"/>
      <c r="F14" s="14"/>
      <c r="G14" s="20">
        <v>1815</v>
      </c>
      <c r="H14" s="13" t="s">
        <v>2157</v>
      </c>
      <c r="I14" s="13" t="str">
        <f t="shared" si="0"/>
        <v>NW 10th Av. (Royal Park Dr to Powerline Rd)</v>
      </c>
      <c r="J14" s="11" t="s">
        <v>29</v>
      </c>
      <c r="K14" s="13" t="str">
        <f>VLOOKUP(J14,'Data-ProjectTypes'!A$3:B$13,2,FALSE)</f>
        <v>Program</v>
      </c>
      <c r="L14" s="85" t="s">
        <v>719</v>
      </c>
      <c r="M14" s="11" t="s">
        <v>2663</v>
      </c>
      <c r="N14" s="11" t="s">
        <v>1858</v>
      </c>
      <c r="O14" s="11"/>
      <c r="P14" s="11"/>
      <c r="Q14" s="15">
        <v>1.1000000000000001</v>
      </c>
      <c r="R14" s="16">
        <v>1650000</v>
      </c>
      <c r="S14" s="21" t="s">
        <v>24</v>
      </c>
      <c r="T14" s="21" t="s">
        <v>25</v>
      </c>
      <c r="U14" s="21" t="s">
        <v>684</v>
      </c>
      <c r="V14" s="24"/>
      <c r="W14" s="24"/>
      <c r="X14" s="24"/>
      <c r="Y14" s="17" t="s">
        <v>685</v>
      </c>
      <c r="Z14" s="18">
        <f>ROUND(R14*'Data-CostAssumptions'!$C$3,-3)</f>
        <v>2284000</v>
      </c>
      <c r="AA14" s="11">
        <f t="shared" si="1"/>
        <v>0</v>
      </c>
      <c r="AB14" s="11">
        <v>2041</v>
      </c>
      <c r="AC14" s="11">
        <v>2041</v>
      </c>
      <c r="AD14" s="11">
        <v>2041</v>
      </c>
      <c r="AE14" s="19">
        <f>ROUND((Z14*'Data-CostAssumptions'!$G$5)*(1+'Data-CostAssumptions'!$G$3)^(AB14-'Data-CostAssumptions'!$G$4),-3)</f>
        <v>1288000</v>
      </c>
      <c r="AF14" s="19">
        <f>ROUND((Z14)*(1+'Data-CostAssumptions'!$G$3)^(AD14-'Data-CostAssumptions'!$G$4),-3)</f>
        <v>5856000</v>
      </c>
      <c r="AG14" s="170" t="str">
        <f t="shared" si="2"/>
        <v>No</v>
      </c>
    </row>
    <row r="15" spans="1:33" ht="15" customHeight="1" x14ac:dyDescent="0.2">
      <c r="B15" s="11" t="s">
        <v>1211</v>
      </c>
      <c r="D15" s="84" t="s">
        <v>276</v>
      </c>
      <c r="E15" s="104">
        <v>53</v>
      </c>
      <c r="G15" s="20">
        <v>1412</v>
      </c>
      <c r="H15" s="13" t="s">
        <v>1240</v>
      </c>
      <c r="I15" s="13" t="str">
        <f t="shared" si="0"/>
        <v>NW 19TH ST (NW 33RD Av to SR 9/I-95)</v>
      </c>
      <c r="J15" s="12" t="s">
        <v>29</v>
      </c>
      <c r="K15" s="13" t="str">
        <f>VLOOKUP(J15,'Data-ProjectTypes'!A$3:B$13,2,FALSE)</f>
        <v>Program</v>
      </c>
      <c r="L15" s="12" t="s">
        <v>1346</v>
      </c>
      <c r="M15" s="105" t="s">
        <v>2169</v>
      </c>
      <c r="N15" s="12" t="s">
        <v>1445</v>
      </c>
      <c r="Q15" s="72">
        <v>1.4</v>
      </c>
      <c r="R15" s="23">
        <v>1517000</v>
      </c>
      <c r="S15" s="21"/>
      <c r="T15" s="21"/>
      <c r="U15" s="21"/>
      <c r="V15" s="24"/>
      <c r="W15" s="24" t="s">
        <v>696</v>
      </c>
      <c r="X15" s="28"/>
      <c r="Y15" s="17" t="s">
        <v>287</v>
      </c>
      <c r="Z15" s="18">
        <f>ROUND(R15*'Data-CostAssumptions'!$C$3,-3)</f>
        <v>2100000</v>
      </c>
      <c r="AA15" s="11">
        <f t="shared" si="1"/>
        <v>1</v>
      </c>
      <c r="AB15" s="11">
        <v>2041</v>
      </c>
      <c r="AC15" s="11">
        <v>2041</v>
      </c>
      <c r="AD15" s="11">
        <v>2041</v>
      </c>
      <c r="AE15" s="19">
        <f>ROUND((Z15*'Data-CostAssumptions'!$G$5)*(1+'Data-CostAssumptions'!$G$3)^(AB15-'Data-CostAssumptions'!$G$4),-3)</f>
        <v>1185000</v>
      </c>
      <c r="AF15" s="19">
        <f>ROUND((Z15)*(1+'Data-CostAssumptions'!$G$3)^(AD15-'Data-CostAssumptions'!$G$4),-3)</f>
        <v>5384000</v>
      </c>
      <c r="AG15" s="170" t="str">
        <f t="shared" si="2"/>
        <v>No</v>
      </c>
    </row>
    <row r="16" spans="1:33" ht="15" customHeight="1" x14ac:dyDescent="0.2">
      <c r="B16" s="11" t="s">
        <v>1211</v>
      </c>
      <c r="D16" s="84" t="s">
        <v>276</v>
      </c>
      <c r="E16" s="104">
        <v>84</v>
      </c>
      <c r="G16" s="20">
        <v>1459</v>
      </c>
      <c r="H16" s="13" t="s">
        <v>2000</v>
      </c>
      <c r="I16" s="13" t="str">
        <f t="shared" si="0"/>
        <v>SEABREEZE Bl (SR A1A SOUTHBOUND) (SEVILLA ST to BAHIA MAR HOTEL/SR A1A)</v>
      </c>
      <c r="J16" s="12" t="s">
        <v>29</v>
      </c>
      <c r="K16" s="13" t="str">
        <f>VLOOKUP(J16,'Data-ProjectTypes'!A$3:B$13,2,FALSE)</f>
        <v>Program</v>
      </c>
      <c r="L16" s="12" t="s">
        <v>1377</v>
      </c>
      <c r="M16" s="105" t="s">
        <v>1453</v>
      </c>
      <c r="N16" s="12" t="s">
        <v>1452</v>
      </c>
      <c r="Q16" s="72">
        <v>0.9</v>
      </c>
      <c r="R16" s="23">
        <v>1454000</v>
      </c>
      <c r="S16" s="21"/>
      <c r="T16" s="21"/>
      <c r="U16" s="21"/>
      <c r="V16" s="24"/>
      <c r="W16" s="24"/>
      <c r="X16" s="28"/>
      <c r="Y16" s="17"/>
      <c r="Z16" s="18">
        <f>ROUND(R16*'Data-CostAssumptions'!$C$3,-3)</f>
        <v>2012000</v>
      </c>
      <c r="AA16" s="11">
        <f t="shared" si="1"/>
        <v>0</v>
      </c>
      <c r="AB16" s="11">
        <v>2041</v>
      </c>
      <c r="AC16" s="11">
        <v>2041</v>
      </c>
      <c r="AD16" s="11">
        <v>2041</v>
      </c>
      <c r="AE16" s="19">
        <f>ROUND((Z16*'Data-CostAssumptions'!$G$5)*(1+'Data-CostAssumptions'!$G$3)^(AB16-'Data-CostAssumptions'!$G$4),-3)</f>
        <v>1135000</v>
      </c>
      <c r="AF16" s="19">
        <f>ROUND((Z16)*(1+'Data-CostAssumptions'!$G$3)^(AD16-'Data-CostAssumptions'!$G$4),-3)</f>
        <v>5159000</v>
      </c>
      <c r="AG16" s="170" t="str">
        <f t="shared" si="2"/>
        <v>No</v>
      </c>
    </row>
    <row r="17" spans="1:33" ht="15" customHeight="1" x14ac:dyDescent="0.2">
      <c r="B17" s="11" t="s">
        <v>1211</v>
      </c>
      <c r="D17" s="84" t="s">
        <v>276</v>
      </c>
      <c r="E17" s="104">
        <v>78</v>
      </c>
      <c r="G17" s="20">
        <v>1443</v>
      </c>
      <c r="H17" s="13" t="s">
        <v>1767</v>
      </c>
      <c r="I17" s="13" t="str">
        <f t="shared" si="0"/>
        <v>Riverland Rd (SR 7/US 441 to DAVIE Bl)</v>
      </c>
      <c r="J17" s="12" t="s">
        <v>29</v>
      </c>
      <c r="K17" s="13" t="str">
        <f>VLOOKUP(J17,'Data-ProjectTypes'!A$3:B$13,2,FALSE)</f>
        <v>Program</v>
      </c>
      <c r="L17" s="12" t="s">
        <v>1368</v>
      </c>
      <c r="M17" s="105" t="s">
        <v>57</v>
      </c>
      <c r="N17" s="12" t="s">
        <v>1991</v>
      </c>
      <c r="Q17" s="72">
        <v>2.6</v>
      </c>
      <c r="R17" s="23">
        <v>1431900</v>
      </c>
      <c r="S17" s="21"/>
      <c r="T17" s="21"/>
      <c r="U17" s="21"/>
      <c r="V17" s="24"/>
      <c r="W17" s="24" t="s">
        <v>491</v>
      </c>
      <c r="X17" s="24"/>
      <c r="Y17" s="17" t="s">
        <v>492</v>
      </c>
      <c r="Z17" s="18">
        <f>ROUND(R17*'Data-CostAssumptions'!$C$3,-3)</f>
        <v>1982000</v>
      </c>
      <c r="AA17" s="11">
        <f t="shared" si="1"/>
        <v>1</v>
      </c>
      <c r="AB17" s="11">
        <v>2041</v>
      </c>
      <c r="AC17" s="11">
        <v>2041</v>
      </c>
      <c r="AD17" s="11">
        <v>2041</v>
      </c>
      <c r="AE17" s="19">
        <f>ROUND((Z17*'Data-CostAssumptions'!$G$5)*(1+'Data-CostAssumptions'!$G$3)^(AB17-'Data-CostAssumptions'!$G$4),-3)</f>
        <v>1118000</v>
      </c>
      <c r="AF17" s="19">
        <f>ROUND((Z17)*(1+'Data-CostAssumptions'!$G$3)^(AD17-'Data-CostAssumptions'!$G$4),-3)</f>
        <v>5082000</v>
      </c>
      <c r="AG17" s="170" t="str">
        <f t="shared" si="2"/>
        <v>No</v>
      </c>
    </row>
    <row r="18" spans="1:33" ht="15" customHeight="1" x14ac:dyDescent="0.2">
      <c r="B18" s="11" t="s">
        <v>1211</v>
      </c>
      <c r="D18" s="84" t="s">
        <v>276</v>
      </c>
      <c r="E18" s="104">
        <v>50</v>
      </c>
      <c r="G18" s="20">
        <v>1402</v>
      </c>
      <c r="H18" s="13" t="s">
        <v>1904</v>
      </c>
      <c r="I18" s="13" t="str">
        <f t="shared" si="0"/>
        <v>NE/NW 13TH St (NW 9TH Av/POWER-LINE RD to US 1/FEDERAL HWY)</v>
      </c>
      <c r="J18" s="12" t="s">
        <v>29</v>
      </c>
      <c r="K18" s="13" t="str">
        <f>VLOOKUP(J18,'Data-ProjectTypes'!A$3:B$13,2,FALSE)</f>
        <v>Program</v>
      </c>
      <c r="L18" s="12" t="s">
        <v>1267</v>
      </c>
      <c r="M18" s="105" t="s">
        <v>2173</v>
      </c>
      <c r="N18" s="12" t="s">
        <v>1442</v>
      </c>
      <c r="Q18" s="72">
        <v>2.1</v>
      </c>
      <c r="R18" s="23">
        <v>1348650</v>
      </c>
      <c r="S18" s="21" t="s">
        <v>24</v>
      </c>
      <c r="T18" s="21"/>
      <c r="U18" s="21"/>
      <c r="V18" s="24"/>
      <c r="W18" s="24"/>
      <c r="X18" s="24"/>
      <c r="Y18" s="17" t="s">
        <v>469</v>
      </c>
      <c r="Z18" s="18">
        <f>ROUND(R18*'Data-CostAssumptions'!$C$3,-3)</f>
        <v>1867000</v>
      </c>
      <c r="AA18" s="11">
        <f t="shared" si="1"/>
        <v>0</v>
      </c>
      <c r="AB18" s="11">
        <v>2041</v>
      </c>
      <c r="AC18" s="11">
        <v>2041</v>
      </c>
      <c r="AD18" s="11">
        <v>2041</v>
      </c>
      <c r="AE18" s="19">
        <f>ROUND((Z18*'Data-CostAssumptions'!$G$5)*(1+'Data-CostAssumptions'!$G$3)^(AB18-'Data-CostAssumptions'!$G$4),-3)</f>
        <v>1053000</v>
      </c>
      <c r="AF18" s="19">
        <f>ROUND((Z18)*(1+'Data-CostAssumptions'!$G$3)^(AD18-'Data-CostAssumptions'!$G$4),-3)</f>
        <v>4787000</v>
      </c>
      <c r="AG18" s="170" t="str">
        <f t="shared" si="2"/>
        <v>No</v>
      </c>
    </row>
    <row r="19" spans="1:33" ht="15" customHeight="1" x14ac:dyDescent="0.2">
      <c r="A19" s="11"/>
      <c r="B19" s="11" t="s">
        <v>1211</v>
      </c>
      <c r="C19" s="13">
        <v>633</v>
      </c>
      <c r="D19" s="13" t="s">
        <v>420</v>
      </c>
      <c r="E19" s="20">
        <v>114</v>
      </c>
      <c r="F19" s="20">
        <v>177</v>
      </c>
      <c r="G19" s="20">
        <v>14</v>
      </c>
      <c r="H19" s="13" t="s">
        <v>1761</v>
      </c>
      <c r="I19" s="13" t="str">
        <f t="shared" si="0"/>
        <v>Perimeter Rd (Perimeter Rd Ramp to Perimeter Rd Ramp)</v>
      </c>
      <c r="J19" s="13" t="s">
        <v>29</v>
      </c>
      <c r="K19" s="13" t="str">
        <f>VLOOKUP(J19,'Data-ProjectTypes'!A$3:B$13,2,FALSE)</f>
        <v>Program</v>
      </c>
      <c r="L19" s="21" t="s">
        <v>348</v>
      </c>
      <c r="M19" s="13" t="s">
        <v>2442</v>
      </c>
      <c r="N19" s="13" t="s">
        <v>2442</v>
      </c>
      <c r="O19" s="13" t="s">
        <v>273</v>
      </c>
      <c r="P19" s="13" t="s">
        <v>273</v>
      </c>
      <c r="Q19" s="22">
        <v>5.7</v>
      </c>
      <c r="R19" s="23">
        <v>1319438</v>
      </c>
      <c r="S19" s="21"/>
      <c r="T19" s="21"/>
      <c r="U19" s="21"/>
      <c r="V19" s="24"/>
      <c r="W19" s="24"/>
      <c r="X19" s="24"/>
      <c r="Y19" s="17"/>
      <c r="Z19" s="18">
        <f>ROUND(R19*'Data-CostAssumptions'!$C$3,-3)</f>
        <v>1826000</v>
      </c>
      <c r="AA19" s="11">
        <f t="shared" si="1"/>
        <v>0</v>
      </c>
      <c r="AB19" s="11">
        <v>2041</v>
      </c>
      <c r="AC19" s="11">
        <v>2041</v>
      </c>
      <c r="AD19" s="11">
        <v>2041</v>
      </c>
      <c r="AE19" s="19">
        <f>ROUND((Z19*'Data-CostAssumptions'!$G$5)*(1+'Data-CostAssumptions'!$G$3)^(AB19-'Data-CostAssumptions'!$G$4),-3)</f>
        <v>1030000</v>
      </c>
      <c r="AF19" s="19">
        <f>ROUND((Z19)*(1+'Data-CostAssumptions'!$G$3)^(AD19-'Data-CostAssumptions'!$G$4),-3)</f>
        <v>4682000</v>
      </c>
      <c r="AG19" s="170" t="str">
        <f t="shared" si="2"/>
        <v>No</v>
      </c>
    </row>
    <row r="20" spans="1:33" ht="15" customHeight="1" x14ac:dyDescent="0.2">
      <c r="B20" s="11" t="s">
        <v>1211</v>
      </c>
      <c r="D20" s="84" t="s">
        <v>276</v>
      </c>
      <c r="E20" s="104">
        <v>70</v>
      </c>
      <c r="G20" s="20">
        <v>1434</v>
      </c>
      <c r="H20" s="13" t="s">
        <v>2173</v>
      </c>
      <c r="I20" s="13" t="str">
        <f t="shared" si="0"/>
        <v>NW 9TH Av/POWER-LINE RD (PROSPECT RD to MCNAB Rd)</v>
      </c>
      <c r="J20" s="12" t="s">
        <v>29</v>
      </c>
      <c r="K20" s="13" t="str">
        <f>VLOOKUP(J20,'Data-ProjectTypes'!A$3:B$13,2,FALSE)</f>
        <v>Program</v>
      </c>
      <c r="L20" s="12" t="s">
        <v>1342</v>
      </c>
      <c r="M20" s="105" t="s">
        <v>1242</v>
      </c>
      <c r="N20" s="12" t="s">
        <v>2400</v>
      </c>
      <c r="Q20" s="72">
        <v>2</v>
      </c>
      <c r="R20" s="23">
        <v>1300050</v>
      </c>
      <c r="S20" s="21" t="s">
        <v>24</v>
      </c>
      <c r="T20" s="21" t="s">
        <v>684</v>
      </c>
      <c r="U20" s="21" t="s">
        <v>684</v>
      </c>
      <c r="V20" s="24"/>
      <c r="W20" s="24"/>
      <c r="X20" s="24"/>
      <c r="Y20" s="17" t="s">
        <v>685</v>
      </c>
      <c r="Z20" s="18">
        <f>ROUND(R20*'Data-CostAssumptions'!$C$3,-3)</f>
        <v>1799000</v>
      </c>
      <c r="AA20" s="11">
        <f t="shared" si="1"/>
        <v>0</v>
      </c>
      <c r="AB20" s="11">
        <v>2041</v>
      </c>
      <c r="AC20" s="11">
        <v>2041</v>
      </c>
      <c r="AD20" s="11">
        <v>2041</v>
      </c>
      <c r="AE20" s="19">
        <f>ROUND((Z20*'Data-CostAssumptions'!$G$5)*(1+'Data-CostAssumptions'!$G$3)^(AB20-'Data-CostAssumptions'!$G$4),-3)</f>
        <v>1015000</v>
      </c>
      <c r="AF20" s="19">
        <f>ROUND((Z20)*(1+'Data-CostAssumptions'!$G$3)^(AD20-'Data-CostAssumptions'!$G$4),-3)</f>
        <v>4613000</v>
      </c>
      <c r="AG20" s="170" t="str">
        <f t="shared" si="2"/>
        <v>No</v>
      </c>
    </row>
    <row r="21" spans="1:33" ht="15" customHeight="1" x14ac:dyDescent="0.2">
      <c r="B21" s="11" t="s">
        <v>1211</v>
      </c>
      <c r="D21" s="84" t="s">
        <v>276</v>
      </c>
      <c r="E21" s="104">
        <v>80</v>
      </c>
      <c r="G21" s="20">
        <v>1451</v>
      </c>
      <c r="H21" s="13" t="s">
        <v>1245</v>
      </c>
      <c r="I21" s="13" t="str">
        <f t="shared" si="0"/>
        <v>SE 17TH ST (US 1 to EISENHOWER Bl)</v>
      </c>
      <c r="J21" s="12" t="s">
        <v>29</v>
      </c>
      <c r="K21" s="13" t="str">
        <f>VLOOKUP(J21,'Data-ProjectTypes'!A$3:B$13,2,FALSE)</f>
        <v>Program</v>
      </c>
      <c r="L21" s="12" t="s">
        <v>1377</v>
      </c>
      <c r="M21" s="105" t="s">
        <v>98</v>
      </c>
      <c r="N21" s="12" t="s">
        <v>1993</v>
      </c>
      <c r="Q21" s="72">
        <v>0.8</v>
      </c>
      <c r="R21" s="23">
        <v>1293000</v>
      </c>
      <c r="S21" s="21"/>
      <c r="T21" s="21"/>
      <c r="U21" s="21"/>
      <c r="V21" s="24"/>
      <c r="W21" s="24"/>
      <c r="X21" s="24"/>
      <c r="Y21" s="17"/>
      <c r="Z21" s="18">
        <f>ROUND(R21*'Data-CostAssumptions'!$C$3,-3)</f>
        <v>1790000</v>
      </c>
      <c r="AA21" s="11">
        <f t="shared" si="1"/>
        <v>0</v>
      </c>
      <c r="AB21" s="11">
        <v>2041</v>
      </c>
      <c r="AC21" s="11">
        <v>2041</v>
      </c>
      <c r="AD21" s="11">
        <v>2041</v>
      </c>
      <c r="AE21" s="19">
        <f>ROUND((Z21*'Data-CostAssumptions'!$G$5)*(1+'Data-CostAssumptions'!$G$3)^(AB21-'Data-CostAssumptions'!$G$4),-3)</f>
        <v>1010000</v>
      </c>
      <c r="AF21" s="19">
        <f>ROUND((Z21)*(1+'Data-CostAssumptions'!$G$3)^(AD21-'Data-CostAssumptions'!$G$4),-3)</f>
        <v>4589000</v>
      </c>
      <c r="AG21" s="170" t="str">
        <f t="shared" si="2"/>
        <v>No</v>
      </c>
    </row>
    <row r="22" spans="1:33" ht="15" customHeight="1" x14ac:dyDescent="0.2">
      <c r="B22" s="11" t="s">
        <v>1211</v>
      </c>
      <c r="D22" s="84" t="s">
        <v>276</v>
      </c>
      <c r="E22" s="104">
        <v>60</v>
      </c>
      <c r="G22" s="20">
        <v>1421</v>
      </c>
      <c r="H22" s="13" t="s">
        <v>2167</v>
      </c>
      <c r="I22" s="13" t="str">
        <f t="shared" si="0"/>
        <v>NW 31ST Av (NW 26TH ST  to NW 13TH ST)</v>
      </c>
      <c r="J22" s="12" t="s">
        <v>29</v>
      </c>
      <c r="K22" s="13" t="str">
        <f>VLOOKUP(J22,'Data-ProjectTypes'!A$3:B$13,2,FALSE)</f>
        <v>Program</v>
      </c>
      <c r="L22" s="12" t="s">
        <v>1357</v>
      </c>
      <c r="M22" s="105" t="s">
        <v>1450</v>
      </c>
      <c r="N22" s="12" t="s">
        <v>1449</v>
      </c>
      <c r="Q22" s="72">
        <v>1.1000000000000001</v>
      </c>
      <c r="R22" s="23">
        <v>1275750</v>
      </c>
      <c r="S22" s="21" t="s">
        <v>24</v>
      </c>
      <c r="T22" s="21" t="s">
        <v>25</v>
      </c>
      <c r="U22" s="21"/>
      <c r="V22" s="24"/>
      <c r="W22" s="24"/>
      <c r="X22" s="24"/>
      <c r="Y22" s="17" t="s">
        <v>492</v>
      </c>
      <c r="Z22" s="18">
        <f>ROUND(R22*'Data-CostAssumptions'!$C$3,-3)</f>
        <v>1766000</v>
      </c>
      <c r="AA22" s="11">
        <f t="shared" si="1"/>
        <v>0</v>
      </c>
      <c r="AB22" s="11">
        <v>2041</v>
      </c>
      <c r="AC22" s="11">
        <v>2041</v>
      </c>
      <c r="AD22" s="11">
        <v>2041</v>
      </c>
      <c r="AE22" s="19">
        <f>ROUND((Z22*'Data-CostAssumptions'!$G$5)*(1+'Data-CostAssumptions'!$G$3)^(AB22-'Data-CostAssumptions'!$G$4),-3)</f>
        <v>996000</v>
      </c>
      <c r="AF22" s="19">
        <f>ROUND((Z22)*(1+'Data-CostAssumptions'!$G$3)^(AD22-'Data-CostAssumptions'!$G$4),-3)</f>
        <v>4528000</v>
      </c>
      <c r="AG22" s="170" t="str">
        <f t="shared" si="2"/>
        <v>No</v>
      </c>
    </row>
    <row r="23" spans="1:33" ht="15" customHeight="1" x14ac:dyDescent="0.2">
      <c r="B23" s="11" t="s">
        <v>1211</v>
      </c>
      <c r="D23" s="84" t="s">
        <v>276</v>
      </c>
      <c r="E23" s="104">
        <v>36</v>
      </c>
      <c r="G23" s="20">
        <v>1383</v>
      </c>
      <c r="H23" s="13" t="s">
        <v>2146</v>
      </c>
      <c r="I23" s="13" t="str">
        <f t="shared" si="0"/>
        <v>NE 18TH Av (COMMERCIAL Bl to MCNAB Rd)</v>
      </c>
      <c r="J23" s="12" t="s">
        <v>29</v>
      </c>
      <c r="K23" s="13" t="str">
        <f>VLOOKUP(J23,'Data-ProjectTypes'!A$3:B$13,2,FALSE)</f>
        <v>Program</v>
      </c>
      <c r="L23" s="12" t="s">
        <v>1267</v>
      </c>
      <c r="M23" s="105" t="s">
        <v>1990</v>
      </c>
      <c r="N23" s="12" t="s">
        <v>2400</v>
      </c>
      <c r="Q23" s="72">
        <v>1.3</v>
      </c>
      <c r="R23" s="23">
        <v>1215000</v>
      </c>
      <c r="S23" s="21"/>
      <c r="T23" s="21"/>
      <c r="U23" s="21"/>
      <c r="V23" s="24"/>
      <c r="W23" s="24"/>
      <c r="X23" s="24"/>
      <c r="Y23" s="17"/>
      <c r="Z23" s="18">
        <f>ROUND(R23*'Data-CostAssumptions'!$C$3,-3)</f>
        <v>1682000</v>
      </c>
      <c r="AA23" s="11">
        <f t="shared" si="1"/>
        <v>0</v>
      </c>
      <c r="AB23" s="11">
        <v>2041</v>
      </c>
      <c r="AC23" s="11">
        <v>2041</v>
      </c>
      <c r="AD23" s="11">
        <v>2041</v>
      </c>
      <c r="AE23" s="19">
        <f>ROUND((Z23*'Data-CostAssumptions'!$G$5)*(1+'Data-CostAssumptions'!$G$3)^(AB23-'Data-CostAssumptions'!$G$4),-3)</f>
        <v>949000</v>
      </c>
      <c r="AF23" s="19">
        <f>ROUND((Z23)*(1+'Data-CostAssumptions'!$G$3)^(AD23-'Data-CostAssumptions'!$G$4),-3)</f>
        <v>4313000</v>
      </c>
      <c r="AG23" s="170" t="str">
        <f t="shared" si="2"/>
        <v>No</v>
      </c>
    </row>
    <row r="24" spans="1:33" ht="15" customHeight="1" x14ac:dyDescent="0.2">
      <c r="A24" s="11"/>
      <c r="B24" s="11" t="s">
        <v>1211</v>
      </c>
      <c r="C24" s="11">
        <v>12702</v>
      </c>
      <c r="D24" s="84" t="s">
        <v>278</v>
      </c>
      <c r="E24" s="14"/>
      <c r="F24" s="14"/>
      <c r="G24" s="20">
        <v>1841</v>
      </c>
      <c r="H24" s="13" t="s">
        <v>159</v>
      </c>
      <c r="I24" s="13" t="str">
        <f t="shared" si="0"/>
        <v>Flamingo Rd (Panther Parkway to Broward Bl)</v>
      </c>
      <c r="J24" s="11" t="s">
        <v>29</v>
      </c>
      <c r="K24" s="13" t="str">
        <f>VLOOKUP(J24,'Data-ProjectTypes'!A$3:B$13,2,FALSE)</f>
        <v>Program</v>
      </c>
      <c r="L24" s="11" t="s">
        <v>817</v>
      </c>
      <c r="M24" s="11" t="s">
        <v>86</v>
      </c>
      <c r="N24" s="11" t="s">
        <v>1811</v>
      </c>
      <c r="O24" s="11"/>
      <c r="P24" s="11"/>
      <c r="Q24" s="15">
        <v>2.7</v>
      </c>
      <c r="R24" s="16">
        <v>1200000</v>
      </c>
      <c r="S24" s="21" t="s">
        <v>24</v>
      </c>
      <c r="T24" s="21"/>
      <c r="U24" s="21"/>
      <c r="V24" s="24"/>
      <c r="W24" s="24" t="s">
        <v>546</v>
      </c>
      <c r="X24" s="24"/>
      <c r="Y24" s="17" t="s">
        <v>547</v>
      </c>
      <c r="Z24" s="18">
        <f>ROUND(R24*'Data-CostAssumptions'!$C$3,-3)</f>
        <v>1661000</v>
      </c>
      <c r="AA24" s="11">
        <f t="shared" si="1"/>
        <v>1</v>
      </c>
      <c r="AB24" s="11">
        <v>2041</v>
      </c>
      <c r="AC24" s="11">
        <v>2041</v>
      </c>
      <c r="AD24" s="11">
        <v>2041</v>
      </c>
      <c r="AE24" s="19">
        <f>ROUND((Z24*'Data-CostAssumptions'!$G$5)*(1+'Data-CostAssumptions'!$G$3)^(AB24-'Data-CostAssumptions'!$G$4),-3)</f>
        <v>937000</v>
      </c>
      <c r="AF24" s="19">
        <f>ROUND((Z24)*(1+'Data-CostAssumptions'!$G$3)^(AD24-'Data-CostAssumptions'!$G$4),-3)</f>
        <v>4259000</v>
      </c>
      <c r="AG24" s="170" t="str">
        <f t="shared" si="2"/>
        <v>No</v>
      </c>
    </row>
    <row r="25" spans="1:33" ht="15" customHeight="1" x14ac:dyDescent="0.2">
      <c r="B25" s="11" t="s">
        <v>1211</v>
      </c>
      <c r="D25" s="84" t="s">
        <v>276</v>
      </c>
      <c r="E25" s="104">
        <v>115</v>
      </c>
      <c r="G25" s="20">
        <v>1393</v>
      </c>
      <c r="H25" s="13" t="s">
        <v>2154</v>
      </c>
      <c r="I25" s="13" t="str">
        <f t="shared" si="0"/>
        <v>NE 4TH Av  (SUNRISE Bl to NE 19TH ST)</v>
      </c>
      <c r="J25" s="12" t="s">
        <v>29</v>
      </c>
      <c r="K25" s="13" t="str">
        <f>VLOOKUP(J25,'Data-ProjectTypes'!A$3:B$13,2,FALSE)</f>
        <v>Program</v>
      </c>
      <c r="L25" s="12" t="s">
        <v>1307</v>
      </c>
      <c r="M25" s="105" t="s">
        <v>2002</v>
      </c>
      <c r="N25" s="12" t="s">
        <v>1439</v>
      </c>
      <c r="Q25" s="72">
        <v>1</v>
      </c>
      <c r="R25" s="23">
        <v>1133600</v>
      </c>
      <c r="S25" s="21" t="s">
        <v>24</v>
      </c>
      <c r="T25" s="21" t="s">
        <v>684</v>
      </c>
      <c r="U25" s="21" t="s">
        <v>684</v>
      </c>
      <c r="V25" s="24"/>
      <c r="W25" s="24"/>
      <c r="X25" s="24"/>
      <c r="Y25" s="17" t="s">
        <v>685</v>
      </c>
      <c r="Z25" s="18">
        <f>ROUND(R25*'Data-CostAssumptions'!$C$3,-3)</f>
        <v>1569000</v>
      </c>
      <c r="AA25" s="11">
        <f t="shared" si="1"/>
        <v>0</v>
      </c>
      <c r="AB25" s="11">
        <v>2041</v>
      </c>
      <c r="AC25" s="11">
        <v>2041</v>
      </c>
      <c r="AD25" s="11">
        <v>2041</v>
      </c>
      <c r="AE25" s="19">
        <f>ROUND((Z25*'Data-CostAssumptions'!$G$5)*(1+'Data-CostAssumptions'!$G$3)^(AB25-'Data-CostAssumptions'!$G$4),-3)</f>
        <v>885000</v>
      </c>
      <c r="AF25" s="19">
        <f>ROUND((Z25)*(1+'Data-CostAssumptions'!$G$3)^(AD25-'Data-CostAssumptions'!$G$4),-3)</f>
        <v>4023000</v>
      </c>
      <c r="AG25" s="170" t="str">
        <f t="shared" si="2"/>
        <v>No</v>
      </c>
    </row>
    <row r="26" spans="1:33" ht="15" customHeight="1" x14ac:dyDescent="0.2">
      <c r="A26" s="11"/>
      <c r="B26" s="11" t="s">
        <v>1211</v>
      </c>
      <c r="C26" s="11">
        <v>12268</v>
      </c>
      <c r="D26" s="84" t="s">
        <v>282</v>
      </c>
      <c r="E26" s="14"/>
      <c r="F26" s="14"/>
      <c r="G26" s="20">
        <v>1748</v>
      </c>
      <c r="H26" s="13" t="s">
        <v>1971</v>
      </c>
      <c r="I26" s="13" t="str">
        <f t="shared" si="0"/>
        <v>Washington St (SR 7 to 56th Av)</v>
      </c>
      <c r="J26" s="11" t="s">
        <v>29</v>
      </c>
      <c r="K26" s="13" t="str">
        <f>VLOOKUP(J26,'Data-ProjectTypes'!A$3:B$13,2,FALSE)</f>
        <v>Program</v>
      </c>
      <c r="L26" s="142" t="s">
        <v>607</v>
      </c>
      <c r="M26" s="11" t="s">
        <v>53</v>
      </c>
      <c r="N26" s="11" t="s">
        <v>2011</v>
      </c>
      <c r="O26" s="11"/>
      <c r="P26" s="11"/>
      <c r="Q26" s="79">
        <v>0.5</v>
      </c>
      <c r="R26" s="143">
        <f>ROUND('Data-CostAssumptions'!$C$31*'Data-Projects-All'!Q1745,-1)</f>
        <v>1080000</v>
      </c>
      <c r="S26" s="21"/>
      <c r="T26" s="21"/>
      <c r="U26" s="21"/>
      <c r="V26" s="24"/>
      <c r="W26" s="24"/>
      <c r="X26" s="24"/>
      <c r="Y26" s="17"/>
      <c r="Z26" s="18">
        <f>ROUND(R26*'Data-CostAssumptions'!$C$3,-3)</f>
        <v>1495000</v>
      </c>
      <c r="AA26" s="11">
        <f t="shared" si="1"/>
        <v>0</v>
      </c>
      <c r="AB26" s="11">
        <v>2041</v>
      </c>
      <c r="AC26" s="11">
        <v>2041</v>
      </c>
      <c r="AD26" s="11">
        <v>2041</v>
      </c>
      <c r="AE26" s="19">
        <f>ROUND((Z26*'Data-CostAssumptions'!$G$5)*(1+'Data-CostAssumptions'!$G$3)^(AB26-'Data-CostAssumptions'!$G$4),-3)</f>
        <v>843000</v>
      </c>
      <c r="AF26" s="19">
        <f>ROUND((Z26)*(1+'Data-CostAssumptions'!$G$3)^(AD26-'Data-CostAssumptions'!$G$4),-3)</f>
        <v>3833000</v>
      </c>
      <c r="AG26" s="170" t="str">
        <f t="shared" si="2"/>
        <v>No</v>
      </c>
    </row>
    <row r="27" spans="1:33" ht="15" customHeight="1" x14ac:dyDescent="0.2">
      <c r="A27" s="11"/>
      <c r="B27" s="11" t="s">
        <v>1211</v>
      </c>
      <c r="C27" s="11"/>
      <c r="D27" s="84" t="s">
        <v>276</v>
      </c>
      <c r="E27" s="14">
        <v>2</v>
      </c>
      <c r="F27" s="14"/>
      <c r="G27" s="20">
        <v>1324</v>
      </c>
      <c r="H27" s="13" t="s">
        <v>2014</v>
      </c>
      <c r="I27" s="13" t="str">
        <f t="shared" si="0"/>
        <v>Andrews Av (SE/SW 9TH ST to SUNRISE Bl)</v>
      </c>
      <c r="J27" s="11" t="s">
        <v>29</v>
      </c>
      <c r="K27" s="13" t="str">
        <f>VLOOKUP(J27,'Data-ProjectTypes'!A$3:B$13,2,FALSE)</f>
        <v>Program</v>
      </c>
      <c r="L27" s="11" t="s">
        <v>1254</v>
      </c>
      <c r="M27" s="106" t="s">
        <v>1420</v>
      </c>
      <c r="N27" s="84" t="s">
        <v>2002</v>
      </c>
      <c r="O27" s="11"/>
      <c r="P27" s="11"/>
      <c r="Q27" s="107">
        <v>1.8</v>
      </c>
      <c r="R27" s="23">
        <v>1026000</v>
      </c>
      <c r="S27" s="21" t="s">
        <v>24</v>
      </c>
      <c r="T27" s="21"/>
      <c r="U27" s="21"/>
      <c r="V27" s="24"/>
      <c r="W27" s="24"/>
      <c r="X27" s="24"/>
      <c r="Y27" s="17" t="s">
        <v>469</v>
      </c>
      <c r="Z27" s="18">
        <f>ROUND(R27*'Data-CostAssumptions'!$C$3,-3)</f>
        <v>1420000</v>
      </c>
      <c r="AA27" s="11">
        <f t="shared" si="1"/>
        <v>0</v>
      </c>
      <c r="AB27" s="11">
        <v>2041</v>
      </c>
      <c r="AC27" s="11">
        <v>2041</v>
      </c>
      <c r="AD27" s="11">
        <v>2041</v>
      </c>
      <c r="AE27" s="19">
        <f>ROUND((Z27*'Data-CostAssumptions'!$G$5)*(1+'Data-CostAssumptions'!$G$3)^(AB27-'Data-CostAssumptions'!$G$4),-3)</f>
        <v>801000</v>
      </c>
      <c r="AF27" s="19">
        <f>ROUND((Z27)*(1+'Data-CostAssumptions'!$G$3)^(AD27-'Data-CostAssumptions'!$G$4),-3)</f>
        <v>3641000</v>
      </c>
      <c r="AG27" s="170" t="str">
        <f t="shared" si="2"/>
        <v>No</v>
      </c>
    </row>
    <row r="28" spans="1:33" ht="15" customHeight="1" x14ac:dyDescent="0.2">
      <c r="B28" s="11" t="s">
        <v>1211</v>
      </c>
      <c r="D28" s="84" t="s">
        <v>276</v>
      </c>
      <c r="E28" s="104">
        <v>26</v>
      </c>
      <c r="G28" s="20">
        <v>1351</v>
      </c>
      <c r="H28" s="13" t="s">
        <v>1817</v>
      </c>
      <c r="I28" s="13" t="str">
        <f t="shared" si="0"/>
        <v>Eisenhower Bl (SE 17TH ST to ELLER DR)</v>
      </c>
      <c r="J28" s="12" t="s">
        <v>29</v>
      </c>
      <c r="K28" s="13" t="str">
        <f>VLOOKUP(J28,'Data-ProjectTypes'!A$3:B$13,2,FALSE)</f>
        <v>Program</v>
      </c>
      <c r="L28" s="12" t="s">
        <v>1294</v>
      </c>
      <c r="M28" s="105" t="s">
        <v>1245</v>
      </c>
      <c r="N28" s="12" t="s">
        <v>1434</v>
      </c>
      <c r="Q28" s="72">
        <v>2.4</v>
      </c>
      <c r="R28" s="23">
        <v>1939000</v>
      </c>
      <c r="S28" s="41"/>
      <c r="T28" s="21"/>
      <c r="U28" s="21"/>
      <c r="V28" s="24"/>
      <c r="W28" s="24" t="s">
        <v>421</v>
      </c>
      <c r="X28" s="24"/>
      <c r="Y28" s="44"/>
      <c r="Z28" s="18">
        <f>ROUND(R28/1.384,-3)</f>
        <v>1401000</v>
      </c>
      <c r="AA28" s="11">
        <f t="shared" si="1"/>
        <v>1</v>
      </c>
      <c r="AB28" s="11">
        <v>2041</v>
      </c>
      <c r="AC28" s="11">
        <v>2041</v>
      </c>
      <c r="AD28" s="11">
        <v>2041</v>
      </c>
      <c r="AE28" s="19">
        <f>ROUND((Z28*'Data-CostAssumptions'!$G$5)*(1+'Data-CostAssumptions'!$G$3)^(AB28-'Data-CostAssumptions'!$G$4),-3)</f>
        <v>790000</v>
      </c>
      <c r="AF28" s="19">
        <f>ROUND((Z28)*(1+'Data-CostAssumptions'!$G$3)^(AD28-'Data-CostAssumptions'!$G$4),-3)</f>
        <v>3592000</v>
      </c>
      <c r="AG28" s="170" t="str">
        <f t="shared" si="2"/>
        <v>No</v>
      </c>
    </row>
    <row r="29" spans="1:33" ht="15" customHeight="1" x14ac:dyDescent="0.2">
      <c r="A29" s="11"/>
      <c r="B29" s="11" t="s">
        <v>1211</v>
      </c>
      <c r="C29" s="13">
        <v>773</v>
      </c>
      <c r="D29" s="13" t="s">
        <v>420</v>
      </c>
      <c r="E29" s="20">
        <v>248</v>
      </c>
      <c r="F29" s="20">
        <v>185</v>
      </c>
      <c r="G29" s="20">
        <v>150</v>
      </c>
      <c r="H29" s="13" t="s">
        <v>1854</v>
      </c>
      <c r="I29" s="13" t="str">
        <f t="shared" si="0"/>
        <v>McNab Rd (NW 31st Av to University Dr)</v>
      </c>
      <c r="J29" s="13" t="s">
        <v>29</v>
      </c>
      <c r="K29" s="13" t="str">
        <f>VLOOKUP(J29,'Data-ProjectTypes'!A$3:B$13,2,FALSE)</f>
        <v>Program</v>
      </c>
      <c r="L29" s="21" t="s">
        <v>348</v>
      </c>
      <c r="M29" s="13" t="s">
        <v>2062</v>
      </c>
      <c r="N29" s="13" t="s">
        <v>1804</v>
      </c>
      <c r="O29" s="13" t="s">
        <v>273</v>
      </c>
      <c r="P29" s="13" t="s">
        <v>273</v>
      </c>
      <c r="Q29" s="22">
        <v>4.2</v>
      </c>
      <c r="R29" s="23">
        <v>970029</v>
      </c>
      <c r="S29" s="21"/>
      <c r="T29" s="21"/>
      <c r="U29" s="21"/>
      <c r="V29" s="24"/>
      <c r="W29" s="24"/>
      <c r="X29" s="28"/>
      <c r="Y29" s="17"/>
      <c r="Z29" s="18">
        <f>ROUND(R29*'Data-CostAssumptions'!$C$3,-3)</f>
        <v>1343000</v>
      </c>
      <c r="AA29" s="11">
        <f t="shared" si="1"/>
        <v>0</v>
      </c>
      <c r="AB29" s="11">
        <v>2041</v>
      </c>
      <c r="AC29" s="11">
        <v>2041</v>
      </c>
      <c r="AD29" s="11">
        <v>2041</v>
      </c>
      <c r="AE29" s="19">
        <f>ROUND((Z29*'Data-CostAssumptions'!$G$5)*(1+'Data-CostAssumptions'!$G$3)^(AB29-'Data-CostAssumptions'!$G$4),-3)</f>
        <v>758000</v>
      </c>
      <c r="AF29" s="19">
        <f>ROUND((Z29)*(1+'Data-CostAssumptions'!$G$3)^(AD29-'Data-CostAssumptions'!$G$4),-3)</f>
        <v>3443000</v>
      </c>
      <c r="AG29" s="170" t="str">
        <f t="shared" si="2"/>
        <v>No</v>
      </c>
    </row>
    <row r="30" spans="1:33" ht="15" customHeight="1" x14ac:dyDescent="0.2">
      <c r="B30" s="11" t="s">
        <v>1211</v>
      </c>
      <c r="D30" s="84" t="s">
        <v>276</v>
      </c>
      <c r="E30" s="104">
        <v>89</v>
      </c>
      <c r="G30" s="20">
        <v>1468</v>
      </c>
      <c r="H30" s="13" t="s">
        <v>57</v>
      </c>
      <c r="I30" s="13" t="str">
        <f t="shared" si="0"/>
        <v>SR 7/US 441 (I-595 to DAVIE Bl)</v>
      </c>
      <c r="J30" s="12" t="s">
        <v>29</v>
      </c>
      <c r="K30" s="13" t="str">
        <f>VLOOKUP(J30,'Data-ProjectTypes'!A$3:B$13,2,FALSE)</f>
        <v>Program</v>
      </c>
      <c r="L30" s="12" t="s">
        <v>1385</v>
      </c>
      <c r="M30" s="105" t="s">
        <v>34</v>
      </c>
      <c r="N30" s="12" t="s">
        <v>1991</v>
      </c>
      <c r="Q30" s="72">
        <v>1.4</v>
      </c>
      <c r="R30" s="23">
        <v>936450</v>
      </c>
      <c r="S30" s="21"/>
      <c r="T30" s="21"/>
      <c r="U30" s="21"/>
      <c r="V30" s="24"/>
      <c r="W30" s="24"/>
      <c r="X30" s="24"/>
      <c r="Y30" s="17"/>
      <c r="Z30" s="18">
        <f>ROUND(R30*'Data-CostAssumptions'!$C$3,-3)</f>
        <v>1296000</v>
      </c>
      <c r="AA30" s="11">
        <f t="shared" si="1"/>
        <v>0</v>
      </c>
      <c r="AB30" s="11">
        <v>2041</v>
      </c>
      <c r="AC30" s="11">
        <v>2041</v>
      </c>
      <c r="AD30" s="11">
        <v>2041</v>
      </c>
      <c r="AE30" s="19">
        <f>ROUND((Z30*'Data-CostAssumptions'!$G$5)*(1+'Data-CostAssumptions'!$G$3)^(AB30-'Data-CostAssumptions'!$G$4),-3)</f>
        <v>731000</v>
      </c>
      <c r="AF30" s="19">
        <f>ROUND((Z30)*(1+'Data-CostAssumptions'!$G$3)^(AD30-'Data-CostAssumptions'!$G$4),-3)</f>
        <v>3323000</v>
      </c>
      <c r="AG30" s="170" t="str">
        <f t="shared" si="2"/>
        <v>No</v>
      </c>
    </row>
    <row r="31" spans="1:33" ht="15" customHeight="1" x14ac:dyDescent="0.2">
      <c r="A31" s="11"/>
      <c r="B31" s="11" t="s">
        <v>1211</v>
      </c>
      <c r="C31" s="13">
        <v>903</v>
      </c>
      <c r="D31" s="13" t="s">
        <v>420</v>
      </c>
      <c r="E31" s="20">
        <v>226</v>
      </c>
      <c r="F31" s="20">
        <v>192</v>
      </c>
      <c r="G31" s="20">
        <v>280</v>
      </c>
      <c r="H31" s="13" t="s">
        <v>1876</v>
      </c>
      <c r="I31" s="13" t="str">
        <f t="shared" si="0"/>
        <v>County Line Rd/SW 41st St (SW 40th Av to University Dr)</v>
      </c>
      <c r="J31" s="13" t="s">
        <v>29</v>
      </c>
      <c r="K31" s="13" t="str">
        <f>VLOOKUP(J31,'Data-ProjectTypes'!A$3:B$13,2,FALSE)</f>
        <v>Program</v>
      </c>
      <c r="L31" s="21" t="s">
        <v>348</v>
      </c>
      <c r="M31" s="13" t="s">
        <v>2124</v>
      </c>
      <c r="N31" s="13" t="s">
        <v>1804</v>
      </c>
      <c r="O31" s="13" t="s">
        <v>272</v>
      </c>
      <c r="P31" s="13" t="s">
        <v>272</v>
      </c>
      <c r="Q31" s="22">
        <v>4</v>
      </c>
      <c r="R31" s="23">
        <v>925784</v>
      </c>
      <c r="S31" s="21"/>
      <c r="T31" s="21"/>
      <c r="U31" s="21"/>
      <c r="V31" s="24"/>
      <c r="W31" s="24" t="s">
        <v>677</v>
      </c>
      <c r="X31" s="24" t="s">
        <v>493</v>
      </c>
      <c r="Y31" s="17" t="s">
        <v>673</v>
      </c>
      <c r="Z31" s="18">
        <f>ROUND(R31*'Data-CostAssumptions'!$C$3,-3)</f>
        <v>1281000</v>
      </c>
      <c r="AA31" s="11">
        <f t="shared" si="1"/>
        <v>1</v>
      </c>
      <c r="AB31" s="11">
        <v>2041</v>
      </c>
      <c r="AC31" s="11">
        <v>2041</v>
      </c>
      <c r="AD31" s="11">
        <v>2041</v>
      </c>
      <c r="AE31" s="19">
        <f>ROUND((Z31*'Data-CostAssumptions'!$G$5)*(1+'Data-CostAssumptions'!$G$3)^(AB31-'Data-CostAssumptions'!$G$4),-3)</f>
        <v>723000</v>
      </c>
      <c r="AF31" s="19">
        <f>ROUND((Z31)*(1+'Data-CostAssumptions'!$G$3)^(AD31-'Data-CostAssumptions'!$G$4),-3)</f>
        <v>3284000</v>
      </c>
      <c r="AG31" s="170" t="str">
        <f t="shared" si="2"/>
        <v>No</v>
      </c>
    </row>
    <row r="32" spans="1:33" ht="15" customHeight="1" x14ac:dyDescent="0.2">
      <c r="B32" s="11" t="s">
        <v>1211</v>
      </c>
      <c r="D32" s="84" t="s">
        <v>276</v>
      </c>
      <c r="E32" s="104">
        <v>111</v>
      </c>
      <c r="G32" s="20">
        <v>1343</v>
      </c>
      <c r="H32" s="13" t="s">
        <v>1842</v>
      </c>
      <c r="I32" s="13" t="str">
        <f t="shared" si="0"/>
        <v>Cypress Creek Rd (NW 21ST Av to TURNPIKE)</v>
      </c>
      <c r="J32" s="12" t="s">
        <v>29</v>
      </c>
      <c r="K32" s="13" t="str">
        <f>VLOOKUP(J32,'Data-ProjectTypes'!A$3:B$13,2,FALSE)</f>
        <v>Program</v>
      </c>
      <c r="L32" s="12" t="s">
        <v>1267</v>
      </c>
      <c r="M32" s="105" t="s">
        <v>2164</v>
      </c>
      <c r="N32" s="12" t="s">
        <v>1429</v>
      </c>
      <c r="Q32" s="72">
        <v>1.8</v>
      </c>
      <c r="R32" s="23">
        <v>1190700</v>
      </c>
      <c r="S32" s="21"/>
      <c r="T32" s="21"/>
      <c r="U32" s="21"/>
      <c r="V32" s="24"/>
      <c r="W32" s="24"/>
      <c r="X32" s="24"/>
      <c r="Y32" s="17"/>
      <c r="Z32" s="18">
        <f>ROUND(R32*'Data-CostAssumptions'!$C$8,-3)</f>
        <v>1191000</v>
      </c>
      <c r="AA32" s="11">
        <f t="shared" si="1"/>
        <v>0</v>
      </c>
      <c r="AB32" s="11">
        <v>2041</v>
      </c>
      <c r="AC32" s="11">
        <v>2041</v>
      </c>
      <c r="AD32" s="11">
        <v>2041</v>
      </c>
      <c r="AE32" s="19">
        <f>ROUND((Z32*'Data-CostAssumptions'!$G$5)*(1+'Data-CostAssumptions'!$G$3)^(AB32-'Data-CostAssumptions'!$G$4),-3)</f>
        <v>672000</v>
      </c>
      <c r="AF32" s="19">
        <f>ROUND((Z32)*(1+'Data-CostAssumptions'!$G$3)^(AD32-'Data-CostAssumptions'!$G$4),-3)</f>
        <v>3054000</v>
      </c>
      <c r="AG32" s="170" t="str">
        <f t="shared" si="2"/>
        <v>No</v>
      </c>
    </row>
    <row r="33" spans="1:33" ht="15" customHeight="1" x14ac:dyDescent="0.2">
      <c r="B33" s="11" t="s">
        <v>1211</v>
      </c>
      <c r="D33" s="84" t="s">
        <v>276</v>
      </c>
      <c r="E33" s="104">
        <v>76</v>
      </c>
      <c r="G33" s="20">
        <v>1439</v>
      </c>
      <c r="H33" s="13" t="s">
        <v>1859</v>
      </c>
      <c r="I33" s="13" t="str">
        <f t="shared" si="0"/>
        <v>Prospect Rd (COMMECIAL Bl/SR 870 to NW 31ST Av)</v>
      </c>
      <c r="J33" s="12" t="s">
        <v>29</v>
      </c>
      <c r="K33" s="13" t="str">
        <f>VLOOKUP(J33,'Data-ProjectTypes'!A$3:B$13,2,FALSE)</f>
        <v>Program</v>
      </c>
      <c r="L33" s="12" t="s">
        <v>1364</v>
      </c>
      <c r="M33" s="105" t="s">
        <v>2317</v>
      </c>
      <c r="N33" s="12" t="s">
        <v>2167</v>
      </c>
      <c r="Q33" s="72">
        <v>1.2</v>
      </c>
      <c r="R33" s="23">
        <v>853650</v>
      </c>
      <c r="S33" s="21" t="s">
        <v>24</v>
      </c>
      <c r="T33" s="21" t="s">
        <v>25</v>
      </c>
      <c r="U33" s="21" t="s">
        <v>25</v>
      </c>
      <c r="V33" s="24"/>
      <c r="W33" s="24"/>
      <c r="X33" s="24"/>
      <c r="Y33" s="17" t="s">
        <v>685</v>
      </c>
      <c r="Z33" s="18">
        <f>ROUND(R33*'Data-CostAssumptions'!$C$3,-3)</f>
        <v>1181000</v>
      </c>
      <c r="AA33" s="11">
        <f t="shared" si="1"/>
        <v>0</v>
      </c>
      <c r="AB33" s="11">
        <v>2041</v>
      </c>
      <c r="AC33" s="11">
        <v>2041</v>
      </c>
      <c r="AD33" s="11">
        <v>2041</v>
      </c>
      <c r="AE33" s="19">
        <f>ROUND((Z33*'Data-CostAssumptions'!$G$5)*(1+'Data-CostAssumptions'!$G$3)^(AB33-'Data-CostAssumptions'!$G$4),-3)</f>
        <v>666000</v>
      </c>
      <c r="AF33" s="19">
        <f>ROUND((Z33)*(1+'Data-CostAssumptions'!$G$3)^(AD33-'Data-CostAssumptions'!$G$4),-3)</f>
        <v>3028000</v>
      </c>
      <c r="AG33" s="170" t="str">
        <f t="shared" si="2"/>
        <v>No</v>
      </c>
    </row>
    <row r="34" spans="1:33" ht="15" customHeight="1" x14ac:dyDescent="0.2">
      <c r="A34" s="11"/>
      <c r="B34" s="11" t="s">
        <v>1211</v>
      </c>
      <c r="C34" s="13">
        <v>734</v>
      </c>
      <c r="D34" s="13" t="s">
        <v>420</v>
      </c>
      <c r="E34" s="20">
        <v>3</v>
      </c>
      <c r="F34" s="20">
        <v>183</v>
      </c>
      <c r="G34" s="20">
        <v>112</v>
      </c>
      <c r="H34" s="13" t="s">
        <v>2783</v>
      </c>
      <c r="I34" s="13" t="str">
        <f t="shared" si="0"/>
        <v>SR 814/Atlantic Bl/NW 8th Court (Ramblewood Dr to Lakeview Dr)</v>
      </c>
      <c r="J34" s="13" t="s">
        <v>29</v>
      </c>
      <c r="K34" s="13" t="str">
        <f>VLOOKUP(J34,'Data-ProjectTypes'!A$3:B$13,2,FALSE)</f>
        <v>Program</v>
      </c>
      <c r="L34" s="21" t="s">
        <v>348</v>
      </c>
      <c r="M34" s="13" t="s">
        <v>1798</v>
      </c>
      <c r="N34" s="13" t="s">
        <v>1793</v>
      </c>
      <c r="O34" s="13" t="s">
        <v>273</v>
      </c>
      <c r="P34" s="13" t="s">
        <v>273</v>
      </c>
      <c r="Q34" s="22">
        <v>3.6</v>
      </c>
      <c r="R34" s="23">
        <v>843268</v>
      </c>
      <c r="S34" s="21"/>
      <c r="T34" s="21"/>
      <c r="U34" s="21"/>
      <c r="V34" s="24"/>
      <c r="W34" s="24"/>
      <c r="X34" s="24"/>
      <c r="Y34" s="17"/>
      <c r="Z34" s="18">
        <f>ROUND(R34*'Data-CostAssumptions'!$C$3,-3)</f>
        <v>1167000</v>
      </c>
      <c r="AA34" s="11">
        <f t="shared" si="1"/>
        <v>0</v>
      </c>
      <c r="AB34" s="11">
        <v>2041</v>
      </c>
      <c r="AC34" s="11">
        <v>2041</v>
      </c>
      <c r="AD34" s="11">
        <v>2041</v>
      </c>
      <c r="AE34" s="19">
        <f>ROUND((Z34*'Data-CostAssumptions'!$G$5)*(1+'Data-CostAssumptions'!$G$3)^(AB34-'Data-CostAssumptions'!$G$4),-3)</f>
        <v>658000</v>
      </c>
      <c r="AF34" s="19">
        <f>ROUND((Z34)*(1+'Data-CostAssumptions'!$G$3)^(AD34-'Data-CostAssumptions'!$G$4),-3)</f>
        <v>2992000</v>
      </c>
      <c r="AG34" s="170" t="str">
        <f t="shared" si="2"/>
        <v>No</v>
      </c>
    </row>
    <row r="35" spans="1:33" ht="15" customHeight="1" x14ac:dyDescent="0.2">
      <c r="B35" s="11" t="s">
        <v>1211</v>
      </c>
      <c r="D35" s="84" t="s">
        <v>276</v>
      </c>
      <c r="E35" s="104">
        <v>69</v>
      </c>
      <c r="G35" s="20">
        <v>1433</v>
      </c>
      <c r="H35" s="13" t="s">
        <v>2172</v>
      </c>
      <c r="I35" s="13" t="str">
        <f t="shared" si="0"/>
        <v>NW 9TH Av/POWERLINE RD (SUNRISE Bl to NW 23RD ST)</v>
      </c>
      <c r="J35" s="12" t="s">
        <v>29</v>
      </c>
      <c r="K35" s="13" t="str">
        <f>VLOOKUP(J35,'Data-ProjectTypes'!A$3:B$13,2,FALSE)</f>
        <v>Program</v>
      </c>
      <c r="L35" s="12" t="s">
        <v>1335</v>
      </c>
      <c r="M35" s="105" t="s">
        <v>2002</v>
      </c>
      <c r="N35" s="12" t="s">
        <v>1444</v>
      </c>
      <c r="Q35" s="72">
        <v>1.4</v>
      </c>
      <c r="R35" s="23">
        <v>838350</v>
      </c>
      <c r="S35" s="21" t="s">
        <v>24</v>
      </c>
      <c r="T35" s="21" t="s">
        <v>25</v>
      </c>
      <c r="U35" s="21" t="s">
        <v>25</v>
      </c>
      <c r="V35" s="24"/>
      <c r="W35" s="24"/>
      <c r="X35" s="24"/>
      <c r="Y35" s="17" t="s">
        <v>685</v>
      </c>
      <c r="Z35" s="18">
        <f>ROUND(R35*'Data-CostAssumptions'!$C$3,-3)</f>
        <v>1160000</v>
      </c>
      <c r="AA35" s="11">
        <f t="shared" si="1"/>
        <v>0</v>
      </c>
      <c r="AB35" s="11">
        <v>2041</v>
      </c>
      <c r="AC35" s="11">
        <v>2041</v>
      </c>
      <c r="AD35" s="11">
        <v>2041</v>
      </c>
      <c r="AE35" s="19">
        <f>ROUND((Z35*'Data-CostAssumptions'!$G$5)*(1+'Data-CostAssumptions'!$G$3)^(AB35-'Data-CostAssumptions'!$G$4),-3)</f>
        <v>654000</v>
      </c>
      <c r="AF35" s="19">
        <f>ROUND((Z35)*(1+'Data-CostAssumptions'!$G$3)^(AD35-'Data-CostAssumptions'!$G$4),-3)</f>
        <v>2974000</v>
      </c>
      <c r="AG35" s="170" t="str">
        <f t="shared" si="2"/>
        <v>No</v>
      </c>
    </row>
    <row r="36" spans="1:33" ht="15" customHeight="1" x14ac:dyDescent="0.2">
      <c r="B36" s="11" t="s">
        <v>1211</v>
      </c>
      <c r="D36" s="84" t="s">
        <v>276</v>
      </c>
      <c r="E36" s="104">
        <v>74</v>
      </c>
      <c r="G36" s="20">
        <v>1441</v>
      </c>
      <c r="H36" s="13" t="s">
        <v>1859</v>
      </c>
      <c r="I36" s="13" t="str">
        <f t="shared" si="0"/>
        <v>Prospect Rd (POWERLINE RD/SR 845 to COMMERCIAL Bl/SR 870)</v>
      </c>
      <c r="J36" s="12" t="s">
        <v>29</v>
      </c>
      <c r="K36" s="13" t="str">
        <f>VLOOKUP(J36,'Data-ProjectTypes'!A$3:B$13,2,FALSE)</f>
        <v>Program</v>
      </c>
      <c r="L36" s="12" t="s">
        <v>1362</v>
      </c>
      <c r="M36" s="105" t="s">
        <v>1451</v>
      </c>
      <c r="N36" s="12" t="s">
        <v>2308</v>
      </c>
      <c r="Q36" s="72">
        <v>1.5</v>
      </c>
      <c r="R36" s="23">
        <v>835450</v>
      </c>
      <c r="S36" s="21"/>
      <c r="T36" s="21"/>
      <c r="U36" s="21"/>
      <c r="V36" s="24"/>
      <c r="W36" s="24"/>
      <c r="X36" s="24"/>
      <c r="Y36" s="17"/>
      <c r="Z36" s="18">
        <f>ROUND(R36*'Data-CostAssumptions'!$C$3,-3)</f>
        <v>1156000</v>
      </c>
      <c r="AA36" s="11">
        <f t="shared" si="1"/>
        <v>0</v>
      </c>
      <c r="AB36" s="11">
        <v>2041</v>
      </c>
      <c r="AC36" s="11">
        <v>2041</v>
      </c>
      <c r="AD36" s="11">
        <v>2041</v>
      </c>
      <c r="AE36" s="19">
        <f>ROUND((Z36*'Data-CostAssumptions'!$G$5)*(1+'Data-CostAssumptions'!$G$3)^(AB36-'Data-CostAssumptions'!$G$4),-3)</f>
        <v>652000</v>
      </c>
      <c r="AF36" s="19">
        <f>ROUND((Z36)*(1+'Data-CostAssumptions'!$G$3)^(AD36-'Data-CostAssumptions'!$G$4),-3)</f>
        <v>2964000</v>
      </c>
      <c r="AG36" s="170" t="str">
        <f t="shared" si="2"/>
        <v>No</v>
      </c>
    </row>
    <row r="37" spans="1:33" ht="15" customHeight="1" x14ac:dyDescent="0.2">
      <c r="A37" s="11"/>
      <c r="B37" s="11" t="s">
        <v>1211</v>
      </c>
      <c r="C37" s="13">
        <v>742</v>
      </c>
      <c r="D37" s="13" t="s">
        <v>420</v>
      </c>
      <c r="E37" s="20">
        <v>49</v>
      </c>
      <c r="F37" s="20">
        <v>183</v>
      </c>
      <c r="G37" s="20">
        <v>119</v>
      </c>
      <c r="H37" s="13" t="s">
        <v>2102</v>
      </c>
      <c r="I37" s="13" t="str">
        <f t="shared" si="0"/>
        <v>SW 136th Av (State Rd 84 to Sunrise Bl)</v>
      </c>
      <c r="J37" s="13" t="s">
        <v>29</v>
      </c>
      <c r="K37" s="13" t="str">
        <f>VLOOKUP(J37,'Data-ProjectTypes'!A$3:B$13,2,FALSE)</f>
        <v>Program</v>
      </c>
      <c r="L37" s="21" t="s">
        <v>348</v>
      </c>
      <c r="M37" s="13" t="s">
        <v>1774</v>
      </c>
      <c r="N37" s="13" t="s">
        <v>1830</v>
      </c>
      <c r="O37" s="13" t="s">
        <v>273</v>
      </c>
      <c r="P37" s="13" t="s">
        <v>273</v>
      </c>
      <c r="Q37" s="22">
        <v>1.9</v>
      </c>
      <c r="R37" s="23">
        <v>827000</v>
      </c>
      <c r="S37" s="21"/>
      <c r="T37" s="21" t="s">
        <v>24</v>
      </c>
      <c r="U37" s="21" t="s">
        <v>25</v>
      </c>
      <c r="V37" s="24" t="s">
        <v>24</v>
      </c>
      <c r="W37" s="24" t="s">
        <v>561</v>
      </c>
      <c r="X37" s="24"/>
      <c r="Y37" s="17" t="s">
        <v>538</v>
      </c>
      <c r="Z37" s="18">
        <f>ROUND(R37*'Data-CostAssumptions'!$C$3,-3)</f>
        <v>1145000</v>
      </c>
      <c r="AA37" s="11">
        <f t="shared" si="1"/>
        <v>1</v>
      </c>
      <c r="AB37" s="11">
        <v>2041</v>
      </c>
      <c r="AC37" s="11">
        <v>2041</v>
      </c>
      <c r="AD37" s="11">
        <v>2041</v>
      </c>
      <c r="AE37" s="19">
        <f>ROUND((Z37*'Data-CostAssumptions'!$G$5)*(1+'Data-CostAssumptions'!$G$3)^(AB37-'Data-CostAssumptions'!$G$4),-3)</f>
        <v>646000</v>
      </c>
      <c r="AF37" s="19">
        <f>ROUND((Z37)*(1+'Data-CostAssumptions'!$G$3)^(AD37-'Data-CostAssumptions'!$G$4),-3)</f>
        <v>2936000</v>
      </c>
      <c r="AG37" s="170" t="str">
        <f t="shared" si="2"/>
        <v>No</v>
      </c>
    </row>
    <row r="38" spans="1:33" ht="15" customHeight="1" x14ac:dyDescent="0.2">
      <c r="B38" s="11" t="s">
        <v>1211</v>
      </c>
      <c r="D38" s="84" t="s">
        <v>276</v>
      </c>
      <c r="E38" s="104">
        <v>82</v>
      </c>
      <c r="G38" s="20">
        <v>1458</v>
      </c>
      <c r="H38" s="13" t="s">
        <v>2183</v>
      </c>
      <c r="I38" s="13" t="str">
        <f t="shared" si="0"/>
        <v>SE/NE 3RD Av (DAVIE Bl to NE 6TH ST)</v>
      </c>
      <c r="J38" s="12" t="s">
        <v>29</v>
      </c>
      <c r="K38" s="13" t="str">
        <f>VLOOKUP(J38,'Data-ProjectTypes'!A$3:B$13,2,FALSE)</f>
        <v>Program</v>
      </c>
      <c r="L38" s="12" t="s">
        <v>1374</v>
      </c>
      <c r="M38" s="105" t="s">
        <v>1991</v>
      </c>
      <c r="N38" s="12" t="s">
        <v>1230</v>
      </c>
      <c r="Q38" s="72">
        <v>1.5</v>
      </c>
      <c r="R38" s="23">
        <v>770300</v>
      </c>
      <c r="S38" s="21"/>
      <c r="T38" s="21"/>
      <c r="U38" s="21"/>
      <c r="V38" s="24"/>
      <c r="W38" s="24"/>
      <c r="X38" s="28"/>
      <c r="Y38" s="17"/>
      <c r="Z38" s="18">
        <f>ROUND(R38*'Data-CostAssumptions'!$C$3,-3)</f>
        <v>1066000</v>
      </c>
      <c r="AA38" s="11">
        <f t="shared" si="1"/>
        <v>0</v>
      </c>
      <c r="AB38" s="11">
        <v>2041</v>
      </c>
      <c r="AC38" s="11">
        <v>2041</v>
      </c>
      <c r="AD38" s="11">
        <v>2041</v>
      </c>
      <c r="AE38" s="19">
        <f>ROUND((Z38*'Data-CostAssumptions'!$G$5)*(1+'Data-CostAssumptions'!$G$3)^(AB38-'Data-CostAssumptions'!$G$4),-3)</f>
        <v>601000</v>
      </c>
      <c r="AF38" s="19">
        <f>ROUND((Z38)*(1+'Data-CostAssumptions'!$G$3)^(AD38-'Data-CostAssumptions'!$G$4),-3)</f>
        <v>2733000</v>
      </c>
      <c r="AG38" s="170" t="str">
        <f t="shared" si="2"/>
        <v>No</v>
      </c>
    </row>
    <row r="39" spans="1:33" ht="15" customHeight="1" x14ac:dyDescent="0.2">
      <c r="A39" s="11"/>
      <c r="B39" s="11" t="s">
        <v>1211</v>
      </c>
      <c r="C39" s="13">
        <v>786</v>
      </c>
      <c r="D39" s="13" t="s">
        <v>420</v>
      </c>
      <c r="E39" s="20">
        <v>5</v>
      </c>
      <c r="F39" s="20">
        <v>186</v>
      </c>
      <c r="G39" s="20">
        <v>163</v>
      </c>
      <c r="H39" s="13" t="s">
        <v>1786</v>
      </c>
      <c r="I39" s="13" t="str">
        <f t="shared" si="0"/>
        <v>Coral Ridge Dr (Royal Palm Bl to Holmberg Rd)</v>
      </c>
      <c r="J39" s="13" t="s">
        <v>29</v>
      </c>
      <c r="K39" s="13" t="str">
        <f>VLOOKUP(J39,'Data-ProjectTypes'!A$3:B$13,2,FALSE)</f>
        <v>Program</v>
      </c>
      <c r="L39" s="21" t="s">
        <v>348</v>
      </c>
      <c r="M39" s="13" t="s">
        <v>1827</v>
      </c>
      <c r="N39" s="13" t="s">
        <v>2404</v>
      </c>
      <c r="O39" s="13" t="s">
        <v>273</v>
      </c>
      <c r="P39" s="13" t="s">
        <v>273</v>
      </c>
      <c r="Q39" s="22">
        <v>3.3</v>
      </c>
      <c r="R39" s="23">
        <v>762989</v>
      </c>
      <c r="S39" s="21" t="s">
        <v>24</v>
      </c>
      <c r="T39" s="21" t="s">
        <v>25</v>
      </c>
      <c r="U39" s="21"/>
      <c r="V39" s="24"/>
      <c r="W39" s="24" t="s">
        <v>517</v>
      </c>
      <c r="X39" s="24"/>
      <c r="Y39" s="17" t="s">
        <v>297</v>
      </c>
      <c r="Z39" s="18">
        <f>ROUND(R39*'Data-CostAssumptions'!$C$3,-3)</f>
        <v>1056000</v>
      </c>
      <c r="AA39" s="11">
        <f t="shared" si="1"/>
        <v>1</v>
      </c>
      <c r="AB39" s="11">
        <v>2041</v>
      </c>
      <c r="AC39" s="11">
        <v>2041</v>
      </c>
      <c r="AD39" s="11">
        <v>2041</v>
      </c>
      <c r="AE39" s="19">
        <f>ROUND((Z39*'Data-CostAssumptions'!$G$5)*(1+'Data-CostAssumptions'!$G$3)^(AB39-'Data-CostAssumptions'!$G$4),-3)</f>
        <v>596000</v>
      </c>
      <c r="AF39" s="19">
        <f>ROUND((Z39)*(1+'Data-CostAssumptions'!$G$3)^(AD39-'Data-CostAssumptions'!$G$4),-3)</f>
        <v>2708000</v>
      </c>
      <c r="AG39" s="170" t="str">
        <f t="shared" si="2"/>
        <v>No</v>
      </c>
    </row>
    <row r="40" spans="1:33" ht="15" customHeight="1" x14ac:dyDescent="0.2">
      <c r="B40" s="11" t="s">
        <v>1211</v>
      </c>
      <c r="D40" s="84" t="s">
        <v>276</v>
      </c>
      <c r="E40" s="104">
        <v>85</v>
      </c>
      <c r="G40" s="20">
        <v>1475</v>
      </c>
      <c r="H40" s="13" t="s">
        <v>45</v>
      </c>
      <c r="I40" s="13" t="str">
        <f t="shared" si="0"/>
        <v>SR 84 (PORT ENTRANCE to US 1)</v>
      </c>
      <c r="J40" s="12" t="s">
        <v>29</v>
      </c>
      <c r="K40" s="13" t="str">
        <f>VLOOKUP(J40,'Data-ProjectTypes'!A$3:B$13,2,FALSE)</f>
        <v>Program</v>
      </c>
      <c r="L40" s="12" t="s">
        <v>1387</v>
      </c>
      <c r="M40" s="105" t="s">
        <v>1454</v>
      </c>
      <c r="N40" s="12" t="s">
        <v>98</v>
      </c>
      <c r="Q40" s="72">
        <v>0.8</v>
      </c>
      <c r="R40" s="23">
        <v>760000</v>
      </c>
      <c r="S40" s="21"/>
      <c r="T40" s="21"/>
      <c r="U40" s="21" t="s">
        <v>24</v>
      </c>
      <c r="V40" s="24"/>
      <c r="W40" s="24" t="s">
        <v>845</v>
      </c>
      <c r="X40" s="24"/>
      <c r="Y40" s="17" t="s">
        <v>844</v>
      </c>
      <c r="Z40" s="18">
        <f>ROUND(R40*'Data-CostAssumptions'!$C$3,-3)</f>
        <v>1052000</v>
      </c>
      <c r="AA40" s="11">
        <f t="shared" si="1"/>
        <v>1</v>
      </c>
      <c r="AB40" s="11">
        <v>2041</v>
      </c>
      <c r="AC40" s="11">
        <v>2041</v>
      </c>
      <c r="AD40" s="11">
        <v>2041</v>
      </c>
      <c r="AE40" s="19">
        <f>ROUND((Z40*'Data-CostAssumptions'!$G$5)*(1+'Data-CostAssumptions'!$G$3)^(AB40-'Data-CostAssumptions'!$G$4),-3)</f>
        <v>593000</v>
      </c>
      <c r="AF40" s="19">
        <f>ROUND((Z40)*(1+'Data-CostAssumptions'!$G$3)^(AD40-'Data-CostAssumptions'!$G$4),-3)</f>
        <v>2697000</v>
      </c>
      <c r="AG40" s="170" t="str">
        <f t="shared" si="2"/>
        <v>No</v>
      </c>
    </row>
    <row r="41" spans="1:33" ht="15" customHeight="1" x14ac:dyDescent="0.2">
      <c r="A41" s="11"/>
      <c r="B41" s="11" t="s">
        <v>1211</v>
      </c>
      <c r="C41" s="11"/>
      <c r="D41" s="84" t="s">
        <v>276</v>
      </c>
      <c r="E41" s="14">
        <v>1</v>
      </c>
      <c r="F41" s="14"/>
      <c r="G41" s="20">
        <v>1325</v>
      </c>
      <c r="H41" s="13" t="s">
        <v>2014</v>
      </c>
      <c r="I41" s="13" t="str">
        <f t="shared" si="0"/>
        <v>Andrews Av (SR 84/SW 24TH ST to SE/SW 9TH ST)</v>
      </c>
      <c r="J41" s="11" t="s">
        <v>29</v>
      </c>
      <c r="K41" s="13" t="str">
        <f>VLOOKUP(J41,'Data-ProjectTypes'!A$3:B$13,2,FALSE)</f>
        <v>Program</v>
      </c>
      <c r="L41" s="11" t="s">
        <v>1254</v>
      </c>
      <c r="M41" s="106" t="s">
        <v>1419</v>
      </c>
      <c r="N41" s="84" t="s">
        <v>1420</v>
      </c>
      <c r="O41" s="11"/>
      <c r="P41" s="11"/>
      <c r="Q41" s="107">
        <v>1.3</v>
      </c>
      <c r="R41" s="23">
        <v>741000</v>
      </c>
      <c r="S41" s="21" t="s">
        <v>24</v>
      </c>
      <c r="T41" s="21" t="s">
        <v>584</v>
      </c>
      <c r="U41" s="21"/>
      <c r="V41" s="24" t="s">
        <v>585</v>
      </c>
      <c r="W41" s="24"/>
      <c r="X41" s="24"/>
      <c r="Y41" s="17" t="s">
        <v>538</v>
      </c>
      <c r="Z41" s="18">
        <f>ROUND(R41*'Data-CostAssumptions'!$C$3,-3)</f>
        <v>1026000</v>
      </c>
      <c r="AA41" s="11">
        <f t="shared" si="1"/>
        <v>1</v>
      </c>
      <c r="AB41" s="11">
        <v>2041</v>
      </c>
      <c r="AC41" s="11">
        <v>2041</v>
      </c>
      <c r="AD41" s="11">
        <v>2041</v>
      </c>
      <c r="AE41" s="19">
        <f>ROUND((Z41*'Data-CostAssumptions'!$G$5)*(1+'Data-CostAssumptions'!$G$3)^(AB41-'Data-CostAssumptions'!$G$4),-3)</f>
        <v>579000</v>
      </c>
      <c r="AF41" s="19">
        <f>ROUND((Z41)*(1+'Data-CostAssumptions'!$G$3)^(AD41-'Data-CostAssumptions'!$G$4),-3)</f>
        <v>2631000</v>
      </c>
      <c r="AG41" s="170" t="str">
        <f t="shared" si="2"/>
        <v>No</v>
      </c>
    </row>
    <row r="42" spans="1:33" ht="15" customHeight="1" x14ac:dyDescent="0.2">
      <c r="A42" s="11"/>
      <c r="B42" s="11" t="s">
        <v>1211</v>
      </c>
      <c r="C42" s="13">
        <v>844</v>
      </c>
      <c r="D42" s="13" t="s">
        <v>420</v>
      </c>
      <c r="E42" s="20">
        <v>46</v>
      </c>
      <c r="F42" s="20">
        <v>189</v>
      </c>
      <c r="G42" s="20">
        <v>220</v>
      </c>
      <c r="H42" s="13" t="s">
        <v>1752</v>
      </c>
      <c r="I42" s="13" t="str">
        <f t="shared" si="0"/>
        <v>Hiatus Rd (Orange Dr to State Rd 84)</v>
      </c>
      <c r="J42" s="13" t="s">
        <v>29</v>
      </c>
      <c r="K42" s="13" t="str">
        <f>VLOOKUP(J42,'Data-ProjectTypes'!A$3:B$13,2,FALSE)</f>
        <v>Program</v>
      </c>
      <c r="L42" s="21" t="s">
        <v>348</v>
      </c>
      <c r="M42" s="13" t="s">
        <v>184</v>
      </c>
      <c r="N42" s="13" t="s">
        <v>1774</v>
      </c>
      <c r="O42" s="13" t="s">
        <v>279</v>
      </c>
      <c r="P42" s="13" t="s">
        <v>279</v>
      </c>
      <c r="Q42" s="22">
        <v>3.2</v>
      </c>
      <c r="R42" s="23">
        <v>732361</v>
      </c>
      <c r="S42" s="21" t="s">
        <v>24</v>
      </c>
      <c r="T42" s="21" t="s">
        <v>25</v>
      </c>
      <c r="U42" s="21" t="s">
        <v>24</v>
      </c>
      <c r="V42" s="24" t="s">
        <v>561</v>
      </c>
      <c r="W42" s="24"/>
      <c r="X42" s="24"/>
      <c r="Y42" s="17" t="s">
        <v>538</v>
      </c>
      <c r="Z42" s="18">
        <f>ROUND(R42*'Data-CostAssumptions'!$C$3,-3)</f>
        <v>1014000</v>
      </c>
      <c r="AA42" s="11">
        <f t="shared" si="1"/>
        <v>1</v>
      </c>
      <c r="AB42" s="11">
        <v>2041</v>
      </c>
      <c r="AC42" s="11">
        <v>2041</v>
      </c>
      <c r="AD42" s="11">
        <v>2041</v>
      </c>
      <c r="AE42" s="19">
        <f>ROUND((Z42*'Data-CostAssumptions'!$G$5)*(1+'Data-CostAssumptions'!$G$3)^(AB42-'Data-CostAssumptions'!$G$4),-3)</f>
        <v>572000</v>
      </c>
      <c r="AF42" s="19">
        <f>ROUND((Z42)*(1+'Data-CostAssumptions'!$G$3)^(AD42-'Data-CostAssumptions'!$G$4),-3)</f>
        <v>2600000</v>
      </c>
      <c r="AG42" s="170" t="str">
        <f t="shared" si="2"/>
        <v>No</v>
      </c>
    </row>
    <row r="43" spans="1:33" ht="15" customHeight="1" x14ac:dyDescent="0.2">
      <c r="A43" s="11"/>
      <c r="B43" s="11" t="s">
        <v>1211</v>
      </c>
      <c r="C43" s="11"/>
      <c r="D43" s="84" t="s">
        <v>276</v>
      </c>
      <c r="E43" s="14">
        <v>11</v>
      </c>
      <c r="F43" s="14"/>
      <c r="G43" s="20">
        <v>1483</v>
      </c>
      <c r="H43" s="13" t="s">
        <v>2803</v>
      </c>
      <c r="I43" s="13" t="str">
        <f t="shared" si="0"/>
        <v>SR 870/Commercial Bl (SR A1A/OCEAN DR to US 1/SR 5/FEDERAL HWY)</v>
      </c>
      <c r="J43" s="11" t="s">
        <v>29</v>
      </c>
      <c r="K43" s="13" t="str">
        <f>VLOOKUP(J43,'Data-ProjectTypes'!A$3:B$13,2,FALSE)</f>
        <v>Program</v>
      </c>
      <c r="L43" s="11" t="s">
        <v>1268</v>
      </c>
      <c r="M43" s="106" t="s">
        <v>1426</v>
      </c>
      <c r="N43" s="84" t="s">
        <v>1425</v>
      </c>
      <c r="O43" s="11"/>
      <c r="P43" s="11"/>
      <c r="Q43" s="107">
        <v>1.1000000000000001</v>
      </c>
      <c r="R43" s="23">
        <v>721850</v>
      </c>
      <c r="S43" s="21"/>
      <c r="T43" s="21"/>
      <c r="U43" s="21"/>
      <c r="V43" s="24"/>
      <c r="W43" s="24"/>
      <c r="X43" s="24"/>
      <c r="Y43" s="17"/>
      <c r="Z43" s="18">
        <f>ROUND(R43*'Data-CostAssumptions'!$C$3,-3)</f>
        <v>999000</v>
      </c>
      <c r="AA43" s="11">
        <f t="shared" si="1"/>
        <v>0</v>
      </c>
      <c r="AB43" s="11">
        <v>2041</v>
      </c>
      <c r="AC43" s="11">
        <v>2041</v>
      </c>
      <c r="AD43" s="11">
        <v>2041</v>
      </c>
      <c r="AE43" s="19">
        <f>ROUND((Z43*'Data-CostAssumptions'!$G$5)*(1+'Data-CostAssumptions'!$G$3)^(AB43-'Data-CostAssumptions'!$G$4),-3)</f>
        <v>564000</v>
      </c>
      <c r="AF43" s="19">
        <f>ROUND((Z43)*(1+'Data-CostAssumptions'!$G$3)^(AD43-'Data-CostAssumptions'!$G$4),-3)</f>
        <v>2561000</v>
      </c>
      <c r="AG43" s="170" t="str">
        <f t="shared" si="2"/>
        <v>No</v>
      </c>
    </row>
    <row r="44" spans="1:33" ht="15" customHeight="1" x14ac:dyDescent="0.2">
      <c r="A44" s="11"/>
      <c r="B44" s="11" t="s">
        <v>1211</v>
      </c>
      <c r="C44" s="11">
        <v>12307</v>
      </c>
      <c r="D44" s="84" t="s">
        <v>282</v>
      </c>
      <c r="E44" s="14"/>
      <c r="F44" s="14"/>
      <c r="G44" s="20">
        <v>1765</v>
      </c>
      <c r="H44" s="13" t="s">
        <v>2006</v>
      </c>
      <c r="I44" s="13" t="str">
        <f t="shared" si="0"/>
        <v>14th Av (Hallendale Beach City Limit to Hollywood Bl)</v>
      </c>
      <c r="J44" s="11" t="s">
        <v>29</v>
      </c>
      <c r="K44" s="13" t="str">
        <f>VLOOKUP(J44,'Data-ProjectTypes'!A$3:B$13,2,FALSE)</f>
        <v>Program</v>
      </c>
      <c r="L44" s="142" t="s">
        <v>644</v>
      </c>
      <c r="M44" s="11" t="s">
        <v>661</v>
      </c>
      <c r="N44" s="11" t="s">
        <v>1820</v>
      </c>
      <c r="O44" s="11"/>
      <c r="P44" s="11"/>
      <c r="Q44" s="79">
        <v>1.8</v>
      </c>
      <c r="R44" s="143">
        <f>ROUND(Q44*'Data-CostAssumptions'!$C$25,-1)+(200000)+ROUND('Data-CostAssumptions'!$C$23*'Data-Projects-All'!Q1743,-1)</f>
        <v>722120</v>
      </c>
      <c r="S44" s="21"/>
      <c r="T44" s="21"/>
      <c r="U44" s="21"/>
      <c r="V44" s="24"/>
      <c r="W44" s="24"/>
      <c r="X44" s="28" t="s">
        <v>764</v>
      </c>
      <c r="Y44" s="17" t="s">
        <v>765</v>
      </c>
      <c r="Z44" s="18">
        <f>ROUND(R44*'Data-CostAssumptions'!$C$3,-3)</f>
        <v>999000</v>
      </c>
      <c r="AA44" s="11">
        <f t="shared" si="1"/>
        <v>0</v>
      </c>
      <c r="AB44" s="11">
        <v>2041</v>
      </c>
      <c r="AC44" s="11">
        <v>2041</v>
      </c>
      <c r="AD44" s="11">
        <v>2041</v>
      </c>
      <c r="AE44" s="19">
        <f>ROUND((Z44*'Data-CostAssumptions'!$G$5)*(1+'Data-CostAssumptions'!$G$3)^(AB44-'Data-CostAssumptions'!$G$4),-3)</f>
        <v>564000</v>
      </c>
      <c r="AF44" s="19">
        <f>ROUND((Z44)*(1+'Data-CostAssumptions'!$G$3)^(AD44-'Data-CostAssumptions'!$G$4),-3)</f>
        <v>2561000</v>
      </c>
      <c r="AG44" s="170" t="str">
        <f t="shared" si="2"/>
        <v>No</v>
      </c>
    </row>
    <row r="45" spans="1:33" ht="15" customHeight="1" x14ac:dyDescent="0.2">
      <c r="B45" s="11" t="s">
        <v>1211</v>
      </c>
      <c r="D45" s="84" t="s">
        <v>276</v>
      </c>
      <c r="E45" s="104">
        <v>46</v>
      </c>
      <c r="G45" s="20">
        <v>1394</v>
      </c>
      <c r="H45" s="13" t="s">
        <v>1232</v>
      </c>
      <c r="I45" s="13" t="str">
        <f t="shared" si="0"/>
        <v>NE 56TH ST (DIXIE HWY to US 1/SR 5/FEDERAL HWY)</v>
      </c>
      <c r="J45" s="12" t="s">
        <v>29</v>
      </c>
      <c r="K45" s="13" t="str">
        <f>VLOOKUP(J45,'Data-ProjectTypes'!A$3:B$13,2,FALSE)</f>
        <v>Program</v>
      </c>
      <c r="L45" s="12" t="s">
        <v>1319</v>
      </c>
      <c r="M45" s="105" t="s">
        <v>1225</v>
      </c>
      <c r="N45" s="12" t="s">
        <v>1425</v>
      </c>
      <c r="Q45" s="72">
        <v>0.3</v>
      </c>
      <c r="R45" s="23">
        <v>717950</v>
      </c>
      <c r="S45" s="21" t="s">
        <v>24</v>
      </c>
      <c r="T45" s="21" t="s">
        <v>684</v>
      </c>
      <c r="U45" s="21" t="s">
        <v>684</v>
      </c>
      <c r="V45" s="24"/>
      <c r="W45" s="24"/>
      <c r="X45" s="24"/>
      <c r="Y45" s="17" t="s">
        <v>685</v>
      </c>
      <c r="Z45" s="18">
        <f>ROUND(R45*'Data-CostAssumptions'!$C$3,-3)</f>
        <v>994000</v>
      </c>
      <c r="AA45" s="11">
        <f t="shared" si="1"/>
        <v>0</v>
      </c>
      <c r="AB45" s="11">
        <v>2041</v>
      </c>
      <c r="AC45" s="11">
        <v>2041</v>
      </c>
      <c r="AD45" s="11">
        <v>2041</v>
      </c>
      <c r="AE45" s="19">
        <f>ROUND((Z45*'Data-CostAssumptions'!$G$5)*(1+'Data-CostAssumptions'!$G$3)^(AB45-'Data-CostAssumptions'!$G$4),-3)</f>
        <v>561000</v>
      </c>
      <c r="AF45" s="19">
        <f>ROUND((Z45)*(1+'Data-CostAssumptions'!$G$3)^(AD45-'Data-CostAssumptions'!$G$4),-3)</f>
        <v>2549000</v>
      </c>
      <c r="AG45" s="170" t="str">
        <f t="shared" si="2"/>
        <v>No</v>
      </c>
    </row>
    <row r="46" spans="1:33" ht="15" customHeight="1" x14ac:dyDescent="0.2">
      <c r="B46" s="11" t="s">
        <v>1211</v>
      </c>
      <c r="D46" s="84" t="s">
        <v>276</v>
      </c>
      <c r="E46" s="104">
        <v>75</v>
      </c>
      <c r="G46" s="20">
        <v>1440</v>
      </c>
      <c r="H46" s="13" t="s">
        <v>1859</v>
      </c>
      <c r="I46" s="13" t="str">
        <f t="shared" si="0"/>
        <v>Prospect Rd (NW 31ST Av to SR 7/US 441)</v>
      </c>
      <c r="J46" s="12" t="s">
        <v>29</v>
      </c>
      <c r="K46" s="13" t="str">
        <f>VLOOKUP(J46,'Data-ProjectTypes'!A$3:B$13,2,FALSE)</f>
        <v>Program</v>
      </c>
      <c r="L46" s="12" t="s">
        <v>1366</v>
      </c>
      <c r="M46" s="105" t="s">
        <v>2167</v>
      </c>
      <c r="N46" s="12" t="s">
        <v>57</v>
      </c>
      <c r="Q46" s="72">
        <v>1</v>
      </c>
      <c r="R46" s="23">
        <v>702450</v>
      </c>
      <c r="S46" s="21"/>
      <c r="T46" s="21"/>
      <c r="U46" s="21"/>
      <c r="V46" s="24"/>
      <c r="W46" s="24"/>
      <c r="X46" s="34" t="s">
        <v>1172</v>
      </c>
      <c r="Y46" s="17" t="s">
        <v>1171</v>
      </c>
      <c r="Z46" s="18">
        <f>ROUND(R46*'Data-CostAssumptions'!$C$3,-3)</f>
        <v>972000</v>
      </c>
      <c r="AA46" s="11">
        <f t="shared" si="1"/>
        <v>0</v>
      </c>
      <c r="AB46" s="11">
        <v>2041</v>
      </c>
      <c r="AC46" s="11">
        <v>2041</v>
      </c>
      <c r="AD46" s="11">
        <v>2041</v>
      </c>
      <c r="AE46" s="19">
        <f>ROUND((Z46*'Data-CostAssumptions'!$G$5)*(1+'Data-CostAssumptions'!$G$3)^(AB46-'Data-CostAssumptions'!$G$4),-3)</f>
        <v>548000</v>
      </c>
      <c r="AF46" s="19">
        <f>ROUND((Z46)*(1+'Data-CostAssumptions'!$G$3)^(AD46-'Data-CostAssumptions'!$G$4),-3)</f>
        <v>2492000</v>
      </c>
      <c r="AG46" s="170" t="str">
        <f t="shared" si="2"/>
        <v>No</v>
      </c>
    </row>
    <row r="47" spans="1:33" ht="15" customHeight="1" x14ac:dyDescent="0.2">
      <c r="A47" s="11"/>
      <c r="B47" s="11" t="s">
        <v>1211</v>
      </c>
      <c r="C47" s="13">
        <v>805</v>
      </c>
      <c r="D47" s="13" t="s">
        <v>420</v>
      </c>
      <c r="E47" s="20">
        <v>141</v>
      </c>
      <c r="F47" s="20">
        <v>187</v>
      </c>
      <c r="G47" s="20">
        <v>181</v>
      </c>
      <c r="H47" s="13" t="s">
        <v>2076</v>
      </c>
      <c r="I47" s="13" t="str">
        <f t="shared" si="0"/>
        <v>NW 64th Av/NW 19th St (NE 56th Av to Oakland Park Bl)</v>
      </c>
      <c r="J47" s="13" t="s">
        <v>29</v>
      </c>
      <c r="K47" s="13" t="str">
        <f>VLOOKUP(J47,'Data-ProjectTypes'!A$3:B$13,2,FALSE)</f>
        <v>Program</v>
      </c>
      <c r="L47" s="21" t="s">
        <v>817</v>
      </c>
      <c r="M47" s="13" t="s">
        <v>2368</v>
      </c>
      <c r="N47" s="13" t="s">
        <v>1825</v>
      </c>
      <c r="O47" s="13" t="s">
        <v>272</v>
      </c>
      <c r="P47" s="13" t="s">
        <v>272</v>
      </c>
      <c r="Q47" s="22">
        <v>1.6</v>
      </c>
      <c r="R47" s="23">
        <v>700000</v>
      </c>
      <c r="S47" s="21"/>
      <c r="T47" s="21"/>
      <c r="U47" s="21"/>
      <c r="V47" s="24"/>
      <c r="W47" s="24"/>
      <c r="X47" s="24"/>
      <c r="Y47" s="17"/>
      <c r="Z47" s="18">
        <f>ROUND(R47*'Data-CostAssumptions'!$C$3,-3)</f>
        <v>969000</v>
      </c>
      <c r="AA47" s="11">
        <f t="shared" si="1"/>
        <v>0</v>
      </c>
      <c r="AB47" s="11">
        <v>2041</v>
      </c>
      <c r="AC47" s="11">
        <v>2041</v>
      </c>
      <c r="AD47" s="11">
        <v>2041</v>
      </c>
      <c r="AE47" s="19">
        <f>ROUND((Z47*'Data-CostAssumptions'!$G$5)*(1+'Data-CostAssumptions'!$G$3)^(AB47-'Data-CostAssumptions'!$G$4),-3)</f>
        <v>547000</v>
      </c>
      <c r="AF47" s="19">
        <f>ROUND((Z47)*(1+'Data-CostAssumptions'!$G$3)^(AD47-'Data-CostAssumptions'!$G$4),-3)</f>
        <v>2484000</v>
      </c>
      <c r="AG47" s="170" t="str">
        <f t="shared" si="2"/>
        <v>No</v>
      </c>
    </row>
    <row r="48" spans="1:33" ht="15" customHeight="1" x14ac:dyDescent="0.2">
      <c r="A48" s="11"/>
      <c r="B48" s="11" t="s">
        <v>1211</v>
      </c>
      <c r="C48" s="13">
        <v>910</v>
      </c>
      <c r="D48" s="13" t="s">
        <v>420</v>
      </c>
      <c r="E48" s="20">
        <v>269</v>
      </c>
      <c r="F48" s="20">
        <v>193</v>
      </c>
      <c r="G48" s="20">
        <v>287</v>
      </c>
      <c r="H48" s="13" t="s">
        <v>177</v>
      </c>
      <c r="I48" s="13" t="str">
        <f t="shared" si="0"/>
        <v>Stirling Rd (Flamingo Rd to Dykes Rd)</v>
      </c>
      <c r="J48" s="13" t="s">
        <v>29</v>
      </c>
      <c r="K48" s="13" t="str">
        <f>VLOOKUP(J48,'Data-ProjectTypes'!A$3:B$13,2,FALSE)</f>
        <v>Program</v>
      </c>
      <c r="L48" s="21" t="s">
        <v>348</v>
      </c>
      <c r="M48" s="13" t="s">
        <v>159</v>
      </c>
      <c r="N48" s="13" t="s">
        <v>1846</v>
      </c>
      <c r="O48" s="13" t="s">
        <v>272</v>
      </c>
      <c r="P48" s="13" t="s">
        <v>272</v>
      </c>
      <c r="Q48" s="22">
        <v>3</v>
      </c>
      <c r="R48" s="23">
        <v>700073</v>
      </c>
      <c r="S48" s="21"/>
      <c r="T48" s="21"/>
      <c r="U48" s="21"/>
      <c r="V48" s="24"/>
      <c r="W48" s="24"/>
      <c r="X48" s="24"/>
      <c r="Y48" s="17"/>
      <c r="Z48" s="18">
        <f>ROUND(R48*'Data-CostAssumptions'!$C$3,-3)</f>
        <v>969000</v>
      </c>
      <c r="AA48" s="11">
        <f t="shared" si="1"/>
        <v>0</v>
      </c>
      <c r="AB48" s="11">
        <v>2041</v>
      </c>
      <c r="AC48" s="11">
        <v>2041</v>
      </c>
      <c r="AD48" s="11">
        <v>2041</v>
      </c>
      <c r="AE48" s="19">
        <f>ROUND((Z48*'Data-CostAssumptions'!$G$5)*(1+'Data-CostAssumptions'!$G$3)^(AB48-'Data-CostAssumptions'!$G$4),-3)</f>
        <v>547000</v>
      </c>
      <c r="AF48" s="19">
        <f>ROUND((Z48)*(1+'Data-CostAssumptions'!$G$3)^(AD48-'Data-CostAssumptions'!$G$4),-3)</f>
        <v>2484000</v>
      </c>
      <c r="AG48" s="170" t="str">
        <f t="shared" si="2"/>
        <v>No</v>
      </c>
    </row>
    <row r="49" spans="1:33" ht="15" customHeight="1" x14ac:dyDescent="0.2">
      <c r="A49" s="11"/>
      <c r="B49" s="11" t="s">
        <v>1211</v>
      </c>
      <c r="C49" s="11">
        <v>12703</v>
      </c>
      <c r="D49" s="84" t="s">
        <v>278</v>
      </c>
      <c r="E49" s="14"/>
      <c r="F49" s="14"/>
      <c r="G49" s="20">
        <v>1842</v>
      </c>
      <c r="H49" s="13" t="s">
        <v>1978</v>
      </c>
      <c r="I49" s="13" t="str">
        <f t="shared" si="0"/>
        <v>Panther Pkwy (Sunrise Bl to Flamingo Rd)</v>
      </c>
      <c r="J49" s="11" t="s">
        <v>29</v>
      </c>
      <c r="K49" s="13" t="str">
        <f>VLOOKUP(J49,'Data-ProjectTypes'!A$3:B$13,2,FALSE)</f>
        <v>Program</v>
      </c>
      <c r="L49" s="11" t="s">
        <v>817</v>
      </c>
      <c r="M49" s="11" t="s">
        <v>1830</v>
      </c>
      <c r="N49" s="11" t="s">
        <v>159</v>
      </c>
      <c r="O49" s="11"/>
      <c r="P49" s="11"/>
      <c r="Q49" s="15">
        <v>1.6</v>
      </c>
      <c r="R49" s="16">
        <v>700000</v>
      </c>
      <c r="S49" s="21" t="s">
        <v>24</v>
      </c>
      <c r="T49" s="21" t="s">
        <v>25</v>
      </c>
      <c r="U49" s="21"/>
      <c r="V49" s="24"/>
      <c r="W49" s="24" t="s">
        <v>546</v>
      </c>
      <c r="X49" s="24"/>
      <c r="Y49" s="17" t="s">
        <v>547</v>
      </c>
      <c r="Z49" s="18">
        <f>ROUND(R49*'Data-CostAssumptions'!$C$3,-3)</f>
        <v>969000</v>
      </c>
      <c r="AA49" s="11">
        <f t="shared" si="1"/>
        <v>1</v>
      </c>
      <c r="AB49" s="11">
        <v>2041</v>
      </c>
      <c r="AC49" s="11">
        <v>2041</v>
      </c>
      <c r="AD49" s="11">
        <v>2041</v>
      </c>
      <c r="AE49" s="19">
        <f>ROUND((Z49*'Data-CostAssumptions'!$G$5)*(1+'Data-CostAssumptions'!$G$3)^(AB49-'Data-CostAssumptions'!$G$4),-3)</f>
        <v>547000</v>
      </c>
      <c r="AF49" s="19">
        <f>ROUND((Z49)*(1+'Data-CostAssumptions'!$G$3)^(AD49-'Data-CostAssumptions'!$G$4),-3)</f>
        <v>2484000</v>
      </c>
      <c r="AG49" s="170" t="str">
        <f t="shared" si="2"/>
        <v>No</v>
      </c>
    </row>
    <row r="50" spans="1:33" ht="15" customHeight="1" x14ac:dyDescent="0.2">
      <c r="A50" s="11"/>
      <c r="B50" s="11" t="s">
        <v>1211</v>
      </c>
      <c r="C50" s="13">
        <v>707</v>
      </c>
      <c r="D50" s="13" t="s">
        <v>420</v>
      </c>
      <c r="E50" s="20">
        <v>169</v>
      </c>
      <c r="F50" s="20">
        <v>181</v>
      </c>
      <c r="G50" s="20">
        <v>85</v>
      </c>
      <c r="H50" s="13" t="s">
        <v>81</v>
      </c>
      <c r="I50" s="13" t="str">
        <f t="shared" si="0"/>
        <v>Sunset Strip (NW 64th Av to Nob Hill Rd)</v>
      </c>
      <c r="J50" s="13" t="s">
        <v>29</v>
      </c>
      <c r="K50" s="13" t="str">
        <f>VLOOKUP(J50,'Data-ProjectTypes'!A$3:B$13,2,FALSE)</f>
        <v>Program</v>
      </c>
      <c r="L50" s="21" t="s">
        <v>348</v>
      </c>
      <c r="M50" s="13" t="s">
        <v>2225</v>
      </c>
      <c r="N50" s="13" t="s">
        <v>1755</v>
      </c>
      <c r="O50" s="13" t="s">
        <v>278</v>
      </c>
      <c r="P50" s="13" t="s">
        <v>278</v>
      </c>
      <c r="Q50" s="22">
        <v>3</v>
      </c>
      <c r="R50" s="23">
        <v>693378</v>
      </c>
      <c r="S50" s="21"/>
      <c r="T50" s="21"/>
      <c r="U50" s="21"/>
      <c r="V50" s="24"/>
      <c r="W50" s="24"/>
      <c r="X50" s="24" t="s">
        <v>766</v>
      </c>
      <c r="Y50" s="17" t="s">
        <v>765</v>
      </c>
      <c r="Z50" s="18">
        <f>ROUND(R50*'Data-CostAssumptions'!$C$3,-3)</f>
        <v>960000</v>
      </c>
      <c r="AA50" s="11">
        <f t="shared" si="1"/>
        <v>0</v>
      </c>
      <c r="AB50" s="11">
        <v>2041</v>
      </c>
      <c r="AC50" s="11">
        <v>2041</v>
      </c>
      <c r="AD50" s="11">
        <v>2041</v>
      </c>
      <c r="AE50" s="19">
        <f>ROUND((Z50*'Data-CostAssumptions'!$G$5)*(1+'Data-CostAssumptions'!$G$3)^(AB50-'Data-CostAssumptions'!$G$4),-3)</f>
        <v>542000</v>
      </c>
      <c r="AF50" s="19">
        <f>ROUND((Z50)*(1+'Data-CostAssumptions'!$G$3)^(AD50-'Data-CostAssumptions'!$G$4),-3)</f>
        <v>2461000</v>
      </c>
      <c r="AG50" s="170" t="str">
        <f t="shared" si="2"/>
        <v>No</v>
      </c>
    </row>
    <row r="51" spans="1:33" ht="15" customHeight="1" x14ac:dyDescent="0.2">
      <c r="B51" s="11" t="s">
        <v>1211</v>
      </c>
      <c r="D51" s="84" t="s">
        <v>276</v>
      </c>
      <c r="E51" s="104">
        <v>59</v>
      </c>
      <c r="G51" s="20">
        <v>1420</v>
      </c>
      <c r="H51" s="13" t="s">
        <v>2167</v>
      </c>
      <c r="I51" s="13" t="str">
        <f t="shared" si="0"/>
        <v>NW 31ST Av (COMMERCIAL Bl to CYPRESS CREEK RD/NW 62ND ST)</v>
      </c>
      <c r="J51" s="12" t="s">
        <v>29</v>
      </c>
      <c r="K51" s="13" t="str">
        <f>VLOOKUP(J51,'Data-ProjectTypes'!A$3:B$13,2,FALSE)</f>
        <v>Program</v>
      </c>
      <c r="L51" s="12" t="s">
        <v>1357</v>
      </c>
      <c r="M51" s="105" t="s">
        <v>1990</v>
      </c>
      <c r="N51" s="12" t="s">
        <v>1448</v>
      </c>
      <c r="Q51" s="72">
        <v>1.1000000000000001</v>
      </c>
      <c r="R51" s="23">
        <v>692550</v>
      </c>
      <c r="S51" s="21"/>
      <c r="T51" s="21"/>
      <c r="U51" s="21"/>
      <c r="V51" s="24"/>
      <c r="W51" s="24"/>
      <c r="X51" s="24" t="s">
        <v>764</v>
      </c>
      <c r="Y51" s="17" t="s">
        <v>765</v>
      </c>
      <c r="Z51" s="18">
        <f>ROUND(R51*'Data-CostAssumptions'!$C$3,-3)</f>
        <v>958000</v>
      </c>
      <c r="AA51" s="11">
        <f t="shared" si="1"/>
        <v>0</v>
      </c>
      <c r="AB51" s="11">
        <v>2041</v>
      </c>
      <c r="AC51" s="11">
        <v>2041</v>
      </c>
      <c r="AD51" s="11">
        <v>2041</v>
      </c>
      <c r="AE51" s="19">
        <f>ROUND((Z51*'Data-CostAssumptions'!$G$5)*(1+'Data-CostAssumptions'!$G$3)^(AB51-'Data-CostAssumptions'!$G$4),-3)</f>
        <v>540000</v>
      </c>
      <c r="AF51" s="19">
        <f>ROUND((Z51)*(1+'Data-CostAssumptions'!$G$3)^(AD51-'Data-CostAssumptions'!$G$4),-3)</f>
        <v>2456000</v>
      </c>
      <c r="AG51" s="170" t="str">
        <f t="shared" si="2"/>
        <v>No</v>
      </c>
    </row>
    <row r="52" spans="1:33" ht="15" customHeight="1" x14ac:dyDescent="0.2">
      <c r="A52" s="11"/>
      <c r="B52" s="11" t="s">
        <v>1211</v>
      </c>
      <c r="C52" s="11"/>
      <c r="D52" s="84" t="s">
        <v>276</v>
      </c>
      <c r="E52" s="14">
        <v>8</v>
      </c>
      <c r="F52" s="14"/>
      <c r="G52" s="20">
        <v>1479</v>
      </c>
      <c r="H52" s="13" t="s">
        <v>2798</v>
      </c>
      <c r="I52" s="13" t="str">
        <f t="shared" si="0"/>
        <v>SR 842/Broward Bl (NW 7TH Av to I-95)</v>
      </c>
      <c r="J52" s="11" t="s">
        <v>29</v>
      </c>
      <c r="K52" s="13" t="str">
        <f>VLOOKUP(J52,'Data-ProjectTypes'!A$3:B$13,2,FALSE)</f>
        <v>Program</v>
      </c>
      <c r="L52" s="11" t="s">
        <v>1266</v>
      </c>
      <c r="M52" s="106" t="s">
        <v>2601</v>
      </c>
      <c r="N52" s="84" t="s">
        <v>41</v>
      </c>
      <c r="O52" s="11"/>
      <c r="P52" s="11"/>
      <c r="Q52" s="107">
        <v>1.2</v>
      </c>
      <c r="R52" s="23">
        <v>692550</v>
      </c>
      <c r="S52" s="21"/>
      <c r="T52" s="21"/>
      <c r="U52" s="21"/>
      <c r="V52" s="24"/>
      <c r="W52" s="24"/>
      <c r="X52" s="24"/>
      <c r="Y52" s="17"/>
      <c r="Z52" s="18">
        <f>ROUND(R52*'Data-CostAssumptions'!$C$3,-3)</f>
        <v>958000</v>
      </c>
      <c r="AA52" s="11">
        <f t="shared" si="1"/>
        <v>0</v>
      </c>
      <c r="AB52" s="11">
        <v>2041</v>
      </c>
      <c r="AC52" s="11">
        <v>2041</v>
      </c>
      <c r="AD52" s="11">
        <v>2041</v>
      </c>
      <c r="AE52" s="19">
        <f>ROUND((Z52*'Data-CostAssumptions'!$G$5)*(1+'Data-CostAssumptions'!$G$3)^(AB52-'Data-CostAssumptions'!$G$4),-3)</f>
        <v>540000</v>
      </c>
      <c r="AF52" s="19">
        <f>ROUND((Z52)*(1+'Data-CostAssumptions'!$G$3)^(AD52-'Data-CostAssumptions'!$G$4),-3)</f>
        <v>2456000</v>
      </c>
      <c r="AG52" s="170" t="str">
        <f t="shared" si="2"/>
        <v>No</v>
      </c>
    </row>
    <row r="53" spans="1:33" ht="15" customHeight="1" x14ac:dyDescent="0.2">
      <c r="A53" s="11"/>
      <c r="B53" s="11" t="s">
        <v>1211</v>
      </c>
      <c r="C53" s="11">
        <v>12005</v>
      </c>
      <c r="D53" s="84" t="s">
        <v>292</v>
      </c>
      <c r="E53" s="14"/>
      <c r="F53" s="14"/>
      <c r="G53" s="20">
        <v>1088</v>
      </c>
      <c r="H53" s="13" t="s">
        <v>1827</v>
      </c>
      <c r="I53" s="13" t="str">
        <f t="shared" si="0"/>
        <v>Royal Palm Bl (University Dr to Sportsplex Dr)</v>
      </c>
      <c r="J53" s="11" t="s">
        <v>29</v>
      </c>
      <c r="K53" s="13" t="str">
        <f>VLOOKUP(J53,'Data-ProjectTypes'!A$3:B$13,2,FALSE)</f>
        <v>Program</v>
      </c>
      <c r="L53" s="11" t="s">
        <v>426</v>
      </c>
      <c r="M53" s="11" t="s">
        <v>1804</v>
      </c>
      <c r="N53" s="11" t="s">
        <v>1802</v>
      </c>
      <c r="O53" s="11"/>
      <c r="P53" s="11"/>
      <c r="Q53" s="15">
        <v>2.71</v>
      </c>
      <c r="R53" s="16">
        <v>690143.82435956807</v>
      </c>
      <c r="S53" s="21" t="s">
        <v>24</v>
      </c>
      <c r="T53" s="21"/>
      <c r="U53" s="21"/>
      <c r="V53" s="24"/>
      <c r="W53" s="24" t="s">
        <v>586</v>
      </c>
      <c r="X53" s="24"/>
      <c r="Y53" s="17" t="s">
        <v>547</v>
      </c>
      <c r="Z53" s="18">
        <f>ROUND(R53*'Data-CostAssumptions'!$C$3,-3)</f>
        <v>955000</v>
      </c>
      <c r="AA53" s="11">
        <f t="shared" si="1"/>
        <v>1</v>
      </c>
      <c r="AB53" s="11">
        <v>2041</v>
      </c>
      <c r="AC53" s="11">
        <v>2041</v>
      </c>
      <c r="AD53" s="11">
        <v>2041</v>
      </c>
      <c r="AE53" s="19">
        <f>ROUND((Z53*'Data-CostAssumptions'!$G$5)*(1+'Data-CostAssumptions'!$G$3)^(AB53-'Data-CostAssumptions'!$G$4),-3)</f>
        <v>539000</v>
      </c>
      <c r="AF53" s="19">
        <f>ROUND((Z53)*(1+'Data-CostAssumptions'!$G$3)^(AD53-'Data-CostAssumptions'!$G$4),-3)</f>
        <v>2449000</v>
      </c>
      <c r="AG53" s="170" t="str">
        <f t="shared" si="2"/>
        <v>No</v>
      </c>
    </row>
    <row r="54" spans="1:33" ht="15" customHeight="1" x14ac:dyDescent="0.2">
      <c r="A54" s="11"/>
      <c r="B54" s="11" t="s">
        <v>1211</v>
      </c>
      <c r="C54" s="11">
        <v>12011</v>
      </c>
      <c r="D54" s="84" t="s">
        <v>292</v>
      </c>
      <c r="E54" s="14"/>
      <c r="F54" s="14"/>
      <c r="G54" s="20">
        <v>1094</v>
      </c>
      <c r="H54" s="13" t="s">
        <v>1806</v>
      </c>
      <c r="I54" s="13" t="str">
        <f t="shared" si="0"/>
        <v>Westview Dr (Riverside Dr to Coral Ridge Dr)</v>
      </c>
      <c r="J54" s="11" t="s">
        <v>29</v>
      </c>
      <c r="K54" s="13" t="str">
        <f>VLOOKUP(J54,'Data-ProjectTypes'!A$3:B$13,2,FALSE)</f>
        <v>Program</v>
      </c>
      <c r="L54" s="11" t="s">
        <v>426</v>
      </c>
      <c r="M54" s="11" t="s">
        <v>1799</v>
      </c>
      <c r="N54" s="11" t="s">
        <v>1786</v>
      </c>
      <c r="O54" s="11"/>
      <c r="P54" s="11"/>
      <c r="Q54" s="15">
        <v>2.7</v>
      </c>
      <c r="R54" s="16">
        <v>687597.1681811196</v>
      </c>
      <c r="S54" s="21" t="s">
        <v>24</v>
      </c>
      <c r="T54" s="21" t="s">
        <v>25</v>
      </c>
      <c r="U54" s="21"/>
      <c r="V54" s="24"/>
      <c r="W54" s="24"/>
      <c r="X54" s="24"/>
      <c r="Y54" s="17" t="s">
        <v>469</v>
      </c>
      <c r="Z54" s="18">
        <f>ROUND(R54*'Data-CostAssumptions'!$C$3,-3)</f>
        <v>952000</v>
      </c>
      <c r="AA54" s="11">
        <f t="shared" si="1"/>
        <v>0</v>
      </c>
      <c r="AB54" s="11">
        <v>2041</v>
      </c>
      <c r="AC54" s="11">
        <v>2041</v>
      </c>
      <c r="AD54" s="11">
        <v>2041</v>
      </c>
      <c r="AE54" s="19">
        <f>ROUND((Z54*'Data-CostAssumptions'!$G$5)*(1+'Data-CostAssumptions'!$G$3)^(AB54-'Data-CostAssumptions'!$G$4),-3)</f>
        <v>537000</v>
      </c>
      <c r="AF54" s="19">
        <f>ROUND((Z54)*(1+'Data-CostAssumptions'!$G$3)^(AD54-'Data-CostAssumptions'!$G$4),-3)</f>
        <v>2441000</v>
      </c>
      <c r="AG54" s="170" t="str">
        <f t="shared" si="2"/>
        <v>No</v>
      </c>
    </row>
    <row r="55" spans="1:33" ht="15" customHeight="1" x14ac:dyDescent="0.2">
      <c r="B55" s="11" t="s">
        <v>1211</v>
      </c>
      <c r="D55" s="84" t="s">
        <v>276</v>
      </c>
      <c r="E55" s="104">
        <v>96</v>
      </c>
      <c r="G55" s="20">
        <v>1498</v>
      </c>
      <c r="H55" s="13" t="s">
        <v>2191</v>
      </c>
      <c r="I55" s="13" t="str">
        <f t="shared" si="0"/>
        <v>SW 31ST Av (RIVERLAND RD to BROWARD Bl)</v>
      </c>
      <c r="J55" s="12" t="s">
        <v>29</v>
      </c>
      <c r="K55" s="13" t="str">
        <f>VLOOKUP(J55,'Data-ProjectTypes'!A$3:B$13,2,FALSE)</f>
        <v>Program</v>
      </c>
      <c r="L55" s="12" t="s">
        <v>1401</v>
      </c>
      <c r="M55" s="105" t="s">
        <v>1243</v>
      </c>
      <c r="N55" s="12" t="s">
        <v>1988</v>
      </c>
      <c r="Q55" s="72">
        <v>0.9</v>
      </c>
      <c r="R55" s="23">
        <v>686700</v>
      </c>
      <c r="S55" s="21"/>
      <c r="T55" s="21"/>
      <c r="U55" s="21"/>
      <c r="V55" s="24"/>
      <c r="W55" s="24"/>
      <c r="X55" s="28"/>
      <c r="Y55" s="17"/>
      <c r="Z55" s="18">
        <f>ROUND(R55*'Data-CostAssumptions'!$C$3,-3)</f>
        <v>950000</v>
      </c>
      <c r="AA55" s="11">
        <f t="shared" si="1"/>
        <v>0</v>
      </c>
      <c r="AB55" s="11">
        <v>2041</v>
      </c>
      <c r="AC55" s="11">
        <v>2041</v>
      </c>
      <c r="AD55" s="11">
        <v>2041</v>
      </c>
      <c r="AE55" s="19">
        <f>ROUND((Z55*'Data-CostAssumptions'!$G$5)*(1+'Data-CostAssumptions'!$G$3)^(AB55-'Data-CostAssumptions'!$G$4),-3)</f>
        <v>536000</v>
      </c>
      <c r="AF55" s="19">
        <f>ROUND((Z55)*(1+'Data-CostAssumptions'!$G$3)^(AD55-'Data-CostAssumptions'!$G$4),-3)</f>
        <v>2436000</v>
      </c>
      <c r="AG55" s="170" t="str">
        <f t="shared" si="2"/>
        <v>No</v>
      </c>
    </row>
    <row r="56" spans="1:33" ht="15" customHeight="1" x14ac:dyDescent="0.2">
      <c r="B56" s="11" t="s">
        <v>1211</v>
      </c>
      <c r="D56" s="84" t="s">
        <v>276</v>
      </c>
      <c r="E56" s="104">
        <v>57</v>
      </c>
      <c r="G56" s="20">
        <v>1418</v>
      </c>
      <c r="H56" s="13" t="s">
        <v>2166</v>
      </c>
      <c r="I56" s="13" t="str">
        <f t="shared" si="0"/>
        <v>NW 23RD Av/NW 21ST Av (SR 838 / Sunrise Bl to NW 26TH ST)</v>
      </c>
      <c r="J56" s="12" t="s">
        <v>29</v>
      </c>
      <c r="K56" s="13" t="str">
        <f>VLOOKUP(J56,'Data-ProjectTypes'!A$3:B$13,2,FALSE)</f>
        <v>Program</v>
      </c>
      <c r="L56" s="12" t="s">
        <v>1352</v>
      </c>
      <c r="M56" s="105" t="s">
        <v>2686</v>
      </c>
      <c r="N56" s="12" t="s">
        <v>1241</v>
      </c>
      <c r="Q56" s="72">
        <v>1.9</v>
      </c>
      <c r="R56" s="23">
        <v>680000</v>
      </c>
      <c r="S56" s="21"/>
      <c r="T56" s="21"/>
      <c r="U56" s="21"/>
      <c r="V56" s="24"/>
      <c r="W56" s="24"/>
      <c r="X56" s="28"/>
      <c r="Y56" s="17"/>
      <c r="Z56" s="18">
        <f>ROUND(R56*'Data-CostAssumptions'!$C$3,-3)</f>
        <v>941000</v>
      </c>
      <c r="AA56" s="11">
        <f t="shared" si="1"/>
        <v>0</v>
      </c>
      <c r="AB56" s="11">
        <v>2041</v>
      </c>
      <c r="AC56" s="11">
        <v>2041</v>
      </c>
      <c r="AD56" s="11">
        <v>2041</v>
      </c>
      <c r="AE56" s="19">
        <f>ROUND((Z56*'Data-CostAssumptions'!$G$5)*(1+'Data-CostAssumptions'!$G$3)^(AB56-'Data-CostAssumptions'!$G$4),-3)</f>
        <v>531000</v>
      </c>
      <c r="AF56" s="19">
        <f>ROUND((Z56)*(1+'Data-CostAssumptions'!$G$3)^(AD56-'Data-CostAssumptions'!$G$4),-3)</f>
        <v>2413000</v>
      </c>
      <c r="AG56" s="170" t="str">
        <f t="shared" si="2"/>
        <v>No</v>
      </c>
    </row>
    <row r="57" spans="1:33" ht="15" customHeight="1" x14ac:dyDescent="0.2">
      <c r="A57" s="11"/>
      <c r="B57" s="11" t="s">
        <v>1211</v>
      </c>
      <c r="C57" s="13">
        <v>663</v>
      </c>
      <c r="D57" s="13" t="s">
        <v>420</v>
      </c>
      <c r="E57" s="20">
        <v>121</v>
      </c>
      <c r="F57" s="20">
        <v>179</v>
      </c>
      <c r="G57" s="20">
        <v>44</v>
      </c>
      <c r="H57" s="13" t="s">
        <v>2727</v>
      </c>
      <c r="I57" s="13" t="str">
        <f t="shared" si="0"/>
        <v>SR 848/Stirling Rd (Ravenswood Rd to Just west of Florida's Turnpike)</v>
      </c>
      <c r="J57" s="13" t="s">
        <v>29</v>
      </c>
      <c r="K57" s="13" t="str">
        <f>VLOOKUP(J57,'Data-ProjectTypes'!A$3:B$13,2,FALSE)</f>
        <v>Program</v>
      </c>
      <c r="M57" s="13" t="s">
        <v>1765</v>
      </c>
      <c r="N57" s="13" t="s">
        <v>69</v>
      </c>
      <c r="O57" s="13" t="s">
        <v>270</v>
      </c>
      <c r="P57" s="13" t="s">
        <v>270</v>
      </c>
      <c r="Q57" s="22">
        <v>2.9</v>
      </c>
      <c r="R57" s="23">
        <v>678547</v>
      </c>
      <c r="S57" s="21" t="s">
        <v>24</v>
      </c>
      <c r="T57" s="21" t="s">
        <v>745</v>
      </c>
      <c r="U57" s="21"/>
      <c r="V57" s="24"/>
      <c r="W57" s="31" t="s">
        <v>744</v>
      </c>
      <c r="X57" s="31" t="s">
        <v>743</v>
      </c>
      <c r="Y57" s="17" t="s">
        <v>742</v>
      </c>
      <c r="Z57" s="18">
        <f>ROUND(R57*'Data-CostAssumptions'!$C$3,-3)</f>
        <v>939000</v>
      </c>
      <c r="AA57" s="11">
        <f t="shared" si="1"/>
        <v>1</v>
      </c>
      <c r="AB57" s="11">
        <v>2041</v>
      </c>
      <c r="AC57" s="11">
        <v>2041</v>
      </c>
      <c r="AD57" s="11">
        <v>2041</v>
      </c>
      <c r="AE57" s="19">
        <f>ROUND((Z57*'Data-CostAssumptions'!$G$5)*(1+'Data-CostAssumptions'!$G$3)^(AB57-'Data-CostAssumptions'!$G$4),-3)</f>
        <v>530000</v>
      </c>
      <c r="AF57" s="19">
        <f>ROUND((Z57)*(1+'Data-CostAssumptions'!$G$3)^(AD57-'Data-CostAssumptions'!$G$4),-3)</f>
        <v>2408000</v>
      </c>
      <c r="AG57" s="170" t="str">
        <f t="shared" si="2"/>
        <v>No</v>
      </c>
    </row>
    <row r="58" spans="1:33" ht="15" customHeight="1" x14ac:dyDescent="0.2">
      <c r="A58" s="11"/>
      <c r="B58" s="11" t="s">
        <v>1211</v>
      </c>
      <c r="C58" s="11">
        <v>12250</v>
      </c>
      <c r="D58" s="84" t="s">
        <v>282</v>
      </c>
      <c r="E58" s="14"/>
      <c r="F58" s="14"/>
      <c r="G58" s="20">
        <v>1740</v>
      </c>
      <c r="H58" s="13" t="s">
        <v>1880</v>
      </c>
      <c r="I58" s="13" t="str">
        <f t="shared" si="0"/>
        <v>Johnson St (Hollywood City Limits to NW 64th Av)</v>
      </c>
      <c r="J58" s="11" t="s">
        <v>29</v>
      </c>
      <c r="K58" s="13" t="str">
        <f>VLOOKUP(J58,'Data-ProjectTypes'!A$3:B$13,2,FALSE)</f>
        <v>Program</v>
      </c>
      <c r="L58" s="142" t="s">
        <v>589</v>
      </c>
      <c r="M58" s="11" t="s">
        <v>653</v>
      </c>
      <c r="N58" s="11" t="s">
        <v>2225</v>
      </c>
      <c r="O58" s="11"/>
      <c r="P58" s="11"/>
      <c r="Q58" s="79">
        <v>1.65</v>
      </c>
      <c r="R58" s="143">
        <f>ROUND(Q58*'Data-CostAssumptions'!$C$25,-3)+400000</f>
        <v>678000</v>
      </c>
      <c r="S58" s="21"/>
      <c r="T58" s="21"/>
      <c r="U58" s="21"/>
      <c r="V58" s="24"/>
      <c r="W58" s="24" t="s">
        <v>696</v>
      </c>
      <c r="X58" s="24"/>
      <c r="Y58" s="17" t="s">
        <v>287</v>
      </c>
      <c r="Z58" s="18">
        <f>ROUND(R58*'Data-CostAssumptions'!$C$3,-3)</f>
        <v>938000</v>
      </c>
      <c r="AA58" s="11">
        <f t="shared" si="1"/>
        <v>1</v>
      </c>
      <c r="AB58" s="11">
        <v>2041</v>
      </c>
      <c r="AC58" s="11">
        <v>2041</v>
      </c>
      <c r="AD58" s="11">
        <v>2041</v>
      </c>
      <c r="AE58" s="19">
        <f>ROUND((Z58*'Data-CostAssumptions'!$G$5)*(1+'Data-CostAssumptions'!$G$3)^(AB58-'Data-CostAssumptions'!$G$4),-3)</f>
        <v>529000</v>
      </c>
      <c r="AF58" s="19">
        <f>ROUND((Z58)*(1+'Data-CostAssumptions'!$G$3)^(AD58-'Data-CostAssumptions'!$G$4),-3)</f>
        <v>2405000</v>
      </c>
      <c r="AG58" s="170" t="str">
        <f t="shared" si="2"/>
        <v>No</v>
      </c>
    </row>
    <row r="59" spans="1:33" ht="15" customHeight="1" x14ac:dyDescent="0.2">
      <c r="A59" s="11"/>
      <c r="B59" s="11" t="s">
        <v>1211</v>
      </c>
      <c r="C59" s="13">
        <v>647</v>
      </c>
      <c r="D59" s="13" t="s">
        <v>420</v>
      </c>
      <c r="E59" s="20">
        <v>10</v>
      </c>
      <c r="F59" s="20">
        <v>178</v>
      </c>
      <c r="G59" s="20">
        <v>28</v>
      </c>
      <c r="H59" s="13" t="s">
        <v>1754</v>
      </c>
      <c r="I59" s="13" t="str">
        <f t="shared" si="0"/>
        <v>Lyons Rd (Copans Rd to Sawgrass Expressway)</v>
      </c>
      <c r="J59" s="13" t="s">
        <v>29</v>
      </c>
      <c r="K59" s="13" t="str">
        <f>VLOOKUP(J59,'Data-ProjectTypes'!A$3:B$13,2,FALSE)</f>
        <v>Program</v>
      </c>
      <c r="L59" s="21" t="s">
        <v>348</v>
      </c>
      <c r="M59" s="13" t="s">
        <v>1836</v>
      </c>
      <c r="N59" s="13" t="s">
        <v>72</v>
      </c>
      <c r="O59" s="13" t="s">
        <v>273</v>
      </c>
      <c r="P59" s="13" t="s">
        <v>273</v>
      </c>
      <c r="Q59" s="22">
        <v>2.9</v>
      </c>
      <c r="R59" s="23">
        <v>671133</v>
      </c>
      <c r="S59" s="21"/>
      <c r="T59" s="21"/>
      <c r="U59" s="21"/>
      <c r="V59" s="24"/>
      <c r="W59" s="24"/>
      <c r="X59" s="24"/>
      <c r="Y59" s="17"/>
      <c r="Z59" s="18">
        <f>ROUND(R59*'Data-CostAssumptions'!$C$3,-3)</f>
        <v>929000</v>
      </c>
      <c r="AA59" s="11">
        <f t="shared" si="1"/>
        <v>0</v>
      </c>
      <c r="AB59" s="11">
        <v>2041</v>
      </c>
      <c r="AC59" s="11">
        <v>2041</v>
      </c>
      <c r="AD59" s="11">
        <v>2041</v>
      </c>
      <c r="AE59" s="19">
        <f>ROUND((Z59*'Data-CostAssumptions'!$G$5)*(1+'Data-CostAssumptions'!$G$3)^(AB59-'Data-CostAssumptions'!$G$4),-3)</f>
        <v>524000</v>
      </c>
      <c r="AF59" s="19">
        <f>ROUND((Z59)*(1+'Data-CostAssumptions'!$G$3)^(AD59-'Data-CostAssumptions'!$G$4),-3)</f>
        <v>2382000</v>
      </c>
      <c r="AG59" s="170" t="str">
        <f t="shared" si="2"/>
        <v>No</v>
      </c>
    </row>
    <row r="60" spans="1:33" ht="15" customHeight="1" x14ac:dyDescent="0.2">
      <c r="B60" s="11" t="s">
        <v>1211</v>
      </c>
      <c r="D60" s="84" t="s">
        <v>276</v>
      </c>
      <c r="E60" s="104">
        <v>79</v>
      </c>
      <c r="G60" s="20">
        <v>1496</v>
      </c>
      <c r="H60" s="13" t="s">
        <v>2190</v>
      </c>
      <c r="I60" s="13" t="str">
        <f t="shared" si="0"/>
        <v>SW 27TH Av (DAVIE Bl to BROWARD Bl)</v>
      </c>
      <c r="J60" s="12" t="s">
        <v>29</v>
      </c>
      <c r="K60" s="13" t="str">
        <f>VLOOKUP(J60,'Data-ProjectTypes'!A$3:B$13,2,FALSE)</f>
        <v>Program</v>
      </c>
      <c r="L60" s="12" t="s">
        <v>1370</v>
      </c>
      <c r="M60" s="105" t="s">
        <v>1991</v>
      </c>
      <c r="N60" s="12" t="s">
        <v>1988</v>
      </c>
      <c r="Q60" s="72">
        <v>1</v>
      </c>
      <c r="R60" s="23">
        <v>668250</v>
      </c>
      <c r="S60" s="21"/>
      <c r="T60" s="21"/>
      <c r="U60" s="21"/>
      <c r="V60" s="24"/>
      <c r="W60" s="24"/>
      <c r="X60" s="24"/>
      <c r="Y60" s="17"/>
      <c r="Z60" s="18">
        <f>ROUND(R60*'Data-CostAssumptions'!$C$3,-3)</f>
        <v>925000</v>
      </c>
      <c r="AA60" s="11">
        <f t="shared" si="1"/>
        <v>0</v>
      </c>
      <c r="AB60" s="11">
        <v>2041</v>
      </c>
      <c r="AC60" s="11">
        <v>2041</v>
      </c>
      <c r="AD60" s="11">
        <v>2041</v>
      </c>
      <c r="AE60" s="19">
        <f>ROUND((Z60*'Data-CostAssumptions'!$G$5)*(1+'Data-CostAssumptions'!$G$3)^(AB60-'Data-CostAssumptions'!$G$4),-3)</f>
        <v>522000</v>
      </c>
      <c r="AF60" s="19">
        <f>ROUND((Z60)*(1+'Data-CostAssumptions'!$G$3)^(AD60-'Data-CostAssumptions'!$G$4),-3)</f>
        <v>2372000</v>
      </c>
      <c r="AG60" s="170" t="str">
        <f t="shared" si="2"/>
        <v>No</v>
      </c>
    </row>
    <row r="61" spans="1:33" ht="15" customHeight="1" x14ac:dyDescent="0.2">
      <c r="B61" s="11" t="s">
        <v>1211</v>
      </c>
      <c r="D61" s="84" t="s">
        <v>276</v>
      </c>
      <c r="E61" s="104">
        <v>71</v>
      </c>
      <c r="G61" s="20">
        <v>1471</v>
      </c>
      <c r="H61" s="13" t="s">
        <v>2710</v>
      </c>
      <c r="I61" s="13" t="str">
        <f t="shared" si="0"/>
        <v>SR 816/Oakland Park Bl (US 1/SR 5 to SR A1A/OCEAN Bl)</v>
      </c>
      <c r="J61" s="12" t="s">
        <v>29</v>
      </c>
      <c r="K61" s="13" t="str">
        <f>VLOOKUP(J61,'Data-ProjectTypes'!A$3:B$13,2,FALSE)</f>
        <v>Program</v>
      </c>
      <c r="L61" s="12" t="s">
        <v>1360</v>
      </c>
      <c r="M61" s="105" t="s">
        <v>1422</v>
      </c>
      <c r="N61" s="12" t="s">
        <v>2306</v>
      </c>
      <c r="Q61" s="72">
        <v>1</v>
      </c>
      <c r="R61" s="23">
        <v>659950</v>
      </c>
      <c r="S61" s="21"/>
      <c r="T61" s="21"/>
      <c r="U61" s="21"/>
      <c r="V61" s="24"/>
      <c r="W61" s="24"/>
      <c r="X61" s="24"/>
      <c r="Y61" s="17"/>
      <c r="Z61" s="18">
        <f>ROUND(R61*'Data-CostAssumptions'!$C$3,-3)</f>
        <v>913000</v>
      </c>
      <c r="AA61" s="11">
        <f t="shared" si="1"/>
        <v>0</v>
      </c>
      <c r="AB61" s="11">
        <v>2041</v>
      </c>
      <c r="AC61" s="11">
        <v>2041</v>
      </c>
      <c r="AD61" s="11">
        <v>2041</v>
      </c>
      <c r="AE61" s="19">
        <f>ROUND((Z61*'Data-CostAssumptions'!$G$5)*(1+'Data-CostAssumptions'!$G$3)^(AB61-'Data-CostAssumptions'!$G$4),-3)</f>
        <v>515000</v>
      </c>
      <c r="AF61" s="19">
        <f>ROUND((Z61)*(1+'Data-CostAssumptions'!$G$3)^(AD61-'Data-CostAssumptions'!$G$4),-3)</f>
        <v>2341000</v>
      </c>
      <c r="AG61" s="170" t="str">
        <f t="shared" si="2"/>
        <v>No</v>
      </c>
    </row>
    <row r="62" spans="1:33" ht="15" customHeight="1" x14ac:dyDescent="0.2">
      <c r="A62" s="11"/>
      <c r="B62" s="11" t="s">
        <v>1211</v>
      </c>
      <c r="C62" s="13">
        <v>846</v>
      </c>
      <c r="D62" s="13" t="s">
        <v>420</v>
      </c>
      <c r="E62" s="20">
        <v>51</v>
      </c>
      <c r="F62" s="20">
        <v>189</v>
      </c>
      <c r="G62" s="20">
        <v>222</v>
      </c>
      <c r="H62" s="13" t="s">
        <v>2105</v>
      </c>
      <c r="I62" s="13" t="str">
        <f t="shared" si="0"/>
        <v>SW 154th Av/Shotgun Rd (Orange Dr to SW 14th St)</v>
      </c>
      <c r="J62" s="13" t="s">
        <v>29</v>
      </c>
      <c r="K62" s="13" t="str">
        <f>VLOOKUP(J62,'Data-ProjectTypes'!A$3:B$13,2,FALSE)</f>
        <v>Program</v>
      </c>
      <c r="L62" s="21" t="s">
        <v>348</v>
      </c>
      <c r="M62" s="13" t="s">
        <v>184</v>
      </c>
      <c r="N62" s="13" t="s">
        <v>2560</v>
      </c>
      <c r="O62" s="13" t="s">
        <v>272</v>
      </c>
      <c r="P62" s="13" t="s">
        <v>272</v>
      </c>
      <c r="Q62" s="22">
        <v>2.8</v>
      </c>
      <c r="R62" s="23">
        <v>649662</v>
      </c>
      <c r="S62" s="21" t="s">
        <v>24</v>
      </c>
      <c r="T62" s="21" t="s">
        <v>1118</v>
      </c>
      <c r="U62" s="21" t="s">
        <v>1118</v>
      </c>
      <c r="V62" s="24"/>
      <c r="W62" s="24" t="s">
        <v>1116</v>
      </c>
      <c r="X62" s="24" t="s">
        <v>1117</v>
      </c>
      <c r="Y62" s="17" t="s">
        <v>1111</v>
      </c>
      <c r="Z62" s="18">
        <f>ROUND(R62*'Data-CostAssumptions'!$C$3,-3)</f>
        <v>899000</v>
      </c>
      <c r="AA62" s="11">
        <f t="shared" si="1"/>
        <v>1</v>
      </c>
      <c r="AB62" s="11">
        <v>2041</v>
      </c>
      <c r="AC62" s="11">
        <v>2041</v>
      </c>
      <c r="AD62" s="11">
        <v>2041</v>
      </c>
      <c r="AE62" s="19">
        <f>ROUND((Z62*'Data-CostAssumptions'!$G$5)*(1+'Data-CostAssumptions'!$G$3)^(AB62-'Data-CostAssumptions'!$G$4),-3)</f>
        <v>507000</v>
      </c>
      <c r="AF62" s="19">
        <f>ROUND((Z62)*(1+'Data-CostAssumptions'!$G$3)^(AD62-'Data-CostAssumptions'!$G$4),-3)</f>
        <v>2305000</v>
      </c>
      <c r="AG62" s="170" t="str">
        <f t="shared" si="2"/>
        <v>No</v>
      </c>
    </row>
    <row r="63" spans="1:33" ht="15" customHeight="1" x14ac:dyDescent="0.2">
      <c r="A63" s="11"/>
      <c r="B63" s="11" t="s">
        <v>1211</v>
      </c>
      <c r="C63" s="11"/>
      <c r="D63" s="84" t="s">
        <v>276</v>
      </c>
      <c r="E63" s="14">
        <v>4</v>
      </c>
      <c r="F63" s="14"/>
      <c r="G63" s="20">
        <v>1323</v>
      </c>
      <c r="H63" s="13" t="s">
        <v>2014</v>
      </c>
      <c r="I63" s="13" t="str">
        <f t="shared" si="0"/>
        <v>Andrews Av (NE 60th ST to MCNAB Rd)</v>
      </c>
      <c r="J63" s="11" t="s">
        <v>29</v>
      </c>
      <c r="K63" s="13" t="str">
        <f>VLOOKUP(J63,'Data-ProjectTypes'!A$3:B$13,2,FALSE)</f>
        <v>Program</v>
      </c>
      <c r="L63" s="11" t="s">
        <v>1257</v>
      </c>
      <c r="M63" s="106" t="s">
        <v>1421</v>
      </c>
      <c r="N63" s="84" t="s">
        <v>2400</v>
      </c>
      <c r="O63" s="11"/>
      <c r="P63" s="11"/>
      <c r="Q63" s="107">
        <v>0.8</v>
      </c>
      <c r="R63" s="23">
        <v>648000</v>
      </c>
      <c r="S63" s="21" t="s">
        <v>24</v>
      </c>
      <c r="T63" s="21"/>
      <c r="U63" s="21"/>
      <c r="V63" s="24"/>
      <c r="W63" s="24" t="s">
        <v>586</v>
      </c>
      <c r="X63" s="28"/>
      <c r="Y63" s="17" t="s">
        <v>538</v>
      </c>
      <c r="Z63" s="18">
        <f>ROUND(R63*'Data-CostAssumptions'!$C$3,-3)</f>
        <v>897000</v>
      </c>
      <c r="AA63" s="11">
        <f t="shared" si="1"/>
        <v>1</v>
      </c>
      <c r="AB63" s="11">
        <v>2041</v>
      </c>
      <c r="AC63" s="11">
        <v>2041</v>
      </c>
      <c r="AD63" s="11">
        <v>2041</v>
      </c>
      <c r="AE63" s="19">
        <f>ROUND((Z63*'Data-CostAssumptions'!$G$5)*(1+'Data-CostAssumptions'!$G$3)^(AB63-'Data-CostAssumptions'!$G$4),-3)</f>
        <v>506000</v>
      </c>
      <c r="AF63" s="19">
        <f>ROUND((Z63)*(1+'Data-CostAssumptions'!$G$3)^(AD63-'Data-CostAssumptions'!$G$4),-3)</f>
        <v>2300000</v>
      </c>
      <c r="AG63" s="170" t="str">
        <f t="shared" si="2"/>
        <v>No</v>
      </c>
    </row>
    <row r="64" spans="1:33" ht="15" customHeight="1" x14ac:dyDescent="0.2">
      <c r="A64" s="11"/>
      <c r="B64" s="11" t="s">
        <v>1211</v>
      </c>
      <c r="C64" s="13">
        <v>774</v>
      </c>
      <c r="D64" s="13" t="s">
        <v>420</v>
      </c>
      <c r="E64" s="20">
        <v>253</v>
      </c>
      <c r="F64" s="20">
        <v>185</v>
      </c>
      <c r="G64" s="20">
        <v>151</v>
      </c>
      <c r="H64" s="13" t="s">
        <v>1829</v>
      </c>
      <c r="I64" s="13" t="str">
        <f t="shared" si="0"/>
        <v>Southgate Bl (SW 81st Av to Coral Ridge Dr)</v>
      </c>
      <c r="J64" s="13" t="s">
        <v>29</v>
      </c>
      <c r="K64" s="13" t="str">
        <f>VLOOKUP(J64,'Data-ProjectTypes'!A$3:B$13,2,FALSE)</f>
        <v>Program</v>
      </c>
      <c r="L64" s="21" t="s">
        <v>348</v>
      </c>
      <c r="M64" s="13" t="s">
        <v>2134</v>
      </c>
      <c r="N64" s="13" t="s">
        <v>1786</v>
      </c>
      <c r="O64" s="13" t="s">
        <v>272</v>
      </c>
      <c r="P64" s="13" t="s">
        <v>272</v>
      </c>
      <c r="Q64" s="22">
        <v>2.8</v>
      </c>
      <c r="R64" s="23">
        <v>647446</v>
      </c>
      <c r="S64" s="21"/>
      <c r="T64" s="21"/>
      <c r="U64" s="21" t="s">
        <v>24</v>
      </c>
      <c r="V64" s="24"/>
      <c r="W64" s="24" t="s">
        <v>848</v>
      </c>
      <c r="X64" s="24"/>
      <c r="Y64" s="17" t="s">
        <v>843</v>
      </c>
      <c r="Z64" s="18">
        <f>ROUND(R64*'Data-CostAssumptions'!$C$3,-3)</f>
        <v>896000</v>
      </c>
      <c r="AA64" s="11">
        <f t="shared" si="1"/>
        <v>1</v>
      </c>
      <c r="AB64" s="11">
        <v>2041</v>
      </c>
      <c r="AC64" s="11">
        <v>2041</v>
      </c>
      <c r="AD64" s="11">
        <v>2041</v>
      </c>
      <c r="AE64" s="19">
        <f>ROUND((Z64*'Data-CostAssumptions'!$G$5)*(1+'Data-CostAssumptions'!$G$3)^(AB64-'Data-CostAssumptions'!$G$4),-3)</f>
        <v>505000</v>
      </c>
      <c r="AF64" s="19">
        <f>ROUND((Z64)*(1+'Data-CostAssumptions'!$G$3)^(AD64-'Data-CostAssumptions'!$G$4),-3)</f>
        <v>2297000</v>
      </c>
      <c r="AG64" s="170" t="str">
        <f t="shared" si="2"/>
        <v>No</v>
      </c>
    </row>
    <row r="65" spans="1:33" ht="15" customHeight="1" x14ac:dyDescent="0.2">
      <c r="B65" s="11" t="s">
        <v>1211</v>
      </c>
      <c r="D65" s="84" t="s">
        <v>276</v>
      </c>
      <c r="E65" s="104">
        <v>104</v>
      </c>
      <c r="G65" s="20">
        <v>1462</v>
      </c>
      <c r="H65" s="13" t="s">
        <v>2209</v>
      </c>
      <c r="I65" s="13" t="str">
        <f t="shared" si="0"/>
        <v>SR 5/ US 1 (DAVIE Bl to BROWARD Bl)</v>
      </c>
      <c r="J65" s="12" t="s">
        <v>29</v>
      </c>
      <c r="K65" s="13" t="str">
        <f>VLOOKUP(J65,'Data-ProjectTypes'!A$3:B$13,2,FALSE)</f>
        <v>Program</v>
      </c>
      <c r="L65" s="12" t="s">
        <v>1411</v>
      </c>
      <c r="M65" s="105" t="s">
        <v>1991</v>
      </c>
      <c r="N65" s="12" t="s">
        <v>1988</v>
      </c>
      <c r="Q65" s="72">
        <v>1</v>
      </c>
      <c r="R65" s="23">
        <v>643950</v>
      </c>
      <c r="S65" s="21"/>
      <c r="T65" s="21"/>
      <c r="U65" s="21"/>
      <c r="V65" s="24"/>
      <c r="W65" s="24"/>
      <c r="X65" s="24"/>
      <c r="Y65" s="17"/>
      <c r="Z65" s="18">
        <f>ROUND(R65*'Data-CostAssumptions'!$C$3,-3)</f>
        <v>891000</v>
      </c>
      <c r="AA65" s="11">
        <f t="shared" si="1"/>
        <v>0</v>
      </c>
      <c r="AB65" s="11">
        <v>2041</v>
      </c>
      <c r="AC65" s="11">
        <v>2041</v>
      </c>
      <c r="AD65" s="11">
        <v>2041</v>
      </c>
      <c r="AE65" s="19">
        <f>ROUND((Z65*'Data-CostAssumptions'!$G$5)*(1+'Data-CostAssumptions'!$G$3)^(AB65-'Data-CostAssumptions'!$G$4),-3)</f>
        <v>503000</v>
      </c>
      <c r="AF65" s="19">
        <f>ROUND((Z65)*(1+'Data-CostAssumptions'!$G$3)^(AD65-'Data-CostAssumptions'!$G$4),-3)</f>
        <v>2284000</v>
      </c>
      <c r="AG65" s="170" t="str">
        <f t="shared" si="2"/>
        <v>No</v>
      </c>
    </row>
    <row r="66" spans="1:33" ht="15" customHeight="1" x14ac:dyDescent="0.2">
      <c r="B66" s="11" t="s">
        <v>1211</v>
      </c>
      <c r="D66" s="84" t="s">
        <v>276</v>
      </c>
      <c r="E66" s="104">
        <v>103</v>
      </c>
      <c r="G66" s="20">
        <v>1467</v>
      </c>
      <c r="H66" s="13" t="s">
        <v>2209</v>
      </c>
      <c r="I66" s="13" t="str">
        <f t="shared" ref="I66:I129" si="3">IF(M66="@",H66&amp;" ("&amp;M66&amp;"  "&amp;N66&amp;")",H66&amp;" ("&amp;M66&amp;" to "&amp;N66&amp;")")</f>
        <v>SR 5/ US 1 (SR 84 to DAVIE Bl)</v>
      </c>
      <c r="J66" s="12" t="s">
        <v>29</v>
      </c>
      <c r="K66" s="13" t="str">
        <f>VLOOKUP(J66,'Data-ProjectTypes'!A$3:B$13,2,FALSE)</f>
        <v>Program</v>
      </c>
      <c r="L66" s="12" t="s">
        <v>1408</v>
      </c>
      <c r="M66" s="105" t="s">
        <v>45</v>
      </c>
      <c r="N66" s="12" t="s">
        <v>1991</v>
      </c>
      <c r="Q66" s="72">
        <v>1</v>
      </c>
      <c r="R66" s="23">
        <v>643950</v>
      </c>
      <c r="S66" s="21" t="s">
        <v>24</v>
      </c>
      <c r="T66" s="21" t="s">
        <v>25</v>
      </c>
      <c r="U66" s="21"/>
      <c r="V66" s="24"/>
      <c r="W66" s="24"/>
      <c r="X66" s="24"/>
      <c r="Y66" s="17" t="s">
        <v>469</v>
      </c>
      <c r="Z66" s="18">
        <f>ROUND(R66*'Data-CostAssumptions'!$C$3,-3)</f>
        <v>891000</v>
      </c>
      <c r="AA66" s="11">
        <f t="shared" ref="AA66:AA129" si="4">IF(V66="",IF(W66="",0,1),1)</f>
        <v>0</v>
      </c>
      <c r="AB66" s="11">
        <v>2041</v>
      </c>
      <c r="AC66" s="11">
        <v>2041</v>
      </c>
      <c r="AD66" s="11">
        <v>2041</v>
      </c>
      <c r="AE66" s="19">
        <f>ROUND((Z66*'Data-CostAssumptions'!$G$5)*(1+'Data-CostAssumptions'!$G$3)^(AB66-'Data-CostAssumptions'!$G$4),-3)</f>
        <v>503000</v>
      </c>
      <c r="AF66" s="19">
        <f>ROUND((Z66)*(1+'Data-CostAssumptions'!$G$3)^(AD66-'Data-CostAssumptions'!$G$4),-3)</f>
        <v>2284000</v>
      </c>
      <c r="AG66" s="170" t="str">
        <f t="shared" ref="AG66:AG129" si="5">IF(MIN(AC66:AD66)&lt;2041,"Yes","No")</f>
        <v>No</v>
      </c>
    </row>
    <row r="67" spans="1:33" ht="15" customHeight="1" x14ac:dyDescent="0.2">
      <c r="A67" s="11"/>
      <c r="B67" s="11" t="s">
        <v>1211</v>
      </c>
      <c r="C67" s="13">
        <v>738</v>
      </c>
      <c r="D67" s="13" t="s">
        <v>420</v>
      </c>
      <c r="E67" s="20">
        <v>16</v>
      </c>
      <c r="F67" s="20">
        <v>183</v>
      </c>
      <c r="G67" s="20">
        <v>116</v>
      </c>
      <c r="H67" s="13" t="s">
        <v>1799</v>
      </c>
      <c r="I67" s="13" t="str">
        <f t="shared" si="3"/>
        <v>Riverside Dr (Sample Rd to Holmberg Rd)</v>
      </c>
      <c r="J67" s="13" t="s">
        <v>29</v>
      </c>
      <c r="K67" s="13" t="str">
        <f>VLOOKUP(J67,'Data-ProjectTypes'!A$3:B$13,2,FALSE)</f>
        <v>Program</v>
      </c>
      <c r="L67" s="21" t="s">
        <v>348</v>
      </c>
      <c r="M67" s="13" t="s">
        <v>1864</v>
      </c>
      <c r="N67" s="13" t="s">
        <v>2404</v>
      </c>
      <c r="O67" s="13" t="s">
        <v>273</v>
      </c>
      <c r="P67" s="13" t="s">
        <v>273</v>
      </c>
      <c r="Q67" s="22">
        <v>2.8</v>
      </c>
      <c r="R67" s="23">
        <v>641336</v>
      </c>
      <c r="S67" s="21" t="s">
        <v>24</v>
      </c>
      <c r="T67" s="21" t="s">
        <v>24</v>
      </c>
      <c r="U67" s="21"/>
      <c r="V67" s="24"/>
      <c r="W67" s="24"/>
      <c r="X67" s="24"/>
      <c r="Y67" s="17" t="s">
        <v>469</v>
      </c>
      <c r="Z67" s="18">
        <f>ROUND(R67*'Data-CostAssumptions'!$C$3,-3)</f>
        <v>888000</v>
      </c>
      <c r="AA67" s="11">
        <f t="shared" si="4"/>
        <v>0</v>
      </c>
      <c r="AB67" s="11">
        <v>2041</v>
      </c>
      <c r="AC67" s="11">
        <v>2041</v>
      </c>
      <c r="AD67" s="11">
        <v>2041</v>
      </c>
      <c r="AE67" s="19">
        <f>ROUND((Z67*'Data-CostAssumptions'!$G$5)*(1+'Data-CostAssumptions'!$G$3)^(AB67-'Data-CostAssumptions'!$G$4),-3)</f>
        <v>501000</v>
      </c>
      <c r="AF67" s="19">
        <f>ROUND((Z67)*(1+'Data-CostAssumptions'!$G$3)^(AD67-'Data-CostAssumptions'!$G$4),-3)</f>
        <v>2277000</v>
      </c>
      <c r="AG67" s="170" t="str">
        <f t="shared" si="5"/>
        <v>No</v>
      </c>
    </row>
    <row r="68" spans="1:33" ht="15" customHeight="1" x14ac:dyDescent="0.2">
      <c r="B68" s="11" t="s">
        <v>1211</v>
      </c>
      <c r="D68" s="84" t="s">
        <v>276</v>
      </c>
      <c r="E68" s="104">
        <v>106</v>
      </c>
      <c r="G68" s="20">
        <v>1466</v>
      </c>
      <c r="H68" s="13" t="s">
        <v>2209</v>
      </c>
      <c r="I68" s="13" t="str">
        <f t="shared" si="3"/>
        <v>SR 5/ US 1 (NE 6TH ST to NE 15TH Av)</v>
      </c>
      <c r="J68" s="12" t="s">
        <v>29</v>
      </c>
      <c r="K68" s="13" t="str">
        <f>VLOOKUP(J68,'Data-ProjectTypes'!A$3:B$13,2,FALSE)</f>
        <v>Program</v>
      </c>
      <c r="L68" s="12" t="s">
        <v>1415</v>
      </c>
      <c r="M68" s="105" t="s">
        <v>1230</v>
      </c>
      <c r="N68" s="12" t="s">
        <v>2143</v>
      </c>
      <c r="Q68" s="72">
        <v>0.9</v>
      </c>
      <c r="R68" s="23">
        <v>631800</v>
      </c>
      <c r="S68" s="21" t="s">
        <v>24</v>
      </c>
      <c r="T68" s="21" t="s">
        <v>24</v>
      </c>
      <c r="U68" s="21"/>
      <c r="V68" s="24"/>
      <c r="W68" s="24"/>
      <c r="X68" s="24"/>
      <c r="Y68" s="17" t="s">
        <v>469</v>
      </c>
      <c r="Z68" s="18">
        <f>ROUND(R68*'Data-CostAssumptions'!$C$3,-3)</f>
        <v>874000</v>
      </c>
      <c r="AA68" s="11">
        <f t="shared" si="4"/>
        <v>0</v>
      </c>
      <c r="AB68" s="11">
        <v>2041</v>
      </c>
      <c r="AC68" s="11">
        <v>2041</v>
      </c>
      <c r="AD68" s="11">
        <v>2041</v>
      </c>
      <c r="AE68" s="19">
        <f>ROUND((Z68*'Data-CostAssumptions'!$G$5)*(1+'Data-CostAssumptions'!$G$3)^(AB68-'Data-CostAssumptions'!$G$4),-3)</f>
        <v>493000</v>
      </c>
      <c r="AF68" s="19">
        <f>ROUND((Z68)*(1+'Data-CostAssumptions'!$G$3)^(AD68-'Data-CostAssumptions'!$G$4),-3)</f>
        <v>2241000</v>
      </c>
      <c r="AG68" s="170" t="str">
        <f t="shared" si="5"/>
        <v>No</v>
      </c>
    </row>
    <row r="69" spans="1:33" ht="15" customHeight="1" x14ac:dyDescent="0.2">
      <c r="A69" s="11"/>
      <c r="B69" s="11" t="s">
        <v>1211</v>
      </c>
      <c r="C69" s="13">
        <v>685</v>
      </c>
      <c r="D69" s="13" t="s">
        <v>420</v>
      </c>
      <c r="E69" s="20">
        <v>6</v>
      </c>
      <c r="F69" s="20">
        <v>180</v>
      </c>
      <c r="G69" s="20">
        <v>64</v>
      </c>
      <c r="H69" s="13" t="s">
        <v>2709</v>
      </c>
      <c r="I69" s="13" t="str">
        <f t="shared" si="3"/>
        <v>SR 817/University Dr (Sample Rd to Holmberg Rd)</v>
      </c>
      <c r="J69" s="13" t="s">
        <v>29</v>
      </c>
      <c r="K69" s="13" t="str">
        <f>VLOOKUP(J69,'Data-ProjectTypes'!A$3:B$13,2,FALSE)</f>
        <v>Program</v>
      </c>
      <c r="L69" s="21" t="s">
        <v>348</v>
      </c>
      <c r="M69" s="13" t="s">
        <v>1864</v>
      </c>
      <c r="N69" s="13" t="s">
        <v>2404</v>
      </c>
      <c r="O69" s="13" t="s">
        <v>272</v>
      </c>
      <c r="P69" s="13" t="s">
        <v>272</v>
      </c>
      <c r="Q69" s="22">
        <v>2.7</v>
      </c>
      <c r="R69" s="23">
        <v>630565</v>
      </c>
      <c r="S69" s="21" t="s">
        <v>24</v>
      </c>
      <c r="T69" s="21" t="s">
        <v>25</v>
      </c>
      <c r="U69" s="21"/>
      <c r="V69" s="24"/>
      <c r="W69" s="24"/>
      <c r="X69" s="24"/>
      <c r="Y69" s="17" t="s">
        <v>469</v>
      </c>
      <c r="Z69" s="18">
        <f>ROUND(R69*'Data-CostAssumptions'!$C$3,-3)</f>
        <v>873000</v>
      </c>
      <c r="AA69" s="11">
        <f t="shared" si="4"/>
        <v>0</v>
      </c>
      <c r="AB69" s="11">
        <v>2041</v>
      </c>
      <c r="AC69" s="11">
        <v>2041</v>
      </c>
      <c r="AD69" s="11">
        <v>2041</v>
      </c>
      <c r="AE69" s="19">
        <f>ROUND((Z69*'Data-CostAssumptions'!$G$5)*(1+'Data-CostAssumptions'!$G$3)^(AB69-'Data-CostAssumptions'!$G$4),-3)</f>
        <v>492000</v>
      </c>
      <c r="AF69" s="19">
        <f>ROUND((Z69)*(1+'Data-CostAssumptions'!$G$3)^(AD69-'Data-CostAssumptions'!$G$4),-3)</f>
        <v>2238000</v>
      </c>
      <c r="AG69" s="170" t="str">
        <f t="shared" si="5"/>
        <v>No</v>
      </c>
    </row>
    <row r="70" spans="1:33" ht="15" customHeight="1" x14ac:dyDescent="0.2">
      <c r="A70" s="11"/>
      <c r="B70" s="11" t="s">
        <v>1211</v>
      </c>
      <c r="C70" s="13">
        <v>709</v>
      </c>
      <c r="D70" s="13" t="s">
        <v>420</v>
      </c>
      <c r="E70" s="20">
        <v>175</v>
      </c>
      <c r="F70" s="20">
        <v>181</v>
      </c>
      <c r="G70" s="20">
        <v>87</v>
      </c>
      <c r="H70" s="13" t="s">
        <v>266</v>
      </c>
      <c r="I70" s="13" t="str">
        <f t="shared" si="3"/>
        <v>Pine Island Rd (Griffin Rd to State Rd 84)</v>
      </c>
      <c r="J70" s="13" t="s">
        <v>29</v>
      </c>
      <c r="K70" s="13" t="str">
        <f>VLOOKUP(J70,'Data-ProjectTypes'!A$3:B$13,2,FALSE)</f>
        <v>Program</v>
      </c>
      <c r="L70" s="21" t="s">
        <v>348</v>
      </c>
      <c r="M70" s="13" t="s">
        <v>1750</v>
      </c>
      <c r="N70" s="13" t="s">
        <v>1774</v>
      </c>
      <c r="O70" s="13" t="s">
        <v>273</v>
      </c>
      <c r="P70" s="13" t="s">
        <v>273</v>
      </c>
      <c r="Q70" s="22">
        <v>2.7</v>
      </c>
      <c r="R70" s="23">
        <v>629958</v>
      </c>
      <c r="S70" s="21" t="s">
        <v>24</v>
      </c>
      <c r="T70" s="21" t="s">
        <v>684</v>
      </c>
      <c r="U70" s="21" t="s">
        <v>24</v>
      </c>
      <c r="V70" s="24"/>
      <c r="W70" s="24"/>
      <c r="X70" s="24"/>
      <c r="Y70" s="17" t="s">
        <v>685</v>
      </c>
      <c r="Z70" s="18">
        <f>ROUND(R70*'Data-CostAssumptions'!$C$3,-3)</f>
        <v>872000</v>
      </c>
      <c r="AA70" s="11">
        <f t="shared" si="4"/>
        <v>0</v>
      </c>
      <c r="AB70" s="11">
        <v>2041</v>
      </c>
      <c r="AC70" s="11">
        <v>2041</v>
      </c>
      <c r="AD70" s="11">
        <v>2041</v>
      </c>
      <c r="AE70" s="19">
        <f>ROUND((Z70*'Data-CostAssumptions'!$G$5)*(1+'Data-CostAssumptions'!$G$3)^(AB70-'Data-CostAssumptions'!$G$4),-3)</f>
        <v>492000</v>
      </c>
      <c r="AF70" s="19">
        <f>ROUND((Z70)*(1+'Data-CostAssumptions'!$G$3)^(AD70-'Data-CostAssumptions'!$G$4),-3)</f>
        <v>2236000</v>
      </c>
      <c r="AG70" s="170" t="str">
        <f t="shared" si="5"/>
        <v>No</v>
      </c>
    </row>
    <row r="71" spans="1:33" ht="15" customHeight="1" x14ac:dyDescent="0.2">
      <c r="A71" s="11"/>
      <c r="B71" s="11" t="s">
        <v>1211</v>
      </c>
      <c r="C71" s="13">
        <v>852</v>
      </c>
      <c r="D71" s="13" t="s">
        <v>420</v>
      </c>
      <c r="E71" s="20">
        <v>84</v>
      </c>
      <c r="F71" s="20">
        <v>190</v>
      </c>
      <c r="G71" s="20">
        <v>228</v>
      </c>
      <c r="H71" s="13" t="s">
        <v>1859</v>
      </c>
      <c r="I71" s="13" t="str">
        <f t="shared" si="3"/>
        <v>Prospect Rd (Powerline Rd to NW 31st St)</v>
      </c>
      <c r="J71" s="13" t="s">
        <v>29</v>
      </c>
      <c r="K71" s="13" t="str">
        <f>VLOOKUP(J71,'Data-ProjectTypes'!A$3:B$13,2,FALSE)</f>
        <v>Program</v>
      </c>
      <c r="L71" s="21" t="s">
        <v>348</v>
      </c>
      <c r="M71" s="13" t="s">
        <v>1858</v>
      </c>
      <c r="N71" s="13" t="s">
        <v>2555</v>
      </c>
      <c r="O71" s="13" t="s">
        <v>273</v>
      </c>
      <c r="P71" s="13" t="s">
        <v>273</v>
      </c>
      <c r="Q71" s="22">
        <v>2.7</v>
      </c>
      <c r="R71" s="23">
        <v>624204</v>
      </c>
      <c r="S71" s="21"/>
      <c r="T71" s="21"/>
      <c r="U71" s="21"/>
      <c r="V71" s="24"/>
      <c r="W71" s="24"/>
      <c r="X71" s="32"/>
      <c r="Y71" s="17"/>
      <c r="Z71" s="18">
        <f>ROUND(R71*'Data-CostAssumptions'!$C$3,-3)</f>
        <v>864000</v>
      </c>
      <c r="AA71" s="11">
        <f t="shared" si="4"/>
        <v>0</v>
      </c>
      <c r="AB71" s="11">
        <v>2041</v>
      </c>
      <c r="AC71" s="11">
        <v>2041</v>
      </c>
      <c r="AD71" s="11">
        <v>2041</v>
      </c>
      <c r="AE71" s="19">
        <f>ROUND((Z71*'Data-CostAssumptions'!$G$5)*(1+'Data-CostAssumptions'!$G$3)^(AB71-'Data-CostAssumptions'!$G$4),-3)</f>
        <v>487000</v>
      </c>
      <c r="AF71" s="19">
        <f>ROUND((Z71)*(1+'Data-CostAssumptions'!$G$3)^(AD71-'Data-CostAssumptions'!$G$4),-3)</f>
        <v>2215000</v>
      </c>
      <c r="AG71" s="170" t="str">
        <f t="shared" si="5"/>
        <v>No</v>
      </c>
    </row>
    <row r="72" spans="1:33" ht="15" customHeight="1" x14ac:dyDescent="0.2">
      <c r="A72" s="11"/>
      <c r="B72" s="11" t="s">
        <v>1211</v>
      </c>
      <c r="C72" s="13">
        <v>886</v>
      </c>
      <c r="D72" s="13" t="s">
        <v>420</v>
      </c>
      <c r="E72" s="20">
        <v>1</v>
      </c>
      <c r="F72" s="20">
        <v>191</v>
      </c>
      <c r="G72" s="20">
        <v>263</v>
      </c>
      <c r="H72" s="13" t="s">
        <v>1755</v>
      </c>
      <c r="I72" s="13" t="str">
        <f t="shared" si="3"/>
        <v>Nob Hill Rd (Oakland Park Bl to McNab Rd)</v>
      </c>
      <c r="J72" s="13" t="s">
        <v>29</v>
      </c>
      <c r="K72" s="13" t="str">
        <f>VLOOKUP(J72,'Data-ProjectTypes'!A$3:B$13,2,FALSE)</f>
        <v>Program</v>
      </c>
      <c r="L72" s="21" t="s">
        <v>348</v>
      </c>
      <c r="M72" s="13" t="s">
        <v>1825</v>
      </c>
      <c r="N72" s="13" t="s">
        <v>1854</v>
      </c>
      <c r="O72" s="13" t="s">
        <v>273</v>
      </c>
      <c r="P72" s="13" t="s">
        <v>273</v>
      </c>
      <c r="Q72" s="22">
        <v>2.7</v>
      </c>
      <c r="R72" s="23">
        <v>619968</v>
      </c>
      <c r="S72" s="21" t="s">
        <v>24</v>
      </c>
      <c r="T72" s="21"/>
      <c r="U72" s="21"/>
      <c r="V72" s="24"/>
      <c r="W72" s="24"/>
      <c r="X72" s="28"/>
      <c r="Y72" s="17" t="s">
        <v>460</v>
      </c>
      <c r="Z72" s="18">
        <f>ROUND(R72*'Data-CostAssumptions'!$C$3,-3)</f>
        <v>858000</v>
      </c>
      <c r="AA72" s="11">
        <f t="shared" si="4"/>
        <v>0</v>
      </c>
      <c r="AB72" s="11">
        <v>2041</v>
      </c>
      <c r="AC72" s="11">
        <v>2041</v>
      </c>
      <c r="AD72" s="11">
        <v>2041</v>
      </c>
      <c r="AE72" s="19">
        <f>ROUND((Z72*'Data-CostAssumptions'!$G$5)*(1+'Data-CostAssumptions'!$G$3)^(AB72-'Data-CostAssumptions'!$G$4),-3)</f>
        <v>484000</v>
      </c>
      <c r="AF72" s="19">
        <f>ROUND((Z72)*(1+'Data-CostAssumptions'!$G$3)^(AD72-'Data-CostAssumptions'!$G$4),-3)</f>
        <v>2200000</v>
      </c>
      <c r="AG72" s="170" t="str">
        <f t="shared" si="5"/>
        <v>No</v>
      </c>
    </row>
    <row r="73" spans="1:33" ht="15" customHeight="1" x14ac:dyDescent="0.2">
      <c r="B73" s="11" t="s">
        <v>1211</v>
      </c>
      <c r="D73" s="84" t="s">
        <v>276</v>
      </c>
      <c r="E73" s="104">
        <v>34</v>
      </c>
      <c r="G73" s="20">
        <v>1377</v>
      </c>
      <c r="H73" s="13" t="s">
        <v>2143</v>
      </c>
      <c r="I73" s="13" t="str">
        <f t="shared" si="3"/>
        <v>NE 15TH Av (LAS OLAS Bl to SUNRISE Bl)</v>
      </c>
      <c r="J73" s="12" t="s">
        <v>29</v>
      </c>
      <c r="K73" s="13" t="str">
        <f>VLOOKUP(J73,'Data-ProjectTypes'!A$3:B$13,2,FALSE)</f>
        <v>Program</v>
      </c>
      <c r="L73" s="12" t="s">
        <v>1312</v>
      </c>
      <c r="M73" s="105" t="s">
        <v>1997</v>
      </c>
      <c r="N73" s="12" t="s">
        <v>2002</v>
      </c>
      <c r="Q73" s="72">
        <v>1.3</v>
      </c>
      <c r="R73" s="23">
        <v>618000</v>
      </c>
      <c r="S73" s="21" t="s">
        <v>24</v>
      </c>
      <c r="T73" s="21" t="s">
        <v>684</v>
      </c>
      <c r="U73" s="21" t="s">
        <v>684</v>
      </c>
      <c r="V73" s="24"/>
      <c r="W73" s="24"/>
      <c r="X73" s="24"/>
      <c r="Y73" s="17" t="s">
        <v>685</v>
      </c>
      <c r="Z73" s="18">
        <f>ROUND(R73*'Data-CostAssumptions'!$C$3,-3)</f>
        <v>855000</v>
      </c>
      <c r="AA73" s="11">
        <f t="shared" si="4"/>
        <v>0</v>
      </c>
      <c r="AB73" s="11">
        <v>2041</v>
      </c>
      <c r="AC73" s="11">
        <v>2041</v>
      </c>
      <c r="AD73" s="11">
        <v>2041</v>
      </c>
      <c r="AE73" s="19">
        <f>ROUND((Z73*'Data-CostAssumptions'!$G$5)*(1+'Data-CostAssumptions'!$G$3)^(AB73-'Data-CostAssumptions'!$G$4),-3)</f>
        <v>482000</v>
      </c>
      <c r="AF73" s="19">
        <f>ROUND((Z73)*(1+'Data-CostAssumptions'!$G$3)^(AD73-'Data-CostAssumptions'!$G$4),-3)</f>
        <v>2192000</v>
      </c>
      <c r="AG73" s="170" t="str">
        <f t="shared" si="5"/>
        <v>No</v>
      </c>
    </row>
    <row r="74" spans="1:33" ht="15" customHeight="1" x14ac:dyDescent="0.2">
      <c r="B74" s="11" t="s">
        <v>1211</v>
      </c>
      <c r="D74" s="84" t="s">
        <v>276</v>
      </c>
      <c r="E74" s="104">
        <v>22</v>
      </c>
      <c r="G74" s="20">
        <v>1469</v>
      </c>
      <c r="H74" s="13" t="s">
        <v>2755</v>
      </c>
      <c r="I74" s="13" t="str">
        <f t="shared" si="3"/>
        <v>SR 811/Dixie Hwy (NE 13TH ST to NE 20TH DR)</v>
      </c>
      <c r="J74" s="12" t="s">
        <v>29</v>
      </c>
      <c r="K74" s="13" t="str">
        <f>VLOOKUP(J74,'Data-ProjectTypes'!A$3:B$13,2,FALSE)</f>
        <v>Program</v>
      </c>
      <c r="L74" s="12" t="s">
        <v>1286</v>
      </c>
      <c r="M74" s="105" t="s">
        <v>1432</v>
      </c>
      <c r="N74" s="12" t="s">
        <v>1431</v>
      </c>
      <c r="Q74" s="72">
        <v>0.9</v>
      </c>
      <c r="R74" s="23">
        <v>618000</v>
      </c>
      <c r="S74" s="21" t="s">
        <v>24</v>
      </c>
      <c r="T74" s="21" t="s">
        <v>25</v>
      </c>
      <c r="U74" s="21"/>
      <c r="V74" s="24"/>
      <c r="W74" s="24"/>
      <c r="X74" s="24"/>
      <c r="Y74" s="17" t="s">
        <v>469</v>
      </c>
      <c r="Z74" s="18">
        <f>ROUND(R74*'Data-CostAssumptions'!$C$3,-3)</f>
        <v>855000</v>
      </c>
      <c r="AA74" s="11">
        <f t="shared" si="4"/>
        <v>0</v>
      </c>
      <c r="AB74" s="11">
        <v>2041</v>
      </c>
      <c r="AC74" s="11">
        <v>2041</v>
      </c>
      <c r="AD74" s="11">
        <v>2041</v>
      </c>
      <c r="AE74" s="19">
        <f>ROUND((Z74*'Data-CostAssumptions'!$G$5)*(1+'Data-CostAssumptions'!$G$3)^(AB74-'Data-CostAssumptions'!$G$4),-3)</f>
        <v>482000</v>
      </c>
      <c r="AF74" s="19">
        <f>ROUND((Z74)*(1+'Data-CostAssumptions'!$G$3)^(AD74-'Data-CostAssumptions'!$G$4),-3)</f>
        <v>2192000</v>
      </c>
      <c r="AG74" s="170" t="str">
        <f t="shared" si="5"/>
        <v>No</v>
      </c>
    </row>
    <row r="75" spans="1:33" ht="15" customHeight="1" x14ac:dyDescent="0.2">
      <c r="A75" s="11"/>
      <c r="B75" s="11" t="s">
        <v>1211</v>
      </c>
      <c r="C75" s="13">
        <v>638</v>
      </c>
      <c r="D75" s="13" t="s">
        <v>420</v>
      </c>
      <c r="E75" s="20">
        <v>155</v>
      </c>
      <c r="F75" s="20">
        <v>177</v>
      </c>
      <c r="G75" s="20">
        <v>19</v>
      </c>
      <c r="H75" s="13" t="s">
        <v>2728</v>
      </c>
      <c r="I75" s="13" t="str">
        <f t="shared" si="3"/>
        <v>SR 838/Sunrise Bl (I-95 to NW 47th Av)</v>
      </c>
      <c r="J75" s="13" t="s">
        <v>29</v>
      </c>
      <c r="K75" s="13" t="str">
        <f>VLOOKUP(J75,'Data-ProjectTypes'!A$3:B$13,2,FALSE)</f>
        <v>Program</v>
      </c>
      <c r="L75" s="21" t="s">
        <v>348</v>
      </c>
      <c r="M75" s="13" t="s">
        <v>41</v>
      </c>
      <c r="N75" s="13" t="s">
        <v>2070</v>
      </c>
      <c r="O75" s="13" t="s">
        <v>270</v>
      </c>
      <c r="P75" s="13" t="s">
        <v>270</v>
      </c>
      <c r="Q75" s="22">
        <v>2.7</v>
      </c>
      <c r="R75" s="23">
        <v>616666</v>
      </c>
      <c r="S75" s="21"/>
      <c r="T75" s="21"/>
      <c r="U75" s="21"/>
      <c r="V75" s="24"/>
      <c r="W75" s="24"/>
      <c r="X75" s="24"/>
      <c r="Y75" s="17"/>
      <c r="Z75" s="18">
        <f>ROUND(R75*'Data-CostAssumptions'!$C$3,-3)</f>
        <v>853000</v>
      </c>
      <c r="AA75" s="11">
        <f t="shared" si="4"/>
        <v>0</v>
      </c>
      <c r="AB75" s="11">
        <v>2041</v>
      </c>
      <c r="AC75" s="11">
        <v>2041</v>
      </c>
      <c r="AD75" s="11">
        <v>2041</v>
      </c>
      <c r="AE75" s="19">
        <f>ROUND((Z75*'Data-CostAssumptions'!$G$5)*(1+'Data-CostAssumptions'!$G$3)^(AB75-'Data-CostAssumptions'!$G$4),-3)</f>
        <v>481000</v>
      </c>
      <c r="AF75" s="19">
        <f>ROUND((Z75)*(1+'Data-CostAssumptions'!$G$3)^(AD75-'Data-CostAssumptions'!$G$4),-3)</f>
        <v>2187000</v>
      </c>
      <c r="AG75" s="170" t="str">
        <f t="shared" si="5"/>
        <v>No</v>
      </c>
    </row>
    <row r="76" spans="1:33" ht="15" customHeight="1" x14ac:dyDescent="0.2">
      <c r="A76" s="11"/>
      <c r="B76" s="11" t="s">
        <v>1211</v>
      </c>
      <c r="C76" s="13">
        <v>725</v>
      </c>
      <c r="D76" s="13" t="s">
        <v>420</v>
      </c>
      <c r="E76" s="20">
        <v>218</v>
      </c>
      <c r="F76" s="20">
        <v>182</v>
      </c>
      <c r="G76" s="20">
        <v>103</v>
      </c>
      <c r="H76" s="13" t="s">
        <v>2787</v>
      </c>
      <c r="I76" s="13" t="str">
        <f t="shared" si="3"/>
        <v>SR 822/Sheridan St (North 46th Av to North 72nd Av)</v>
      </c>
      <c r="J76" s="13" t="s">
        <v>29</v>
      </c>
      <c r="K76" s="13" t="str">
        <f>VLOOKUP(J76,'Data-ProjectTypes'!A$3:B$13,2,FALSE)</f>
        <v>Program</v>
      </c>
      <c r="L76" s="21"/>
      <c r="M76" s="13" t="s">
        <v>2040</v>
      </c>
      <c r="N76" s="13" t="s">
        <v>2045</v>
      </c>
      <c r="O76" s="13" t="s">
        <v>273</v>
      </c>
      <c r="P76" s="13" t="s">
        <v>273</v>
      </c>
      <c r="Q76" s="22">
        <v>2.6</v>
      </c>
      <c r="R76" s="23">
        <v>613495</v>
      </c>
      <c r="S76" s="21"/>
      <c r="T76" s="21"/>
      <c r="U76" s="21"/>
      <c r="V76" s="24"/>
      <c r="W76" s="24" t="s">
        <v>696</v>
      </c>
      <c r="X76" s="24" t="s">
        <v>28</v>
      </c>
      <c r="Y76" s="17" t="s">
        <v>287</v>
      </c>
      <c r="Z76" s="18">
        <f>ROUND(R76*'Data-CostAssumptions'!$C$3,-3)</f>
        <v>849000</v>
      </c>
      <c r="AA76" s="11">
        <f t="shared" si="4"/>
        <v>1</v>
      </c>
      <c r="AB76" s="11">
        <v>2041</v>
      </c>
      <c r="AC76" s="11">
        <v>2041</v>
      </c>
      <c r="AD76" s="11">
        <v>2041</v>
      </c>
      <c r="AE76" s="19">
        <f>ROUND((Z76*'Data-CostAssumptions'!$G$5)*(1+'Data-CostAssumptions'!$G$3)^(AB76-'Data-CostAssumptions'!$G$4),-3)</f>
        <v>479000</v>
      </c>
      <c r="AF76" s="19">
        <f>ROUND((Z76)*(1+'Data-CostAssumptions'!$G$3)^(AD76-'Data-CostAssumptions'!$G$4),-3)</f>
        <v>2177000</v>
      </c>
      <c r="AG76" s="170" t="str">
        <f t="shared" si="5"/>
        <v>No</v>
      </c>
    </row>
    <row r="77" spans="1:33" ht="15" customHeight="1" x14ac:dyDescent="0.2">
      <c r="A77" s="11"/>
      <c r="B77" s="11" t="s">
        <v>1211</v>
      </c>
      <c r="C77" s="13">
        <v>816</v>
      </c>
      <c r="D77" s="13" t="s">
        <v>420</v>
      </c>
      <c r="E77" s="20">
        <v>217</v>
      </c>
      <c r="F77" s="20">
        <v>187</v>
      </c>
      <c r="G77" s="20">
        <v>192</v>
      </c>
      <c r="H77" s="13" t="s">
        <v>1968</v>
      </c>
      <c r="I77" s="13" t="str">
        <f t="shared" si="3"/>
        <v>Taft St (North 46th Av to North 72nd Av)</v>
      </c>
      <c r="J77" s="13" t="s">
        <v>29</v>
      </c>
      <c r="K77" s="13" t="str">
        <f>VLOOKUP(J77,'Data-ProjectTypes'!A$3:B$13,2,FALSE)</f>
        <v>Program</v>
      </c>
      <c r="L77" s="21" t="s">
        <v>562</v>
      </c>
      <c r="M77" s="13" t="s">
        <v>2040</v>
      </c>
      <c r="N77" s="13" t="s">
        <v>2045</v>
      </c>
      <c r="O77" s="13" t="s">
        <v>282</v>
      </c>
      <c r="P77" s="13" t="s">
        <v>282</v>
      </c>
      <c r="Q77" s="22">
        <v>2.6</v>
      </c>
      <c r="R77" s="23">
        <v>611961</v>
      </c>
      <c r="S77" s="21"/>
      <c r="T77" s="21"/>
      <c r="U77" s="21"/>
      <c r="V77" s="24"/>
      <c r="W77" s="24"/>
      <c r="X77" s="24" t="s">
        <v>764</v>
      </c>
      <c r="Y77" s="17" t="s">
        <v>765</v>
      </c>
      <c r="Z77" s="18">
        <f>ROUND(R77*'Data-CostAssumptions'!$C$3,-3)</f>
        <v>847000</v>
      </c>
      <c r="AA77" s="11">
        <f t="shared" si="4"/>
        <v>0</v>
      </c>
      <c r="AB77" s="11">
        <v>2041</v>
      </c>
      <c r="AC77" s="11">
        <v>2041</v>
      </c>
      <c r="AD77" s="11">
        <v>2041</v>
      </c>
      <c r="AE77" s="19">
        <f>ROUND((Z77*'Data-CostAssumptions'!$G$5)*(1+'Data-CostAssumptions'!$G$3)^(AB77-'Data-CostAssumptions'!$G$4),-3)</f>
        <v>478000</v>
      </c>
      <c r="AF77" s="19">
        <f>ROUND((Z77)*(1+'Data-CostAssumptions'!$G$3)^(AD77-'Data-CostAssumptions'!$G$4),-3)</f>
        <v>2172000</v>
      </c>
      <c r="AG77" s="170" t="str">
        <f t="shared" si="5"/>
        <v>No</v>
      </c>
    </row>
    <row r="78" spans="1:33" ht="15" customHeight="1" x14ac:dyDescent="0.2">
      <c r="A78" s="11"/>
      <c r="B78" s="11" t="s">
        <v>1211</v>
      </c>
      <c r="C78" s="13">
        <v>767</v>
      </c>
      <c r="D78" s="13" t="s">
        <v>420</v>
      </c>
      <c r="E78" s="20">
        <v>216</v>
      </c>
      <c r="F78" s="20">
        <v>185</v>
      </c>
      <c r="G78" s="20">
        <v>144</v>
      </c>
      <c r="H78" s="13" t="s">
        <v>1880</v>
      </c>
      <c r="I78" s="13" t="str">
        <f t="shared" si="3"/>
        <v>Johnson St (North 46th Av to North 72nd Av)</v>
      </c>
      <c r="J78" s="13" t="s">
        <v>29</v>
      </c>
      <c r="K78" s="13" t="str">
        <f>VLOOKUP(J78,'Data-ProjectTypes'!A$3:B$13,2,FALSE)</f>
        <v>Program</v>
      </c>
      <c r="L78" s="21" t="s">
        <v>562</v>
      </c>
      <c r="M78" s="13" t="s">
        <v>2040</v>
      </c>
      <c r="N78" s="13" t="s">
        <v>2045</v>
      </c>
      <c r="O78" s="13" t="s">
        <v>282</v>
      </c>
      <c r="P78" s="13" t="s">
        <v>282</v>
      </c>
      <c r="Q78" s="22">
        <v>2.6</v>
      </c>
      <c r="R78" s="23">
        <v>610719</v>
      </c>
      <c r="S78" s="21"/>
      <c r="T78" s="21" t="s">
        <v>24</v>
      </c>
      <c r="U78" s="21"/>
      <c r="V78" s="24"/>
      <c r="W78" s="24" t="s">
        <v>491</v>
      </c>
      <c r="X78" s="24"/>
      <c r="Y78" s="17" t="s">
        <v>492</v>
      </c>
      <c r="Z78" s="18">
        <f>ROUND(R78*'Data-CostAssumptions'!$C$3,-3)</f>
        <v>845000</v>
      </c>
      <c r="AA78" s="11">
        <f t="shared" si="4"/>
        <v>1</v>
      </c>
      <c r="AB78" s="11">
        <v>2041</v>
      </c>
      <c r="AC78" s="11">
        <v>2041</v>
      </c>
      <c r="AD78" s="11">
        <v>2041</v>
      </c>
      <c r="AE78" s="19">
        <f>ROUND((Z78*'Data-CostAssumptions'!$G$5)*(1+'Data-CostAssumptions'!$G$3)^(AB78-'Data-CostAssumptions'!$G$4),-3)</f>
        <v>477000</v>
      </c>
      <c r="AF78" s="19">
        <f>ROUND((Z78)*(1+'Data-CostAssumptions'!$G$3)^(AD78-'Data-CostAssumptions'!$G$4),-3)</f>
        <v>2167000</v>
      </c>
      <c r="AG78" s="170" t="str">
        <f t="shared" si="5"/>
        <v>No</v>
      </c>
    </row>
    <row r="79" spans="1:33" ht="15" customHeight="1" x14ac:dyDescent="0.2">
      <c r="A79" s="11"/>
      <c r="B79" s="11" t="s">
        <v>1211</v>
      </c>
      <c r="C79" s="11">
        <v>12002</v>
      </c>
      <c r="D79" s="84" t="s">
        <v>292</v>
      </c>
      <c r="E79" s="14"/>
      <c r="F79" s="14"/>
      <c r="G79" s="20">
        <v>1085</v>
      </c>
      <c r="H79" s="13" t="s">
        <v>1793</v>
      </c>
      <c r="I79" s="13" t="str">
        <f t="shared" si="3"/>
        <v>Lakeview Dr (Coral Springs Dr to Atlantic Bl)</v>
      </c>
      <c r="J79" s="11" t="s">
        <v>29</v>
      </c>
      <c r="K79" s="13" t="str">
        <f>VLOOKUP(J79,'Data-ProjectTypes'!A$3:B$13,2,FALSE)</f>
        <v>Program</v>
      </c>
      <c r="L79" s="11" t="s">
        <v>426</v>
      </c>
      <c r="M79" s="11" t="s">
        <v>1787</v>
      </c>
      <c r="N79" s="11" t="s">
        <v>1809</v>
      </c>
      <c r="O79" s="11"/>
      <c r="P79" s="11"/>
      <c r="Q79" s="15">
        <v>2.38</v>
      </c>
      <c r="R79" s="16">
        <v>606104.17047076463</v>
      </c>
      <c r="S79" s="21" t="s">
        <v>24</v>
      </c>
      <c r="T79" s="21" t="s">
        <v>25</v>
      </c>
      <c r="U79" s="21"/>
      <c r="V79" s="24"/>
      <c r="W79" s="24" t="s">
        <v>583</v>
      </c>
      <c r="X79" s="24"/>
      <c r="Y79" s="17" t="s">
        <v>556</v>
      </c>
      <c r="Z79" s="18">
        <f>ROUND(R79*'Data-CostAssumptions'!$C$3,-3)</f>
        <v>839000</v>
      </c>
      <c r="AA79" s="11">
        <f t="shared" si="4"/>
        <v>1</v>
      </c>
      <c r="AB79" s="11">
        <v>2041</v>
      </c>
      <c r="AC79" s="11">
        <v>2041</v>
      </c>
      <c r="AD79" s="11">
        <v>2041</v>
      </c>
      <c r="AE79" s="19">
        <f>ROUND((Z79*'Data-CostAssumptions'!$G$5)*(1+'Data-CostAssumptions'!$G$3)^(AB79-'Data-CostAssumptions'!$G$4),-3)</f>
        <v>473000</v>
      </c>
      <c r="AF79" s="19">
        <f>ROUND((Z79)*(1+'Data-CostAssumptions'!$G$3)^(AD79-'Data-CostAssumptions'!$G$4),-3)</f>
        <v>2151000</v>
      </c>
      <c r="AG79" s="170" t="str">
        <f t="shared" si="5"/>
        <v>No</v>
      </c>
    </row>
    <row r="80" spans="1:33" ht="15" customHeight="1" x14ac:dyDescent="0.2">
      <c r="A80" s="11"/>
      <c r="B80" s="11" t="s">
        <v>1211</v>
      </c>
      <c r="C80" s="11">
        <v>12551</v>
      </c>
      <c r="D80" s="84" t="s">
        <v>296</v>
      </c>
      <c r="E80" s="14"/>
      <c r="F80" s="14"/>
      <c r="G80" s="20">
        <v>1822</v>
      </c>
      <c r="H80" s="13" t="s">
        <v>1849</v>
      </c>
      <c r="I80" s="13" t="str">
        <f t="shared" si="3"/>
        <v>Holmberg Rd  (Nobhill Rd to Pine Island Rd)</v>
      </c>
      <c r="J80" s="11" t="s">
        <v>29</v>
      </c>
      <c r="K80" s="13" t="str">
        <f>VLOOKUP(J80,'Data-ProjectTypes'!A$3:B$13,2,FALSE)</f>
        <v>Program</v>
      </c>
      <c r="L80" s="11" t="s">
        <v>757</v>
      </c>
      <c r="M80" s="11" t="s">
        <v>2416</v>
      </c>
      <c r="N80" s="11" t="s">
        <v>266</v>
      </c>
      <c r="O80" s="11"/>
      <c r="P80" s="11"/>
      <c r="Q80" s="15">
        <v>0.8</v>
      </c>
      <c r="R80" s="16">
        <v>602845.30000000005</v>
      </c>
      <c r="S80" s="21"/>
      <c r="T80" s="21"/>
      <c r="U80" s="21"/>
      <c r="V80" s="24"/>
      <c r="W80" s="24"/>
      <c r="X80" s="24"/>
      <c r="Y80" s="17"/>
      <c r="Z80" s="18">
        <f>ROUND(R80*'Data-CostAssumptions'!$C$3,-3)</f>
        <v>834000</v>
      </c>
      <c r="AA80" s="11">
        <f t="shared" si="4"/>
        <v>0</v>
      </c>
      <c r="AB80" s="11">
        <v>2041</v>
      </c>
      <c r="AC80" s="11">
        <v>2041</v>
      </c>
      <c r="AD80" s="11">
        <v>2041</v>
      </c>
      <c r="AE80" s="19">
        <f>ROUND((Z80*'Data-CostAssumptions'!$G$5)*(1+'Data-CostAssumptions'!$G$3)^(AB80-'Data-CostAssumptions'!$G$4),-3)</f>
        <v>470000</v>
      </c>
      <c r="AF80" s="19">
        <f>ROUND((Z80)*(1+'Data-CostAssumptions'!$G$3)^(AD80-'Data-CostAssumptions'!$G$4),-3)</f>
        <v>2138000</v>
      </c>
      <c r="AG80" s="170" t="str">
        <f t="shared" si="5"/>
        <v>No</v>
      </c>
    </row>
    <row r="81" spans="1:33" ht="15" customHeight="1" x14ac:dyDescent="0.2">
      <c r="B81" s="11" t="s">
        <v>1211</v>
      </c>
      <c r="D81" s="84" t="s">
        <v>276</v>
      </c>
      <c r="E81" s="104">
        <v>51</v>
      </c>
      <c r="G81" s="20">
        <v>1408</v>
      </c>
      <c r="H81" s="13" t="s">
        <v>2160</v>
      </c>
      <c r="I81" s="13" t="str">
        <f t="shared" si="3"/>
        <v>NW 15TH Av (SR 838/SUNRISE Bl to NW 19TH ST)</v>
      </c>
      <c r="J81" s="12" t="s">
        <v>29</v>
      </c>
      <c r="K81" s="13" t="str">
        <f>VLOOKUP(J81,'Data-ProjectTypes'!A$3:B$13,2,FALSE)</f>
        <v>Program</v>
      </c>
      <c r="L81" s="12" t="s">
        <v>1343</v>
      </c>
      <c r="M81" s="105" t="s">
        <v>2302</v>
      </c>
      <c r="N81" s="12" t="s">
        <v>1240</v>
      </c>
      <c r="Q81" s="72">
        <v>1</v>
      </c>
      <c r="R81" s="23">
        <v>600300</v>
      </c>
      <c r="S81" s="21"/>
      <c r="T81" s="21"/>
      <c r="U81" s="21"/>
      <c r="V81" s="24"/>
      <c r="W81" s="24"/>
      <c r="X81" s="24"/>
      <c r="Y81" s="17"/>
      <c r="Z81" s="18">
        <f>ROUND(R81*'Data-CostAssumptions'!$C$3,-3)</f>
        <v>831000</v>
      </c>
      <c r="AA81" s="11">
        <f t="shared" si="4"/>
        <v>0</v>
      </c>
      <c r="AB81" s="11">
        <v>2041</v>
      </c>
      <c r="AC81" s="11">
        <v>2041</v>
      </c>
      <c r="AD81" s="11">
        <v>2041</v>
      </c>
      <c r="AE81" s="19">
        <f>ROUND((Z81*'Data-CostAssumptions'!$G$5)*(1+'Data-CostAssumptions'!$G$3)^(AB81-'Data-CostAssumptions'!$G$4),-3)</f>
        <v>469000</v>
      </c>
      <c r="AF81" s="19">
        <f>ROUND((Z81)*(1+'Data-CostAssumptions'!$G$3)^(AD81-'Data-CostAssumptions'!$G$4),-3)</f>
        <v>2131000</v>
      </c>
      <c r="AG81" s="170" t="str">
        <f t="shared" si="5"/>
        <v>No</v>
      </c>
    </row>
    <row r="82" spans="1:33" ht="15" customHeight="1" x14ac:dyDescent="0.2">
      <c r="A82" s="11"/>
      <c r="B82" s="11" t="s">
        <v>1211</v>
      </c>
      <c r="C82" s="13">
        <v>683</v>
      </c>
      <c r="D82" s="13" t="s">
        <v>420</v>
      </c>
      <c r="E82" s="20">
        <v>324</v>
      </c>
      <c r="F82" s="20">
        <v>180</v>
      </c>
      <c r="G82" s="20">
        <v>62</v>
      </c>
      <c r="H82" s="13" t="s">
        <v>2130</v>
      </c>
      <c r="I82" s="13" t="str">
        <f t="shared" si="3"/>
        <v>SW 62nd Av (County Line Rd/SW 41st St to Hollywood Bl)</v>
      </c>
      <c r="J82" s="13" t="s">
        <v>29</v>
      </c>
      <c r="K82" s="13" t="str">
        <f>VLOOKUP(J82,'Data-ProjectTypes'!A$3:B$13,2,FALSE)</f>
        <v>Program</v>
      </c>
      <c r="L82" s="21" t="s">
        <v>562</v>
      </c>
      <c r="M82" s="13" t="s">
        <v>1876</v>
      </c>
      <c r="N82" s="13" t="s">
        <v>1820</v>
      </c>
      <c r="O82" s="13" t="s">
        <v>272</v>
      </c>
      <c r="P82" s="13" t="s">
        <v>272</v>
      </c>
      <c r="Q82" s="22">
        <v>2.6</v>
      </c>
      <c r="R82" s="23">
        <v>597954</v>
      </c>
      <c r="S82" s="21" t="s">
        <v>24</v>
      </c>
      <c r="T82" s="21" t="s">
        <v>684</v>
      </c>
      <c r="U82" s="21" t="s">
        <v>684</v>
      </c>
      <c r="V82" s="24"/>
      <c r="W82" s="24" t="s">
        <v>814</v>
      </c>
      <c r="X82" s="24" t="s">
        <v>813</v>
      </c>
      <c r="Y82" s="17" t="s">
        <v>806</v>
      </c>
      <c r="Z82" s="18">
        <f>ROUND(R82*'Data-CostAssumptions'!$C$3,-3)</f>
        <v>828000</v>
      </c>
      <c r="AA82" s="11">
        <f t="shared" si="4"/>
        <v>1</v>
      </c>
      <c r="AB82" s="11">
        <v>2041</v>
      </c>
      <c r="AC82" s="11">
        <v>2041</v>
      </c>
      <c r="AD82" s="11">
        <v>2041</v>
      </c>
      <c r="AE82" s="19">
        <f>ROUND((Z82*'Data-CostAssumptions'!$G$5)*(1+'Data-CostAssumptions'!$G$3)^(AB82-'Data-CostAssumptions'!$G$4),-3)</f>
        <v>467000</v>
      </c>
      <c r="AF82" s="19">
        <f>ROUND((Z82)*(1+'Data-CostAssumptions'!$G$3)^(AD82-'Data-CostAssumptions'!$G$4),-3)</f>
        <v>2123000</v>
      </c>
      <c r="AG82" s="170" t="str">
        <f t="shared" si="5"/>
        <v>No</v>
      </c>
    </row>
    <row r="83" spans="1:33" ht="15" customHeight="1" x14ac:dyDescent="0.2">
      <c r="A83" s="11"/>
      <c r="B83" s="11" t="s">
        <v>1211</v>
      </c>
      <c r="C83" s="11"/>
      <c r="D83" s="84" t="s">
        <v>276</v>
      </c>
      <c r="E83" s="14">
        <v>15</v>
      </c>
      <c r="F83" s="14"/>
      <c r="G83" s="20">
        <v>1342</v>
      </c>
      <c r="H83" s="13" t="s">
        <v>1842</v>
      </c>
      <c r="I83" s="13" t="str">
        <f t="shared" si="3"/>
        <v>Cypress Creek Rd (NE 18TH Av to NE 6TH Av)</v>
      </c>
      <c r="J83" s="11" t="s">
        <v>29</v>
      </c>
      <c r="K83" s="13" t="str">
        <f>VLOOKUP(J83,'Data-ProjectTypes'!A$3:B$13,2,FALSE)</f>
        <v>Program</v>
      </c>
      <c r="L83" s="11" t="s">
        <v>1273</v>
      </c>
      <c r="M83" s="106" t="s">
        <v>2146</v>
      </c>
      <c r="N83" s="84" t="s">
        <v>2606</v>
      </c>
      <c r="O83" s="11"/>
      <c r="P83" s="11"/>
      <c r="Q83" s="107">
        <v>0.8</v>
      </c>
      <c r="R83" s="23">
        <v>826200</v>
      </c>
      <c r="S83" s="21"/>
      <c r="T83" s="21"/>
      <c r="U83" s="21"/>
      <c r="V83" s="24"/>
      <c r="W83" s="24" t="s">
        <v>820</v>
      </c>
      <c r="X83" s="24"/>
      <c r="Y83" s="17" t="s">
        <v>806</v>
      </c>
      <c r="Z83" s="18">
        <f>ROUND(R83*'Data-CostAssumptions'!$C$8,-3)</f>
        <v>826000</v>
      </c>
      <c r="AA83" s="11">
        <f t="shared" si="4"/>
        <v>1</v>
      </c>
      <c r="AB83" s="11">
        <v>2041</v>
      </c>
      <c r="AC83" s="11">
        <v>2041</v>
      </c>
      <c r="AD83" s="11">
        <v>2041</v>
      </c>
      <c r="AE83" s="19">
        <f>ROUND((Z83*'Data-CostAssumptions'!$G$5)*(1+'Data-CostAssumptions'!$G$3)^(AB83-'Data-CostAssumptions'!$G$4),-3)</f>
        <v>466000</v>
      </c>
      <c r="AF83" s="19">
        <f>ROUND((Z83)*(1+'Data-CostAssumptions'!$G$3)^(AD83-'Data-CostAssumptions'!$G$4),-3)</f>
        <v>2118000</v>
      </c>
      <c r="AG83" s="170" t="str">
        <f t="shared" si="5"/>
        <v>No</v>
      </c>
    </row>
    <row r="84" spans="1:33" ht="15" customHeight="1" x14ac:dyDescent="0.2">
      <c r="A84" s="11"/>
      <c r="B84" s="11" t="s">
        <v>1211</v>
      </c>
      <c r="C84" s="13">
        <v>877</v>
      </c>
      <c r="D84" s="13" t="s">
        <v>420</v>
      </c>
      <c r="E84" s="20">
        <v>288</v>
      </c>
      <c r="F84" s="20">
        <v>191</v>
      </c>
      <c r="G84" s="20">
        <v>254</v>
      </c>
      <c r="H84" s="13" t="s">
        <v>2784</v>
      </c>
      <c r="I84" s="13" t="str">
        <f t="shared" si="3"/>
        <v>SR 818/Griffin Rd (SW 184th Av to US 27)</v>
      </c>
      <c r="J84" s="13" t="s">
        <v>29</v>
      </c>
      <c r="K84" s="13" t="str">
        <f>VLOOKUP(J84,'Data-ProjectTypes'!A$3:B$13,2,FALSE)</f>
        <v>Program</v>
      </c>
      <c r="L84" s="21" t="s">
        <v>348</v>
      </c>
      <c r="M84" s="13" t="s">
        <v>2111</v>
      </c>
      <c r="N84" s="13" t="s">
        <v>30</v>
      </c>
      <c r="O84" s="13" t="s">
        <v>273</v>
      </c>
      <c r="P84" s="13" t="s">
        <v>273</v>
      </c>
      <c r="Q84" s="22">
        <v>2.6</v>
      </c>
      <c r="R84" s="23">
        <v>592481</v>
      </c>
      <c r="S84" s="21"/>
      <c r="T84" s="21"/>
      <c r="U84" s="21"/>
      <c r="V84" s="24"/>
      <c r="W84" s="24"/>
      <c r="X84" s="24"/>
      <c r="Y84" s="17"/>
      <c r="Z84" s="18">
        <f>ROUND(R84*'Data-CostAssumptions'!$C$3,-3)</f>
        <v>820000</v>
      </c>
      <c r="AA84" s="11">
        <f t="shared" si="4"/>
        <v>0</v>
      </c>
      <c r="AB84" s="11">
        <v>2041</v>
      </c>
      <c r="AC84" s="11">
        <v>2041</v>
      </c>
      <c r="AD84" s="11">
        <v>2041</v>
      </c>
      <c r="AE84" s="19">
        <f>ROUND((Z84*'Data-CostAssumptions'!$G$5)*(1+'Data-CostAssumptions'!$G$3)^(AB84-'Data-CostAssumptions'!$G$4),-3)</f>
        <v>463000</v>
      </c>
      <c r="AF84" s="19">
        <f>ROUND((Z84)*(1+'Data-CostAssumptions'!$G$3)^(AD84-'Data-CostAssumptions'!$G$4),-3)</f>
        <v>2102000</v>
      </c>
      <c r="AG84" s="170" t="str">
        <f t="shared" si="5"/>
        <v>No</v>
      </c>
    </row>
    <row r="85" spans="1:33" ht="15" customHeight="1" x14ac:dyDescent="0.2">
      <c r="A85" s="11"/>
      <c r="B85" s="11" t="s">
        <v>1211</v>
      </c>
      <c r="C85" s="13">
        <v>689</v>
      </c>
      <c r="D85" s="13" t="s">
        <v>420</v>
      </c>
      <c r="E85" s="20">
        <v>17</v>
      </c>
      <c r="F85" s="20">
        <v>180</v>
      </c>
      <c r="G85" s="20">
        <v>68</v>
      </c>
      <c r="H85" s="13" t="s">
        <v>1799</v>
      </c>
      <c r="I85" s="13" t="str">
        <f t="shared" si="3"/>
        <v>Riverside Dr (Atlantic Bl to Sample Rd)</v>
      </c>
      <c r="J85" s="13" t="s">
        <v>29</v>
      </c>
      <c r="K85" s="13" t="str">
        <f>VLOOKUP(J85,'Data-ProjectTypes'!A$3:B$13,2,FALSE)</f>
        <v>Program</v>
      </c>
      <c r="L85" s="21" t="s">
        <v>348</v>
      </c>
      <c r="M85" s="13" t="s">
        <v>1809</v>
      </c>
      <c r="N85" s="13" t="s">
        <v>1864</v>
      </c>
      <c r="O85" s="13" t="s">
        <v>273</v>
      </c>
      <c r="P85" s="13" t="s">
        <v>273</v>
      </c>
      <c r="Q85" s="22">
        <v>2.6</v>
      </c>
      <c r="R85" s="23">
        <v>592041</v>
      </c>
      <c r="S85" s="12" t="s">
        <v>24</v>
      </c>
      <c r="T85" s="21" t="s">
        <v>25</v>
      </c>
      <c r="U85" s="21" t="s">
        <v>24</v>
      </c>
      <c r="V85" s="24" t="s">
        <v>561</v>
      </c>
      <c r="W85" s="24"/>
      <c r="X85" s="24"/>
      <c r="Y85" s="17" t="s">
        <v>538</v>
      </c>
      <c r="Z85" s="18">
        <f>ROUND(R85*'Data-CostAssumptions'!$C$3,-3)</f>
        <v>819000</v>
      </c>
      <c r="AA85" s="11">
        <f t="shared" si="4"/>
        <v>1</v>
      </c>
      <c r="AB85" s="11">
        <v>2041</v>
      </c>
      <c r="AC85" s="11">
        <v>2041</v>
      </c>
      <c r="AD85" s="11">
        <v>2041</v>
      </c>
      <c r="AE85" s="19">
        <f>ROUND((Z85*'Data-CostAssumptions'!$G$5)*(1+'Data-CostAssumptions'!$G$3)^(AB85-'Data-CostAssumptions'!$G$4),-3)</f>
        <v>462000</v>
      </c>
      <c r="AF85" s="19">
        <f>ROUND((Z85)*(1+'Data-CostAssumptions'!$G$3)^(AD85-'Data-CostAssumptions'!$G$4),-3)</f>
        <v>2100000</v>
      </c>
      <c r="AG85" s="170" t="str">
        <f t="shared" si="5"/>
        <v>No</v>
      </c>
    </row>
    <row r="86" spans="1:33" ht="15" customHeight="1" x14ac:dyDescent="0.2">
      <c r="A86" s="11"/>
      <c r="B86" s="11" t="s">
        <v>1211</v>
      </c>
      <c r="C86" s="13">
        <v>634</v>
      </c>
      <c r="D86" s="13" t="s">
        <v>420</v>
      </c>
      <c r="E86" s="20">
        <v>126</v>
      </c>
      <c r="F86" s="20">
        <v>177</v>
      </c>
      <c r="G86" s="20">
        <v>15</v>
      </c>
      <c r="H86" s="13" t="s">
        <v>2014</v>
      </c>
      <c r="I86" s="13" t="str">
        <f t="shared" si="3"/>
        <v>Andrews Av (NE 6th St to Oakland Park Bl)</v>
      </c>
      <c r="J86" s="13" t="s">
        <v>29</v>
      </c>
      <c r="K86" s="13" t="str">
        <f>VLOOKUP(J86,'Data-ProjectTypes'!A$3:B$13,2,FALSE)</f>
        <v>Program</v>
      </c>
      <c r="L86" s="26" t="s">
        <v>847</v>
      </c>
      <c r="M86" s="13" t="s">
        <v>1902</v>
      </c>
      <c r="N86" s="13" t="s">
        <v>1825</v>
      </c>
      <c r="O86" s="13" t="s">
        <v>273</v>
      </c>
      <c r="P86" s="13" t="s">
        <v>273</v>
      </c>
      <c r="Q86" s="22">
        <v>2.6</v>
      </c>
      <c r="R86" s="23">
        <v>592106</v>
      </c>
      <c r="S86" s="21"/>
      <c r="T86" s="21"/>
      <c r="U86" s="21"/>
      <c r="V86" s="24"/>
      <c r="W86" s="24"/>
      <c r="X86" s="24"/>
      <c r="Y86" s="17"/>
      <c r="Z86" s="18">
        <f>ROUND(R86*'Data-CostAssumptions'!$C$3,-3)</f>
        <v>819000</v>
      </c>
      <c r="AA86" s="11">
        <f t="shared" si="4"/>
        <v>0</v>
      </c>
      <c r="AB86" s="11">
        <v>2041</v>
      </c>
      <c r="AC86" s="11">
        <v>2041</v>
      </c>
      <c r="AD86" s="11">
        <v>2041</v>
      </c>
      <c r="AE86" s="19">
        <f>ROUND((Z86*'Data-CostAssumptions'!$G$5)*(1+'Data-CostAssumptions'!$G$3)^(AB86-'Data-CostAssumptions'!$G$4),-3)</f>
        <v>462000</v>
      </c>
      <c r="AF86" s="19">
        <f>ROUND((Z86)*(1+'Data-CostAssumptions'!$G$3)^(AD86-'Data-CostAssumptions'!$G$4),-3)</f>
        <v>2100000</v>
      </c>
      <c r="AG86" s="170" t="str">
        <f t="shared" si="5"/>
        <v>No</v>
      </c>
    </row>
    <row r="87" spans="1:33" ht="15" customHeight="1" x14ac:dyDescent="0.2">
      <c r="A87" s="11"/>
      <c r="B87" s="11" t="s">
        <v>1211</v>
      </c>
      <c r="C87" s="13">
        <v>722</v>
      </c>
      <c r="D87" s="13" t="s">
        <v>420</v>
      </c>
      <c r="E87" s="20">
        <v>206</v>
      </c>
      <c r="F87" s="20">
        <v>182</v>
      </c>
      <c r="G87" s="20">
        <v>100</v>
      </c>
      <c r="H87" s="13" t="s">
        <v>57</v>
      </c>
      <c r="I87" s="13" t="str">
        <f t="shared" si="3"/>
        <v>SR 7/US 441 (Washington St to Osceola Dr)</v>
      </c>
      <c r="J87" s="13" t="s">
        <v>29</v>
      </c>
      <c r="K87" s="13" t="str">
        <f>VLOOKUP(J87,'Data-ProjectTypes'!A$3:B$13,2,FALSE)</f>
        <v>Program</v>
      </c>
      <c r="L87" s="21" t="s">
        <v>348</v>
      </c>
      <c r="M87" s="13" t="s">
        <v>1971</v>
      </c>
      <c r="N87" s="13" t="s">
        <v>2677</v>
      </c>
      <c r="O87" s="13" t="s">
        <v>270</v>
      </c>
      <c r="P87" s="13" t="s">
        <v>270</v>
      </c>
      <c r="Q87" s="22">
        <v>2.6</v>
      </c>
      <c r="R87" s="23">
        <v>591841</v>
      </c>
      <c r="S87" s="21"/>
      <c r="T87" s="21"/>
      <c r="U87" s="21"/>
      <c r="V87" s="24"/>
      <c r="W87" s="24"/>
      <c r="X87" s="24"/>
      <c r="Y87" s="17"/>
      <c r="Z87" s="18">
        <f>ROUND(R87*'Data-CostAssumptions'!$C$3,-3)</f>
        <v>819000</v>
      </c>
      <c r="AA87" s="11">
        <f t="shared" si="4"/>
        <v>0</v>
      </c>
      <c r="AB87" s="11">
        <v>2041</v>
      </c>
      <c r="AC87" s="11">
        <v>2041</v>
      </c>
      <c r="AD87" s="11">
        <v>2041</v>
      </c>
      <c r="AE87" s="19">
        <f>ROUND((Z87*'Data-CostAssumptions'!$G$5)*(1+'Data-CostAssumptions'!$G$3)^(AB87-'Data-CostAssumptions'!$G$4),-3)</f>
        <v>462000</v>
      </c>
      <c r="AF87" s="19">
        <f>ROUND((Z87)*(1+'Data-CostAssumptions'!$G$3)^(AD87-'Data-CostAssumptions'!$G$4),-3)</f>
        <v>2100000</v>
      </c>
      <c r="AG87" s="170" t="str">
        <f t="shared" si="5"/>
        <v>No</v>
      </c>
    </row>
    <row r="88" spans="1:33" ht="15" customHeight="1" x14ac:dyDescent="0.2">
      <c r="A88" s="11"/>
      <c r="B88" s="11" t="s">
        <v>1211</v>
      </c>
      <c r="C88" s="13">
        <v>775</v>
      </c>
      <c r="D88" s="13" t="s">
        <v>420</v>
      </c>
      <c r="E88" s="20">
        <v>259</v>
      </c>
      <c r="F88" s="20">
        <v>185</v>
      </c>
      <c r="G88" s="20">
        <v>152</v>
      </c>
      <c r="H88" s="13" t="s">
        <v>1799</v>
      </c>
      <c r="I88" s="13" t="str">
        <f t="shared" si="3"/>
        <v>Riverside Dr (Atlantic Bl to Atlantic Bl)</v>
      </c>
      <c r="J88" s="13" t="s">
        <v>29</v>
      </c>
      <c r="K88" s="13" t="str">
        <f>VLOOKUP(J88,'Data-ProjectTypes'!A$3:B$13,2,FALSE)</f>
        <v>Program</v>
      </c>
      <c r="L88" s="21" t="s">
        <v>348</v>
      </c>
      <c r="M88" s="13" t="s">
        <v>1809</v>
      </c>
      <c r="N88" s="13" t="s">
        <v>1809</v>
      </c>
      <c r="O88" s="13" t="s">
        <v>273</v>
      </c>
      <c r="P88" s="13" t="s">
        <v>273</v>
      </c>
      <c r="Q88" s="22">
        <v>2.5</v>
      </c>
      <c r="R88" s="23">
        <v>590843</v>
      </c>
      <c r="S88" s="21"/>
      <c r="T88" s="21"/>
      <c r="U88" s="21"/>
      <c r="V88" s="24"/>
      <c r="W88" s="24"/>
      <c r="X88" s="28"/>
      <c r="Y88" s="17"/>
      <c r="Z88" s="18">
        <f>ROUND(R88*'Data-CostAssumptions'!$C$3,-3)</f>
        <v>818000</v>
      </c>
      <c r="AA88" s="11">
        <f t="shared" si="4"/>
        <v>0</v>
      </c>
      <c r="AB88" s="11">
        <v>2041</v>
      </c>
      <c r="AC88" s="11">
        <v>2041</v>
      </c>
      <c r="AD88" s="11">
        <v>2041</v>
      </c>
      <c r="AE88" s="19">
        <f>ROUND((Z88*'Data-CostAssumptions'!$G$5)*(1+'Data-CostAssumptions'!$G$3)^(AB88-'Data-CostAssumptions'!$G$4),-3)</f>
        <v>461000</v>
      </c>
      <c r="AF88" s="19">
        <f>ROUND((Z88)*(1+'Data-CostAssumptions'!$G$3)^(AD88-'Data-CostAssumptions'!$G$4),-3)</f>
        <v>2097000</v>
      </c>
      <c r="AG88" s="170" t="str">
        <f t="shared" si="5"/>
        <v>No</v>
      </c>
    </row>
    <row r="89" spans="1:33" ht="15" customHeight="1" x14ac:dyDescent="0.2">
      <c r="A89" s="11"/>
      <c r="B89" s="11" t="s">
        <v>1211</v>
      </c>
      <c r="C89" s="13">
        <v>677</v>
      </c>
      <c r="D89" s="13" t="s">
        <v>420</v>
      </c>
      <c r="E89" s="20">
        <v>194</v>
      </c>
      <c r="F89" s="20">
        <v>179</v>
      </c>
      <c r="G89" s="20">
        <v>58</v>
      </c>
      <c r="H89" s="13" t="s">
        <v>728</v>
      </c>
      <c r="I89" s="13" t="str">
        <f t="shared" si="3"/>
        <v>Dixie Hwy (SW 11th St to Hollywood Bl)</v>
      </c>
      <c r="J89" s="13" t="s">
        <v>29</v>
      </c>
      <c r="K89" s="13" t="str">
        <f>VLOOKUP(J89,'Data-ProjectTypes'!A$3:B$13,2,FALSE)</f>
        <v>Program</v>
      </c>
      <c r="L89" s="21" t="s">
        <v>348</v>
      </c>
      <c r="M89" s="13" t="s">
        <v>2487</v>
      </c>
      <c r="N89" s="13" t="s">
        <v>1820</v>
      </c>
      <c r="O89" s="13" t="s">
        <v>273</v>
      </c>
      <c r="P89" s="13" t="s">
        <v>273</v>
      </c>
      <c r="Q89" s="22">
        <v>2.5</v>
      </c>
      <c r="R89" s="23">
        <v>589778</v>
      </c>
      <c r="S89" s="21"/>
      <c r="T89" s="21"/>
      <c r="U89" s="21"/>
      <c r="V89" s="24"/>
      <c r="W89" s="24"/>
      <c r="X89" s="24"/>
      <c r="Y89" s="17"/>
      <c r="Z89" s="18">
        <f>ROUND(R89*'Data-CostAssumptions'!$C$3,-3)</f>
        <v>816000</v>
      </c>
      <c r="AA89" s="11">
        <f t="shared" si="4"/>
        <v>0</v>
      </c>
      <c r="AB89" s="11">
        <v>2041</v>
      </c>
      <c r="AC89" s="11">
        <v>2041</v>
      </c>
      <c r="AD89" s="11">
        <v>2041</v>
      </c>
      <c r="AE89" s="19">
        <f>ROUND((Z89*'Data-CostAssumptions'!$G$5)*(1+'Data-CostAssumptions'!$G$3)^(AB89-'Data-CostAssumptions'!$G$4),-3)</f>
        <v>460000</v>
      </c>
      <c r="AF89" s="19">
        <f>ROUND((Z89)*(1+'Data-CostAssumptions'!$G$3)^(AD89-'Data-CostAssumptions'!$G$4),-3)</f>
        <v>2092000</v>
      </c>
      <c r="AG89" s="170" t="str">
        <f t="shared" si="5"/>
        <v>No</v>
      </c>
    </row>
    <row r="90" spans="1:33" ht="15" customHeight="1" x14ac:dyDescent="0.2">
      <c r="A90" s="11"/>
      <c r="B90" s="11" t="s">
        <v>1211</v>
      </c>
      <c r="C90" s="13">
        <v>768</v>
      </c>
      <c r="D90" s="13" t="s">
        <v>420</v>
      </c>
      <c r="E90" s="20">
        <v>219</v>
      </c>
      <c r="F90" s="20">
        <v>185</v>
      </c>
      <c r="G90" s="20">
        <v>145</v>
      </c>
      <c r="H90" s="13" t="s">
        <v>2133</v>
      </c>
      <c r="I90" s="13" t="str">
        <f t="shared" si="3"/>
        <v>SW 72nd Av (Pembroke Rd to Sheridan St)</v>
      </c>
      <c r="J90" s="13" t="s">
        <v>29</v>
      </c>
      <c r="K90" s="13" t="str">
        <f>VLOOKUP(J90,'Data-ProjectTypes'!A$3:B$13,2,FALSE)</f>
        <v>Program</v>
      </c>
      <c r="L90" s="21" t="s">
        <v>562</v>
      </c>
      <c r="M90" s="13" t="s">
        <v>1760</v>
      </c>
      <c r="N90" s="13" t="s">
        <v>1951</v>
      </c>
      <c r="O90" s="13" t="s">
        <v>272</v>
      </c>
      <c r="P90" s="13" t="s">
        <v>272</v>
      </c>
      <c r="Q90" s="22">
        <v>2.5</v>
      </c>
      <c r="R90" s="23">
        <v>583567</v>
      </c>
      <c r="S90" s="21" t="s">
        <v>24</v>
      </c>
      <c r="T90" s="21" t="s">
        <v>684</v>
      </c>
      <c r="U90" s="21" t="s">
        <v>684</v>
      </c>
      <c r="V90" s="24"/>
      <c r="W90" s="24"/>
      <c r="X90" s="24"/>
      <c r="Y90" s="17" t="s">
        <v>685</v>
      </c>
      <c r="Z90" s="18">
        <f>ROUND(R90*'Data-CostAssumptions'!$C$3,-3)</f>
        <v>808000</v>
      </c>
      <c r="AA90" s="11">
        <f t="shared" si="4"/>
        <v>0</v>
      </c>
      <c r="AB90" s="11">
        <v>2041</v>
      </c>
      <c r="AC90" s="11">
        <v>2041</v>
      </c>
      <c r="AD90" s="11">
        <v>2041</v>
      </c>
      <c r="AE90" s="19">
        <f>ROUND((Z90*'Data-CostAssumptions'!$G$5)*(1+'Data-CostAssumptions'!$G$3)^(AB90-'Data-CostAssumptions'!$G$4),-3)</f>
        <v>456000</v>
      </c>
      <c r="AF90" s="19">
        <f>ROUND((Z90)*(1+'Data-CostAssumptions'!$G$3)^(AD90-'Data-CostAssumptions'!$G$4),-3)</f>
        <v>2072000</v>
      </c>
      <c r="AG90" s="170" t="str">
        <f t="shared" si="5"/>
        <v>No</v>
      </c>
    </row>
    <row r="91" spans="1:33" ht="15" customHeight="1" x14ac:dyDescent="0.2">
      <c r="A91" s="11"/>
      <c r="B91" s="11" t="s">
        <v>1211</v>
      </c>
      <c r="C91" s="13">
        <v>883</v>
      </c>
      <c r="D91" s="13" t="s">
        <v>420</v>
      </c>
      <c r="E91" s="20">
        <v>327</v>
      </c>
      <c r="F91" s="20">
        <v>191</v>
      </c>
      <c r="G91" s="20">
        <v>260</v>
      </c>
      <c r="H91" s="13" t="s">
        <v>1951</v>
      </c>
      <c r="I91" s="13" t="str">
        <f t="shared" si="3"/>
        <v>Sheridan St (NW 184th Av to US 27)</v>
      </c>
      <c r="J91" s="13" t="s">
        <v>29</v>
      </c>
      <c r="K91" s="13" t="str">
        <f>VLOOKUP(J91,'Data-ProjectTypes'!A$3:B$13,2,FALSE)</f>
        <v>Program</v>
      </c>
      <c r="L91" s="21" t="s">
        <v>348</v>
      </c>
      <c r="M91" s="13" t="s">
        <v>2381</v>
      </c>
      <c r="N91" s="13" t="s">
        <v>30</v>
      </c>
      <c r="O91" s="13" t="s">
        <v>273</v>
      </c>
      <c r="P91" s="13" t="s">
        <v>273</v>
      </c>
      <c r="Q91" s="22">
        <v>2.5</v>
      </c>
      <c r="R91" s="23">
        <v>580896</v>
      </c>
      <c r="S91" s="21"/>
      <c r="T91" s="21"/>
      <c r="U91" s="21"/>
      <c r="V91" s="24"/>
      <c r="W91" s="24"/>
      <c r="X91" s="24"/>
      <c r="Y91" s="17"/>
      <c r="Z91" s="18">
        <f>ROUND(R91*'Data-CostAssumptions'!$C$3,-3)</f>
        <v>804000</v>
      </c>
      <c r="AA91" s="11">
        <f t="shared" si="4"/>
        <v>0</v>
      </c>
      <c r="AB91" s="11">
        <v>2041</v>
      </c>
      <c r="AC91" s="11">
        <v>2041</v>
      </c>
      <c r="AD91" s="11">
        <v>2041</v>
      </c>
      <c r="AE91" s="19">
        <f>ROUND((Z91*'Data-CostAssumptions'!$G$5)*(1+'Data-CostAssumptions'!$G$3)^(AB91-'Data-CostAssumptions'!$G$4),-3)</f>
        <v>454000</v>
      </c>
      <c r="AF91" s="19">
        <f>ROUND((Z91)*(1+'Data-CostAssumptions'!$G$3)^(AD91-'Data-CostAssumptions'!$G$4),-3)</f>
        <v>2061000</v>
      </c>
      <c r="AG91" s="170" t="str">
        <f t="shared" si="5"/>
        <v>No</v>
      </c>
    </row>
    <row r="92" spans="1:33" ht="15" customHeight="1" x14ac:dyDescent="0.2">
      <c r="A92" s="11"/>
      <c r="B92" s="11" t="s">
        <v>1211</v>
      </c>
      <c r="C92" s="13">
        <v>673</v>
      </c>
      <c r="D92" s="13" t="s">
        <v>420</v>
      </c>
      <c r="E92" s="20">
        <v>174</v>
      </c>
      <c r="F92" s="20">
        <v>179</v>
      </c>
      <c r="G92" s="20">
        <v>54</v>
      </c>
      <c r="H92" s="13" t="s">
        <v>1767</v>
      </c>
      <c r="I92" s="13" t="str">
        <f t="shared" si="3"/>
        <v>Riverland Rd (SW 13th St to State Rd 7)</v>
      </c>
      <c r="J92" s="13" t="s">
        <v>29</v>
      </c>
      <c r="K92" s="13" t="str">
        <f>VLOOKUP(J92,'Data-ProjectTypes'!A$3:B$13,2,FALSE)</f>
        <v>Program</v>
      </c>
      <c r="L92" s="21" t="s">
        <v>348</v>
      </c>
      <c r="M92" s="13" t="s">
        <v>2549</v>
      </c>
      <c r="N92" s="13" t="s">
        <v>1772</v>
      </c>
      <c r="O92" s="13" t="s">
        <v>272</v>
      </c>
      <c r="P92" s="13" t="s">
        <v>272</v>
      </c>
      <c r="Q92" s="22">
        <v>2.5</v>
      </c>
      <c r="R92" s="23">
        <v>573910</v>
      </c>
      <c r="S92" s="21"/>
      <c r="T92" s="21"/>
      <c r="U92" s="21"/>
      <c r="V92" s="24"/>
      <c r="W92" s="24"/>
      <c r="X92" s="24"/>
      <c r="Y92" s="17"/>
      <c r="Z92" s="18">
        <f>ROUND(R92*'Data-CostAssumptions'!$C$3,-3)</f>
        <v>794000</v>
      </c>
      <c r="AA92" s="11">
        <f t="shared" si="4"/>
        <v>0</v>
      </c>
      <c r="AB92" s="11">
        <v>2041</v>
      </c>
      <c r="AC92" s="11">
        <v>2041</v>
      </c>
      <c r="AD92" s="11">
        <v>2041</v>
      </c>
      <c r="AE92" s="19">
        <f>ROUND((Z92*'Data-CostAssumptions'!$G$5)*(1+'Data-CostAssumptions'!$G$3)^(AB92-'Data-CostAssumptions'!$G$4),-3)</f>
        <v>448000</v>
      </c>
      <c r="AF92" s="19">
        <f>ROUND((Z92)*(1+'Data-CostAssumptions'!$G$3)^(AD92-'Data-CostAssumptions'!$G$4),-3)</f>
        <v>2036000</v>
      </c>
      <c r="AG92" s="170" t="str">
        <f t="shared" si="5"/>
        <v>No</v>
      </c>
    </row>
    <row r="93" spans="1:33" ht="15" customHeight="1" x14ac:dyDescent="0.2">
      <c r="A93" s="11"/>
      <c r="B93" s="11" t="s">
        <v>1211</v>
      </c>
      <c r="C93" s="11">
        <v>12701</v>
      </c>
      <c r="D93" s="84" t="s">
        <v>278</v>
      </c>
      <c r="E93" s="14"/>
      <c r="F93" s="14"/>
      <c r="G93" s="20">
        <v>1840</v>
      </c>
      <c r="H93" s="13" t="s">
        <v>1792</v>
      </c>
      <c r="I93" s="13" t="str">
        <f t="shared" si="3"/>
        <v>International Dr (State Rd 84 to Sawgrass Corporate Parkway)</v>
      </c>
      <c r="J93" s="11" t="s">
        <v>29</v>
      </c>
      <c r="K93" s="13" t="str">
        <f>VLOOKUP(J93,'Data-ProjectTypes'!A$3:B$13,2,FALSE)</f>
        <v>Program</v>
      </c>
      <c r="L93" s="11" t="s">
        <v>817</v>
      </c>
      <c r="M93" s="11" t="s">
        <v>1774</v>
      </c>
      <c r="N93" s="11" t="s">
        <v>821</v>
      </c>
      <c r="O93" s="11"/>
      <c r="P93" s="11"/>
      <c r="Q93" s="15">
        <v>1.3</v>
      </c>
      <c r="R93" s="16">
        <v>570000</v>
      </c>
      <c r="S93" s="21"/>
      <c r="T93" s="21"/>
      <c r="U93" s="21"/>
      <c r="V93" s="24"/>
      <c r="W93" s="24"/>
      <c r="X93" s="24"/>
      <c r="Y93" s="17"/>
      <c r="Z93" s="18">
        <f>ROUND(R93*'Data-CostAssumptions'!$C$3,-3)</f>
        <v>789000</v>
      </c>
      <c r="AA93" s="11">
        <f t="shared" si="4"/>
        <v>0</v>
      </c>
      <c r="AB93" s="11">
        <v>2041</v>
      </c>
      <c r="AC93" s="11">
        <v>2041</v>
      </c>
      <c r="AD93" s="11">
        <v>2041</v>
      </c>
      <c r="AE93" s="19">
        <f>ROUND((Z93*'Data-CostAssumptions'!$G$5)*(1+'Data-CostAssumptions'!$G$3)^(AB93-'Data-CostAssumptions'!$G$4),-3)</f>
        <v>445000</v>
      </c>
      <c r="AF93" s="19">
        <f>ROUND((Z93)*(1+'Data-CostAssumptions'!$G$3)^(AD93-'Data-CostAssumptions'!$G$4),-3)</f>
        <v>2023000</v>
      </c>
      <c r="AG93" s="170" t="str">
        <f t="shared" si="5"/>
        <v>No</v>
      </c>
    </row>
    <row r="94" spans="1:33" ht="15" customHeight="1" x14ac:dyDescent="0.2">
      <c r="A94" s="11"/>
      <c r="B94" s="11" t="s">
        <v>1211</v>
      </c>
      <c r="C94" s="11">
        <v>12708</v>
      </c>
      <c r="D94" s="84" t="s">
        <v>278</v>
      </c>
      <c r="E94" s="14"/>
      <c r="F94" s="14"/>
      <c r="G94" s="20">
        <v>1847</v>
      </c>
      <c r="H94" s="13" t="s">
        <v>2709</v>
      </c>
      <c r="I94" s="13" t="str">
        <f t="shared" si="3"/>
        <v>SR 817/University Dr (Sunrise Bl to Oakland Park Bl)</v>
      </c>
      <c r="J94" s="11" t="s">
        <v>29</v>
      </c>
      <c r="K94" s="13" t="str">
        <f>VLOOKUP(J94,'Data-ProjectTypes'!A$3:B$13,2,FALSE)</f>
        <v>Program</v>
      </c>
      <c r="L94" s="11" t="s">
        <v>817</v>
      </c>
      <c r="M94" s="11" t="s">
        <v>1830</v>
      </c>
      <c r="N94" s="11" t="s">
        <v>1825</v>
      </c>
      <c r="O94" s="11"/>
      <c r="P94" s="11"/>
      <c r="Q94" s="15">
        <v>1.3</v>
      </c>
      <c r="R94" s="16">
        <v>570000</v>
      </c>
      <c r="S94" s="21" t="s">
        <v>24</v>
      </c>
      <c r="T94" s="21" t="s">
        <v>25</v>
      </c>
      <c r="U94" s="21" t="s">
        <v>24</v>
      </c>
      <c r="V94" s="24"/>
      <c r="W94" s="24"/>
      <c r="X94" s="24"/>
      <c r="Y94" s="17" t="s">
        <v>538</v>
      </c>
      <c r="Z94" s="18">
        <f>ROUND(R94*'Data-CostAssumptions'!$C$3,-3)</f>
        <v>789000</v>
      </c>
      <c r="AA94" s="11">
        <f t="shared" si="4"/>
        <v>0</v>
      </c>
      <c r="AB94" s="11">
        <v>2041</v>
      </c>
      <c r="AC94" s="11">
        <v>2041</v>
      </c>
      <c r="AD94" s="11">
        <v>2041</v>
      </c>
      <c r="AE94" s="19">
        <f>ROUND((Z94*'Data-CostAssumptions'!$G$5)*(1+'Data-CostAssumptions'!$G$3)^(AB94-'Data-CostAssumptions'!$G$4),-3)</f>
        <v>445000</v>
      </c>
      <c r="AF94" s="19">
        <f>ROUND((Z94)*(1+'Data-CostAssumptions'!$G$3)^(AD94-'Data-CostAssumptions'!$G$4),-3)</f>
        <v>2023000</v>
      </c>
      <c r="AG94" s="170" t="str">
        <f t="shared" si="5"/>
        <v>No</v>
      </c>
    </row>
    <row r="95" spans="1:33" ht="15" customHeight="1" x14ac:dyDescent="0.2">
      <c r="A95" s="11"/>
      <c r="B95" s="11" t="s">
        <v>1211</v>
      </c>
      <c r="C95" s="13">
        <v>825</v>
      </c>
      <c r="D95" s="13" t="s">
        <v>420</v>
      </c>
      <c r="E95" s="20">
        <v>255</v>
      </c>
      <c r="F95" s="20">
        <v>188</v>
      </c>
      <c r="G95" s="20">
        <v>201</v>
      </c>
      <c r="H95" s="13" t="s">
        <v>266</v>
      </c>
      <c r="I95" s="13" t="str">
        <f t="shared" si="3"/>
        <v>Pine Island Rd (McNab Rd to Atlantic Bl)</v>
      </c>
      <c r="J95" s="13" t="s">
        <v>29</v>
      </c>
      <c r="K95" s="13" t="str">
        <f>VLOOKUP(J95,'Data-ProjectTypes'!A$3:B$13,2,FALSE)</f>
        <v>Program</v>
      </c>
      <c r="L95" s="21" t="s">
        <v>348</v>
      </c>
      <c r="M95" s="13" t="s">
        <v>1854</v>
      </c>
      <c r="N95" s="13" t="s">
        <v>1809</v>
      </c>
      <c r="O95" s="13" t="s">
        <v>273</v>
      </c>
      <c r="P95" s="13" t="s">
        <v>273</v>
      </c>
      <c r="Q95" s="22">
        <v>2.5</v>
      </c>
      <c r="R95" s="23">
        <v>569710</v>
      </c>
      <c r="S95" s="21"/>
      <c r="T95" s="21"/>
      <c r="U95" s="21"/>
      <c r="V95" s="24"/>
      <c r="W95" s="24"/>
      <c r="X95" s="32"/>
      <c r="Y95" s="17"/>
      <c r="Z95" s="18">
        <f>ROUND(R95*'Data-CostAssumptions'!$C$3,-3)</f>
        <v>788000</v>
      </c>
      <c r="AA95" s="11">
        <f t="shared" si="4"/>
        <v>0</v>
      </c>
      <c r="AB95" s="11">
        <v>2041</v>
      </c>
      <c r="AC95" s="11">
        <v>2041</v>
      </c>
      <c r="AD95" s="11">
        <v>2041</v>
      </c>
      <c r="AE95" s="19">
        <f>ROUND((Z95*'Data-CostAssumptions'!$G$5)*(1+'Data-CostAssumptions'!$G$3)^(AB95-'Data-CostAssumptions'!$G$4),-3)</f>
        <v>444000</v>
      </c>
      <c r="AF95" s="19">
        <f>ROUND((Z95)*(1+'Data-CostAssumptions'!$G$3)^(AD95-'Data-CostAssumptions'!$G$4),-3)</f>
        <v>2020000</v>
      </c>
      <c r="AG95" s="170" t="str">
        <f t="shared" si="5"/>
        <v>No</v>
      </c>
    </row>
    <row r="96" spans="1:33" ht="15" customHeight="1" x14ac:dyDescent="0.2">
      <c r="A96" s="11"/>
      <c r="B96" s="11" t="s">
        <v>1211</v>
      </c>
      <c r="C96" s="13">
        <v>706</v>
      </c>
      <c r="D96" s="13" t="s">
        <v>420</v>
      </c>
      <c r="E96" s="20">
        <v>159</v>
      </c>
      <c r="F96" s="20">
        <v>181</v>
      </c>
      <c r="G96" s="20">
        <v>84</v>
      </c>
      <c r="H96" s="13" t="s">
        <v>2798</v>
      </c>
      <c r="I96" s="13" t="str">
        <f t="shared" si="3"/>
        <v>SR 842/Broward Bl (State Rd 7 to NW 70th Av)</v>
      </c>
      <c r="J96" s="13" t="s">
        <v>29</v>
      </c>
      <c r="K96" s="13" t="str">
        <f>VLOOKUP(J96,'Data-ProjectTypes'!A$3:B$13,2,FALSE)</f>
        <v>Program</v>
      </c>
      <c r="L96" s="21" t="s">
        <v>348</v>
      </c>
      <c r="M96" s="13" t="s">
        <v>1772</v>
      </c>
      <c r="N96" s="13" t="s">
        <v>2078</v>
      </c>
      <c r="O96" s="13" t="s">
        <v>270</v>
      </c>
      <c r="P96" s="13" t="s">
        <v>270</v>
      </c>
      <c r="Q96" s="22">
        <v>2.4</v>
      </c>
      <c r="R96" s="23">
        <v>567016</v>
      </c>
      <c r="S96" s="21"/>
      <c r="T96" s="21"/>
      <c r="U96" s="21"/>
      <c r="V96" s="24"/>
      <c r="W96" s="24"/>
      <c r="X96" s="24"/>
      <c r="Y96" s="17"/>
      <c r="Z96" s="18">
        <f>ROUND(R96*'Data-CostAssumptions'!$C$3,-3)</f>
        <v>785000</v>
      </c>
      <c r="AA96" s="11">
        <f t="shared" si="4"/>
        <v>0</v>
      </c>
      <c r="AB96" s="11">
        <v>2041</v>
      </c>
      <c r="AC96" s="11">
        <v>2041</v>
      </c>
      <c r="AD96" s="11">
        <v>2041</v>
      </c>
      <c r="AE96" s="19">
        <f>ROUND((Z96*'Data-CostAssumptions'!$G$5)*(1+'Data-CostAssumptions'!$G$3)^(AB96-'Data-CostAssumptions'!$G$4),-3)</f>
        <v>443000</v>
      </c>
      <c r="AF96" s="19">
        <f>ROUND((Z96)*(1+'Data-CostAssumptions'!$G$3)^(AD96-'Data-CostAssumptions'!$G$4),-3)</f>
        <v>2013000</v>
      </c>
      <c r="AG96" s="170" t="str">
        <f t="shared" si="5"/>
        <v>No</v>
      </c>
    </row>
    <row r="97" spans="1:33" ht="15" customHeight="1" x14ac:dyDescent="0.2">
      <c r="A97" s="11"/>
      <c r="B97" s="11" t="s">
        <v>1211</v>
      </c>
      <c r="C97" s="11">
        <v>12550</v>
      </c>
      <c r="D97" s="84" t="s">
        <v>296</v>
      </c>
      <c r="E97" s="14"/>
      <c r="F97" s="14"/>
      <c r="G97" s="20">
        <v>1821</v>
      </c>
      <c r="H97" s="13" t="s">
        <v>1797</v>
      </c>
      <c r="I97" s="13" t="str">
        <f t="shared" si="3"/>
        <v>Parkside Dr (Loxahatchee Rd to Holmberg Rd)</v>
      </c>
      <c r="J97" s="11" t="s">
        <v>29</v>
      </c>
      <c r="K97" s="13" t="str">
        <f>VLOOKUP(J97,'Data-ProjectTypes'!A$3:B$13,2,FALSE)</f>
        <v>Program</v>
      </c>
      <c r="L97" s="11" t="s">
        <v>757</v>
      </c>
      <c r="M97" s="11" t="s">
        <v>1851</v>
      </c>
      <c r="N97" s="11" t="s">
        <v>2404</v>
      </c>
      <c r="O97" s="11"/>
      <c r="P97" s="11"/>
      <c r="Q97" s="15">
        <v>1.6</v>
      </c>
      <c r="R97" s="16">
        <v>566448.03999999992</v>
      </c>
      <c r="S97" s="21" t="s">
        <v>24</v>
      </c>
      <c r="T97" s="21" t="s">
        <v>684</v>
      </c>
      <c r="U97" s="21" t="s">
        <v>684</v>
      </c>
      <c r="V97" s="24"/>
      <c r="W97" s="24"/>
      <c r="X97" s="24"/>
      <c r="Y97" s="17" t="s">
        <v>685</v>
      </c>
      <c r="Z97" s="18">
        <f>ROUND(R97*'Data-CostAssumptions'!$C$3,-3)</f>
        <v>784000</v>
      </c>
      <c r="AA97" s="11">
        <f t="shared" si="4"/>
        <v>0</v>
      </c>
      <c r="AB97" s="11">
        <v>2041</v>
      </c>
      <c r="AC97" s="11">
        <v>2041</v>
      </c>
      <c r="AD97" s="11">
        <v>2041</v>
      </c>
      <c r="AE97" s="19">
        <f>ROUND((Z97*'Data-CostAssumptions'!$G$5)*(1+'Data-CostAssumptions'!$G$3)^(AB97-'Data-CostAssumptions'!$G$4),-3)</f>
        <v>442000</v>
      </c>
      <c r="AF97" s="19">
        <f>ROUND((Z97)*(1+'Data-CostAssumptions'!$G$3)^(AD97-'Data-CostAssumptions'!$G$4),-3)</f>
        <v>2010000</v>
      </c>
      <c r="AG97" s="170" t="str">
        <f t="shared" si="5"/>
        <v>No</v>
      </c>
    </row>
    <row r="98" spans="1:33" ht="15" customHeight="1" x14ac:dyDescent="0.2">
      <c r="A98" s="11"/>
      <c r="B98" s="11" t="s">
        <v>1211</v>
      </c>
      <c r="C98" s="13">
        <v>808</v>
      </c>
      <c r="D98" s="13" t="s">
        <v>420</v>
      </c>
      <c r="E98" s="20">
        <v>163</v>
      </c>
      <c r="F98" s="20">
        <v>187</v>
      </c>
      <c r="G98" s="20">
        <v>184</v>
      </c>
      <c r="H98" s="13" t="s">
        <v>2803</v>
      </c>
      <c r="I98" s="13" t="str">
        <f t="shared" si="3"/>
        <v>SR 870/Commercial Bl (University Dr to NW 105th Av)</v>
      </c>
      <c r="J98" s="13" t="s">
        <v>29</v>
      </c>
      <c r="K98" s="13" t="str">
        <f>VLOOKUP(J98,'Data-ProjectTypes'!A$3:B$13,2,FALSE)</f>
        <v>Program</v>
      </c>
      <c r="L98" s="21" t="s">
        <v>348</v>
      </c>
      <c r="M98" s="13" t="s">
        <v>1804</v>
      </c>
      <c r="N98" s="13" t="s">
        <v>2214</v>
      </c>
      <c r="O98" s="13" t="s">
        <v>273</v>
      </c>
      <c r="P98" s="13" t="s">
        <v>273</v>
      </c>
      <c r="Q98" s="22">
        <v>2.4</v>
      </c>
      <c r="R98" s="23">
        <v>561098</v>
      </c>
      <c r="S98" s="21"/>
      <c r="T98" s="21"/>
      <c r="U98" s="21"/>
      <c r="V98" s="24"/>
      <c r="W98" s="24"/>
      <c r="X98" s="24"/>
      <c r="Y98" s="17"/>
      <c r="Z98" s="18">
        <f>ROUND(R98*'Data-CostAssumptions'!$C$3,-3)</f>
        <v>777000</v>
      </c>
      <c r="AA98" s="11">
        <f t="shared" si="4"/>
        <v>0</v>
      </c>
      <c r="AB98" s="11">
        <v>2041</v>
      </c>
      <c r="AC98" s="11">
        <v>2041</v>
      </c>
      <c r="AD98" s="11">
        <v>2041</v>
      </c>
      <c r="AE98" s="19">
        <f>ROUND((Z98*'Data-CostAssumptions'!$G$5)*(1+'Data-CostAssumptions'!$G$3)^(AB98-'Data-CostAssumptions'!$G$4),-3)</f>
        <v>438000</v>
      </c>
      <c r="AF98" s="19">
        <f>ROUND((Z98)*(1+'Data-CostAssumptions'!$G$3)^(AD98-'Data-CostAssumptions'!$G$4),-3)</f>
        <v>1992000</v>
      </c>
      <c r="AG98" s="170" t="str">
        <f t="shared" si="5"/>
        <v>No</v>
      </c>
    </row>
    <row r="99" spans="1:33" ht="15" customHeight="1" x14ac:dyDescent="0.2">
      <c r="A99" s="11"/>
      <c r="B99" s="11" t="s">
        <v>1211</v>
      </c>
      <c r="C99" s="13">
        <v>687</v>
      </c>
      <c r="D99" s="13" t="s">
        <v>420</v>
      </c>
      <c r="E99" s="20">
        <v>11</v>
      </c>
      <c r="F99" s="20">
        <v>180</v>
      </c>
      <c r="G99" s="20">
        <v>66</v>
      </c>
      <c r="H99" s="13" t="s">
        <v>1798</v>
      </c>
      <c r="I99" s="13" t="str">
        <f t="shared" si="3"/>
        <v>Ramblewood Dr (Atlantic Bl to NW 105th Lane)</v>
      </c>
      <c r="J99" s="13" t="s">
        <v>29</v>
      </c>
      <c r="K99" s="13" t="str">
        <f>VLOOKUP(J99,'Data-ProjectTypes'!A$3:B$13,2,FALSE)</f>
        <v>Program</v>
      </c>
      <c r="L99" s="21" t="s">
        <v>348</v>
      </c>
      <c r="M99" s="13" t="s">
        <v>1809</v>
      </c>
      <c r="N99" s="13" t="s">
        <v>265</v>
      </c>
      <c r="O99" s="13" t="s">
        <v>292</v>
      </c>
      <c r="P99" s="13" t="s">
        <v>292</v>
      </c>
      <c r="Q99" s="22">
        <v>2.4</v>
      </c>
      <c r="R99" s="23">
        <v>557944</v>
      </c>
      <c r="S99" s="21" t="s">
        <v>24</v>
      </c>
      <c r="T99" s="21" t="s">
        <v>25</v>
      </c>
      <c r="U99" s="21"/>
      <c r="V99" s="24"/>
      <c r="W99" s="24"/>
      <c r="X99" s="24"/>
      <c r="Y99" s="17" t="s">
        <v>469</v>
      </c>
      <c r="Z99" s="18">
        <f>ROUND(R99*'Data-CostAssumptions'!$C$3,-3)</f>
        <v>772000</v>
      </c>
      <c r="AA99" s="11">
        <f t="shared" si="4"/>
        <v>0</v>
      </c>
      <c r="AB99" s="11">
        <v>2041</v>
      </c>
      <c r="AC99" s="11">
        <v>2041</v>
      </c>
      <c r="AD99" s="11">
        <v>2041</v>
      </c>
      <c r="AE99" s="19">
        <f>ROUND((Z99*'Data-CostAssumptions'!$G$5)*(1+'Data-CostAssumptions'!$G$3)^(AB99-'Data-CostAssumptions'!$G$4),-3)</f>
        <v>435000</v>
      </c>
      <c r="AF99" s="19">
        <f>ROUND((Z99)*(1+'Data-CostAssumptions'!$G$3)^(AD99-'Data-CostAssumptions'!$G$4),-3)</f>
        <v>1979000</v>
      </c>
      <c r="AG99" s="170" t="str">
        <f t="shared" si="5"/>
        <v>No</v>
      </c>
    </row>
    <row r="100" spans="1:33" ht="15" customHeight="1" x14ac:dyDescent="0.2">
      <c r="A100" s="11"/>
      <c r="B100" s="11" t="s">
        <v>1211</v>
      </c>
      <c r="C100" s="13">
        <v>909</v>
      </c>
      <c r="D100" s="13" t="s">
        <v>420</v>
      </c>
      <c r="E100" s="20">
        <v>256</v>
      </c>
      <c r="F100" s="20">
        <v>193</v>
      </c>
      <c r="G100" s="20">
        <v>286</v>
      </c>
      <c r="H100" s="13" t="s">
        <v>1755</v>
      </c>
      <c r="I100" s="13" t="str">
        <f t="shared" si="3"/>
        <v>Nob Hill Rd (McNab Rd to Atlantic Bl)</v>
      </c>
      <c r="J100" s="13" t="s">
        <v>29</v>
      </c>
      <c r="K100" s="13" t="str">
        <f>VLOOKUP(J100,'Data-ProjectTypes'!A$3:B$13,2,FALSE)</f>
        <v>Program</v>
      </c>
      <c r="L100" s="21" t="s">
        <v>348</v>
      </c>
      <c r="M100" s="13" t="s">
        <v>1854</v>
      </c>
      <c r="N100" s="13" t="s">
        <v>1809</v>
      </c>
      <c r="O100" s="13" t="s">
        <v>273</v>
      </c>
      <c r="P100" s="13" t="s">
        <v>273</v>
      </c>
      <c r="Q100" s="22">
        <v>2.4</v>
      </c>
      <c r="R100" s="23">
        <v>557819</v>
      </c>
      <c r="S100" s="21"/>
      <c r="T100" s="21"/>
      <c r="U100" s="21"/>
      <c r="V100" s="24"/>
      <c r="W100" s="24" t="s">
        <v>696</v>
      </c>
      <c r="X100" s="24"/>
      <c r="Y100" s="17" t="s">
        <v>287</v>
      </c>
      <c r="Z100" s="18">
        <f>ROUND(R100*'Data-CostAssumptions'!$C$3,-3)</f>
        <v>772000</v>
      </c>
      <c r="AA100" s="11">
        <f t="shared" si="4"/>
        <v>1</v>
      </c>
      <c r="AB100" s="11">
        <v>2041</v>
      </c>
      <c r="AC100" s="11">
        <v>2041</v>
      </c>
      <c r="AD100" s="11">
        <v>2041</v>
      </c>
      <c r="AE100" s="19">
        <f>ROUND((Z100*'Data-CostAssumptions'!$G$5)*(1+'Data-CostAssumptions'!$G$3)^(AB100-'Data-CostAssumptions'!$G$4),-3)</f>
        <v>435000</v>
      </c>
      <c r="AF100" s="19">
        <f>ROUND((Z100)*(1+'Data-CostAssumptions'!$G$3)^(AD100-'Data-CostAssumptions'!$G$4),-3)</f>
        <v>1979000</v>
      </c>
      <c r="AG100" s="170" t="str">
        <f t="shared" si="5"/>
        <v>No</v>
      </c>
    </row>
    <row r="101" spans="1:33" ht="15" customHeight="1" x14ac:dyDescent="0.2">
      <c r="B101" s="11" t="s">
        <v>1211</v>
      </c>
      <c r="D101" s="84" t="s">
        <v>276</v>
      </c>
      <c r="E101" s="104">
        <v>58</v>
      </c>
      <c r="G101" s="20">
        <v>1419</v>
      </c>
      <c r="H101" s="13" t="s">
        <v>1241</v>
      </c>
      <c r="I101" s="13" t="str">
        <f t="shared" si="3"/>
        <v>NW 26TH ST (NW 31ST Av/MLK JR Av to NW 21ST Av)</v>
      </c>
      <c r="J101" s="12" t="s">
        <v>29</v>
      </c>
      <c r="K101" s="13" t="str">
        <f>VLOOKUP(J101,'Data-ProjectTypes'!A$3:B$13,2,FALSE)</f>
        <v>Program</v>
      </c>
      <c r="L101" s="12" t="s">
        <v>1353</v>
      </c>
      <c r="M101" s="105" t="s">
        <v>2619</v>
      </c>
      <c r="N101" s="12" t="s">
        <v>2164</v>
      </c>
      <c r="Q101" s="72">
        <v>1</v>
      </c>
      <c r="R101" s="23">
        <v>558000</v>
      </c>
      <c r="S101" s="21" t="s">
        <v>24</v>
      </c>
      <c r="T101" s="21"/>
      <c r="U101" s="21"/>
      <c r="V101" s="24"/>
      <c r="W101" s="24"/>
      <c r="X101" s="24"/>
      <c r="Y101" s="17" t="s">
        <v>469</v>
      </c>
      <c r="Z101" s="18">
        <f>ROUND(R101*'Data-CostAssumptions'!$C$3,-3)</f>
        <v>772000</v>
      </c>
      <c r="AA101" s="11">
        <f t="shared" si="4"/>
        <v>0</v>
      </c>
      <c r="AB101" s="11">
        <v>2041</v>
      </c>
      <c r="AC101" s="11">
        <v>2041</v>
      </c>
      <c r="AD101" s="11">
        <v>2041</v>
      </c>
      <c r="AE101" s="19">
        <f>ROUND((Z101*'Data-CostAssumptions'!$G$5)*(1+'Data-CostAssumptions'!$G$3)^(AB101-'Data-CostAssumptions'!$G$4),-3)</f>
        <v>435000</v>
      </c>
      <c r="AF101" s="19">
        <f>ROUND((Z101)*(1+'Data-CostAssumptions'!$G$3)^(AD101-'Data-CostAssumptions'!$G$4),-3)</f>
        <v>1979000</v>
      </c>
      <c r="AG101" s="170" t="str">
        <f t="shared" si="5"/>
        <v>No</v>
      </c>
    </row>
    <row r="102" spans="1:33" ht="15" customHeight="1" x14ac:dyDescent="0.2">
      <c r="B102" s="11" t="s">
        <v>1211</v>
      </c>
      <c r="D102" s="84" t="s">
        <v>276</v>
      </c>
      <c r="E102" s="104">
        <v>100</v>
      </c>
      <c r="G102" s="20">
        <v>1508</v>
      </c>
      <c r="H102" s="13" t="s">
        <v>2196</v>
      </c>
      <c r="I102" s="13" t="str">
        <f t="shared" si="3"/>
        <v>SW 9TH Av (SR 84 to DAVIE Bl)</v>
      </c>
      <c r="J102" s="12" t="s">
        <v>29</v>
      </c>
      <c r="K102" s="13" t="str">
        <f>VLOOKUP(J102,'Data-ProjectTypes'!A$3:B$13,2,FALSE)</f>
        <v>Program</v>
      </c>
      <c r="L102" s="12" t="s">
        <v>1401</v>
      </c>
      <c r="M102" s="105" t="s">
        <v>45</v>
      </c>
      <c r="N102" s="12" t="s">
        <v>1991</v>
      </c>
      <c r="Q102" s="72">
        <v>1.4</v>
      </c>
      <c r="R102" s="23">
        <v>558000</v>
      </c>
      <c r="S102" s="21"/>
      <c r="T102" s="21"/>
      <c r="U102" s="21"/>
      <c r="V102" s="24"/>
      <c r="W102" s="24"/>
      <c r="X102" s="24" t="s">
        <v>767</v>
      </c>
      <c r="Y102" s="17" t="s">
        <v>765</v>
      </c>
      <c r="Z102" s="18">
        <f>ROUND(R102*'Data-CostAssumptions'!$C$3,-3)</f>
        <v>772000</v>
      </c>
      <c r="AA102" s="11">
        <f t="shared" si="4"/>
        <v>0</v>
      </c>
      <c r="AB102" s="11">
        <v>2041</v>
      </c>
      <c r="AC102" s="11">
        <v>2041</v>
      </c>
      <c r="AD102" s="11">
        <v>2041</v>
      </c>
      <c r="AE102" s="19">
        <f>ROUND((Z102*'Data-CostAssumptions'!$G$5)*(1+'Data-CostAssumptions'!$G$3)^(AB102-'Data-CostAssumptions'!$G$4),-3)</f>
        <v>435000</v>
      </c>
      <c r="AF102" s="19">
        <f>ROUND((Z102)*(1+'Data-CostAssumptions'!$G$3)^(AD102-'Data-CostAssumptions'!$G$4),-3)</f>
        <v>1979000</v>
      </c>
      <c r="AG102" s="170" t="str">
        <f t="shared" si="5"/>
        <v>No</v>
      </c>
    </row>
    <row r="103" spans="1:33" ht="15" customHeight="1" x14ac:dyDescent="0.2">
      <c r="A103" s="11"/>
      <c r="B103" s="11" t="s">
        <v>1211</v>
      </c>
      <c r="C103" s="13">
        <v>686</v>
      </c>
      <c r="D103" s="13" t="s">
        <v>420</v>
      </c>
      <c r="E103" s="20">
        <v>9</v>
      </c>
      <c r="F103" s="20">
        <v>180</v>
      </c>
      <c r="G103" s="20">
        <v>65</v>
      </c>
      <c r="H103" s="13" t="s">
        <v>1768</v>
      </c>
      <c r="I103" s="13" t="str">
        <f t="shared" si="3"/>
        <v>Rock Island Rd (Royal Palm Bl to Wiles Rd)</v>
      </c>
      <c r="J103" s="13" t="s">
        <v>29</v>
      </c>
      <c r="K103" s="13" t="str">
        <f>VLOOKUP(J103,'Data-ProjectTypes'!A$3:B$13,2,FALSE)</f>
        <v>Program</v>
      </c>
      <c r="L103" s="21" t="s">
        <v>348</v>
      </c>
      <c r="M103" s="13" t="s">
        <v>1827</v>
      </c>
      <c r="N103" s="13" t="s">
        <v>1780</v>
      </c>
      <c r="O103" s="13" t="s">
        <v>272</v>
      </c>
      <c r="P103" s="13" t="s">
        <v>272</v>
      </c>
      <c r="Q103" s="22">
        <v>2.4</v>
      </c>
      <c r="R103" s="23">
        <v>556475</v>
      </c>
      <c r="S103" s="21" t="s">
        <v>24</v>
      </c>
      <c r="T103" s="21" t="s">
        <v>25</v>
      </c>
      <c r="U103" s="21"/>
      <c r="V103" s="24"/>
      <c r="W103" s="24"/>
      <c r="X103" s="28"/>
      <c r="Y103" s="17" t="s">
        <v>469</v>
      </c>
      <c r="Z103" s="18">
        <f>ROUND(R103*'Data-CostAssumptions'!$C$3,-3)</f>
        <v>770000</v>
      </c>
      <c r="AA103" s="11">
        <f t="shared" si="4"/>
        <v>0</v>
      </c>
      <c r="AB103" s="11">
        <v>2041</v>
      </c>
      <c r="AC103" s="11">
        <v>2041</v>
      </c>
      <c r="AD103" s="11">
        <v>2041</v>
      </c>
      <c r="AE103" s="19">
        <f>ROUND((Z103*'Data-CostAssumptions'!$G$5)*(1+'Data-CostAssumptions'!$G$3)^(AB103-'Data-CostAssumptions'!$G$4),-3)</f>
        <v>434000</v>
      </c>
      <c r="AF103" s="19">
        <f>ROUND((Z103)*(1+'Data-CostAssumptions'!$G$3)^(AD103-'Data-CostAssumptions'!$G$4),-3)</f>
        <v>1974000</v>
      </c>
      <c r="AG103" s="170" t="str">
        <f t="shared" si="5"/>
        <v>No</v>
      </c>
    </row>
    <row r="104" spans="1:33" ht="15" customHeight="1" x14ac:dyDescent="0.2">
      <c r="A104" s="11"/>
      <c r="B104" s="11" t="s">
        <v>1211</v>
      </c>
      <c r="C104" s="13">
        <v>688</v>
      </c>
      <c r="D104" s="13" t="s">
        <v>420</v>
      </c>
      <c r="E104" s="20">
        <v>12</v>
      </c>
      <c r="F104" s="20">
        <v>180</v>
      </c>
      <c r="G104" s="20">
        <v>67</v>
      </c>
      <c r="H104" s="13" t="s">
        <v>1787</v>
      </c>
      <c r="I104" s="13" t="str">
        <f t="shared" si="3"/>
        <v>Coral Springs Dr (Sample Rd to NW 106th Dr)</v>
      </c>
      <c r="J104" s="13" t="s">
        <v>29</v>
      </c>
      <c r="K104" s="13" t="str">
        <f>VLOOKUP(J104,'Data-ProjectTypes'!A$3:B$13,2,FALSE)</f>
        <v>Program</v>
      </c>
      <c r="L104" s="21" t="s">
        <v>348</v>
      </c>
      <c r="M104" s="13" t="s">
        <v>1864</v>
      </c>
      <c r="N104" s="13" t="s">
        <v>2649</v>
      </c>
      <c r="O104" s="13" t="s">
        <v>273</v>
      </c>
      <c r="P104" s="13" t="s">
        <v>273</v>
      </c>
      <c r="Q104" s="22">
        <v>2.4</v>
      </c>
      <c r="R104" s="23">
        <v>555002</v>
      </c>
      <c r="S104" s="12" t="s">
        <v>24</v>
      </c>
      <c r="T104" s="21" t="s">
        <v>25</v>
      </c>
      <c r="U104" s="21" t="s">
        <v>24</v>
      </c>
      <c r="V104" s="24" t="s">
        <v>561</v>
      </c>
      <c r="W104" s="24"/>
      <c r="X104" s="28"/>
      <c r="Y104" s="17" t="s">
        <v>538</v>
      </c>
      <c r="Z104" s="18">
        <f>ROUND(R104*'Data-CostAssumptions'!$C$3,-3)</f>
        <v>768000</v>
      </c>
      <c r="AA104" s="11">
        <f t="shared" si="4"/>
        <v>1</v>
      </c>
      <c r="AB104" s="11">
        <v>2041</v>
      </c>
      <c r="AC104" s="11">
        <v>2041</v>
      </c>
      <c r="AD104" s="11">
        <v>2041</v>
      </c>
      <c r="AE104" s="19">
        <f>ROUND((Z104*'Data-CostAssumptions'!$G$5)*(1+'Data-CostAssumptions'!$G$3)^(AB104-'Data-CostAssumptions'!$G$4),-3)</f>
        <v>433000</v>
      </c>
      <c r="AF104" s="19">
        <f>ROUND((Z104)*(1+'Data-CostAssumptions'!$G$3)^(AD104-'Data-CostAssumptions'!$G$4),-3)</f>
        <v>1969000</v>
      </c>
      <c r="AG104" s="170" t="str">
        <f t="shared" si="5"/>
        <v>No</v>
      </c>
    </row>
    <row r="105" spans="1:33" ht="15" customHeight="1" x14ac:dyDescent="0.2">
      <c r="A105" s="11"/>
      <c r="B105" s="11" t="s">
        <v>1211</v>
      </c>
      <c r="C105" s="13">
        <v>819</v>
      </c>
      <c r="D105" s="13" t="s">
        <v>420</v>
      </c>
      <c r="E105" s="20">
        <v>229</v>
      </c>
      <c r="F105" s="20">
        <v>188</v>
      </c>
      <c r="G105" s="20">
        <v>195</v>
      </c>
      <c r="H105" s="13" t="s">
        <v>2700</v>
      </c>
      <c r="I105" s="13" t="str">
        <f t="shared" si="3"/>
        <v>SR 858/ Miramar Pkwy/Hallandale Beach Bl (SW 40th Av to SW 67th Av)</v>
      </c>
      <c r="J105" s="13" t="s">
        <v>29</v>
      </c>
      <c r="K105" s="13" t="str">
        <f>VLOOKUP(J105,'Data-ProjectTypes'!A$3:B$13,2,FALSE)</f>
        <v>Program</v>
      </c>
      <c r="L105" s="21" t="s">
        <v>348</v>
      </c>
      <c r="M105" s="13" t="s">
        <v>2124</v>
      </c>
      <c r="N105" s="13" t="s">
        <v>2232</v>
      </c>
      <c r="O105" s="13" t="s">
        <v>270</v>
      </c>
      <c r="P105" s="13" t="s">
        <v>270</v>
      </c>
      <c r="Q105" s="22">
        <v>2.4</v>
      </c>
      <c r="R105" s="23">
        <v>548756</v>
      </c>
      <c r="S105" s="21"/>
      <c r="T105" s="21"/>
      <c r="U105" s="21"/>
      <c r="V105" s="24"/>
      <c r="W105" s="24" t="s">
        <v>491</v>
      </c>
      <c r="X105" s="24" t="s">
        <v>499</v>
      </c>
      <c r="Y105" s="17" t="s">
        <v>492</v>
      </c>
      <c r="Z105" s="18">
        <f>ROUND(R105*'Data-CostAssumptions'!$C$3,-3)</f>
        <v>759000</v>
      </c>
      <c r="AA105" s="11">
        <f t="shared" si="4"/>
        <v>1</v>
      </c>
      <c r="AB105" s="11">
        <v>2041</v>
      </c>
      <c r="AC105" s="11">
        <v>2041</v>
      </c>
      <c r="AD105" s="11">
        <v>2041</v>
      </c>
      <c r="AE105" s="19">
        <f>ROUND((Z105*'Data-CostAssumptions'!$G$5)*(1+'Data-CostAssumptions'!$G$3)^(AB105-'Data-CostAssumptions'!$G$4),-3)</f>
        <v>428000</v>
      </c>
      <c r="AF105" s="19">
        <f>ROUND((Z105)*(1+'Data-CostAssumptions'!$G$3)^(AD105-'Data-CostAssumptions'!$G$4),-3)</f>
        <v>1946000</v>
      </c>
      <c r="AG105" s="170" t="str">
        <f t="shared" si="5"/>
        <v>No</v>
      </c>
    </row>
    <row r="106" spans="1:33" ht="15" customHeight="1" x14ac:dyDescent="0.2">
      <c r="B106" s="11" t="s">
        <v>1211</v>
      </c>
      <c r="D106" s="84" t="s">
        <v>276</v>
      </c>
      <c r="E106" s="104">
        <v>107</v>
      </c>
      <c r="G106" s="20">
        <v>1465</v>
      </c>
      <c r="H106" s="13" t="s">
        <v>2209</v>
      </c>
      <c r="I106" s="13" t="str">
        <f t="shared" si="3"/>
        <v>SR 5/ US 1 (NE 15TH Av to NE 13TH ST)</v>
      </c>
      <c r="J106" s="12" t="s">
        <v>29</v>
      </c>
      <c r="K106" s="13" t="str">
        <f>VLOOKUP(J106,'Data-ProjectTypes'!A$3:B$13,2,FALSE)</f>
        <v>Program</v>
      </c>
      <c r="L106" s="12" t="s">
        <v>1417</v>
      </c>
      <c r="M106" s="105" t="s">
        <v>2143</v>
      </c>
      <c r="N106" s="12" t="s">
        <v>1432</v>
      </c>
      <c r="Q106" s="72">
        <v>1</v>
      </c>
      <c r="R106" s="23">
        <v>546750</v>
      </c>
      <c r="S106" s="21" t="s">
        <v>24</v>
      </c>
      <c r="T106" s="21"/>
      <c r="U106" s="21"/>
      <c r="V106" s="24"/>
      <c r="W106" s="24"/>
      <c r="X106" s="24"/>
      <c r="Y106" s="17" t="s">
        <v>469</v>
      </c>
      <c r="Z106" s="18">
        <f>ROUND(R106*'Data-CostAssumptions'!$C$3,-3)</f>
        <v>757000</v>
      </c>
      <c r="AA106" s="11">
        <f t="shared" si="4"/>
        <v>0</v>
      </c>
      <c r="AB106" s="11">
        <v>2041</v>
      </c>
      <c r="AC106" s="11">
        <v>2041</v>
      </c>
      <c r="AD106" s="11">
        <v>2041</v>
      </c>
      <c r="AE106" s="19">
        <f>ROUND((Z106*'Data-CostAssumptions'!$G$5)*(1+'Data-CostAssumptions'!$G$3)^(AB106-'Data-CostAssumptions'!$G$4),-3)</f>
        <v>427000</v>
      </c>
      <c r="AF106" s="19">
        <f>ROUND((Z106)*(1+'Data-CostAssumptions'!$G$3)^(AD106-'Data-CostAssumptions'!$G$4),-3)</f>
        <v>1941000</v>
      </c>
      <c r="AG106" s="170" t="str">
        <f t="shared" si="5"/>
        <v>No</v>
      </c>
    </row>
    <row r="107" spans="1:33" ht="15" customHeight="1" x14ac:dyDescent="0.2">
      <c r="A107" s="11"/>
      <c r="B107" s="11" t="s">
        <v>1211</v>
      </c>
      <c r="C107" s="13">
        <v>669</v>
      </c>
      <c r="D107" s="13" t="s">
        <v>420</v>
      </c>
      <c r="E107" s="20">
        <v>152</v>
      </c>
      <c r="F107" s="20">
        <v>179</v>
      </c>
      <c r="G107" s="20">
        <v>50</v>
      </c>
      <c r="H107" s="13" t="s">
        <v>1828</v>
      </c>
      <c r="I107" s="13" t="str">
        <f t="shared" si="3"/>
        <v>Sistrunk Bl (NE 3rd Av to NW 27th Av)</v>
      </c>
      <c r="J107" s="13" t="s">
        <v>29</v>
      </c>
      <c r="K107" s="13" t="str">
        <f>VLOOKUP(J107,'Data-ProjectTypes'!A$3:B$13,2,FALSE)</f>
        <v>Program</v>
      </c>
      <c r="L107" s="21" t="s">
        <v>348</v>
      </c>
      <c r="M107" s="13" t="s">
        <v>2033</v>
      </c>
      <c r="N107" s="13" t="s">
        <v>2060</v>
      </c>
      <c r="O107" s="13" t="s">
        <v>272</v>
      </c>
      <c r="P107" s="13" t="s">
        <v>272</v>
      </c>
      <c r="Q107" s="22">
        <v>2.2999999999999998</v>
      </c>
      <c r="R107" s="23">
        <v>539409</v>
      </c>
      <c r="S107" s="21"/>
      <c r="T107" s="21"/>
      <c r="U107" s="21"/>
      <c r="V107" s="24"/>
      <c r="W107" s="24" t="s">
        <v>696</v>
      </c>
      <c r="X107" s="24"/>
      <c r="Y107" s="17" t="s">
        <v>287</v>
      </c>
      <c r="Z107" s="18">
        <f>ROUND(R107*'Data-CostAssumptions'!$C$3,-3)</f>
        <v>747000</v>
      </c>
      <c r="AA107" s="11">
        <f t="shared" si="4"/>
        <v>1</v>
      </c>
      <c r="AB107" s="11">
        <v>2041</v>
      </c>
      <c r="AC107" s="11">
        <v>2041</v>
      </c>
      <c r="AD107" s="11">
        <v>2041</v>
      </c>
      <c r="AE107" s="19">
        <f>ROUND((Z107*'Data-CostAssumptions'!$G$5)*(1+'Data-CostAssumptions'!$G$3)^(AB107-'Data-CostAssumptions'!$G$4),-3)</f>
        <v>421000</v>
      </c>
      <c r="AF107" s="19">
        <f>ROUND((Z107)*(1+'Data-CostAssumptions'!$G$3)^(AD107-'Data-CostAssumptions'!$G$4),-3)</f>
        <v>1915000</v>
      </c>
      <c r="AG107" s="170" t="str">
        <f t="shared" si="5"/>
        <v>No</v>
      </c>
    </row>
    <row r="108" spans="1:33" ht="15" customHeight="1" x14ac:dyDescent="0.2">
      <c r="A108" s="11"/>
      <c r="B108" s="11" t="s">
        <v>1211</v>
      </c>
      <c r="C108" s="13">
        <v>674</v>
      </c>
      <c r="D108" s="13" t="s">
        <v>420</v>
      </c>
      <c r="E108" s="20">
        <v>176</v>
      </c>
      <c r="F108" s="20">
        <v>179</v>
      </c>
      <c r="G108" s="20">
        <v>55</v>
      </c>
      <c r="H108" s="13" t="s">
        <v>487</v>
      </c>
      <c r="I108" s="13" t="str">
        <f t="shared" si="3"/>
        <v>Nova Dr (Davie Rd to Pine Island Rpad)</v>
      </c>
      <c r="J108" s="13" t="s">
        <v>29</v>
      </c>
      <c r="K108" s="13" t="str">
        <f>VLOOKUP(J108,'Data-ProjectTypes'!A$3:B$13,2,FALSE)</f>
        <v>Program</v>
      </c>
      <c r="L108" s="21" t="s">
        <v>348</v>
      </c>
      <c r="M108" s="13" t="s">
        <v>1845</v>
      </c>
      <c r="N108" s="13" t="s">
        <v>252</v>
      </c>
      <c r="O108" s="13" t="s">
        <v>273</v>
      </c>
      <c r="P108" s="13" t="s">
        <v>273</v>
      </c>
      <c r="Q108" s="22">
        <v>2.2999999999999998</v>
      </c>
      <c r="R108" s="23">
        <v>533543</v>
      </c>
      <c r="S108" s="21" t="s">
        <v>24</v>
      </c>
      <c r="T108" s="21"/>
      <c r="U108" s="21"/>
      <c r="V108" s="24"/>
      <c r="W108" s="24"/>
      <c r="X108" s="24"/>
      <c r="Y108" s="17" t="s">
        <v>469</v>
      </c>
      <c r="Z108" s="18">
        <f>ROUND(R108*'Data-CostAssumptions'!$C$3,-3)</f>
        <v>738000</v>
      </c>
      <c r="AA108" s="11">
        <f t="shared" si="4"/>
        <v>0</v>
      </c>
      <c r="AB108" s="11">
        <v>2041</v>
      </c>
      <c r="AC108" s="11">
        <v>2041</v>
      </c>
      <c r="AD108" s="11">
        <v>2041</v>
      </c>
      <c r="AE108" s="19">
        <f>ROUND((Z108*'Data-CostAssumptions'!$G$5)*(1+'Data-CostAssumptions'!$G$3)^(AB108-'Data-CostAssumptions'!$G$4),-3)</f>
        <v>416000</v>
      </c>
      <c r="AF108" s="19">
        <f>ROUND((Z108)*(1+'Data-CostAssumptions'!$G$3)^(AD108-'Data-CostAssumptions'!$G$4),-3)</f>
        <v>1892000</v>
      </c>
      <c r="AG108" s="170" t="str">
        <f t="shared" si="5"/>
        <v>No</v>
      </c>
    </row>
    <row r="109" spans="1:33" ht="15" customHeight="1" x14ac:dyDescent="0.2">
      <c r="A109" s="11"/>
      <c r="B109" s="11" t="s">
        <v>1211</v>
      </c>
      <c r="C109" s="13">
        <v>887</v>
      </c>
      <c r="D109" s="13" t="s">
        <v>420</v>
      </c>
      <c r="E109" s="20">
        <v>13</v>
      </c>
      <c r="F109" s="20">
        <v>191</v>
      </c>
      <c r="G109" s="20">
        <v>264</v>
      </c>
      <c r="H109" s="13" t="s">
        <v>1787</v>
      </c>
      <c r="I109" s="13" t="str">
        <f t="shared" si="3"/>
        <v>Coral Springs Dr (NW 9th Manor/Atlantic Bl to Sample Rd)</v>
      </c>
      <c r="J109" s="13" t="s">
        <v>29</v>
      </c>
      <c r="K109" s="13" t="str">
        <f>VLOOKUP(J109,'Data-ProjectTypes'!A$3:B$13,2,FALSE)</f>
        <v>Program</v>
      </c>
      <c r="L109" s="21" t="s">
        <v>348</v>
      </c>
      <c r="M109" s="13" t="s">
        <v>2326</v>
      </c>
      <c r="N109" s="13" t="s">
        <v>1864</v>
      </c>
      <c r="O109" s="13" t="s">
        <v>273</v>
      </c>
      <c r="P109" s="13" t="s">
        <v>273</v>
      </c>
      <c r="Q109" s="22">
        <v>2.2999999999999998</v>
      </c>
      <c r="R109" s="23">
        <v>528940</v>
      </c>
      <c r="S109" s="29" t="s">
        <v>792</v>
      </c>
      <c r="T109" s="21"/>
      <c r="U109" s="21"/>
      <c r="V109" s="24"/>
      <c r="W109" s="24" t="s">
        <v>784</v>
      </c>
      <c r="X109" s="36" t="s">
        <v>3233</v>
      </c>
      <c r="Y109" s="17" t="s">
        <v>790</v>
      </c>
      <c r="Z109" s="18">
        <f>ROUND(R109*'Data-CostAssumptions'!$C$3,-3)</f>
        <v>732000</v>
      </c>
      <c r="AA109" s="11">
        <f t="shared" si="4"/>
        <v>1</v>
      </c>
      <c r="AB109" s="11">
        <v>2041</v>
      </c>
      <c r="AC109" s="11">
        <v>2041</v>
      </c>
      <c r="AD109" s="11">
        <v>2041</v>
      </c>
      <c r="AE109" s="19">
        <f>ROUND((Z109*'Data-CostAssumptions'!$G$5)*(1+'Data-CostAssumptions'!$G$3)^(AB109-'Data-CostAssumptions'!$G$4),-3)</f>
        <v>413000</v>
      </c>
      <c r="AF109" s="19">
        <f>ROUND((Z109)*(1+'Data-CostAssumptions'!$G$3)^(AD109-'Data-CostAssumptions'!$G$4),-3)</f>
        <v>1877000</v>
      </c>
      <c r="AG109" s="170" t="str">
        <f t="shared" si="5"/>
        <v>No</v>
      </c>
    </row>
    <row r="110" spans="1:33" ht="15" customHeight="1" x14ac:dyDescent="0.2">
      <c r="B110" s="11" t="s">
        <v>1211</v>
      </c>
      <c r="D110" s="84" t="s">
        <v>276</v>
      </c>
      <c r="E110" s="104">
        <v>90</v>
      </c>
      <c r="G110" s="20">
        <v>1474</v>
      </c>
      <c r="H110" s="13" t="s">
        <v>2728</v>
      </c>
      <c r="I110" s="13" t="str">
        <f t="shared" si="3"/>
        <v>SR 838/Sunrise Bl (US 1  to NE 26TH Av)</v>
      </c>
      <c r="J110" s="12" t="s">
        <v>29</v>
      </c>
      <c r="K110" s="13" t="str">
        <f>VLOOKUP(J110,'Data-ProjectTypes'!A$3:B$13,2,FALSE)</f>
        <v>Program</v>
      </c>
      <c r="L110" s="12" t="s">
        <v>1393</v>
      </c>
      <c r="M110" s="105" t="s">
        <v>1455</v>
      </c>
      <c r="N110" s="12" t="s">
        <v>2632</v>
      </c>
      <c r="Q110" s="72">
        <v>2.1</v>
      </c>
      <c r="R110" s="23">
        <v>523350</v>
      </c>
      <c r="S110" s="21"/>
      <c r="T110" s="21"/>
      <c r="U110" s="21"/>
      <c r="V110" s="24"/>
      <c r="W110" s="24"/>
      <c r="X110" s="24"/>
      <c r="Y110" s="17"/>
      <c r="Z110" s="18">
        <f>ROUND(R110*'Data-CostAssumptions'!$C$3,-3)</f>
        <v>724000</v>
      </c>
      <c r="AA110" s="11">
        <f t="shared" si="4"/>
        <v>0</v>
      </c>
      <c r="AB110" s="11">
        <v>2041</v>
      </c>
      <c r="AC110" s="11">
        <v>2041</v>
      </c>
      <c r="AD110" s="11">
        <v>2041</v>
      </c>
      <c r="AE110" s="19">
        <f>ROUND((Z110*'Data-CostAssumptions'!$G$5)*(1+'Data-CostAssumptions'!$G$3)^(AB110-'Data-CostAssumptions'!$G$4),-3)</f>
        <v>408000</v>
      </c>
      <c r="AF110" s="19">
        <f>ROUND((Z110)*(1+'Data-CostAssumptions'!$G$3)^(AD110-'Data-CostAssumptions'!$G$4),-3)</f>
        <v>1856000</v>
      </c>
      <c r="AG110" s="170" t="str">
        <f t="shared" si="5"/>
        <v>No</v>
      </c>
    </row>
    <row r="111" spans="1:33" ht="15" customHeight="1" x14ac:dyDescent="0.2">
      <c r="A111" s="11"/>
      <c r="B111" s="11" t="s">
        <v>1211</v>
      </c>
      <c r="C111" s="13">
        <v>777</v>
      </c>
      <c r="D111" s="13" t="s">
        <v>420</v>
      </c>
      <c r="E111" s="20">
        <v>284</v>
      </c>
      <c r="F111" s="20">
        <v>185</v>
      </c>
      <c r="G111" s="20">
        <v>154</v>
      </c>
      <c r="H111" s="13" t="s">
        <v>1955</v>
      </c>
      <c r="I111" s="13" t="str">
        <f t="shared" si="3"/>
        <v>SW 14th St/Indian Trace (SW 136th Av to Weston Rd)</v>
      </c>
      <c r="J111" s="13" t="s">
        <v>29</v>
      </c>
      <c r="K111" s="13" t="str">
        <f>VLOOKUP(J111,'Data-ProjectTypes'!A$3:B$13,2,FALSE)</f>
        <v>Program</v>
      </c>
      <c r="L111" s="21" t="s">
        <v>348</v>
      </c>
      <c r="M111" s="13" t="s">
        <v>2102</v>
      </c>
      <c r="N111" s="13" t="s">
        <v>1779</v>
      </c>
      <c r="O111" s="13" t="s">
        <v>272</v>
      </c>
      <c r="P111" s="13" t="s">
        <v>272</v>
      </c>
      <c r="Q111" s="22">
        <v>2.2999999999999998</v>
      </c>
      <c r="R111" s="23">
        <v>522743</v>
      </c>
      <c r="S111" s="21"/>
      <c r="T111" s="21"/>
      <c r="U111" s="21"/>
      <c r="V111" s="24"/>
      <c r="W111" s="24"/>
      <c r="X111" s="34" t="s">
        <v>1177</v>
      </c>
      <c r="Y111" s="17" t="s">
        <v>1171</v>
      </c>
      <c r="Z111" s="18">
        <f>ROUND(R111*'Data-CostAssumptions'!$C$3,-3)</f>
        <v>723000</v>
      </c>
      <c r="AA111" s="11">
        <f t="shared" si="4"/>
        <v>0</v>
      </c>
      <c r="AB111" s="11">
        <v>2041</v>
      </c>
      <c r="AC111" s="11">
        <v>2041</v>
      </c>
      <c r="AD111" s="11">
        <v>2041</v>
      </c>
      <c r="AE111" s="19">
        <f>ROUND((Z111*'Data-CostAssumptions'!$G$5)*(1+'Data-CostAssumptions'!$G$3)^(AB111-'Data-CostAssumptions'!$G$4),-3)</f>
        <v>408000</v>
      </c>
      <c r="AF111" s="19">
        <f>ROUND((Z111)*(1+'Data-CostAssumptions'!$G$3)^(AD111-'Data-CostAssumptions'!$G$4),-3)</f>
        <v>1854000</v>
      </c>
      <c r="AG111" s="170" t="str">
        <f t="shared" si="5"/>
        <v>No</v>
      </c>
    </row>
    <row r="112" spans="1:33" ht="15" customHeight="1" x14ac:dyDescent="0.2">
      <c r="B112" s="11" t="s">
        <v>1211</v>
      </c>
      <c r="D112" s="84" t="s">
        <v>276</v>
      </c>
      <c r="E112" s="104">
        <v>77</v>
      </c>
      <c r="G112" s="20">
        <v>1463</v>
      </c>
      <c r="H112" s="13" t="s">
        <v>2209</v>
      </c>
      <c r="I112" s="13" t="str">
        <f t="shared" si="3"/>
        <v>SR 5/ US 1 (I-595 to SE 24TH ST/SR 84)</v>
      </c>
      <c r="J112" s="12" t="s">
        <v>29</v>
      </c>
      <c r="K112" s="13" t="str">
        <f>VLOOKUP(J112,'Data-ProjectTypes'!A$3:B$13,2,FALSE)</f>
        <v>Program</v>
      </c>
      <c r="L112" s="12" t="s">
        <v>1408</v>
      </c>
      <c r="M112" s="105" t="s">
        <v>34</v>
      </c>
      <c r="N112" s="12" t="s">
        <v>1437</v>
      </c>
      <c r="Q112" s="72">
        <v>0.8</v>
      </c>
      <c r="R112" s="23">
        <v>522450</v>
      </c>
      <c r="S112" s="21"/>
      <c r="T112" s="21"/>
      <c r="U112" s="21"/>
      <c r="V112" s="24"/>
      <c r="W112" s="24"/>
      <c r="X112" s="34" t="s">
        <v>1173</v>
      </c>
      <c r="Y112" s="17" t="s">
        <v>1171</v>
      </c>
      <c r="Z112" s="18">
        <f>ROUND(R112*'Data-CostAssumptions'!$C$3,-3)</f>
        <v>723000</v>
      </c>
      <c r="AA112" s="11">
        <f t="shared" si="4"/>
        <v>0</v>
      </c>
      <c r="AB112" s="11">
        <v>2041</v>
      </c>
      <c r="AC112" s="11">
        <v>2041</v>
      </c>
      <c r="AD112" s="11">
        <v>2041</v>
      </c>
      <c r="AE112" s="19">
        <f>ROUND((Z112*'Data-CostAssumptions'!$G$5)*(1+'Data-CostAssumptions'!$G$3)^(AB112-'Data-CostAssumptions'!$G$4),-3)</f>
        <v>408000</v>
      </c>
      <c r="AF112" s="19">
        <f>ROUND((Z112)*(1+'Data-CostAssumptions'!$G$3)^(AD112-'Data-CostAssumptions'!$G$4),-3)</f>
        <v>1854000</v>
      </c>
      <c r="AG112" s="170" t="str">
        <f t="shared" si="5"/>
        <v>No</v>
      </c>
    </row>
    <row r="113" spans="1:33" ht="15" customHeight="1" x14ac:dyDescent="0.2">
      <c r="A113" s="11"/>
      <c r="B113" s="11" t="s">
        <v>1211</v>
      </c>
      <c r="C113" s="11"/>
      <c r="D113" s="84" t="s">
        <v>276</v>
      </c>
      <c r="E113" s="14">
        <v>9</v>
      </c>
      <c r="F113" s="14"/>
      <c r="G113" s="20">
        <v>1480</v>
      </c>
      <c r="H113" s="13" t="s">
        <v>2798</v>
      </c>
      <c r="I113" s="13" t="str">
        <f t="shared" si="3"/>
        <v>SR 842/Broward Bl (SR 5/US 1 to NW 7TH Av)</v>
      </c>
      <c r="J113" s="11" t="s">
        <v>29</v>
      </c>
      <c r="K113" s="13" t="str">
        <f>VLOOKUP(J113,'Data-ProjectTypes'!A$3:B$13,2,FALSE)</f>
        <v>Program</v>
      </c>
      <c r="L113" s="11" t="s">
        <v>1264</v>
      </c>
      <c r="M113" s="106" t="s">
        <v>1424</v>
      </c>
      <c r="N113" s="84" t="s">
        <v>2601</v>
      </c>
      <c r="O113" s="11"/>
      <c r="P113" s="11"/>
      <c r="Q113" s="107">
        <v>0.8</v>
      </c>
      <c r="R113" s="23">
        <v>522450</v>
      </c>
      <c r="S113" s="21"/>
      <c r="T113" s="21"/>
      <c r="U113" s="21"/>
      <c r="V113" s="24"/>
      <c r="W113" s="24"/>
      <c r="X113" s="24"/>
      <c r="Y113" s="17"/>
      <c r="Z113" s="18">
        <f>ROUND(R113*'Data-CostAssumptions'!$C$3,-3)</f>
        <v>723000</v>
      </c>
      <c r="AA113" s="11">
        <f t="shared" si="4"/>
        <v>0</v>
      </c>
      <c r="AB113" s="11">
        <v>2041</v>
      </c>
      <c r="AC113" s="11">
        <v>2041</v>
      </c>
      <c r="AD113" s="11">
        <v>2041</v>
      </c>
      <c r="AE113" s="19">
        <f>ROUND((Z113*'Data-CostAssumptions'!$G$5)*(1+'Data-CostAssumptions'!$G$3)^(AB113-'Data-CostAssumptions'!$G$4),-3)</f>
        <v>408000</v>
      </c>
      <c r="AF113" s="19">
        <f>ROUND((Z113)*(1+'Data-CostAssumptions'!$G$3)^(AD113-'Data-CostAssumptions'!$G$4),-3)</f>
        <v>1854000</v>
      </c>
      <c r="AG113" s="170" t="str">
        <f t="shared" si="5"/>
        <v>No</v>
      </c>
    </row>
    <row r="114" spans="1:33" ht="15" customHeight="1" x14ac:dyDescent="0.2">
      <c r="A114" s="11"/>
      <c r="B114" s="11" t="s">
        <v>1211</v>
      </c>
      <c r="C114" s="13">
        <v>760</v>
      </c>
      <c r="D114" s="13" t="s">
        <v>420</v>
      </c>
      <c r="E114" s="20">
        <v>168</v>
      </c>
      <c r="F114" s="20">
        <v>184</v>
      </c>
      <c r="G114" s="20">
        <v>137</v>
      </c>
      <c r="H114" s="13" t="s">
        <v>266</v>
      </c>
      <c r="I114" s="13" t="str">
        <f t="shared" si="3"/>
        <v>Pine Island Rd (Sunrise Bl to NW 44th St)</v>
      </c>
      <c r="J114" s="13" t="s">
        <v>29</v>
      </c>
      <c r="K114" s="13" t="str">
        <f>VLOOKUP(J114,'Data-ProjectTypes'!A$3:B$13,2,FALSE)</f>
        <v>Program</v>
      </c>
      <c r="L114" s="21" t="s">
        <v>348</v>
      </c>
      <c r="M114" s="13" t="s">
        <v>1830</v>
      </c>
      <c r="N114" s="13" t="s">
        <v>1189</v>
      </c>
      <c r="O114" s="13" t="s">
        <v>273</v>
      </c>
      <c r="P114" s="13" t="s">
        <v>273</v>
      </c>
      <c r="Q114" s="22">
        <v>2.2000000000000002</v>
      </c>
      <c r="R114" s="23">
        <v>520594</v>
      </c>
      <c r="S114" s="21" t="s">
        <v>24</v>
      </c>
      <c r="T114" s="21" t="s">
        <v>24</v>
      </c>
      <c r="U114" s="21"/>
      <c r="V114" s="24"/>
      <c r="W114" s="24"/>
      <c r="X114" s="28"/>
      <c r="Y114" s="17" t="s">
        <v>469</v>
      </c>
      <c r="Z114" s="18">
        <f>ROUND(R114*'Data-CostAssumptions'!$C$3,-3)</f>
        <v>721000</v>
      </c>
      <c r="AA114" s="11">
        <f t="shared" si="4"/>
        <v>0</v>
      </c>
      <c r="AB114" s="11">
        <v>2041</v>
      </c>
      <c r="AC114" s="11">
        <v>2041</v>
      </c>
      <c r="AD114" s="11">
        <v>2041</v>
      </c>
      <c r="AE114" s="19">
        <f>ROUND((Z114*'Data-CostAssumptions'!$G$5)*(1+'Data-CostAssumptions'!$G$3)^(AB114-'Data-CostAssumptions'!$G$4),-3)</f>
        <v>407000</v>
      </c>
      <c r="AF114" s="19">
        <f>ROUND((Z114)*(1+'Data-CostAssumptions'!$G$3)^(AD114-'Data-CostAssumptions'!$G$4),-3)</f>
        <v>1849000</v>
      </c>
      <c r="AG114" s="170" t="str">
        <f t="shared" si="5"/>
        <v>No</v>
      </c>
    </row>
    <row r="115" spans="1:33" ht="15" customHeight="1" x14ac:dyDescent="0.2">
      <c r="A115" s="11"/>
      <c r="B115" s="11" t="s">
        <v>1211</v>
      </c>
      <c r="C115" s="13">
        <v>649</v>
      </c>
      <c r="D115" s="13" t="s">
        <v>420</v>
      </c>
      <c r="E115" s="20">
        <v>65</v>
      </c>
      <c r="F115" s="20">
        <v>178</v>
      </c>
      <c r="G115" s="20">
        <v>30</v>
      </c>
      <c r="H115" s="13" t="s">
        <v>1751</v>
      </c>
      <c r="I115" s="13" t="str">
        <f t="shared" si="3"/>
        <v>Hammondville Rd (Dixie Hwy to NW 26th Av)</v>
      </c>
      <c r="J115" s="13" t="s">
        <v>29</v>
      </c>
      <c r="K115" s="13" t="str">
        <f>VLOOKUP(J115,'Data-ProjectTypes'!A$3:B$13,2,FALSE)</f>
        <v>Program</v>
      </c>
      <c r="L115" s="21" t="s">
        <v>348</v>
      </c>
      <c r="M115" s="13" t="s">
        <v>728</v>
      </c>
      <c r="N115" s="13" t="s">
        <v>2222</v>
      </c>
      <c r="O115" s="13" t="s">
        <v>275</v>
      </c>
      <c r="P115" s="13" t="s">
        <v>275</v>
      </c>
      <c r="Q115" s="22">
        <v>2.2000000000000002</v>
      </c>
      <c r="R115" s="23">
        <v>516400</v>
      </c>
      <c r="S115" s="21"/>
      <c r="T115" s="21"/>
      <c r="U115" s="21"/>
      <c r="V115" s="24"/>
      <c r="W115" s="24"/>
      <c r="X115" s="24"/>
      <c r="Y115" s="17"/>
      <c r="Z115" s="18">
        <f>ROUND(R115*'Data-CostAssumptions'!$C$3,-3)</f>
        <v>715000</v>
      </c>
      <c r="AA115" s="11">
        <f t="shared" si="4"/>
        <v>0</v>
      </c>
      <c r="AB115" s="11">
        <v>2041</v>
      </c>
      <c r="AC115" s="11">
        <v>2041</v>
      </c>
      <c r="AD115" s="11">
        <v>2041</v>
      </c>
      <c r="AE115" s="19">
        <f>ROUND((Z115*'Data-CostAssumptions'!$G$5)*(1+'Data-CostAssumptions'!$G$3)^(AB115-'Data-CostAssumptions'!$G$4),-3)</f>
        <v>403000</v>
      </c>
      <c r="AF115" s="19">
        <f>ROUND((Z115)*(1+'Data-CostAssumptions'!$G$3)^(AD115-'Data-CostAssumptions'!$G$4),-3)</f>
        <v>1833000</v>
      </c>
      <c r="AG115" s="170" t="str">
        <f t="shared" si="5"/>
        <v>No</v>
      </c>
    </row>
    <row r="116" spans="1:33" ht="15" customHeight="1" x14ac:dyDescent="0.2">
      <c r="A116" s="11"/>
      <c r="B116" s="11" t="s">
        <v>1211</v>
      </c>
      <c r="C116" s="13">
        <v>892</v>
      </c>
      <c r="D116" s="13" t="s">
        <v>420</v>
      </c>
      <c r="E116" s="20">
        <v>54</v>
      </c>
      <c r="F116" s="20">
        <v>192</v>
      </c>
      <c r="G116" s="20">
        <v>269</v>
      </c>
      <c r="H116" s="13" t="s">
        <v>184</v>
      </c>
      <c r="I116" s="13" t="str">
        <f t="shared" si="3"/>
        <v>Orange Dr (Flamingo Rd to Shotgun Rd turn-off)</v>
      </c>
      <c r="J116" s="13" t="s">
        <v>29</v>
      </c>
      <c r="K116" s="13" t="str">
        <f>VLOOKUP(J116,'Data-ProjectTypes'!A$3:B$13,2,FALSE)</f>
        <v>Program</v>
      </c>
      <c r="L116" s="21" t="s">
        <v>348</v>
      </c>
      <c r="M116" s="13" t="s">
        <v>159</v>
      </c>
      <c r="N116" s="13" t="s">
        <v>2440</v>
      </c>
      <c r="O116" s="13" t="s">
        <v>279</v>
      </c>
      <c r="P116" s="13" t="s">
        <v>279</v>
      </c>
      <c r="Q116" s="22">
        <v>2.2000000000000002</v>
      </c>
      <c r="R116" s="23">
        <v>516375</v>
      </c>
      <c r="S116" s="21" t="s">
        <v>24</v>
      </c>
      <c r="T116" s="21" t="s">
        <v>25</v>
      </c>
      <c r="U116" s="21" t="s">
        <v>25</v>
      </c>
      <c r="V116" s="24"/>
      <c r="W116" s="24"/>
      <c r="X116" s="24"/>
      <c r="Y116" s="17" t="s">
        <v>685</v>
      </c>
      <c r="Z116" s="18">
        <f>ROUND(R116*'Data-CostAssumptions'!$C$3,-3)</f>
        <v>715000</v>
      </c>
      <c r="AA116" s="11">
        <f t="shared" si="4"/>
        <v>0</v>
      </c>
      <c r="AB116" s="11">
        <v>2041</v>
      </c>
      <c r="AC116" s="11">
        <v>2041</v>
      </c>
      <c r="AD116" s="11">
        <v>2041</v>
      </c>
      <c r="AE116" s="19">
        <f>ROUND((Z116*'Data-CostAssumptions'!$G$5)*(1+'Data-CostAssumptions'!$G$3)^(AB116-'Data-CostAssumptions'!$G$4),-3)</f>
        <v>403000</v>
      </c>
      <c r="AF116" s="19">
        <f>ROUND((Z116)*(1+'Data-CostAssumptions'!$G$3)^(AD116-'Data-CostAssumptions'!$G$4),-3)</f>
        <v>1833000</v>
      </c>
      <c r="AG116" s="170" t="str">
        <f t="shared" si="5"/>
        <v>No</v>
      </c>
    </row>
    <row r="117" spans="1:33" ht="15" customHeight="1" x14ac:dyDescent="0.2">
      <c r="B117" s="11" t="s">
        <v>1211</v>
      </c>
      <c r="D117" s="84" t="s">
        <v>276</v>
      </c>
      <c r="E117" s="104">
        <v>27</v>
      </c>
      <c r="G117" s="20">
        <v>1355</v>
      </c>
      <c r="H117" s="13" t="s">
        <v>1847</v>
      </c>
      <c r="I117" s="13" t="str">
        <f t="shared" si="3"/>
        <v>Floranada Rd (SR 811/OLD DIXIE HWY to US 1/SR 5)</v>
      </c>
      <c r="J117" s="12" t="s">
        <v>29</v>
      </c>
      <c r="K117" s="13" t="str">
        <f>VLOOKUP(J117,'Data-ProjectTypes'!A$3:B$13,2,FALSE)</f>
        <v>Program</v>
      </c>
      <c r="L117" s="12" t="s">
        <v>1296</v>
      </c>
      <c r="M117" s="105" t="s">
        <v>2850</v>
      </c>
      <c r="N117" s="12" t="s">
        <v>1422</v>
      </c>
      <c r="Q117" s="72">
        <v>1</v>
      </c>
      <c r="R117" s="23">
        <v>515000</v>
      </c>
      <c r="S117" s="21"/>
      <c r="T117" s="21"/>
      <c r="U117" s="21"/>
      <c r="V117" s="24"/>
      <c r="W117" s="24" t="s">
        <v>696</v>
      </c>
      <c r="X117" s="24"/>
      <c r="Y117" s="17" t="s">
        <v>287</v>
      </c>
      <c r="Z117" s="18">
        <f>ROUND(R117*'Data-CostAssumptions'!$C$3,-3)</f>
        <v>713000</v>
      </c>
      <c r="AA117" s="11">
        <f t="shared" si="4"/>
        <v>1</v>
      </c>
      <c r="AB117" s="11">
        <v>2041</v>
      </c>
      <c r="AC117" s="11">
        <v>2041</v>
      </c>
      <c r="AD117" s="11">
        <v>2041</v>
      </c>
      <c r="AE117" s="19">
        <f>ROUND((Z117*'Data-CostAssumptions'!$G$5)*(1+'Data-CostAssumptions'!$G$3)^(AB117-'Data-CostAssumptions'!$G$4),-3)</f>
        <v>402000</v>
      </c>
      <c r="AF117" s="19">
        <f>ROUND((Z117)*(1+'Data-CostAssumptions'!$G$3)^(AD117-'Data-CostAssumptions'!$G$4),-3)</f>
        <v>1828000</v>
      </c>
      <c r="AG117" s="170" t="str">
        <f t="shared" si="5"/>
        <v>No</v>
      </c>
    </row>
    <row r="118" spans="1:33" ht="15" customHeight="1" x14ac:dyDescent="0.2">
      <c r="B118" s="11" t="s">
        <v>1211</v>
      </c>
      <c r="D118" s="84" t="s">
        <v>276</v>
      </c>
      <c r="E118" s="104">
        <v>54</v>
      </c>
      <c r="G118" s="20">
        <v>1413</v>
      </c>
      <c r="H118" s="13" t="s">
        <v>1240</v>
      </c>
      <c r="I118" s="13" t="str">
        <f t="shared" si="3"/>
        <v>NW 19TH ST (SR 9/I-95 to NW 9TH Av/Powerline Rd)</v>
      </c>
      <c r="J118" s="12" t="s">
        <v>29</v>
      </c>
      <c r="K118" s="13" t="str">
        <f>VLOOKUP(J118,'Data-ProjectTypes'!A$3:B$13,2,FALSE)</f>
        <v>Program</v>
      </c>
      <c r="L118" s="12" t="s">
        <v>1348</v>
      </c>
      <c r="M118" s="105" t="s">
        <v>1445</v>
      </c>
      <c r="N118" s="12" t="s">
        <v>2685</v>
      </c>
      <c r="Q118" s="72">
        <v>0.8</v>
      </c>
      <c r="R118" s="23">
        <v>510300</v>
      </c>
      <c r="S118" s="21"/>
      <c r="T118" s="21"/>
      <c r="U118" s="21"/>
      <c r="V118" s="24"/>
      <c r="W118" s="24" t="s">
        <v>696</v>
      </c>
      <c r="X118" s="24"/>
      <c r="Y118" s="17" t="s">
        <v>287</v>
      </c>
      <c r="Z118" s="18">
        <f>ROUND(R118*'Data-CostAssumptions'!$C$3,-3)</f>
        <v>706000</v>
      </c>
      <c r="AA118" s="11">
        <f t="shared" si="4"/>
        <v>1</v>
      </c>
      <c r="AB118" s="11">
        <v>2041</v>
      </c>
      <c r="AC118" s="11">
        <v>2041</v>
      </c>
      <c r="AD118" s="11">
        <v>2041</v>
      </c>
      <c r="AE118" s="19">
        <f>ROUND((Z118*'Data-CostAssumptions'!$G$5)*(1+'Data-CostAssumptions'!$G$3)^(AB118-'Data-CostAssumptions'!$G$4),-3)</f>
        <v>398000</v>
      </c>
      <c r="AF118" s="19">
        <f>ROUND((Z118)*(1+'Data-CostAssumptions'!$G$3)^(AD118-'Data-CostAssumptions'!$G$4),-3)</f>
        <v>1810000</v>
      </c>
      <c r="AG118" s="170" t="str">
        <f t="shared" si="5"/>
        <v>No</v>
      </c>
    </row>
    <row r="119" spans="1:33" ht="15" customHeight="1" x14ac:dyDescent="0.2">
      <c r="A119" s="11"/>
      <c r="B119" s="11" t="s">
        <v>1211</v>
      </c>
      <c r="C119" s="13">
        <v>925</v>
      </c>
      <c r="D119" s="13" t="s">
        <v>420</v>
      </c>
      <c r="E119" s="20">
        <v>26</v>
      </c>
      <c r="F119" s="20">
        <v>194</v>
      </c>
      <c r="G119" s="20">
        <v>301</v>
      </c>
      <c r="H119" s="13" t="s">
        <v>2082</v>
      </c>
      <c r="I119" s="13" t="str">
        <f t="shared" si="3"/>
        <v>NW 9th Av/Military Trail (Copans Rd to NW 49th St/Green St)</v>
      </c>
      <c r="J119" s="13" t="s">
        <v>29</v>
      </c>
      <c r="K119" s="13" t="str">
        <f>VLOOKUP(J119,'Data-ProjectTypes'!A$3:B$13,2,FALSE)</f>
        <v>Program</v>
      </c>
      <c r="L119" s="21" t="s">
        <v>348</v>
      </c>
      <c r="M119" s="13" t="s">
        <v>1836</v>
      </c>
      <c r="N119" s="13" t="s">
        <v>2548</v>
      </c>
      <c r="O119" s="13" t="s">
        <v>273</v>
      </c>
      <c r="P119" s="13" t="s">
        <v>273</v>
      </c>
      <c r="Q119" s="22">
        <v>2.2000000000000002</v>
      </c>
      <c r="R119" s="23">
        <v>509600</v>
      </c>
      <c r="S119" s="21" t="s">
        <v>24</v>
      </c>
      <c r="T119" s="21" t="s">
        <v>24</v>
      </c>
      <c r="U119" s="21" t="s">
        <v>24</v>
      </c>
      <c r="V119" s="24" t="s">
        <v>816</v>
      </c>
      <c r="W119" s="24"/>
      <c r="X119" s="24" t="s">
        <v>819</v>
      </c>
      <c r="Y119" s="17" t="s">
        <v>806</v>
      </c>
      <c r="Z119" s="18">
        <f>ROUND(R119*'Data-CostAssumptions'!$C$3,-3)</f>
        <v>705000</v>
      </c>
      <c r="AA119" s="11">
        <f t="shared" si="4"/>
        <v>1</v>
      </c>
      <c r="AB119" s="11">
        <v>2041</v>
      </c>
      <c r="AC119" s="11">
        <v>2041</v>
      </c>
      <c r="AD119" s="11">
        <v>2041</v>
      </c>
      <c r="AE119" s="19">
        <f>ROUND((Z119*'Data-CostAssumptions'!$G$5)*(1+'Data-CostAssumptions'!$G$3)^(AB119-'Data-CostAssumptions'!$G$4),-3)</f>
        <v>398000</v>
      </c>
      <c r="AF119" s="19">
        <f>ROUND((Z119)*(1+'Data-CostAssumptions'!$G$3)^(AD119-'Data-CostAssumptions'!$G$4),-3)</f>
        <v>1808000</v>
      </c>
      <c r="AG119" s="170" t="str">
        <f t="shared" si="5"/>
        <v>No</v>
      </c>
    </row>
    <row r="120" spans="1:33" ht="15" customHeight="1" x14ac:dyDescent="0.2">
      <c r="A120" s="11"/>
      <c r="B120" s="11" t="s">
        <v>1211</v>
      </c>
      <c r="C120" s="11">
        <v>12283</v>
      </c>
      <c r="D120" s="84" t="s">
        <v>282</v>
      </c>
      <c r="E120" s="14"/>
      <c r="F120" s="14"/>
      <c r="G120" s="20">
        <v>1755</v>
      </c>
      <c r="H120" s="13" t="s">
        <v>2011</v>
      </c>
      <c r="I120" s="13" t="str">
        <f t="shared" si="3"/>
        <v>56th Av (Washington St to Stirling Rd)</v>
      </c>
      <c r="J120" s="11" t="s">
        <v>29</v>
      </c>
      <c r="K120" s="13" t="str">
        <f>VLOOKUP(J120,'Data-ProjectTypes'!A$3:B$13,2,FALSE)</f>
        <v>Program</v>
      </c>
      <c r="L120" s="142" t="s">
        <v>622</v>
      </c>
      <c r="M120" s="11" t="s">
        <v>1971</v>
      </c>
      <c r="N120" s="11" t="s">
        <v>177</v>
      </c>
      <c r="O120" s="11"/>
      <c r="P120" s="11"/>
      <c r="Q120" s="79">
        <v>3</v>
      </c>
      <c r="R120" s="143">
        <f>ROUND(Q120*'Data-CostAssumptions'!$C$25,-3)</f>
        <v>505000</v>
      </c>
      <c r="S120" s="21" t="s">
        <v>24</v>
      </c>
      <c r="T120" s="21"/>
      <c r="U120" s="21"/>
      <c r="V120" s="24"/>
      <c r="W120" s="24"/>
      <c r="X120" s="24"/>
      <c r="Y120" s="17" t="s">
        <v>469</v>
      </c>
      <c r="Z120" s="18">
        <f>ROUND(R120*'Data-CostAssumptions'!$C$3,-3)</f>
        <v>699000</v>
      </c>
      <c r="AA120" s="11">
        <f t="shared" si="4"/>
        <v>0</v>
      </c>
      <c r="AB120" s="11">
        <v>2041</v>
      </c>
      <c r="AC120" s="11">
        <v>2041</v>
      </c>
      <c r="AD120" s="11">
        <v>2041</v>
      </c>
      <c r="AE120" s="19">
        <f>ROUND((Z120*'Data-CostAssumptions'!$G$5)*(1+'Data-CostAssumptions'!$G$3)^(AB120-'Data-CostAssumptions'!$G$4),-3)</f>
        <v>394000</v>
      </c>
      <c r="AF120" s="19">
        <f>ROUND((Z120)*(1+'Data-CostAssumptions'!$G$3)^(AD120-'Data-CostAssumptions'!$G$4),-3)</f>
        <v>1792000</v>
      </c>
      <c r="AG120" s="170" t="str">
        <f t="shared" si="5"/>
        <v>No</v>
      </c>
    </row>
    <row r="121" spans="1:33" ht="15" customHeight="1" x14ac:dyDescent="0.2">
      <c r="B121" s="11" t="s">
        <v>1211</v>
      </c>
      <c r="D121" s="84" t="s">
        <v>276</v>
      </c>
      <c r="E121" s="104">
        <v>500</v>
      </c>
      <c r="G121" s="20">
        <v>1352</v>
      </c>
      <c r="H121" s="13" t="s">
        <v>2819</v>
      </c>
      <c r="I121" s="13" t="str">
        <f t="shared" si="3"/>
        <v>Executive Airport Multi-use Path (Perimeter Rd to Perimeter Rd)</v>
      </c>
      <c r="J121" s="12" t="s">
        <v>29</v>
      </c>
      <c r="K121" s="13" t="str">
        <f>VLOOKUP(J121,'Data-ProjectTypes'!A$3:B$13,2,FALSE)</f>
        <v>Program</v>
      </c>
      <c r="L121" s="12" t="s">
        <v>1649</v>
      </c>
      <c r="M121" s="105" t="s">
        <v>1761</v>
      </c>
      <c r="N121" s="12" t="s">
        <v>1761</v>
      </c>
      <c r="R121" s="23">
        <v>500000</v>
      </c>
      <c r="S121" s="21" t="s">
        <v>24</v>
      </c>
      <c r="T121" s="21"/>
      <c r="U121" s="21"/>
      <c r="V121" s="24"/>
      <c r="W121" s="24" t="s">
        <v>552</v>
      </c>
      <c r="X121" s="24"/>
      <c r="Y121" s="17" t="s">
        <v>538</v>
      </c>
      <c r="Z121" s="18">
        <f>ROUND(R121*'Data-CostAssumptions'!$C$3,-3)</f>
        <v>692000</v>
      </c>
      <c r="AA121" s="11">
        <f t="shared" si="4"/>
        <v>1</v>
      </c>
      <c r="AB121" s="11">
        <v>2041</v>
      </c>
      <c r="AC121" s="11">
        <v>2041</v>
      </c>
      <c r="AD121" s="11">
        <v>2041</v>
      </c>
      <c r="AE121" s="19">
        <f>ROUND((Z121*'Data-CostAssumptions'!$G$5)*(1+'Data-CostAssumptions'!$G$3)^(AB121-'Data-CostAssumptions'!$G$4),-3)</f>
        <v>390000</v>
      </c>
      <c r="AF121" s="19">
        <f>ROUND((Z121)*(1+'Data-CostAssumptions'!$G$3)^(AD121-'Data-CostAssumptions'!$G$4),-3)</f>
        <v>1774000</v>
      </c>
      <c r="AG121" s="170" t="str">
        <f t="shared" si="5"/>
        <v>No</v>
      </c>
    </row>
    <row r="122" spans="1:33" ht="15" customHeight="1" x14ac:dyDescent="0.2">
      <c r="A122" s="11"/>
      <c r="B122" s="11" t="s">
        <v>1211</v>
      </c>
      <c r="C122" s="13">
        <v>729</v>
      </c>
      <c r="D122" s="13" t="s">
        <v>420</v>
      </c>
      <c r="E122" s="20">
        <v>247</v>
      </c>
      <c r="F122" s="20">
        <v>183</v>
      </c>
      <c r="G122" s="20">
        <v>107</v>
      </c>
      <c r="H122" s="13" t="s">
        <v>1822</v>
      </c>
      <c r="I122" s="13" t="str">
        <f t="shared" si="3"/>
        <v>Kimberly Bl (State Rd 7/US 441 to SW 81st Av)</v>
      </c>
      <c r="J122" s="13" t="s">
        <v>29</v>
      </c>
      <c r="K122" s="13" t="str">
        <f>VLOOKUP(J122,'Data-ProjectTypes'!A$3:B$13,2,FALSE)</f>
        <v>Program</v>
      </c>
      <c r="L122" s="21" t="s">
        <v>348</v>
      </c>
      <c r="M122" s="13" t="s">
        <v>1773</v>
      </c>
      <c r="N122" s="13" t="s">
        <v>2134</v>
      </c>
      <c r="O122" s="13" t="s">
        <v>285</v>
      </c>
      <c r="P122" s="13" t="s">
        <v>285</v>
      </c>
      <c r="Q122" s="22">
        <v>2.1</v>
      </c>
      <c r="R122" s="23">
        <v>496219</v>
      </c>
      <c r="S122" s="21"/>
      <c r="T122" s="21"/>
      <c r="U122" s="21"/>
      <c r="V122" s="24"/>
      <c r="W122" s="24"/>
      <c r="X122" s="24"/>
      <c r="Y122" s="17"/>
      <c r="Z122" s="18">
        <f>ROUND(R122*'Data-CostAssumptions'!$C$3,-3)</f>
        <v>687000</v>
      </c>
      <c r="AA122" s="11">
        <f t="shared" si="4"/>
        <v>0</v>
      </c>
      <c r="AB122" s="11">
        <v>2041</v>
      </c>
      <c r="AC122" s="11">
        <v>2041</v>
      </c>
      <c r="AD122" s="11">
        <v>2041</v>
      </c>
      <c r="AE122" s="19">
        <f>ROUND((Z122*'Data-CostAssumptions'!$G$5)*(1+'Data-CostAssumptions'!$G$3)^(AB122-'Data-CostAssumptions'!$G$4),-3)</f>
        <v>388000</v>
      </c>
      <c r="AF122" s="19">
        <f>ROUND((Z122)*(1+'Data-CostAssumptions'!$G$3)^(AD122-'Data-CostAssumptions'!$G$4),-3)</f>
        <v>1761000</v>
      </c>
      <c r="AG122" s="170" t="str">
        <f t="shared" si="5"/>
        <v>No</v>
      </c>
    </row>
    <row r="123" spans="1:33" ht="15" customHeight="1" x14ac:dyDescent="0.2">
      <c r="A123" s="11"/>
      <c r="B123" s="11" t="s">
        <v>1211</v>
      </c>
      <c r="C123" s="13">
        <v>672</v>
      </c>
      <c r="D123" s="13" t="s">
        <v>420</v>
      </c>
      <c r="E123" s="20">
        <v>172</v>
      </c>
      <c r="F123" s="20">
        <v>179</v>
      </c>
      <c r="G123" s="20">
        <v>53</v>
      </c>
      <c r="H123" s="13" t="s">
        <v>1763</v>
      </c>
      <c r="I123" s="13" t="str">
        <f t="shared" si="3"/>
        <v>Peters Rd (State Rd 7 to Tropical Way)</v>
      </c>
      <c r="J123" s="13" t="s">
        <v>29</v>
      </c>
      <c r="K123" s="13" t="str">
        <f>VLOOKUP(J123,'Data-ProjectTypes'!A$3:B$13,2,FALSE)</f>
        <v>Program</v>
      </c>
      <c r="L123" s="21" t="s">
        <v>348</v>
      </c>
      <c r="M123" s="13" t="s">
        <v>1772</v>
      </c>
      <c r="N123" s="13" t="s">
        <v>66</v>
      </c>
      <c r="O123" s="13" t="s">
        <v>273</v>
      </c>
      <c r="P123" s="13" t="s">
        <v>273</v>
      </c>
      <c r="Q123" s="22">
        <v>2.1</v>
      </c>
      <c r="R123" s="23">
        <v>493242</v>
      </c>
      <c r="S123" s="21"/>
      <c r="T123" s="21"/>
      <c r="U123" s="21" t="s">
        <v>24</v>
      </c>
      <c r="V123" s="24"/>
      <c r="W123" s="24"/>
      <c r="X123" s="24"/>
      <c r="Y123" s="17" t="s">
        <v>846</v>
      </c>
      <c r="Z123" s="18">
        <f>ROUND(R123*'Data-CostAssumptions'!$C$3,-3)</f>
        <v>683000</v>
      </c>
      <c r="AA123" s="11">
        <f t="shared" si="4"/>
        <v>0</v>
      </c>
      <c r="AB123" s="11">
        <v>2041</v>
      </c>
      <c r="AC123" s="11">
        <v>2041</v>
      </c>
      <c r="AD123" s="11">
        <v>2041</v>
      </c>
      <c r="AE123" s="19">
        <f>ROUND((Z123*'Data-CostAssumptions'!$G$5)*(1+'Data-CostAssumptions'!$G$3)^(AB123-'Data-CostAssumptions'!$G$4),-3)</f>
        <v>385000</v>
      </c>
      <c r="AF123" s="19">
        <f>ROUND((Z123)*(1+'Data-CostAssumptions'!$G$3)^(AD123-'Data-CostAssumptions'!$G$4),-3)</f>
        <v>1751000</v>
      </c>
      <c r="AG123" s="170" t="str">
        <f t="shared" si="5"/>
        <v>No</v>
      </c>
    </row>
    <row r="124" spans="1:33" ht="15" customHeight="1" x14ac:dyDescent="0.2">
      <c r="A124" s="11"/>
      <c r="B124" s="11" t="s">
        <v>1211</v>
      </c>
      <c r="C124" s="13">
        <v>914</v>
      </c>
      <c r="D124" s="13" t="s">
        <v>420</v>
      </c>
      <c r="E124" s="20">
        <v>276</v>
      </c>
      <c r="F124" s="20">
        <v>193</v>
      </c>
      <c r="G124" s="20">
        <v>291</v>
      </c>
      <c r="H124" s="13" t="s">
        <v>1968</v>
      </c>
      <c r="I124" s="13" t="str">
        <f t="shared" si="3"/>
        <v>Taft St (Palm Av to Flamingo Rd)</v>
      </c>
      <c r="J124" s="13" t="s">
        <v>29</v>
      </c>
      <c r="K124" s="13" t="str">
        <f>VLOOKUP(J124,'Data-ProjectTypes'!A$3:B$13,2,FALSE)</f>
        <v>Program</v>
      </c>
      <c r="L124" s="21" t="s">
        <v>348</v>
      </c>
      <c r="M124" s="13" t="s">
        <v>2083</v>
      </c>
      <c r="N124" s="13" t="s">
        <v>159</v>
      </c>
      <c r="O124" s="13" t="s">
        <v>271</v>
      </c>
      <c r="P124" s="13" t="s">
        <v>271</v>
      </c>
      <c r="Q124" s="22">
        <v>2.1</v>
      </c>
      <c r="R124" s="23">
        <v>490297</v>
      </c>
      <c r="S124" s="21" t="s">
        <v>24</v>
      </c>
      <c r="T124" s="21" t="s">
        <v>25</v>
      </c>
      <c r="U124" s="21" t="s">
        <v>24</v>
      </c>
      <c r="V124" s="24" t="s">
        <v>816</v>
      </c>
      <c r="W124" s="24"/>
      <c r="X124" s="24" t="s">
        <v>819</v>
      </c>
      <c r="Y124" s="17" t="s">
        <v>806</v>
      </c>
      <c r="Z124" s="18">
        <f>ROUND(R124*'Data-CostAssumptions'!$C$3,-3)</f>
        <v>679000</v>
      </c>
      <c r="AA124" s="11">
        <f t="shared" si="4"/>
        <v>1</v>
      </c>
      <c r="AB124" s="11">
        <v>2041</v>
      </c>
      <c r="AC124" s="11">
        <v>2041</v>
      </c>
      <c r="AD124" s="11">
        <v>2041</v>
      </c>
      <c r="AE124" s="19">
        <f>ROUND((Z124*'Data-CostAssumptions'!$G$5)*(1+'Data-CostAssumptions'!$G$3)^(AB124-'Data-CostAssumptions'!$G$4),-3)</f>
        <v>383000</v>
      </c>
      <c r="AF124" s="19">
        <f>ROUND((Z124)*(1+'Data-CostAssumptions'!$G$3)^(AD124-'Data-CostAssumptions'!$G$4),-3)</f>
        <v>1741000</v>
      </c>
      <c r="AG124" s="170" t="str">
        <f t="shared" si="5"/>
        <v>No</v>
      </c>
    </row>
    <row r="125" spans="1:33" ht="15" customHeight="1" x14ac:dyDescent="0.2">
      <c r="A125" s="11"/>
      <c r="B125" s="11" t="s">
        <v>1211</v>
      </c>
      <c r="C125" s="13">
        <v>639</v>
      </c>
      <c r="D125" s="13" t="s">
        <v>420</v>
      </c>
      <c r="E125" s="20" t="s">
        <v>298</v>
      </c>
      <c r="F125" s="20">
        <v>177</v>
      </c>
      <c r="G125" s="20">
        <v>20</v>
      </c>
      <c r="H125" s="13" t="s">
        <v>2798</v>
      </c>
      <c r="I125" s="13" t="str">
        <f t="shared" si="3"/>
        <v>SR 842/Broward Bl (I-95 to SR 7)</v>
      </c>
      <c r="J125" s="13" t="s">
        <v>29</v>
      </c>
      <c r="K125" s="13" t="str">
        <f>VLOOKUP(J125,'Data-ProjectTypes'!A$3:B$13,2,FALSE)</f>
        <v>Program</v>
      </c>
      <c r="L125" s="21" t="s">
        <v>348</v>
      </c>
      <c r="M125" s="13" t="s">
        <v>41</v>
      </c>
      <c r="N125" s="13" t="s">
        <v>53</v>
      </c>
      <c r="O125" s="13" t="s">
        <v>270</v>
      </c>
      <c r="P125" s="13" t="s">
        <v>270</v>
      </c>
      <c r="Q125" s="22">
        <v>2.1</v>
      </c>
      <c r="R125" s="23">
        <v>489631</v>
      </c>
      <c r="S125" s="21" t="s">
        <v>24</v>
      </c>
      <c r="T125" s="21" t="s">
        <v>25</v>
      </c>
      <c r="U125" s="21" t="s">
        <v>24</v>
      </c>
      <c r="V125" s="24" t="s">
        <v>561</v>
      </c>
      <c r="W125" s="24"/>
      <c r="X125" s="24"/>
      <c r="Y125" s="17" t="s">
        <v>538</v>
      </c>
      <c r="Z125" s="18">
        <f>ROUND(R125*'Data-CostAssumptions'!$C$3,-3)</f>
        <v>678000</v>
      </c>
      <c r="AA125" s="11">
        <f t="shared" si="4"/>
        <v>1</v>
      </c>
      <c r="AB125" s="11">
        <v>2041</v>
      </c>
      <c r="AC125" s="11">
        <v>2041</v>
      </c>
      <c r="AD125" s="11">
        <v>2041</v>
      </c>
      <c r="AE125" s="19">
        <f>ROUND((Z125*'Data-CostAssumptions'!$G$5)*(1+'Data-CostAssumptions'!$G$3)^(AB125-'Data-CostAssumptions'!$G$4),-3)</f>
        <v>382000</v>
      </c>
      <c r="AF125" s="19">
        <f>ROUND((Z125)*(1+'Data-CostAssumptions'!$G$3)^(AD125-'Data-CostAssumptions'!$G$4),-3)</f>
        <v>1738000</v>
      </c>
      <c r="AG125" s="170" t="str">
        <f t="shared" si="5"/>
        <v>No</v>
      </c>
    </row>
    <row r="126" spans="1:33" ht="15" customHeight="1" x14ac:dyDescent="0.2">
      <c r="A126" s="11"/>
      <c r="B126" s="11" t="s">
        <v>1211</v>
      </c>
      <c r="C126" s="13">
        <v>631</v>
      </c>
      <c r="D126" s="13" t="s">
        <v>420</v>
      </c>
      <c r="E126" s="20">
        <v>98</v>
      </c>
      <c r="F126" s="20">
        <v>177</v>
      </c>
      <c r="G126" s="20">
        <v>12</v>
      </c>
      <c r="H126" s="13" t="s">
        <v>1908</v>
      </c>
      <c r="I126" s="13" t="str">
        <f t="shared" si="3"/>
        <v>NW 13th St (US 1/Federal Highwau to Powerline Rd)</v>
      </c>
      <c r="J126" s="13" t="s">
        <v>29</v>
      </c>
      <c r="K126" s="13" t="str">
        <f>VLOOKUP(J126,'Data-ProjectTypes'!A$3:B$13,2,FALSE)</f>
        <v>Program</v>
      </c>
      <c r="L126" s="21" t="s">
        <v>348</v>
      </c>
      <c r="M126" s="13" t="s">
        <v>215</v>
      </c>
      <c r="N126" s="13" t="s">
        <v>1858</v>
      </c>
      <c r="O126" s="13" t="s">
        <v>276</v>
      </c>
      <c r="P126" s="13" t="s">
        <v>276</v>
      </c>
      <c r="Q126" s="22">
        <v>2.1</v>
      </c>
      <c r="R126" s="23">
        <v>489700</v>
      </c>
      <c r="S126" s="21"/>
      <c r="T126" s="21"/>
      <c r="U126" s="21" t="s">
        <v>24</v>
      </c>
      <c r="V126" s="24"/>
      <c r="W126" s="24"/>
      <c r="X126" s="24" t="s">
        <v>704</v>
      </c>
      <c r="Y126" s="17" t="s">
        <v>844</v>
      </c>
      <c r="Z126" s="18">
        <f>ROUND(R126*'Data-CostAssumptions'!$C$3,-3)</f>
        <v>678000</v>
      </c>
      <c r="AA126" s="11">
        <f t="shared" si="4"/>
        <v>0</v>
      </c>
      <c r="AB126" s="11">
        <v>2041</v>
      </c>
      <c r="AC126" s="11">
        <v>2041</v>
      </c>
      <c r="AD126" s="11">
        <v>2041</v>
      </c>
      <c r="AE126" s="19">
        <f>ROUND((Z126*'Data-CostAssumptions'!$G$5)*(1+'Data-CostAssumptions'!$G$3)^(AB126-'Data-CostAssumptions'!$G$4),-3)</f>
        <v>382000</v>
      </c>
      <c r="AF126" s="19">
        <f>ROUND((Z126)*(1+'Data-CostAssumptions'!$G$3)^(AD126-'Data-CostAssumptions'!$G$4),-3)</f>
        <v>1738000</v>
      </c>
      <c r="AG126" s="170" t="str">
        <f t="shared" si="5"/>
        <v>No</v>
      </c>
    </row>
    <row r="127" spans="1:33" ht="15" customHeight="1" x14ac:dyDescent="0.2">
      <c r="A127" s="11"/>
      <c r="B127" s="11" t="s">
        <v>1211</v>
      </c>
      <c r="C127" s="13">
        <v>830</v>
      </c>
      <c r="D127" s="13" t="s">
        <v>420</v>
      </c>
      <c r="E127" s="20">
        <v>277</v>
      </c>
      <c r="F127" s="20">
        <v>188</v>
      </c>
      <c r="G127" s="20">
        <v>206</v>
      </c>
      <c r="H127" s="13" t="s">
        <v>1880</v>
      </c>
      <c r="I127" s="13" t="str">
        <f t="shared" si="3"/>
        <v>Johnson St (Palm Av to Flamingo Rd)</v>
      </c>
      <c r="J127" s="13" t="s">
        <v>29</v>
      </c>
      <c r="K127" s="13" t="str">
        <f>VLOOKUP(J127,'Data-ProjectTypes'!A$3:B$13,2,FALSE)</f>
        <v>Program</v>
      </c>
      <c r="L127" s="21" t="s">
        <v>348</v>
      </c>
      <c r="M127" s="13" t="s">
        <v>2083</v>
      </c>
      <c r="N127" s="13" t="s">
        <v>159</v>
      </c>
      <c r="O127" s="13" t="s">
        <v>271</v>
      </c>
      <c r="P127" s="13" t="s">
        <v>271</v>
      </c>
      <c r="Q127" s="22">
        <v>2.1</v>
      </c>
      <c r="R127" s="23">
        <v>488402</v>
      </c>
      <c r="S127" s="21"/>
      <c r="T127" s="21"/>
      <c r="U127" s="21"/>
      <c r="V127" s="24"/>
      <c r="W127" s="24" t="s">
        <v>696</v>
      </c>
      <c r="X127" s="24"/>
      <c r="Y127" s="17" t="s">
        <v>287</v>
      </c>
      <c r="Z127" s="18">
        <f>ROUND(R127*'Data-CostAssumptions'!$C$3,-3)</f>
        <v>676000</v>
      </c>
      <c r="AA127" s="11">
        <f t="shared" si="4"/>
        <v>1</v>
      </c>
      <c r="AB127" s="11">
        <v>2041</v>
      </c>
      <c r="AC127" s="11">
        <v>2041</v>
      </c>
      <c r="AD127" s="11">
        <v>2041</v>
      </c>
      <c r="AE127" s="19">
        <f>ROUND((Z127*'Data-CostAssumptions'!$G$5)*(1+'Data-CostAssumptions'!$G$3)^(AB127-'Data-CostAssumptions'!$G$4),-3)</f>
        <v>381000</v>
      </c>
      <c r="AF127" s="19">
        <f>ROUND((Z127)*(1+'Data-CostAssumptions'!$G$3)^(AD127-'Data-CostAssumptions'!$G$4),-3)</f>
        <v>1733000</v>
      </c>
      <c r="AG127" s="170" t="str">
        <f t="shared" si="5"/>
        <v>No</v>
      </c>
    </row>
    <row r="128" spans="1:33" ht="15" customHeight="1" x14ac:dyDescent="0.2">
      <c r="A128" s="11"/>
      <c r="B128" s="11" t="s">
        <v>1211</v>
      </c>
      <c r="C128" s="13">
        <v>811</v>
      </c>
      <c r="D128" s="13" t="s">
        <v>420</v>
      </c>
      <c r="E128" s="20">
        <v>204</v>
      </c>
      <c r="F128" s="20">
        <v>187</v>
      </c>
      <c r="G128" s="20">
        <v>187</v>
      </c>
      <c r="H128" s="13" t="s">
        <v>2040</v>
      </c>
      <c r="I128" s="13" t="str">
        <f t="shared" si="3"/>
        <v>North 46th Av (Washington St to Sheridan St)</v>
      </c>
      <c r="J128" s="13" t="s">
        <v>29</v>
      </c>
      <c r="K128" s="13" t="str">
        <f>VLOOKUP(J128,'Data-ProjectTypes'!A$3:B$13,2,FALSE)</f>
        <v>Program</v>
      </c>
      <c r="L128" s="21" t="s">
        <v>562</v>
      </c>
      <c r="M128" s="13" t="s">
        <v>1971</v>
      </c>
      <c r="N128" s="13" t="s">
        <v>1951</v>
      </c>
      <c r="O128" s="13" t="s">
        <v>282</v>
      </c>
      <c r="P128" s="13" t="s">
        <v>282</v>
      </c>
      <c r="Q128" s="22">
        <v>2.1</v>
      </c>
      <c r="R128" s="23">
        <v>486558</v>
      </c>
      <c r="S128" s="21"/>
      <c r="T128" s="21"/>
      <c r="U128" s="21"/>
      <c r="V128" s="24"/>
      <c r="W128" s="24"/>
      <c r="X128" s="24"/>
      <c r="Y128" s="17"/>
      <c r="Z128" s="18">
        <f>ROUND(R128*'Data-CostAssumptions'!$C$3,-3)</f>
        <v>673000</v>
      </c>
      <c r="AA128" s="11">
        <f t="shared" si="4"/>
        <v>0</v>
      </c>
      <c r="AB128" s="11">
        <v>2041</v>
      </c>
      <c r="AC128" s="11">
        <v>2041</v>
      </c>
      <c r="AD128" s="11">
        <v>2041</v>
      </c>
      <c r="AE128" s="19">
        <f>ROUND((Z128*'Data-CostAssumptions'!$G$5)*(1+'Data-CostAssumptions'!$G$3)^(AB128-'Data-CostAssumptions'!$G$4),-3)</f>
        <v>380000</v>
      </c>
      <c r="AF128" s="19">
        <f>ROUND((Z128)*(1+'Data-CostAssumptions'!$G$3)^(AD128-'Data-CostAssumptions'!$G$4),-3)</f>
        <v>1726000</v>
      </c>
      <c r="AG128" s="170" t="str">
        <f t="shared" si="5"/>
        <v>No</v>
      </c>
    </row>
    <row r="129" spans="1:33" ht="15" customHeight="1" x14ac:dyDescent="0.2">
      <c r="B129" s="11" t="s">
        <v>1211</v>
      </c>
      <c r="D129" s="84" t="s">
        <v>276</v>
      </c>
      <c r="E129" s="104">
        <v>39</v>
      </c>
      <c r="G129" s="20">
        <v>1435</v>
      </c>
      <c r="H129" s="13" t="s">
        <v>1234</v>
      </c>
      <c r="I129" s="13" t="str">
        <f t="shared" si="3"/>
        <v>NW/NE 2ND ST (NW 7TH Av/AVE OF THE ARTS to US 1/SR 5/FEDERAL HWY)</v>
      </c>
      <c r="J129" s="12" t="s">
        <v>29</v>
      </c>
      <c r="K129" s="13" t="str">
        <f>VLOOKUP(J129,'Data-ProjectTypes'!A$3:B$13,2,FALSE)</f>
        <v>Program</v>
      </c>
      <c r="L129" s="12" t="s">
        <v>1321</v>
      </c>
      <c r="M129" s="105" t="s">
        <v>2615</v>
      </c>
      <c r="N129" s="12" t="s">
        <v>1425</v>
      </c>
      <c r="Q129" s="72">
        <v>0.8</v>
      </c>
      <c r="R129" s="23">
        <v>483700</v>
      </c>
      <c r="S129" s="21" t="s">
        <v>24</v>
      </c>
      <c r="T129" s="21" t="s">
        <v>25</v>
      </c>
      <c r="U129" s="21" t="s">
        <v>24</v>
      </c>
      <c r="V129" s="24"/>
      <c r="W129" s="24"/>
      <c r="X129" s="28"/>
      <c r="Y129" s="17" t="s">
        <v>685</v>
      </c>
      <c r="Z129" s="18">
        <f>ROUND(R129*'Data-CostAssumptions'!$C$3,-3)</f>
        <v>669000</v>
      </c>
      <c r="AA129" s="11">
        <f t="shared" si="4"/>
        <v>0</v>
      </c>
      <c r="AB129" s="11">
        <v>2041</v>
      </c>
      <c r="AC129" s="11">
        <v>2041</v>
      </c>
      <c r="AD129" s="11">
        <v>2041</v>
      </c>
      <c r="AE129" s="19">
        <f>ROUND((Z129*'Data-CostAssumptions'!$G$5)*(1+'Data-CostAssumptions'!$G$3)^(AB129-'Data-CostAssumptions'!$G$4),-3)</f>
        <v>377000</v>
      </c>
      <c r="AF129" s="19">
        <f>ROUND((Z129)*(1+'Data-CostAssumptions'!$G$3)^(AD129-'Data-CostAssumptions'!$G$4),-3)</f>
        <v>1715000</v>
      </c>
      <c r="AG129" s="170" t="str">
        <f t="shared" si="5"/>
        <v>No</v>
      </c>
    </row>
    <row r="130" spans="1:33" ht="15" customHeight="1" x14ac:dyDescent="0.2">
      <c r="A130" s="11"/>
      <c r="B130" s="11" t="s">
        <v>1211</v>
      </c>
      <c r="C130" s="13">
        <v>869</v>
      </c>
      <c r="D130" s="13" t="s">
        <v>420</v>
      </c>
      <c r="E130" s="20">
        <v>225</v>
      </c>
      <c r="F130" s="20">
        <v>191</v>
      </c>
      <c r="G130" s="20">
        <v>246</v>
      </c>
      <c r="H130" s="13" t="s">
        <v>57</v>
      </c>
      <c r="I130" s="13" t="str">
        <f t="shared" ref="I130:I193" si="6">IF(M130="@",H130&amp;" ("&amp;M130&amp;"  "&amp;N130&amp;")",H130&amp;" ("&amp;M130&amp;" to "&amp;N130&amp;")")</f>
        <v>SR 7/US 441 (County Line Rd to Washington St)</v>
      </c>
      <c r="J130" s="13" t="s">
        <v>29</v>
      </c>
      <c r="K130" s="13" t="str">
        <f>VLOOKUP(J130,'Data-ProjectTypes'!A$3:B$13,2,FALSE)</f>
        <v>Program</v>
      </c>
      <c r="L130" s="21" t="s">
        <v>348</v>
      </c>
      <c r="M130" s="13" t="s">
        <v>1839</v>
      </c>
      <c r="N130" s="13" t="s">
        <v>1971</v>
      </c>
      <c r="O130" s="13" t="s">
        <v>270</v>
      </c>
      <c r="P130" s="13" t="s">
        <v>270</v>
      </c>
      <c r="Q130" s="22">
        <v>2.1</v>
      </c>
      <c r="R130" s="23">
        <v>477303</v>
      </c>
      <c r="S130" s="21" t="s">
        <v>24</v>
      </c>
      <c r="T130" s="21" t="s">
        <v>25</v>
      </c>
      <c r="U130" s="21"/>
      <c r="V130" s="24"/>
      <c r="W130" s="24"/>
      <c r="X130" s="24"/>
      <c r="Y130" s="17" t="s">
        <v>469</v>
      </c>
      <c r="Z130" s="18">
        <f>ROUND(R130*'Data-CostAssumptions'!$C$3,-3)</f>
        <v>661000</v>
      </c>
      <c r="AA130" s="11">
        <f t="shared" ref="AA130:AA193" si="7">IF(V130="",IF(W130="",0,1),1)</f>
        <v>0</v>
      </c>
      <c r="AB130" s="11">
        <v>2041</v>
      </c>
      <c r="AC130" s="11">
        <v>2041</v>
      </c>
      <c r="AD130" s="11">
        <v>2041</v>
      </c>
      <c r="AE130" s="19">
        <f>ROUND((Z130*'Data-CostAssumptions'!$G$5)*(1+'Data-CostAssumptions'!$G$3)^(AB130-'Data-CostAssumptions'!$G$4),-3)</f>
        <v>373000</v>
      </c>
      <c r="AF130" s="19">
        <f>ROUND((Z130)*(1+'Data-CostAssumptions'!$G$3)^(AD130-'Data-CostAssumptions'!$G$4),-3)</f>
        <v>1695000</v>
      </c>
      <c r="AG130" s="170" t="str">
        <f t="shared" ref="AG130:AG193" si="8">IF(MIN(AC130:AD130)&lt;2041,"Yes","No")</f>
        <v>No</v>
      </c>
    </row>
    <row r="131" spans="1:33" ht="15" customHeight="1" x14ac:dyDescent="0.2">
      <c r="A131" s="11"/>
      <c r="B131" s="11" t="s">
        <v>1211</v>
      </c>
      <c r="C131" s="13">
        <v>661</v>
      </c>
      <c r="D131" s="13" t="s">
        <v>420</v>
      </c>
      <c r="E131" s="20">
        <v>117</v>
      </c>
      <c r="F131" s="20">
        <v>179</v>
      </c>
      <c r="G131" s="20">
        <v>42</v>
      </c>
      <c r="H131" s="13" t="s">
        <v>45</v>
      </c>
      <c r="I131" s="13" t="str">
        <f t="shared" si="6"/>
        <v>SR 84 (US 1/Federal Hwy to I-95)</v>
      </c>
      <c r="J131" s="13" t="s">
        <v>29</v>
      </c>
      <c r="K131" s="13" t="str">
        <f>VLOOKUP(J131,'Data-ProjectTypes'!A$3:B$13,2,FALSE)</f>
        <v>Program</v>
      </c>
      <c r="L131" s="21" t="s">
        <v>348</v>
      </c>
      <c r="M131" s="13" t="s">
        <v>2594</v>
      </c>
      <c r="N131" s="13" t="s">
        <v>41</v>
      </c>
      <c r="O131" s="13" t="s">
        <v>270</v>
      </c>
      <c r="P131" s="13" t="s">
        <v>270</v>
      </c>
      <c r="Q131" s="22">
        <v>2</v>
      </c>
      <c r="R131" s="23">
        <v>474967</v>
      </c>
      <c r="S131" s="21" t="s">
        <v>24</v>
      </c>
      <c r="T131" s="21"/>
      <c r="U131" s="21"/>
      <c r="V131" s="24"/>
      <c r="W131" s="24"/>
      <c r="X131" s="24"/>
      <c r="Y131" s="17" t="s">
        <v>460</v>
      </c>
      <c r="Z131" s="18">
        <f>ROUND(R131*'Data-CostAssumptions'!$C$3,-3)</f>
        <v>657000</v>
      </c>
      <c r="AA131" s="11">
        <f t="shared" si="7"/>
        <v>0</v>
      </c>
      <c r="AB131" s="11">
        <v>2041</v>
      </c>
      <c r="AC131" s="11">
        <v>2041</v>
      </c>
      <c r="AD131" s="11">
        <v>2041</v>
      </c>
      <c r="AE131" s="19">
        <f>ROUND((Z131*'Data-CostAssumptions'!$G$5)*(1+'Data-CostAssumptions'!$G$3)^(AB131-'Data-CostAssumptions'!$G$4),-3)</f>
        <v>371000</v>
      </c>
      <c r="AF131" s="19">
        <f>ROUND((Z131)*(1+'Data-CostAssumptions'!$G$3)^(AD131-'Data-CostAssumptions'!$G$4),-3)</f>
        <v>1685000</v>
      </c>
      <c r="AG131" s="170" t="str">
        <f t="shared" si="8"/>
        <v>No</v>
      </c>
    </row>
    <row r="132" spans="1:33" ht="15" customHeight="1" x14ac:dyDescent="0.2">
      <c r="A132" s="11"/>
      <c r="B132" s="11" t="s">
        <v>1211</v>
      </c>
      <c r="C132" s="13">
        <v>829</v>
      </c>
      <c r="D132" s="13" t="s">
        <v>420</v>
      </c>
      <c r="E132" s="20">
        <v>271</v>
      </c>
      <c r="F132" s="20">
        <v>188</v>
      </c>
      <c r="G132" s="20">
        <v>205</v>
      </c>
      <c r="H132" s="13" t="s">
        <v>1951</v>
      </c>
      <c r="I132" s="13" t="str">
        <f t="shared" si="6"/>
        <v>Sheridan St (Flamingo Rd to Volunteer Rd)</v>
      </c>
      <c r="J132" s="13" t="s">
        <v>29</v>
      </c>
      <c r="K132" s="13" t="str">
        <f>VLOOKUP(J132,'Data-ProjectTypes'!A$3:B$13,2,FALSE)</f>
        <v>Program</v>
      </c>
      <c r="L132" s="21" t="s">
        <v>348</v>
      </c>
      <c r="M132" s="13" t="s">
        <v>159</v>
      </c>
      <c r="N132" s="13" t="s">
        <v>2452</v>
      </c>
      <c r="O132" s="13" t="s">
        <v>273</v>
      </c>
      <c r="P132" s="13" t="s">
        <v>273</v>
      </c>
      <c r="Q132" s="22">
        <v>2</v>
      </c>
      <c r="R132" s="23">
        <v>474557</v>
      </c>
      <c r="S132" s="21"/>
      <c r="T132" s="21"/>
      <c r="U132" s="21"/>
      <c r="V132" s="24"/>
      <c r="W132" s="24" t="s">
        <v>696</v>
      </c>
      <c r="X132" s="24"/>
      <c r="Y132" s="17" t="s">
        <v>287</v>
      </c>
      <c r="Z132" s="18">
        <f>ROUND(R132*'Data-CostAssumptions'!$C$3,-3)</f>
        <v>657000</v>
      </c>
      <c r="AA132" s="11">
        <f t="shared" si="7"/>
        <v>1</v>
      </c>
      <c r="AB132" s="11">
        <v>2041</v>
      </c>
      <c r="AC132" s="11">
        <v>2041</v>
      </c>
      <c r="AD132" s="11">
        <v>2041</v>
      </c>
      <c r="AE132" s="19">
        <f>ROUND((Z132*'Data-CostAssumptions'!$G$5)*(1+'Data-CostAssumptions'!$G$3)^(AB132-'Data-CostAssumptions'!$G$4),-3)</f>
        <v>371000</v>
      </c>
      <c r="AF132" s="19">
        <f>ROUND((Z132)*(1+'Data-CostAssumptions'!$G$3)^(AD132-'Data-CostAssumptions'!$G$4),-3)</f>
        <v>1685000</v>
      </c>
      <c r="AG132" s="170" t="str">
        <f t="shared" si="8"/>
        <v>No</v>
      </c>
    </row>
    <row r="133" spans="1:33" ht="15" customHeight="1" x14ac:dyDescent="0.2">
      <c r="A133" s="11"/>
      <c r="B133" s="11" t="s">
        <v>1211</v>
      </c>
      <c r="C133" s="13">
        <v>728</v>
      </c>
      <c r="D133" s="13" t="s">
        <v>420</v>
      </c>
      <c r="E133" s="20">
        <v>245</v>
      </c>
      <c r="F133" s="20">
        <v>183</v>
      </c>
      <c r="G133" s="20">
        <v>106</v>
      </c>
      <c r="H133" s="13" t="s">
        <v>2734</v>
      </c>
      <c r="I133" s="13" t="str">
        <f t="shared" si="6"/>
        <v>SR 814/Atlantic Bl (State Rd 7/US 441 to Ramblewood Dr)</v>
      </c>
      <c r="J133" s="13" t="s">
        <v>29</v>
      </c>
      <c r="K133" s="13" t="str">
        <f>VLOOKUP(J133,'Data-ProjectTypes'!A$3:B$13,2,FALSE)</f>
        <v>Program</v>
      </c>
      <c r="L133" s="21" t="s">
        <v>348</v>
      </c>
      <c r="M133" s="13" t="s">
        <v>1773</v>
      </c>
      <c r="N133" s="13" t="s">
        <v>1798</v>
      </c>
      <c r="O133" s="13" t="s">
        <v>273</v>
      </c>
      <c r="P133" s="13" t="s">
        <v>273</v>
      </c>
      <c r="Q133" s="22">
        <v>2</v>
      </c>
      <c r="R133" s="23">
        <v>472996</v>
      </c>
      <c r="S133" s="21"/>
      <c r="T133" s="21"/>
      <c r="U133" s="21"/>
      <c r="V133" s="24"/>
      <c r="W133" s="24"/>
      <c r="X133" s="32"/>
      <c r="Y133" s="17"/>
      <c r="Z133" s="18">
        <f>ROUND(R133*'Data-CostAssumptions'!$C$3,-3)</f>
        <v>655000</v>
      </c>
      <c r="AA133" s="11">
        <f t="shared" si="7"/>
        <v>0</v>
      </c>
      <c r="AB133" s="11">
        <v>2041</v>
      </c>
      <c r="AC133" s="11">
        <v>2041</v>
      </c>
      <c r="AD133" s="11">
        <v>2041</v>
      </c>
      <c r="AE133" s="19">
        <f>ROUND((Z133*'Data-CostAssumptions'!$G$5)*(1+'Data-CostAssumptions'!$G$3)^(AB133-'Data-CostAssumptions'!$G$4),-3)</f>
        <v>369000</v>
      </c>
      <c r="AF133" s="19">
        <f>ROUND((Z133)*(1+'Data-CostAssumptions'!$G$3)^(AD133-'Data-CostAssumptions'!$G$4),-3)</f>
        <v>1679000</v>
      </c>
      <c r="AG133" s="170" t="str">
        <f t="shared" si="8"/>
        <v>No</v>
      </c>
    </row>
    <row r="134" spans="1:33" ht="15" customHeight="1" x14ac:dyDescent="0.2">
      <c r="A134" s="11"/>
      <c r="B134" s="11" t="s">
        <v>1211</v>
      </c>
      <c r="C134" s="13">
        <v>802</v>
      </c>
      <c r="D134" s="13" t="s">
        <v>420</v>
      </c>
      <c r="E134" s="20">
        <v>123</v>
      </c>
      <c r="F134" s="20">
        <v>187</v>
      </c>
      <c r="G134" s="20">
        <v>178</v>
      </c>
      <c r="H134" s="13" t="s">
        <v>2799</v>
      </c>
      <c r="I134" s="13" t="str">
        <f t="shared" si="6"/>
        <v>SR 845/Powerline Rd (Sunrise Bl to Oakland Park Bl)</v>
      </c>
      <c r="J134" s="13" t="s">
        <v>29</v>
      </c>
      <c r="K134" s="13" t="str">
        <f>VLOOKUP(J134,'Data-ProjectTypes'!A$3:B$13,2,FALSE)</f>
        <v>Program</v>
      </c>
      <c r="L134" s="26" t="s">
        <v>847</v>
      </c>
      <c r="M134" s="13" t="s">
        <v>1830</v>
      </c>
      <c r="N134" s="13" t="s">
        <v>1825</v>
      </c>
      <c r="O134" s="13" t="s">
        <v>270</v>
      </c>
      <c r="P134" s="13" t="s">
        <v>270</v>
      </c>
      <c r="Q134" s="22">
        <v>2</v>
      </c>
      <c r="R134" s="23">
        <v>473350</v>
      </c>
      <c r="S134" s="21" t="s">
        <v>24</v>
      </c>
      <c r="T134" s="21"/>
      <c r="U134" s="21"/>
      <c r="V134" s="24"/>
      <c r="W134" s="24"/>
      <c r="X134" s="24"/>
      <c r="Y134" s="17" t="s">
        <v>460</v>
      </c>
      <c r="Z134" s="18">
        <f>ROUND(R134*'Data-CostAssumptions'!$C$3,-3)</f>
        <v>655000</v>
      </c>
      <c r="AA134" s="11">
        <f t="shared" si="7"/>
        <v>0</v>
      </c>
      <c r="AB134" s="11">
        <v>2041</v>
      </c>
      <c r="AC134" s="11">
        <v>2041</v>
      </c>
      <c r="AD134" s="11">
        <v>2041</v>
      </c>
      <c r="AE134" s="19">
        <f>ROUND((Z134*'Data-CostAssumptions'!$G$5)*(1+'Data-CostAssumptions'!$G$3)^(AB134-'Data-CostAssumptions'!$G$4),-3)</f>
        <v>369000</v>
      </c>
      <c r="AF134" s="19">
        <f>ROUND((Z134)*(1+'Data-CostAssumptions'!$G$3)^(AD134-'Data-CostAssumptions'!$G$4),-3)</f>
        <v>1679000</v>
      </c>
      <c r="AG134" s="170" t="str">
        <f t="shared" si="8"/>
        <v>No</v>
      </c>
    </row>
    <row r="135" spans="1:33" ht="15" customHeight="1" x14ac:dyDescent="0.2">
      <c r="A135" s="11"/>
      <c r="B135" s="11" t="s">
        <v>1211</v>
      </c>
      <c r="C135" s="13">
        <v>902</v>
      </c>
      <c r="D135" s="13" t="s">
        <v>420</v>
      </c>
      <c r="E135" s="20">
        <v>224</v>
      </c>
      <c r="F135" s="20">
        <v>192</v>
      </c>
      <c r="G135" s="20">
        <v>279</v>
      </c>
      <c r="H135" s="13" t="s">
        <v>2128</v>
      </c>
      <c r="I135" s="13" t="str">
        <f t="shared" si="6"/>
        <v>SW 56th Av (County Line Rd to Washington St)</v>
      </c>
      <c r="J135" s="13" t="s">
        <v>29</v>
      </c>
      <c r="K135" s="13" t="str">
        <f>VLOOKUP(J135,'Data-ProjectTypes'!A$3:B$13,2,FALSE)</f>
        <v>Program</v>
      </c>
      <c r="L135" s="21" t="s">
        <v>1119</v>
      </c>
      <c r="M135" s="13" t="s">
        <v>1839</v>
      </c>
      <c r="N135" s="13" t="s">
        <v>1971</v>
      </c>
      <c r="O135" s="13" t="s">
        <v>272</v>
      </c>
      <c r="P135" s="13" t="s">
        <v>272</v>
      </c>
      <c r="Q135" s="22">
        <v>2</v>
      </c>
      <c r="R135" s="23">
        <v>473274</v>
      </c>
      <c r="S135" s="21"/>
      <c r="T135" s="21"/>
      <c r="U135" s="21"/>
      <c r="V135" s="24"/>
      <c r="W135" s="24" t="s">
        <v>491</v>
      </c>
      <c r="X135" s="24"/>
      <c r="Y135" s="17" t="s">
        <v>492</v>
      </c>
      <c r="Z135" s="18">
        <f>ROUND(R135*'Data-CostAssumptions'!$C$3,-3)</f>
        <v>655000</v>
      </c>
      <c r="AA135" s="11">
        <f t="shared" si="7"/>
        <v>1</v>
      </c>
      <c r="AB135" s="11">
        <v>2041</v>
      </c>
      <c r="AC135" s="11">
        <v>2041</v>
      </c>
      <c r="AD135" s="11">
        <v>2041</v>
      </c>
      <c r="AE135" s="19">
        <f>ROUND((Z135*'Data-CostAssumptions'!$G$5)*(1+'Data-CostAssumptions'!$G$3)^(AB135-'Data-CostAssumptions'!$G$4),-3)</f>
        <v>369000</v>
      </c>
      <c r="AF135" s="19">
        <f>ROUND((Z135)*(1+'Data-CostAssumptions'!$G$3)^(AD135-'Data-CostAssumptions'!$G$4),-3)</f>
        <v>1679000</v>
      </c>
      <c r="AG135" s="170" t="str">
        <f t="shared" si="8"/>
        <v>No</v>
      </c>
    </row>
    <row r="136" spans="1:33" ht="15" customHeight="1" x14ac:dyDescent="0.2">
      <c r="A136" s="11"/>
      <c r="B136" s="11" t="s">
        <v>1211</v>
      </c>
      <c r="C136" s="13">
        <v>743</v>
      </c>
      <c r="D136" s="13" t="s">
        <v>420</v>
      </c>
      <c r="E136" s="20">
        <v>60</v>
      </c>
      <c r="F136" s="20">
        <v>183</v>
      </c>
      <c r="G136" s="20">
        <v>120</v>
      </c>
      <c r="H136" s="13" t="s">
        <v>1977</v>
      </c>
      <c r="I136" s="13" t="str">
        <f t="shared" si="6"/>
        <v>Miramar Pkwy (Palm Av to Flamingo Rd)</v>
      </c>
      <c r="J136" s="13" t="s">
        <v>29</v>
      </c>
      <c r="K136" s="13" t="str">
        <f>VLOOKUP(J136,'Data-ProjectTypes'!A$3:B$13,2,FALSE)</f>
        <v>Program</v>
      </c>
      <c r="L136" s="21" t="s">
        <v>348</v>
      </c>
      <c r="M136" s="13" t="s">
        <v>2083</v>
      </c>
      <c r="N136" s="13" t="s">
        <v>159</v>
      </c>
      <c r="O136" s="13" t="s">
        <v>274</v>
      </c>
      <c r="P136" s="13" t="s">
        <v>274</v>
      </c>
      <c r="Q136" s="22">
        <v>2</v>
      </c>
      <c r="R136" s="23">
        <v>471213</v>
      </c>
      <c r="S136" s="21"/>
      <c r="T136" s="21" t="s">
        <v>24</v>
      </c>
      <c r="U136" s="21" t="s">
        <v>25</v>
      </c>
      <c r="V136" s="24" t="s">
        <v>24</v>
      </c>
      <c r="W136" s="24" t="s">
        <v>561</v>
      </c>
      <c r="X136" s="24"/>
      <c r="Y136" s="17" t="s">
        <v>538</v>
      </c>
      <c r="Z136" s="18">
        <f>ROUND(R136*'Data-CostAssumptions'!$C$3,-3)</f>
        <v>652000</v>
      </c>
      <c r="AA136" s="11">
        <f t="shared" si="7"/>
        <v>1</v>
      </c>
      <c r="AB136" s="11">
        <v>2041</v>
      </c>
      <c r="AC136" s="11">
        <v>2041</v>
      </c>
      <c r="AD136" s="11">
        <v>2041</v>
      </c>
      <c r="AE136" s="19">
        <f>ROUND((Z136*'Data-CostAssumptions'!$G$5)*(1+'Data-CostAssumptions'!$G$3)^(AB136-'Data-CostAssumptions'!$G$4),-3)</f>
        <v>368000</v>
      </c>
      <c r="AF136" s="19">
        <f>ROUND((Z136)*(1+'Data-CostAssumptions'!$G$3)^(AD136-'Data-CostAssumptions'!$G$4),-3)</f>
        <v>1672000</v>
      </c>
      <c r="AG136" s="170" t="str">
        <f t="shared" si="8"/>
        <v>No</v>
      </c>
    </row>
    <row r="137" spans="1:33" ht="15" customHeight="1" x14ac:dyDescent="0.2">
      <c r="A137" s="11"/>
      <c r="B137" s="11" t="s">
        <v>1211</v>
      </c>
      <c r="C137" s="13">
        <v>626</v>
      </c>
      <c r="D137" s="13" t="s">
        <v>420</v>
      </c>
      <c r="E137" s="20">
        <v>22</v>
      </c>
      <c r="F137" s="20">
        <v>177</v>
      </c>
      <c r="G137" s="20">
        <v>7</v>
      </c>
      <c r="H137" s="13" t="s">
        <v>2035</v>
      </c>
      <c r="I137" s="13" t="str">
        <f t="shared" si="6"/>
        <v>NE 5th Av (Atlantic Bl to Copans Rd)</v>
      </c>
      <c r="J137" s="13" t="s">
        <v>29</v>
      </c>
      <c r="K137" s="13" t="str">
        <f>VLOOKUP(J137,'Data-ProjectTypes'!A$3:B$13,2,FALSE)</f>
        <v>Program</v>
      </c>
      <c r="L137" s="21" t="s">
        <v>348</v>
      </c>
      <c r="M137" s="13" t="s">
        <v>1809</v>
      </c>
      <c r="N137" s="13" t="s">
        <v>1836</v>
      </c>
      <c r="O137" s="13" t="s">
        <v>275</v>
      </c>
      <c r="P137" s="13" t="s">
        <v>275</v>
      </c>
      <c r="Q137" s="22">
        <v>2</v>
      </c>
      <c r="R137" s="23">
        <v>469467</v>
      </c>
      <c r="S137" s="21"/>
      <c r="T137" s="21"/>
      <c r="U137" s="21"/>
      <c r="V137" s="24"/>
      <c r="W137" s="24"/>
      <c r="X137" s="28"/>
      <c r="Y137" s="17"/>
      <c r="Z137" s="18">
        <f>ROUND(R137*'Data-CostAssumptions'!$C$3,-3)</f>
        <v>650000</v>
      </c>
      <c r="AA137" s="11">
        <f t="shared" si="7"/>
        <v>0</v>
      </c>
      <c r="AB137" s="11">
        <v>2041</v>
      </c>
      <c r="AC137" s="11">
        <v>2041</v>
      </c>
      <c r="AD137" s="11">
        <v>2041</v>
      </c>
      <c r="AE137" s="19">
        <f>ROUND((Z137*'Data-CostAssumptions'!$G$5)*(1+'Data-CostAssumptions'!$G$3)^(AB137-'Data-CostAssumptions'!$G$4),-3)</f>
        <v>367000</v>
      </c>
      <c r="AF137" s="19">
        <f>ROUND((Z137)*(1+'Data-CostAssumptions'!$G$3)^(AD137-'Data-CostAssumptions'!$G$4),-3)</f>
        <v>1667000</v>
      </c>
      <c r="AG137" s="170" t="str">
        <f t="shared" si="8"/>
        <v>No</v>
      </c>
    </row>
    <row r="138" spans="1:33" ht="15" customHeight="1" x14ac:dyDescent="0.2">
      <c r="A138" s="11"/>
      <c r="B138" s="11" t="s">
        <v>1211</v>
      </c>
      <c r="C138" s="13">
        <v>640</v>
      </c>
      <c r="D138" s="13" t="s">
        <v>420</v>
      </c>
      <c r="E138" s="20">
        <v>161</v>
      </c>
      <c r="F138" s="20">
        <v>177</v>
      </c>
      <c r="G138" s="20">
        <v>21</v>
      </c>
      <c r="H138" s="13" t="s">
        <v>2078</v>
      </c>
      <c r="I138" s="13" t="str">
        <f t="shared" si="6"/>
        <v>NW 70th Av (Broward Bl to Sunrise Bl)</v>
      </c>
      <c r="J138" s="13" t="s">
        <v>29</v>
      </c>
      <c r="K138" s="13" t="str">
        <f>VLOOKUP(J138,'Data-ProjectTypes'!A$3:B$13,2,FALSE)</f>
        <v>Program</v>
      </c>
      <c r="L138" s="21" t="s">
        <v>348</v>
      </c>
      <c r="M138" s="13" t="s">
        <v>1811</v>
      </c>
      <c r="N138" s="13" t="s">
        <v>1830</v>
      </c>
      <c r="O138" s="13" t="s">
        <v>284</v>
      </c>
      <c r="P138" s="13" t="s">
        <v>284</v>
      </c>
      <c r="Q138" s="22">
        <v>2</v>
      </c>
      <c r="R138" s="23">
        <v>468166</v>
      </c>
      <c r="S138" s="21" t="s">
        <v>24</v>
      </c>
      <c r="T138" s="21"/>
      <c r="U138" s="21"/>
      <c r="V138" s="24"/>
      <c r="W138" s="24"/>
      <c r="X138" s="24"/>
      <c r="Y138" s="17" t="s">
        <v>538</v>
      </c>
      <c r="Z138" s="18">
        <f>ROUND(R138*'Data-CostAssumptions'!$C$3,-3)</f>
        <v>648000</v>
      </c>
      <c r="AA138" s="11">
        <f t="shared" si="7"/>
        <v>0</v>
      </c>
      <c r="AB138" s="11">
        <v>2041</v>
      </c>
      <c r="AC138" s="11">
        <v>2041</v>
      </c>
      <c r="AD138" s="11">
        <v>2041</v>
      </c>
      <c r="AE138" s="19">
        <f>ROUND((Z138*'Data-CostAssumptions'!$G$5)*(1+'Data-CostAssumptions'!$G$3)^(AB138-'Data-CostAssumptions'!$G$4),-3)</f>
        <v>366000</v>
      </c>
      <c r="AF138" s="19">
        <f>ROUND((Z138)*(1+'Data-CostAssumptions'!$G$3)^(AD138-'Data-CostAssumptions'!$G$4),-3)</f>
        <v>1661000</v>
      </c>
      <c r="AG138" s="170" t="str">
        <f t="shared" si="8"/>
        <v>No</v>
      </c>
    </row>
    <row r="139" spans="1:33" ht="15" customHeight="1" x14ac:dyDescent="0.2">
      <c r="A139" s="11"/>
      <c r="B139" s="11" t="s">
        <v>1211</v>
      </c>
      <c r="C139" s="13">
        <v>700</v>
      </c>
      <c r="D139" s="13" t="s">
        <v>420</v>
      </c>
      <c r="E139" s="20">
        <v>118</v>
      </c>
      <c r="F139" s="20">
        <v>181</v>
      </c>
      <c r="G139" s="20">
        <v>78</v>
      </c>
      <c r="H139" s="13" t="s">
        <v>45</v>
      </c>
      <c r="I139" s="13" t="str">
        <f t="shared" si="6"/>
        <v>SR 84 (I-95 to State Rd 7)</v>
      </c>
      <c r="J139" s="13" t="s">
        <v>29</v>
      </c>
      <c r="K139" s="13" t="str">
        <f>VLOOKUP(J139,'Data-ProjectTypes'!A$3:B$13,2,FALSE)</f>
        <v>Program</v>
      </c>
      <c r="L139" s="21" t="s">
        <v>348</v>
      </c>
      <c r="M139" s="13" t="s">
        <v>41</v>
      </c>
      <c r="N139" s="13" t="s">
        <v>1772</v>
      </c>
      <c r="O139" s="13" t="s">
        <v>270</v>
      </c>
      <c r="P139" s="13" t="s">
        <v>270</v>
      </c>
      <c r="Q139" s="22">
        <v>2</v>
      </c>
      <c r="R139" s="23">
        <v>467525</v>
      </c>
      <c r="S139" s="12" t="s">
        <v>24</v>
      </c>
      <c r="T139" s="21" t="s">
        <v>25</v>
      </c>
      <c r="U139" s="21" t="s">
        <v>24</v>
      </c>
      <c r="V139" s="24" t="s">
        <v>561</v>
      </c>
      <c r="W139" s="24"/>
      <c r="X139" s="24"/>
      <c r="Y139" s="17" t="s">
        <v>538</v>
      </c>
      <c r="Z139" s="18">
        <f>ROUND(R139*'Data-CostAssumptions'!$C$3,-3)</f>
        <v>647000</v>
      </c>
      <c r="AA139" s="11">
        <f t="shared" si="7"/>
        <v>1</v>
      </c>
      <c r="AB139" s="11">
        <v>2041</v>
      </c>
      <c r="AC139" s="11">
        <v>2041</v>
      </c>
      <c r="AD139" s="11">
        <v>2041</v>
      </c>
      <c r="AE139" s="19">
        <f>ROUND((Z139*'Data-CostAssumptions'!$G$5)*(1+'Data-CostAssumptions'!$G$3)^(AB139-'Data-CostAssumptions'!$G$4),-3)</f>
        <v>365000</v>
      </c>
      <c r="AF139" s="19">
        <f>ROUND((Z139)*(1+'Data-CostAssumptions'!$G$3)^(AD139-'Data-CostAssumptions'!$G$4),-3)</f>
        <v>1659000</v>
      </c>
      <c r="AG139" s="170" t="str">
        <f t="shared" si="8"/>
        <v>No</v>
      </c>
    </row>
    <row r="140" spans="1:33" ht="15" customHeight="1" x14ac:dyDescent="0.2">
      <c r="A140" s="11"/>
      <c r="B140" s="11" t="s">
        <v>1211</v>
      </c>
      <c r="C140" s="13">
        <v>809</v>
      </c>
      <c r="D140" s="13" t="s">
        <v>420</v>
      </c>
      <c r="E140" s="20">
        <v>170</v>
      </c>
      <c r="F140" s="20">
        <v>187</v>
      </c>
      <c r="G140" s="20">
        <v>185</v>
      </c>
      <c r="H140" s="13" t="s">
        <v>1812</v>
      </c>
      <c r="I140" s="13" t="str">
        <f t="shared" si="6"/>
        <v>Cleary Bl (NW 80th Way to Nob Hill Rd)</v>
      </c>
      <c r="J140" s="13" t="s">
        <v>29</v>
      </c>
      <c r="K140" s="13" t="str">
        <f>VLOOKUP(J140,'Data-ProjectTypes'!A$3:B$13,2,FALSE)</f>
        <v>Program</v>
      </c>
      <c r="L140" s="21" t="s">
        <v>348</v>
      </c>
      <c r="M140" s="13" t="s">
        <v>127</v>
      </c>
      <c r="N140" s="13" t="s">
        <v>1755</v>
      </c>
      <c r="O140" s="13" t="s">
        <v>284</v>
      </c>
      <c r="P140" s="13" t="s">
        <v>284</v>
      </c>
      <c r="Q140" s="22">
        <v>2</v>
      </c>
      <c r="R140" s="23">
        <v>467155</v>
      </c>
      <c r="S140" s="21" t="s">
        <v>24</v>
      </c>
      <c r="T140" s="21" t="s">
        <v>684</v>
      </c>
      <c r="U140" s="21" t="s">
        <v>684</v>
      </c>
      <c r="V140" s="24"/>
      <c r="W140" s="24"/>
      <c r="X140" s="24"/>
      <c r="Y140" s="17" t="s">
        <v>685</v>
      </c>
      <c r="Z140" s="18">
        <f>ROUND(R140*'Data-CostAssumptions'!$C$3,-3)</f>
        <v>647000</v>
      </c>
      <c r="AA140" s="11">
        <f t="shared" si="7"/>
        <v>0</v>
      </c>
      <c r="AB140" s="11">
        <v>2041</v>
      </c>
      <c r="AC140" s="11">
        <v>2041</v>
      </c>
      <c r="AD140" s="11">
        <v>2041</v>
      </c>
      <c r="AE140" s="19">
        <f>ROUND((Z140*'Data-CostAssumptions'!$G$5)*(1+'Data-CostAssumptions'!$G$3)^(AB140-'Data-CostAssumptions'!$G$4),-3)</f>
        <v>365000</v>
      </c>
      <c r="AF140" s="19">
        <f>ROUND((Z140)*(1+'Data-CostAssumptions'!$G$3)^(AD140-'Data-CostAssumptions'!$G$4),-3)</f>
        <v>1659000</v>
      </c>
      <c r="AG140" s="170" t="str">
        <f t="shared" si="8"/>
        <v>No</v>
      </c>
    </row>
    <row r="141" spans="1:33" ht="15" customHeight="1" x14ac:dyDescent="0.2">
      <c r="A141" s="11"/>
      <c r="B141" s="11" t="s">
        <v>1211</v>
      </c>
      <c r="C141" s="13">
        <v>824</v>
      </c>
      <c r="D141" s="13" t="s">
        <v>420</v>
      </c>
      <c r="E141" s="20">
        <v>249</v>
      </c>
      <c r="F141" s="20">
        <v>188</v>
      </c>
      <c r="G141" s="20">
        <v>200</v>
      </c>
      <c r="H141" s="13" t="s">
        <v>1832</v>
      </c>
      <c r="I141" s="13" t="str">
        <f t="shared" si="6"/>
        <v>Baily Rd (State Rd 7/US 441 to SW 81st Av)</v>
      </c>
      <c r="J141" s="13" t="s">
        <v>29</v>
      </c>
      <c r="K141" s="13" t="str">
        <f>VLOOKUP(J141,'Data-ProjectTypes'!A$3:B$13,2,FALSE)</f>
        <v>Program</v>
      </c>
      <c r="L141" s="21" t="s">
        <v>348</v>
      </c>
      <c r="M141" s="13" t="s">
        <v>1773</v>
      </c>
      <c r="N141" s="13" t="s">
        <v>2134</v>
      </c>
      <c r="O141" s="13" t="s">
        <v>272</v>
      </c>
      <c r="P141" s="13" t="s">
        <v>272</v>
      </c>
      <c r="Q141" s="22">
        <v>2</v>
      </c>
      <c r="R141" s="23">
        <v>465971</v>
      </c>
      <c r="S141" s="21"/>
      <c r="T141" s="21"/>
      <c r="U141" s="21"/>
      <c r="V141" s="24"/>
      <c r="W141" s="24"/>
      <c r="X141" s="24"/>
      <c r="Y141" s="17"/>
      <c r="Z141" s="18">
        <f>ROUND(R141*'Data-CostAssumptions'!$C$3,-3)</f>
        <v>645000</v>
      </c>
      <c r="AA141" s="11">
        <f t="shared" si="7"/>
        <v>0</v>
      </c>
      <c r="AB141" s="11">
        <v>2041</v>
      </c>
      <c r="AC141" s="11">
        <v>2041</v>
      </c>
      <c r="AD141" s="11">
        <v>2041</v>
      </c>
      <c r="AE141" s="19">
        <f>ROUND((Z141*'Data-CostAssumptions'!$G$5)*(1+'Data-CostAssumptions'!$G$3)^(AB141-'Data-CostAssumptions'!$G$4),-3)</f>
        <v>364000</v>
      </c>
      <c r="AF141" s="19">
        <f>ROUND((Z141)*(1+'Data-CostAssumptions'!$G$3)^(AD141-'Data-CostAssumptions'!$G$4),-3)</f>
        <v>1654000</v>
      </c>
      <c r="AG141" s="170" t="str">
        <f t="shared" si="8"/>
        <v>No</v>
      </c>
    </row>
    <row r="142" spans="1:33" ht="15" customHeight="1" x14ac:dyDescent="0.2">
      <c r="A142" s="11"/>
      <c r="B142" s="11" t="s">
        <v>1211</v>
      </c>
      <c r="C142" s="13">
        <v>873</v>
      </c>
      <c r="D142" s="13" t="s">
        <v>420</v>
      </c>
      <c r="E142" s="20">
        <v>246</v>
      </c>
      <c r="F142" s="20">
        <v>191</v>
      </c>
      <c r="G142" s="20">
        <v>250</v>
      </c>
      <c r="H142" s="13" t="s">
        <v>1829</v>
      </c>
      <c r="I142" s="13" t="str">
        <f t="shared" si="6"/>
        <v>Southgate Bl (State Rd 7/US 441 to SW 81st Av)</v>
      </c>
      <c r="J142" s="13" t="s">
        <v>29</v>
      </c>
      <c r="K142" s="13" t="str">
        <f>VLOOKUP(J142,'Data-ProjectTypes'!A$3:B$13,2,FALSE)</f>
        <v>Program</v>
      </c>
      <c r="L142" s="21" t="s">
        <v>348</v>
      </c>
      <c r="M142" s="13" t="s">
        <v>1773</v>
      </c>
      <c r="N142" s="13" t="s">
        <v>2134</v>
      </c>
      <c r="O142" s="13" t="s">
        <v>272</v>
      </c>
      <c r="P142" s="13" t="s">
        <v>272</v>
      </c>
      <c r="Q142" s="22">
        <v>2</v>
      </c>
      <c r="R142" s="23">
        <v>465862</v>
      </c>
      <c r="S142" s="21"/>
      <c r="T142" s="21"/>
      <c r="U142" s="21"/>
      <c r="V142" s="24"/>
      <c r="W142" s="24"/>
      <c r="X142" s="24"/>
      <c r="Y142" s="17"/>
      <c r="Z142" s="18">
        <f>ROUND(R142*'Data-CostAssumptions'!$C$3,-3)</f>
        <v>645000</v>
      </c>
      <c r="AA142" s="11">
        <f t="shared" si="7"/>
        <v>0</v>
      </c>
      <c r="AB142" s="11">
        <v>2041</v>
      </c>
      <c r="AC142" s="11">
        <v>2041</v>
      </c>
      <c r="AD142" s="11">
        <v>2041</v>
      </c>
      <c r="AE142" s="19">
        <f>ROUND((Z142*'Data-CostAssumptions'!$G$5)*(1+'Data-CostAssumptions'!$G$3)^(AB142-'Data-CostAssumptions'!$G$4),-3)</f>
        <v>364000</v>
      </c>
      <c r="AF142" s="19">
        <f>ROUND((Z142)*(1+'Data-CostAssumptions'!$G$3)^(AD142-'Data-CostAssumptions'!$G$4),-3)</f>
        <v>1654000</v>
      </c>
      <c r="AG142" s="170" t="str">
        <f t="shared" si="8"/>
        <v>No</v>
      </c>
    </row>
    <row r="143" spans="1:33" ht="15" customHeight="1" x14ac:dyDescent="0.2">
      <c r="A143" s="11"/>
      <c r="B143" s="11" t="s">
        <v>1211</v>
      </c>
      <c r="C143" s="13">
        <v>948</v>
      </c>
      <c r="D143" s="13" t="s">
        <v>420</v>
      </c>
      <c r="E143" s="20">
        <v>311</v>
      </c>
      <c r="F143" s="20">
        <v>195</v>
      </c>
      <c r="G143" s="20">
        <v>323</v>
      </c>
      <c r="H143" s="13" t="s">
        <v>236</v>
      </c>
      <c r="I143" s="13" t="str">
        <f t="shared" si="6"/>
        <v>NW 48th ST/ NW 49th Court (Military Trail to West end of NW 48th ST)</v>
      </c>
      <c r="J143" s="13" t="s">
        <v>29</v>
      </c>
      <c r="K143" s="13" t="str">
        <f>VLOOKUP(J143,'Data-ProjectTypes'!A$3:B$13,2,FALSE)</f>
        <v>Program</v>
      </c>
      <c r="L143" s="21" t="s">
        <v>348</v>
      </c>
      <c r="M143" s="13" t="s">
        <v>113</v>
      </c>
      <c r="N143" s="13" t="s">
        <v>235</v>
      </c>
      <c r="O143" s="13" t="s">
        <v>273</v>
      </c>
      <c r="P143" s="13" t="s">
        <v>273</v>
      </c>
      <c r="Q143" s="22">
        <v>2</v>
      </c>
      <c r="R143" s="23">
        <v>465790</v>
      </c>
      <c r="S143" s="21" t="s">
        <v>24</v>
      </c>
      <c r="T143" s="21"/>
      <c r="U143" s="21"/>
      <c r="V143" s="24"/>
      <c r="W143" s="24" t="s">
        <v>586</v>
      </c>
      <c r="X143" s="24"/>
      <c r="Y143" s="17" t="s">
        <v>538</v>
      </c>
      <c r="Z143" s="18">
        <f>ROUND(R143*'Data-CostAssumptions'!$C$3,-3)</f>
        <v>645000</v>
      </c>
      <c r="AA143" s="11">
        <f t="shared" si="7"/>
        <v>1</v>
      </c>
      <c r="AB143" s="11">
        <v>2041</v>
      </c>
      <c r="AC143" s="11">
        <v>2041</v>
      </c>
      <c r="AD143" s="11">
        <v>2041</v>
      </c>
      <c r="AE143" s="19">
        <f>ROUND((Z143*'Data-CostAssumptions'!$G$5)*(1+'Data-CostAssumptions'!$G$3)^(AB143-'Data-CostAssumptions'!$G$4),-3)</f>
        <v>364000</v>
      </c>
      <c r="AF143" s="19">
        <f>ROUND((Z143)*(1+'Data-CostAssumptions'!$G$3)^(AD143-'Data-CostAssumptions'!$G$4),-3)</f>
        <v>1654000</v>
      </c>
      <c r="AG143" s="170" t="str">
        <f t="shared" si="8"/>
        <v>No</v>
      </c>
    </row>
    <row r="144" spans="1:33" ht="15" customHeight="1" x14ac:dyDescent="0.2">
      <c r="A144" s="11"/>
      <c r="B144" s="11" t="s">
        <v>1211</v>
      </c>
      <c r="C144" s="13">
        <v>704</v>
      </c>
      <c r="D144" s="13" t="s">
        <v>420</v>
      </c>
      <c r="E144" s="20">
        <v>151</v>
      </c>
      <c r="F144" s="20">
        <v>181</v>
      </c>
      <c r="G144" s="20">
        <v>82</v>
      </c>
      <c r="H144" s="13" t="s">
        <v>1911</v>
      </c>
      <c r="I144" s="13" t="str">
        <f t="shared" si="6"/>
        <v>NW 19th St (NW 21st Av/NW 23rd Av to State Rd 7)</v>
      </c>
      <c r="J144" s="13" t="s">
        <v>29</v>
      </c>
      <c r="K144" s="13" t="str">
        <f>VLOOKUP(J144,'Data-ProjectTypes'!A$3:B$13,2,FALSE)</f>
        <v>Program</v>
      </c>
      <c r="L144" s="21" t="s">
        <v>348</v>
      </c>
      <c r="M144" s="13" t="s">
        <v>2058</v>
      </c>
      <c r="N144" s="13" t="s">
        <v>1772</v>
      </c>
      <c r="O144" s="13" t="s">
        <v>273</v>
      </c>
      <c r="P144" s="13" t="s">
        <v>273</v>
      </c>
      <c r="Q144" s="22">
        <v>2</v>
      </c>
      <c r="R144" s="23">
        <v>464863</v>
      </c>
      <c r="S144" s="21"/>
      <c r="T144" s="21"/>
      <c r="U144" s="21"/>
      <c r="V144" s="24"/>
      <c r="W144" s="24"/>
      <c r="X144" s="24"/>
      <c r="Y144" s="17"/>
      <c r="Z144" s="18">
        <f>ROUND(R144*'Data-CostAssumptions'!$C$3,-3)</f>
        <v>643000</v>
      </c>
      <c r="AA144" s="11">
        <f t="shared" si="7"/>
        <v>0</v>
      </c>
      <c r="AB144" s="11">
        <v>2041</v>
      </c>
      <c r="AC144" s="11">
        <v>2041</v>
      </c>
      <c r="AD144" s="11">
        <v>2041</v>
      </c>
      <c r="AE144" s="19">
        <f>ROUND((Z144*'Data-CostAssumptions'!$G$5)*(1+'Data-CostAssumptions'!$G$3)^(AB144-'Data-CostAssumptions'!$G$4),-3)</f>
        <v>363000</v>
      </c>
      <c r="AF144" s="19">
        <f>ROUND((Z144)*(1+'Data-CostAssumptions'!$G$3)^(AD144-'Data-CostAssumptions'!$G$4),-3)</f>
        <v>1649000</v>
      </c>
      <c r="AG144" s="170" t="str">
        <f t="shared" si="8"/>
        <v>No</v>
      </c>
    </row>
    <row r="145" spans="1:33" ht="15" customHeight="1" x14ac:dyDescent="0.2">
      <c r="A145" s="11"/>
      <c r="B145" s="11" t="s">
        <v>1211</v>
      </c>
      <c r="C145" s="13">
        <v>807</v>
      </c>
      <c r="D145" s="13" t="s">
        <v>420</v>
      </c>
      <c r="E145" s="20">
        <v>150</v>
      </c>
      <c r="F145" s="20">
        <v>187</v>
      </c>
      <c r="G145" s="20">
        <v>183</v>
      </c>
      <c r="H145" s="13" t="s">
        <v>2710</v>
      </c>
      <c r="I145" s="13" t="str">
        <f t="shared" si="6"/>
        <v>SR 816/Oakland Park Bl (NE 21st Av to State Rd 7)</v>
      </c>
      <c r="J145" s="13" t="s">
        <v>29</v>
      </c>
      <c r="K145" s="13" t="str">
        <f>VLOOKUP(J145,'Data-ProjectTypes'!A$3:B$13,2,FALSE)</f>
        <v>Program</v>
      </c>
      <c r="L145" s="21" t="s">
        <v>348</v>
      </c>
      <c r="M145" s="13" t="s">
        <v>2369</v>
      </c>
      <c r="N145" s="13" t="s">
        <v>1772</v>
      </c>
      <c r="O145" s="13" t="s">
        <v>270</v>
      </c>
      <c r="P145" s="13" t="s">
        <v>270</v>
      </c>
      <c r="Q145" s="22">
        <v>2</v>
      </c>
      <c r="R145" s="23">
        <v>464632</v>
      </c>
      <c r="S145" s="21"/>
      <c r="T145" s="21"/>
      <c r="U145" s="21"/>
      <c r="V145" s="24"/>
      <c r="W145" s="24"/>
      <c r="X145" s="24"/>
      <c r="Y145" s="17"/>
      <c r="Z145" s="18">
        <f>ROUND(R145*'Data-CostAssumptions'!$C$3,-3)</f>
        <v>643000</v>
      </c>
      <c r="AA145" s="11">
        <f t="shared" si="7"/>
        <v>0</v>
      </c>
      <c r="AB145" s="11">
        <v>2041</v>
      </c>
      <c r="AC145" s="11">
        <v>2041</v>
      </c>
      <c r="AD145" s="11">
        <v>2041</v>
      </c>
      <c r="AE145" s="19">
        <f>ROUND((Z145*'Data-CostAssumptions'!$G$5)*(1+'Data-CostAssumptions'!$G$3)^(AB145-'Data-CostAssumptions'!$G$4),-3)</f>
        <v>363000</v>
      </c>
      <c r="AF145" s="19">
        <f>ROUND((Z145)*(1+'Data-CostAssumptions'!$G$3)^(AD145-'Data-CostAssumptions'!$G$4),-3)</f>
        <v>1649000</v>
      </c>
      <c r="AG145" s="170" t="str">
        <f t="shared" si="8"/>
        <v>No</v>
      </c>
    </row>
    <row r="146" spans="1:33" ht="15" customHeight="1" x14ac:dyDescent="0.2">
      <c r="A146" s="11"/>
      <c r="B146" s="11" t="s">
        <v>1211</v>
      </c>
      <c r="C146" s="13">
        <v>953</v>
      </c>
      <c r="D146" s="13" t="s">
        <v>420</v>
      </c>
      <c r="E146" s="20">
        <v>257</v>
      </c>
      <c r="F146" s="20">
        <v>195</v>
      </c>
      <c r="G146" s="20">
        <v>328</v>
      </c>
      <c r="H146" s="13" t="s">
        <v>266</v>
      </c>
      <c r="I146" s="13" t="str">
        <f t="shared" si="6"/>
        <v>Pine Island Rd (NW 44th St to McNab Rd)</v>
      </c>
      <c r="J146" s="13" t="s">
        <v>29</v>
      </c>
      <c r="K146" s="13" t="str">
        <f>VLOOKUP(J146,'Data-ProjectTypes'!A$3:B$13,2,FALSE)</f>
        <v>Program</v>
      </c>
      <c r="L146" s="21" t="s">
        <v>348</v>
      </c>
      <c r="M146" s="13" t="s">
        <v>1189</v>
      </c>
      <c r="N146" s="13" t="s">
        <v>1854</v>
      </c>
      <c r="O146" s="13" t="s">
        <v>273</v>
      </c>
      <c r="P146" s="13" t="s">
        <v>273</v>
      </c>
      <c r="Q146" s="22">
        <v>2</v>
      </c>
      <c r="R146" s="23">
        <v>464753</v>
      </c>
      <c r="S146" s="21"/>
      <c r="T146" s="21"/>
      <c r="U146" s="21"/>
      <c r="V146" s="24"/>
      <c r="W146" s="24"/>
      <c r="X146" s="24"/>
      <c r="Y146" s="17"/>
      <c r="Z146" s="18">
        <f>ROUND(R146*'Data-CostAssumptions'!$C$3,-3)</f>
        <v>643000</v>
      </c>
      <c r="AA146" s="11">
        <f t="shared" si="7"/>
        <v>0</v>
      </c>
      <c r="AB146" s="11">
        <v>2041</v>
      </c>
      <c r="AC146" s="11">
        <v>2041</v>
      </c>
      <c r="AD146" s="11">
        <v>2041</v>
      </c>
      <c r="AE146" s="19">
        <f>ROUND((Z146*'Data-CostAssumptions'!$G$5)*(1+'Data-CostAssumptions'!$G$3)^(AB146-'Data-CostAssumptions'!$G$4),-3)</f>
        <v>363000</v>
      </c>
      <c r="AF146" s="19">
        <f>ROUND((Z146)*(1+'Data-CostAssumptions'!$G$3)^(AD146-'Data-CostAssumptions'!$G$4),-3)</f>
        <v>1649000</v>
      </c>
      <c r="AG146" s="170" t="str">
        <f t="shared" si="8"/>
        <v>No</v>
      </c>
    </row>
    <row r="147" spans="1:33" ht="15" customHeight="1" x14ac:dyDescent="0.2">
      <c r="A147" s="11"/>
      <c r="B147" s="11" t="s">
        <v>1211</v>
      </c>
      <c r="C147" s="13">
        <v>735</v>
      </c>
      <c r="D147" s="13" t="s">
        <v>420</v>
      </c>
      <c r="E147" s="20">
        <v>7</v>
      </c>
      <c r="F147" s="20">
        <v>183</v>
      </c>
      <c r="G147" s="20">
        <v>113</v>
      </c>
      <c r="H147" s="13" t="s">
        <v>1780</v>
      </c>
      <c r="I147" s="13" t="str">
        <f t="shared" si="6"/>
        <v>Wiles Rd (University Dr to Coral Ridge Dr)</v>
      </c>
      <c r="J147" s="13" t="s">
        <v>29</v>
      </c>
      <c r="K147" s="13" t="str">
        <f>VLOOKUP(J147,'Data-ProjectTypes'!A$3:B$13,2,FALSE)</f>
        <v>Program</v>
      </c>
      <c r="L147" s="21" t="s">
        <v>348</v>
      </c>
      <c r="M147" s="13" t="s">
        <v>1804</v>
      </c>
      <c r="N147" s="13" t="s">
        <v>1786</v>
      </c>
      <c r="O147" s="13" t="s">
        <v>273</v>
      </c>
      <c r="P147" s="13" t="s">
        <v>273</v>
      </c>
      <c r="Q147" s="22">
        <v>2</v>
      </c>
      <c r="R147" s="23">
        <v>463949</v>
      </c>
      <c r="S147" s="21"/>
      <c r="T147" s="21"/>
      <c r="U147" s="21"/>
      <c r="V147" s="24"/>
      <c r="W147" s="24"/>
      <c r="X147" s="24"/>
      <c r="Y147" s="17"/>
      <c r="Z147" s="18">
        <f>ROUND(R147*'Data-CostAssumptions'!$C$3,-3)</f>
        <v>642000</v>
      </c>
      <c r="AA147" s="11">
        <f t="shared" si="7"/>
        <v>0</v>
      </c>
      <c r="AB147" s="11">
        <v>2041</v>
      </c>
      <c r="AC147" s="11">
        <v>2041</v>
      </c>
      <c r="AD147" s="11">
        <v>2041</v>
      </c>
      <c r="AE147" s="19">
        <f>ROUND((Z147*'Data-CostAssumptions'!$G$5)*(1+'Data-CostAssumptions'!$G$3)^(AB147-'Data-CostAssumptions'!$G$4),-3)</f>
        <v>362000</v>
      </c>
      <c r="AF147" s="19">
        <f>ROUND((Z147)*(1+'Data-CostAssumptions'!$G$3)^(AD147-'Data-CostAssumptions'!$G$4),-3)</f>
        <v>1646000</v>
      </c>
      <c r="AG147" s="170" t="str">
        <f t="shared" si="8"/>
        <v>No</v>
      </c>
    </row>
    <row r="148" spans="1:33" ht="15" customHeight="1" x14ac:dyDescent="0.2">
      <c r="A148" s="11"/>
      <c r="B148" s="11" t="s">
        <v>1211</v>
      </c>
      <c r="C148" s="13">
        <v>667</v>
      </c>
      <c r="D148" s="13" t="s">
        <v>420</v>
      </c>
      <c r="E148" s="20">
        <v>147</v>
      </c>
      <c r="F148" s="20">
        <v>179</v>
      </c>
      <c r="G148" s="20">
        <v>48</v>
      </c>
      <c r="H148" s="13" t="s">
        <v>2062</v>
      </c>
      <c r="I148" s="13" t="str">
        <f t="shared" si="6"/>
        <v>NW 31st Av (Sunrise Bl to Oakland Park Bl)</v>
      </c>
      <c r="J148" s="13" t="s">
        <v>29</v>
      </c>
      <c r="K148" s="13" t="str">
        <f>VLOOKUP(J148,'Data-ProjectTypes'!A$3:B$13,2,FALSE)</f>
        <v>Program</v>
      </c>
      <c r="L148" s="21" t="s">
        <v>348</v>
      </c>
      <c r="M148" s="13" t="s">
        <v>1830</v>
      </c>
      <c r="N148" s="13" t="s">
        <v>1825</v>
      </c>
      <c r="O148" s="13" t="s">
        <v>273</v>
      </c>
      <c r="P148" s="13" t="s">
        <v>273</v>
      </c>
      <c r="Q148" s="22">
        <v>2</v>
      </c>
      <c r="R148" s="23">
        <v>463296</v>
      </c>
      <c r="S148" s="21"/>
      <c r="T148" s="21"/>
      <c r="U148" s="21"/>
      <c r="V148" s="24"/>
      <c r="W148" s="24" t="s">
        <v>675</v>
      </c>
      <c r="X148" s="24"/>
      <c r="Y148" s="17" t="s">
        <v>673</v>
      </c>
      <c r="Z148" s="18">
        <f>ROUND(R148*'Data-CostAssumptions'!$C$3,-3)</f>
        <v>641000</v>
      </c>
      <c r="AA148" s="11">
        <f t="shared" si="7"/>
        <v>1</v>
      </c>
      <c r="AB148" s="11">
        <v>2041</v>
      </c>
      <c r="AC148" s="11">
        <v>2041</v>
      </c>
      <c r="AD148" s="11">
        <v>2041</v>
      </c>
      <c r="AE148" s="19">
        <f>ROUND((Z148*'Data-CostAssumptions'!$G$5)*(1+'Data-CostAssumptions'!$G$3)^(AB148-'Data-CostAssumptions'!$G$4),-3)</f>
        <v>362000</v>
      </c>
      <c r="AF148" s="19">
        <f>ROUND((Z148)*(1+'Data-CostAssumptions'!$G$3)^(AD148-'Data-CostAssumptions'!$G$4),-3)</f>
        <v>1643000</v>
      </c>
      <c r="AG148" s="170" t="str">
        <f t="shared" si="8"/>
        <v>No</v>
      </c>
    </row>
    <row r="149" spans="1:33" ht="15" customHeight="1" x14ac:dyDescent="0.2">
      <c r="A149" s="11"/>
      <c r="B149" s="11" t="s">
        <v>1211</v>
      </c>
      <c r="C149" s="13">
        <v>818</v>
      </c>
      <c r="D149" s="13" t="s">
        <v>420</v>
      </c>
      <c r="E149" s="20">
        <v>222</v>
      </c>
      <c r="F149" s="20">
        <v>188</v>
      </c>
      <c r="G149" s="20">
        <v>194</v>
      </c>
      <c r="H149" s="13" t="s">
        <v>2792</v>
      </c>
      <c r="I149" s="13" t="str">
        <f t="shared" si="6"/>
        <v>SR 827/Pembroke Rd (Just east of NW 72nd Av to Douglas Rd/Pine Island Rd)</v>
      </c>
      <c r="J149" s="13" t="s">
        <v>29</v>
      </c>
      <c r="K149" s="13" t="str">
        <f>VLOOKUP(J149,'Data-ProjectTypes'!A$3:B$13,2,FALSE)</f>
        <v>Program</v>
      </c>
      <c r="L149" s="21" t="s">
        <v>348</v>
      </c>
      <c r="M149" s="13" t="s">
        <v>2355</v>
      </c>
      <c r="N149" s="13" t="s">
        <v>2424</v>
      </c>
      <c r="O149" s="13" t="s">
        <v>270</v>
      </c>
      <c r="P149" s="13" t="s">
        <v>270</v>
      </c>
      <c r="Q149" s="22">
        <v>2</v>
      </c>
      <c r="R149" s="23">
        <v>462825</v>
      </c>
      <c r="S149" s="21" t="s">
        <v>24</v>
      </c>
      <c r="T149" s="21" t="s">
        <v>24</v>
      </c>
      <c r="U149" s="21"/>
      <c r="V149" s="24"/>
      <c r="W149" s="24"/>
      <c r="X149" s="24"/>
      <c r="Y149" s="17" t="s">
        <v>492</v>
      </c>
      <c r="Z149" s="18">
        <f>ROUND(R149*'Data-CostAssumptions'!$C$3,-3)</f>
        <v>641000</v>
      </c>
      <c r="AA149" s="11">
        <f t="shared" si="7"/>
        <v>0</v>
      </c>
      <c r="AB149" s="11">
        <v>2041</v>
      </c>
      <c r="AC149" s="11">
        <v>2041</v>
      </c>
      <c r="AD149" s="11">
        <v>2041</v>
      </c>
      <c r="AE149" s="19">
        <f>ROUND((Z149*'Data-CostAssumptions'!$G$5)*(1+'Data-CostAssumptions'!$G$3)^(AB149-'Data-CostAssumptions'!$G$4),-3)</f>
        <v>362000</v>
      </c>
      <c r="AF149" s="19">
        <f>ROUND((Z149)*(1+'Data-CostAssumptions'!$G$3)^(AD149-'Data-CostAssumptions'!$G$4),-3)</f>
        <v>1643000</v>
      </c>
      <c r="AG149" s="170" t="str">
        <f t="shared" si="8"/>
        <v>No</v>
      </c>
    </row>
    <row r="150" spans="1:33" ht="15" customHeight="1" x14ac:dyDescent="0.2">
      <c r="A150" s="11"/>
      <c r="B150" s="11" t="s">
        <v>1211</v>
      </c>
      <c r="C150" s="13">
        <v>680</v>
      </c>
      <c r="D150" s="13" t="s">
        <v>420</v>
      </c>
      <c r="E150" s="20">
        <v>227</v>
      </c>
      <c r="F150" s="20">
        <v>180</v>
      </c>
      <c r="G150" s="20">
        <v>60</v>
      </c>
      <c r="H150" s="13" t="s">
        <v>1977</v>
      </c>
      <c r="I150" s="13" t="str">
        <f t="shared" si="6"/>
        <v>Miramar Pkwy (Utopia Dr to Palm Av)</v>
      </c>
      <c r="J150" s="13" t="s">
        <v>29</v>
      </c>
      <c r="K150" s="13" t="str">
        <f>VLOOKUP(J150,'Data-ProjectTypes'!A$3:B$13,2,FALSE)</f>
        <v>Program</v>
      </c>
      <c r="L150" s="21" t="s">
        <v>348</v>
      </c>
      <c r="M150" s="13" t="s">
        <v>2657</v>
      </c>
      <c r="N150" s="13" t="s">
        <v>2083</v>
      </c>
      <c r="O150" s="13" t="s">
        <v>274</v>
      </c>
      <c r="P150" s="13" t="s">
        <v>274</v>
      </c>
      <c r="Q150" s="22">
        <v>2</v>
      </c>
      <c r="R150" s="23">
        <v>462681</v>
      </c>
      <c r="S150" s="21"/>
      <c r="T150" s="21"/>
      <c r="U150" s="21"/>
      <c r="V150" s="24"/>
      <c r="W150" s="24"/>
      <c r="X150" s="24"/>
      <c r="Y150" s="17"/>
      <c r="Z150" s="18">
        <f>ROUND(R150*'Data-CostAssumptions'!$C$3,-3)</f>
        <v>640000</v>
      </c>
      <c r="AA150" s="11">
        <f t="shared" si="7"/>
        <v>0</v>
      </c>
      <c r="AB150" s="11">
        <v>2041</v>
      </c>
      <c r="AC150" s="11">
        <v>2041</v>
      </c>
      <c r="AD150" s="11">
        <v>2041</v>
      </c>
      <c r="AE150" s="19">
        <f>ROUND((Z150*'Data-CostAssumptions'!$G$5)*(1+'Data-CostAssumptions'!$G$3)^(AB150-'Data-CostAssumptions'!$G$4),-3)</f>
        <v>361000</v>
      </c>
      <c r="AF150" s="19">
        <f>ROUND((Z150)*(1+'Data-CostAssumptions'!$G$3)^(AD150-'Data-CostAssumptions'!$G$4),-3)</f>
        <v>1641000</v>
      </c>
      <c r="AG150" s="170" t="str">
        <f t="shared" si="8"/>
        <v>No</v>
      </c>
    </row>
    <row r="151" spans="1:33" ht="15" customHeight="1" x14ac:dyDescent="0.2">
      <c r="A151" s="11"/>
      <c r="B151" s="11" t="s">
        <v>1211</v>
      </c>
      <c r="C151" s="13">
        <v>817</v>
      </c>
      <c r="D151" s="13" t="s">
        <v>420</v>
      </c>
      <c r="E151" s="20">
        <v>221</v>
      </c>
      <c r="F151" s="20">
        <v>187</v>
      </c>
      <c r="G151" s="20">
        <v>193</v>
      </c>
      <c r="H151" s="13" t="s">
        <v>1880</v>
      </c>
      <c r="I151" s="13" t="str">
        <f t="shared" si="6"/>
        <v>Johnson St (Just east of NW 72nd Av to Douglas Rd/Pine Island Rd)</v>
      </c>
      <c r="J151" s="13" t="s">
        <v>29</v>
      </c>
      <c r="K151" s="13" t="str">
        <f>VLOOKUP(J151,'Data-ProjectTypes'!A$3:B$13,2,FALSE)</f>
        <v>Program</v>
      </c>
      <c r="L151" s="21" t="s">
        <v>562</v>
      </c>
      <c r="M151" s="13" t="s">
        <v>2355</v>
      </c>
      <c r="N151" s="13" t="s">
        <v>2424</v>
      </c>
      <c r="O151" s="13" t="s">
        <v>272</v>
      </c>
      <c r="P151" s="13" t="s">
        <v>272</v>
      </c>
      <c r="Q151" s="22">
        <v>2</v>
      </c>
      <c r="R151" s="23">
        <v>462103</v>
      </c>
      <c r="S151" s="21" t="s">
        <v>24</v>
      </c>
      <c r="T151" s="21" t="s">
        <v>25</v>
      </c>
      <c r="U151" s="21"/>
      <c r="V151" s="24"/>
      <c r="W151" s="24"/>
      <c r="X151" s="24" t="s">
        <v>502</v>
      </c>
      <c r="Y151" s="17" t="s">
        <v>492</v>
      </c>
      <c r="Z151" s="18">
        <f>ROUND(R151*'Data-CostAssumptions'!$C$3,-3)</f>
        <v>640000</v>
      </c>
      <c r="AA151" s="11">
        <f t="shared" si="7"/>
        <v>0</v>
      </c>
      <c r="AB151" s="11">
        <v>2041</v>
      </c>
      <c r="AC151" s="11">
        <v>2041</v>
      </c>
      <c r="AD151" s="11">
        <v>2041</v>
      </c>
      <c r="AE151" s="19">
        <f>ROUND((Z151*'Data-CostAssumptions'!$G$5)*(1+'Data-CostAssumptions'!$G$3)^(AB151-'Data-CostAssumptions'!$G$4),-3)</f>
        <v>361000</v>
      </c>
      <c r="AF151" s="19">
        <f>ROUND((Z151)*(1+'Data-CostAssumptions'!$G$3)^(AD151-'Data-CostAssumptions'!$G$4),-3)</f>
        <v>1641000</v>
      </c>
      <c r="AG151" s="170" t="str">
        <f t="shared" si="8"/>
        <v>No</v>
      </c>
    </row>
    <row r="152" spans="1:33" ht="15" customHeight="1" x14ac:dyDescent="0.2">
      <c r="A152" s="11"/>
      <c r="B152" s="11" t="s">
        <v>1211</v>
      </c>
      <c r="C152" s="13">
        <v>878</v>
      </c>
      <c r="D152" s="13" t="s">
        <v>420</v>
      </c>
      <c r="E152" s="20">
        <v>290</v>
      </c>
      <c r="F152" s="20">
        <v>191</v>
      </c>
      <c r="G152" s="20">
        <v>255</v>
      </c>
      <c r="H152" s="13" t="s">
        <v>2111</v>
      </c>
      <c r="I152" s="13" t="str">
        <f t="shared" si="6"/>
        <v>SW 184th Av (Miramar Parkway to Pines Bl)</v>
      </c>
      <c r="J152" s="13" t="s">
        <v>29</v>
      </c>
      <c r="K152" s="13" t="str">
        <f>VLOOKUP(J152,'Data-ProjectTypes'!A$3:B$13,2,FALSE)</f>
        <v>Program</v>
      </c>
      <c r="L152" s="21" t="s">
        <v>348</v>
      </c>
      <c r="M152" s="13" t="s">
        <v>39</v>
      </c>
      <c r="N152" s="13" t="s">
        <v>1826</v>
      </c>
      <c r="O152" s="13" t="s">
        <v>272</v>
      </c>
      <c r="P152" s="13" t="s">
        <v>272</v>
      </c>
      <c r="Q152" s="22">
        <v>2</v>
      </c>
      <c r="R152" s="23">
        <v>462328</v>
      </c>
      <c r="S152" s="21" t="s">
        <v>24</v>
      </c>
      <c r="T152" s="21" t="s">
        <v>24</v>
      </c>
      <c r="U152" s="21"/>
      <c r="V152" s="24"/>
      <c r="W152" s="24"/>
      <c r="X152" s="28"/>
      <c r="Y152" s="17" t="s">
        <v>469</v>
      </c>
      <c r="Z152" s="18">
        <f>ROUND(R152*'Data-CostAssumptions'!$C$3,-3)</f>
        <v>640000</v>
      </c>
      <c r="AA152" s="11">
        <f t="shared" si="7"/>
        <v>0</v>
      </c>
      <c r="AB152" s="11">
        <v>2041</v>
      </c>
      <c r="AC152" s="11">
        <v>2041</v>
      </c>
      <c r="AD152" s="11">
        <v>2041</v>
      </c>
      <c r="AE152" s="19">
        <f>ROUND((Z152*'Data-CostAssumptions'!$G$5)*(1+'Data-CostAssumptions'!$G$3)^(AB152-'Data-CostAssumptions'!$G$4),-3)</f>
        <v>361000</v>
      </c>
      <c r="AF152" s="19">
        <f>ROUND((Z152)*(1+'Data-CostAssumptions'!$G$3)^(AD152-'Data-CostAssumptions'!$G$4),-3)</f>
        <v>1641000</v>
      </c>
      <c r="AG152" s="170" t="str">
        <f t="shared" si="8"/>
        <v>No</v>
      </c>
    </row>
    <row r="153" spans="1:33" ht="15" customHeight="1" x14ac:dyDescent="0.2">
      <c r="A153" s="11"/>
      <c r="B153" s="11" t="s">
        <v>1211</v>
      </c>
      <c r="C153" s="13">
        <v>794</v>
      </c>
      <c r="D153" s="13" t="s">
        <v>420</v>
      </c>
      <c r="E153" s="20">
        <v>57</v>
      </c>
      <c r="F153" s="20">
        <v>186</v>
      </c>
      <c r="G153" s="20">
        <v>170</v>
      </c>
      <c r="H153" s="13" t="s">
        <v>1951</v>
      </c>
      <c r="I153" s="13" t="str">
        <f t="shared" si="6"/>
        <v>Sheridan St (North 72nd Av to Pine Island Rd)</v>
      </c>
      <c r="J153" s="13" t="s">
        <v>29</v>
      </c>
      <c r="K153" s="13" t="str">
        <f>VLOOKUP(J153,'Data-ProjectTypes'!A$3:B$13,2,FALSE)</f>
        <v>Program</v>
      </c>
      <c r="L153" s="21" t="s">
        <v>348</v>
      </c>
      <c r="M153" s="13" t="s">
        <v>2045</v>
      </c>
      <c r="N153" s="13" t="s">
        <v>266</v>
      </c>
      <c r="O153" s="13" t="s">
        <v>272</v>
      </c>
      <c r="P153" s="13" t="s">
        <v>272</v>
      </c>
      <c r="Q153" s="22">
        <v>2</v>
      </c>
      <c r="R153" s="23">
        <v>462017</v>
      </c>
      <c r="S153" s="21" t="s">
        <v>24</v>
      </c>
      <c r="T153" s="21" t="s">
        <v>25</v>
      </c>
      <c r="U153" s="21" t="s">
        <v>24</v>
      </c>
      <c r="V153" s="24" t="s">
        <v>561</v>
      </c>
      <c r="W153" s="24"/>
      <c r="X153" s="24"/>
      <c r="Y153" s="17" t="s">
        <v>538</v>
      </c>
      <c r="Z153" s="18">
        <f>ROUND(R153*'Data-CostAssumptions'!$C$3,-3)</f>
        <v>639000</v>
      </c>
      <c r="AA153" s="11">
        <f t="shared" si="7"/>
        <v>1</v>
      </c>
      <c r="AB153" s="11">
        <v>2041</v>
      </c>
      <c r="AC153" s="11">
        <v>2041</v>
      </c>
      <c r="AD153" s="11">
        <v>2041</v>
      </c>
      <c r="AE153" s="19">
        <f>ROUND((Z153*'Data-CostAssumptions'!$G$5)*(1+'Data-CostAssumptions'!$G$3)^(AB153-'Data-CostAssumptions'!$G$4),-3)</f>
        <v>360000</v>
      </c>
      <c r="AF153" s="19">
        <f>ROUND((Z153)*(1+'Data-CostAssumptions'!$G$3)^(AD153-'Data-CostAssumptions'!$G$4),-3)</f>
        <v>1638000</v>
      </c>
      <c r="AG153" s="170" t="str">
        <f t="shared" si="8"/>
        <v>No</v>
      </c>
    </row>
    <row r="154" spans="1:33" ht="15" customHeight="1" x14ac:dyDescent="0.2">
      <c r="A154" s="11"/>
      <c r="B154" s="11" t="s">
        <v>1211</v>
      </c>
      <c r="C154" s="13">
        <v>867</v>
      </c>
      <c r="D154" s="13" t="s">
        <v>420</v>
      </c>
      <c r="E154" s="20">
        <v>220</v>
      </c>
      <c r="F154" s="20">
        <v>190</v>
      </c>
      <c r="G154" s="20">
        <v>244</v>
      </c>
      <c r="H154" s="13" t="s">
        <v>1968</v>
      </c>
      <c r="I154" s="13" t="str">
        <f t="shared" si="6"/>
        <v>Taft St (Just east of NW 72nd Av to Douglas Rd/Pine Island Rd)</v>
      </c>
      <c r="J154" s="13" t="s">
        <v>29</v>
      </c>
      <c r="K154" s="13" t="str">
        <f>VLOOKUP(J154,'Data-ProjectTypes'!A$3:B$13,2,FALSE)</f>
        <v>Program</v>
      </c>
      <c r="L154" s="21" t="s">
        <v>562</v>
      </c>
      <c r="M154" s="13" t="s">
        <v>2355</v>
      </c>
      <c r="N154" s="13" t="s">
        <v>2424</v>
      </c>
      <c r="O154" s="13" t="s">
        <v>272</v>
      </c>
      <c r="P154" s="13" t="s">
        <v>272</v>
      </c>
      <c r="Q154" s="22">
        <v>2</v>
      </c>
      <c r="R154" s="23">
        <v>461947</v>
      </c>
      <c r="S154" s="21"/>
      <c r="T154" s="21"/>
      <c r="U154" s="21"/>
      <c r="V154" s="24"/>
      <c r="W154" s="24"/>
      <c r="X154" s="24"/>
      <c r="Y154" s="17"/>
      <c r="Z154" s="18">
        <f>ROUND(R154*'Data-CostAssumptions'!$C$3,-3)</f>
        <v>639000</v>
      </c>
      <c r="AA154" s="11">
        <f t="shared" si="7"/>
        <v>0</v>
      </c>
      <c r="AB154" s="11">
        <v>2041</v>
      </c>
      <c r="AC154" s="11">
        <v>2041</v>
      </c>
      <c r="AD154" s="11">
        <v>2041</v>
      </c>
      <c r="AE154" s="19">
        <f>ROUND((Z154*'Data-CostAssumptions'!$G$5)*(1+'Data-CostAssumptions'!$G$3)^(AB154-'Data-CostAssumptions'!$G$4),-3)</f>
        <v>360000</v>
      </c>
      <c r="AF154" s="19">
        <f>ROUND((Z154)*(1+'Data-CostAssumptions'!$G$3)^(AD154-'Data-CostAssumptions'!$G$4),-3)</f>
        <v>1638000</v>
      </c>
      <c r="AG154" s="170" t="str">
        <f t="shared" si="8"/>
        <v>No</v>
      </c>
    </row>
    <row r="155" spans="1:33" ht="15" customHeight="1" x14ac:dyDescent="0.2">
      <c r="A155" s="11"/>
      <c r="B155" s="11" t="s">
        <v>1211</v>
      </c>
      <c r="C155" s="13">
        <v>911</v>
      </c>
      <c r="D155" s="13" t="s">
        <v>420</v>
      </c>
      <c r="E155" s="20">
        <v>272</v>
      </c>
      <c r="F155" s="20">
        <v>193</v>
      </c>
      <c r="G155" s="20">
        <v>288</v>
      </c>
      <c r="H155" s="13" t="s">
        <v>1951</v>
      </c>
      <c r="I155" s="13" t="str">
        <f t="shared" si="6"/>
        <v>Sheridan St (Palm Av to Flamingo Rd)</v>
      </c>
      <c r="J155" s="13" t="s">
        <v>29</v>
      </c>
      <c r="K155" s="13" t="str">
        <f>VLOOKUP(J155,'Data-ProjectTypes'!A$3:B$13,2,FALSE)</f>
        <v>Program</v>
      </c>
      <c r="L155" s="21" t="s">
        <v>348</v>
      </c>
      <c r="M155" s="13" t="s">
        <v>2083</v>
      </c>
      <c r="N155" s="13" t="s">
        <v>159</v>
      </c>
      <c r="O155" s="13" t="s">
        <v>271</v>
      </c>
      <c r="P155" s="13" t="s">
        <v>271</v>
      </c>
      <c r="Q155" s="22">
        <v>2</v>
      </c>
      <c r="R155" s="23">
        <v>461574</v>
      </c>
      <c r="S155" s="21"/>
      <c r="T155" s="21"/>
      <c r="U155" s="21"/>
      <c r="V155" s="24"/>
      <c r="W155" s="24"/>
      <c r="X155" s="24"/>
      <c r="Y155" s="17"/>
      <c r="Z155" s="18">
        <f>ROUND(R155*'Data-CostAssumptions'!$C$3,-3)</f>
        <v>639000</v>
      </c>
      <c r="AA155" s="11">
        <f t="shared" si="7"/>
        <v>0</v>
      </c>
      <c r="AB155" s="11">
        <v>2041</v>
      </c>
      <c r="AC155" s="11">
        <v>2041</v>
      </c>
      <c r="AD155" s="11">
        <v>2041</v>
      </c>
      <c r="AE155" s="19">
        <f>ROUND((Z155*'Data-CostAssumptions'!$G$5)*(1+'Data-CostAssumptions'!$G$3)^(AB155-'Data-CostAssumptions'!$G$4),-3)</f>
        <v>360000</v>
      </c>
      <c r="AF155" s="19">
        <f>ROUND((Z155)*(1+'Data-CostAssumptions'!$G$3)^(AD155-'Data-CostAssumptions'!$G$4),-3)</f>
        <v>1638000</v>
      </c>
      <c r="AG155" s="170" t="str">
        <f t="shared" si="8"/>
        <v>No</v>
      </c>
    </row>
    <row r="156" spans="1:33" ht="15" customHeight="1" x14ac:dyDescent="0.2">
      <c r="A156" s="11"/>
      <c r="B156" s="11" t="s">
        <v>1211</v>
      </c>
      <c r="C156" s="13">
        <v>951</v>
      </c>
      <c r="D156" s="13" t="s">
        <v>420</v>
      </c>
      <c r="E156" s="20">
        <v>34</v>
      </c>
      <c r="F156" s="20">
        <v>195</v>
      </c>
      <c r="G156" s="20">
        <v>326</v>
      </c>
      <c r="H156" s="13" t="s">
        <v>1954</v>
      </c>
      <c r="I156" s="13" t="str">
        <f t="shared" si="6"/>
        <v>SW 10th St (Military Trail to Waterways Bl)</v>
      </c>
      <c r="J156" s="13" t="s">
        <v>29</v>
      </c>
      <c r="K156" s="13" t="str">
        <f>VLOOKUP(J156,'Data-ProjectTypes'!A$3:B$13,2,FALSE)</f>
        <v>Program</v>
      </c>
      <c r="L156" s="21" t="s">
        <v>348</v>
      </c>
      <c r="M156" s="13" t="s">
        <v>113</v>
      </c>
      <c r="N156" s="13" t="s">
        <v>2286</v>
      </c>
      <c r="O156" s="13" t="s">
        <v>270</v>
      </c>
      <c r="P156" s="13" t="s">
        <v>270</v>
      </c>
      <c r="Q156" s="22">
        <v>2</v>
      </c>
      <c r="R156" s="23">
        <v>461166</v>
      </c>
      <c r="S156" s="21"/>
      <c r="T156" s="21"/>
      <c r="U156" s="21"/>
      <c r="V156" s="24"/>
      <c r="W156" s="24"/>
      <c r="X156" s="24"/>
      <c r="Y156" s="17"/>
      <c r="Z156" s="18">
        <f>ROUND(R156*'Data-CostAssumptions'!$C$3,-3)</f>
        <v>638000</v>
      </c>
      <c r="AA156" s="11">
        <f t="shared" si="7"/>
        <v>0</v>
      </c>
      <c r="AB156" s="11">
        <v>2041</v>
      </c>
      <c r="AC156" s="11">
        <v>2041</v>
      </c>
      <c r="AD156" s="11">
        <v>2041</v>
      </c>
      <c r="AE156" s="19">
        <f>ROUND((Z156*'Data-CostAssumptions'!$G$5)*(1+'Data-CostAssumptions'!$G$3)^(AB156-'Data-CostAssumptions'!$G$4),-3)</f>
        <v>360000</v>
      </c>
      <c r="AF156" s="19">
        <f>ROUND((Z156)*(1+'Data-CostAssumptions'!$G$3)^(AD156-'Data-CostAssumptions'!$G$4),-3)</f>
        <v>1636000</v>
      </c>
      <c r="AG156" s="170" t="str">
        <f t="shared" si="8"/>
        <v>No</v>
      </c>
    </row>
    <row r="157" spans="1:33" ht="15" customHeight="1" x14ac:dyDescent="0.2">
      <c r="A157" s="11"/>
      <c r="B157" s="11" t="s">
        <v>1211</v>
      </c>
      <c r="C157" s="13">
        <v>828</v>
      </c>
      <c r="D157" s="13" t="s">
        <v>420</v>
      </c>
      <c r="E157" s="20">
        <v>267</v>
      </c>
      <c r="F157" s="20">
        <v>188</v>
      </c>
      <c r="G157" s="20">
        <v>204</v>
      </c>
      <c r="H157" s="13" t="s">
        <v>177</v>
      </c>
      <c r="I157" s="13" t="str">
        <f t="shared" si="6"/>
        <v>Stirling Rd (Palm Av/Nob Hill Rd to Flamingo Rd)</v>
      </c>
      <c r="J157" s="13" t="s">
        <v>29</v>
      </c>
      <c r="K157" s="13" t="str">
        <f>VLOOKUP(J157,'Data-ProjectTypes'!A$3:B$13,2,FALSE)</f>
        <v>Program</v>
      </c>
      <c r="L157" s="21" t="s">
        <v>348</v>
      </c>
      <c r="M157" s="13" t="s">
        <v>2455</v>
      </c>
      <c r="N157" s="13" t="s">
        <v>159</v>
      </c>
      <c r="O157" s="13" t="s">
        <v>290</v>
      </c>
      <c r="P157" s="13" t="s">
        <v>290</v>
      </c>
      <c r="Q157" s="22">
        <v>2</v>
      </c>
      <c r="R157" s="23">
        <v>460470</v>
      </c>
      <c r="S157" s="21"/>
      <c r="T157" s="21"/>
      <c r="U157" s="21"/>
      <c r="V157" s="24"/>
      <c r="W157" s="24"/>
      <c r="X157" s="24"/>
      <c r="Y157" s="17"/>
      <c r="Z157" s="18">
        <f>ROUND(R157*'Data-CostAssumptions'!$C$3,-3)</f>
        <v>637000</v>
      </c>
      <c r="AA157" s="11">
        <f t="shared" si="7"/>
        <v>0</v>
      </c>
      <c r="AB157" s="11">
        <v>2041</v>
      </c>
      <c r="AC157" s="11">
        <v>2041</v>
      </c>
      <c r="AD157" s="11">
        <v>2041</v>
      </c>
      <c r="AE157" s="19">
        <f>ROUND((Z157*'Data-CostAssumptions'!$G$5)*(1+'Data-CostAssumptions'!$G$3)^(AB157-'Data-CostAssumptions'!$G$4),-3)</f>
        <v>359000</v>
      </c>
      <c r="AF157" s="19">
        <f>ROUND((Z157)*(1+'Data-CostAssumptions'!$G$3)^(AD157-'Data-CostAssumptions'!$G$4),-3)</f>
        <v>1633000</v>
      </c>
      <c r="AG157" s="170" t="str">
        <f t="shared" si="8"/>
        <v>No</v>
      </c>
    </row>
    <row r="158" spans="1:33" ht="15" customHeight="1" x14ac:dyDescent="0.2">
      <c r="A158" s="11"/>
      <c r="B158" s="11" t="s">
        <v>1211</v>
      </c>
      <c r="C158" s="13">
        <v>916</v>
      </c>
      <c r="D158" s="13" t="s">
        <v>420</v>
      </c>
      <c r="E158" s="20">
        <v>291</v>
      </c>
      <c r="F158" s="20">
        <v>193</v>
      </c>
      <c r="G158" s="20">
        <v>292</v>
      </c>
      <c r="H158" s="13" t="s">
        <v>2110</v>
      </c>
      <c r="I158" s="13" t="str">
        <f t="shared" si="6"/>
        <v>SW 172nd Av (Miramar Parkway to Pines Bl)</v>
      </c>
      <c r="J158" s="13" t="s">
        <v>29</v>
      </c>
      <c r="K158" s="13" t="str">
        <f>VLOOKUP(J158,'Data-ProjectTypes'!A$3:B$13,2,FALSE)</f>
        <v>Program</v>
      </c>
      <c r="L158" s="21" t="s">
        <v>348</v>
      </c>
      <c r="M158" s="13" t="s">
        <v>39</v>
      </c>
      <c r="N158" s="13" t="s">
        <v>1826</v>
      </c>
      <c r="O158" s="13" t="s">
        <v>272</v>
      </c>
      <c r="P158" s="13" t="s">
        <v>272</v>
      </c>
      <c r="Q158" s="22">
        <v>2</v>
      </c>
      <c r="R158" s="23">
        <v>459698</v>
      </c>
      <c r="S158" s="21"/>
      <c r="T158" s="21"/>
      <c r="U158" s="21"/>
      <c r="V158" s="24"/>
      <c r="W158" s="24"/>
      <c r="X158" s="24"/>
      <c r="Y158" s="17"/>
      <c r="Z158" s="18">
        <f>ROUND(R158*'Data-CostAssumptions'!$C$3,-3)</f>
        <v>636000</v>
      </c>
      <c r="AA158" s="11">
        <f t="shared" si="7"/>
        <v>0</v>
      </c>
      <c r="AB158" s="11">
        <v>2041</v>
      </c>
      <c r="AC158" s="11">
        <v>2041</v>
      </c>
      <c r="AD158" s="11">
        <v>2041</v>
      </c>
      <c r="AE158" s="19">
        <f>ROUND((Z158*'Data-CostAssumptions'!$G$5)*(1+'Data-CostAssumptions'!$G$3)^(AB158-'Data-CostAssumptions'!$G$4),-3)</f>
        <v>359000</v>
      </c>
      <c r="AF158" s="19">
        <f>ROUND((Z158)*(1+'Data-CostAssumptions'!$G$3)^(AD158-'Data-CostAssumptions'!$G$4),-3)</f>
        <v>1631000</v>
      </c>
      <c r="AG158" s="170" t="str">
        <f t="shared" si="8"/>
        <v>No</v>
      </c>
    </row>
    <row r="159" spans="1:33" ht="15" customHeight="1" x14ac:dyDescent="0.2">
      <c r="A159" s="11"/>
      <c r="B159" s="11" t="s">
        <v>1211</v>
      </c>
      <c r="C159" s="13">
        <v>779</v>
      </c>
      <c r="D159" s="13" t="s">
        <v>420</v>
      </c>
      <c r="E159" s="20">
        <v>314</v>
      </c>
      <c r="F159" s="20">
        <v>185</v>
      </c>
      <c r="G159" s="20">
        <v>156</v>
      </c>
      <c r="H159" s="13" t="s">
        <v>2058</v>
      </c>
      <c r="I159" s="13" t="str">
        <f t="shared" si="6"/>
        <v>NW 21st Av/NW 23rd Av (Service Rd at Sunrise Bl to Oakland Park Bl)</v>
      </c>
      <c r="J159" s="13" t="s">
        <v>29</v>
      </c>
      <c r="K159" s="13" t="str">
        <f>VLOOKUP(J159,'Data-ProjectTypes'!A$3:B$13,2,FALSE)</f>
        <v>Program</v>
      </c>
      <c r="L159" s="21" t="s">
        <v>348</v>
      </c>
      <c r="M159" s="13" t="s">
        <v>2436</v>
      </c>
      <c r="N159" s="13" t="s">
        <v>1825</v>
      </c>
      <c r="O159" s="13" t="s">
        <v>273</v>
      </c>
      <c r="P159" s="13" t="s">
        <v>273</v>
      </c>
      <c r="Q159" s="22">
        <v>2</v>
      </c>
      <c r="R159" s="23">
        <v>457635</v>
      </c>
      <c r="S159" s="21"/>
      <c r="T159" s="21"/>
      <c r="U159" s="21" t="s">
        <v>24</v>
      </c>
      <c r="V159" s="24"/>
      <c r="W159" s="24"/>
      <c r="X159" s="24"/>
      <c r="Y159" s="17" t="s">
        <v>846</v>
      </c>
      <c r="Z159" s="18">
        <f>ROUND(R159*'Data-CostAssumptions'!$C$3,-3)</f>
        <v>633000</v>
      </c>
      <c r="AA159" s="11">
        <f t="shared" si="7"/>
        <v>0</v>
      </c>
      <c r="AB159" s="11">
        <v>2041</v>
      </c>
      <c r="AC159" s="11">
        <v>2041</v>
      </c>
      <c r="AD159" s="11">
        <v>2041</v>
      </c>
      <c r="AE159" s="19">
        <f>ROUND((Z159*'Data-CostAssumptions'!$G$5)*(1+'Data-CostAssumptions'!$G$3)^(AB159-'Data-CostAssumptions'!$G$4),-3)</f>
        <v>357000</v>
      </c>
      <c r="AF159" s="19">
        <f>ROUND((Z159)*(1+'Data-CostAssumptions'!$G$3)^(AD159-'Data-CostAssumptions'!$G$4),-3)</f>
        <v>1623000</v>
      </c>
      <c r="AG159" s="170" t="str">
        <f t="shared" si="8"/>
        <v>No</v>
      </c>
    </row>
    <row r="160" spans="1:33" ht="15" customHeight="1" x14ac:dyDescent="0.2">
      <c r="A160" s="11"/>
      <c r="B160" s="11" t="s">
        <v>1211</v>
      </c>
      <c r="C160" s="13">
        <v>681</v>
      </c>
      <c r="D160" s="13" t="s">
        <v>420</v>
      </c>
      <c r="E160" s="20">
        <v>301</v>
      </c>
      <c r="F160" s="20">
        <v>180</v>
      </c>
      <c r="G160" s="20">
        <v>61</v>
      </c>
      <c r="H160" s="13" t="s">
        <v>1909</v>
      </c>
      <c r="I160" s="13" t="str">
        <f t="shared" si="6"/>
        <v>NW 15th St (Dixie Hwy to Powerline Rd/Hammondville Rd)</v>
      </c>
      <c r="J160" s="13" t="s">
        <v>29</v>
      </c>
      <c r="K160" s="13" t="str">
        <f>VLOOKUP(J160,'Data-ProjectTypes'!A$3:B$13,2,FALSE)</f>
        <v>Program</v>
      </c>
      <c r="L160" s="21" t="s">
        <v>348</v>
      </c>
      <c r="M160" s="13" t="s">
        <v>728</v>
      </c>
      <c r="N160" s="13" t="s">
        <v>2434</v>
      </c>
      <c r="O160" s="13" t="s">
        <v>273</v>
      </c>
      <c r="P160" s="13" t="s">
        <v>273</v>
      </c>
      <c r="Q160" s="22">
        <v>2</v>
      </c>
      <c r="R160" s="23">
        <v>456046</v>
      </c>
      <c r="S160" s="21"/>
      <c r="T160" s="21"/>
      <c r="U160" s="21"/>
      <c r="V160" s="24"/>
      <c r="W160" s="24"/>
      <c r="X160" s="24"/>
      <c r="Y160" s="17"/>
      <c r="Z160" s="18">
        <f>ROUND(R160*'Data-CostAssumptions'!$C$3,-3)</f>
        <v>631000</v>
      </c>
      <c r="AA160" s="11">
        <f t="shared" si="7"/>
        <v>0</v>
      </c>
      <c r="AB160" s="11">
        <v>2041</v>
      </c>
      <c r="AC160" s="11">
        <v>2041</v>
      </c>
      <c r="AD160" s="11">
        <v>2041</v>
      </c>
      <c r="AE160" s="19">
        <f>ROUND((Z160*'Data-CostAssumptions'!$G$5)*(1+'Data-CostAssumptions'!$G$3)^(AB160-'Data-CostAssumptions'!$G$4),-3)</f>
        <v>356000</v>
      </c>
      <c r="AF160" s="19">
        <f>ROUND((Z160)*(1+'Data-CostAssumptions'!$G$3)^(AD160-'Data-CostAssumptions'!$G$4),-3)</f>
        <v>1618000</v>
      </c>
      <c r="AG160" s="170" t="str">
        <f t="shared" si="8"/>
        <v>No</v>
      </c>
    </row>
    <row r="161" spans="1:33" ht="15" customHeight="1" x14ac:dyDescent="0.2">
      <c r="A161" s="11"/>
      <c r="B161" s="11" t="s">
        <v>1211</v>
      </c>
      <c r="C161" s="13">
        <v>675</v>
      </c>
      <c r="D161" s="13" t="s">
        <v>420</v>
      </c>
      <c r="E161" s="20">
        <v>177</v>
      </c>
      <c r="F161" s="20">
        <v>179</v>
      </c>
      <c r="G161" s="20">
        <v>56</v>
      </c>
      <c r="H161" s="13" t="s">
        <v>1845</v>
      </c>
      <c r="I161" s="13" t="str">
        <f t="shared" si="6"/>
        <v>Davie Rd (Orange Dr to State Rd 84)</v>
      </c>
      <c r="J161" s="13" t="s">
        <v>29</v>
      </c>
      <c r="K161" s="13" t="str">
        <f>VLOOKUP(J161,'Data-ProjectTypes'!A$3:B$13,2,FALSE)</f>
        <v>Program</v>
      </c>
      <c r="L161" s="21" t="s">
        <v>348</v>
      </c>
      <c r="M161" s="13" t="s">
        <v>184</v>
      </c>
      <c r="N161" s="13" t="s">
        <v>1774</v>
      </c>
      <c r="O161" s="13" t="s">
        <v>273</v>
      </c>
      <c r="P161" s="13" t="s">
        <v>273</v>
      </c>
      <c r="Q161" s="22">
        <v>2</v>
      </c>
      <c r="R161" s="23">
        <v>453629</v>
      </c>
      <c r="S161" s="21"/>
      <c r="T161" s="21"/>
      <c r="U161" s="21" t="s">
        <v>24</v>
      </c>
      <c r="V161" s="24"/>
      <c r="W161" s="24" t="s">
        <v>848</v>
      </c>
      <c r="X161" s="24"/>
      <c r="Y161" s="17" t="s">
        <v>843</v>
      </c>
      <c r="Z161" s="18">
        <f>ROUND(R161*'Data-CostAssumptions'!$C$3,-3)</f>
        <v>628000</v>
      </c>
      <c r="AA161" s="11">
        <f t="shared" si="7"/>
        <v>1</v>
      </c>
      <c r="AB161" s="11">
        <v>2041</v>
      </c>
      <c r="AC161" s="11">
        <v>2041</v>
      </c>
      <c r="AD161" s="11">
        <v>2041</v>
      </c>
      <c r="AE161" s="19">
        <f>ROUND((Z161*'Data-CostAssumptions'!$G$5)*(1+'Data-CostAssumptions'!$G$3)^(AB161-'Data-CostAssumptions'!$G$4),-3)</f>
        <v>354000</v>
      </c>
      <c r="AF161" s="19">
        <f>ROUND((Z161)*(1+'Data-CostAssumptions'!$G$3)^(AD161-'Data-CostAssumptions'!$G$4),-3)</f>
        <v>1610000</v>
      </c>
      <c r="AG161" s="170" t="str">
        <f t="shared" si="8"/>
        <v>No</v>
      </c>
    </row>
    <row r="162" spans="1:33" ht="15" customHeight="1" x14ac:dyDescent="0.2">
      <c r="A162" s="11"/>
      <c r="B162" s="11" t="s">
        <v>1211</v>
      </c>
      <c r="C162" s="11">
        <v>12270</v>
      </c>
      <c r="D162" s="84" t="s">
        <v>282</v>
      </c>
      <c r="E162" s="14"/>
      <c r="F162" s="14"/>
      <c r="G162" s="20">
        <v>1750</v>
      </c>
      <c r="H162" s="13" t="s">
        <v>2013</v>
      </c>
      <c r="I162" s="13" t="str">
        <f t="shared" si="6"/>
        <v>62nd Av (Pembroke Rd to Johnson St)</v>
      </c>
      <c r="J162" s="11" t="s">
        <v>29</v>
      </c>
      <c r="K162" s="13" t="str">
        <f>VLOOKUP(J162,'Data-ProjectTypes'!A$3:B$13,2,FALSE)</f>
        <v>Program</v>
      </c>
      <c r="L162" s="142" t="s">
        <v>609</v>
      </c>
      <c r="M162" s="11" t="s">
        <v>1760</v>
      </c>
      <c r="N162" s="11" t="s">
        <v>1880</v>
      </c>
      <c r="O162" s="11"/>
      <c r="P162" s="11"/>
      <c r="Q162" s="79">
        <v>1.5</v>
      </c>
      <c r="R162" s="143">
        <f>ROUND(Q162*'Data-CostAssumptions'!$C$25,-3)+200000</f>
        <v>453000</v>
      </c>
      <c r="S162" s="21"/>
      <c r="T162" s="21"/>
      <c r="U162" s="21"/>
      <c r="V162" s="24"/>
      <c r="W162" s="24"/>
      <c r="X162" s="28"/>
      <c r="Y162" s="17"/>
      <c r="Z162" s="18">
        <f>ROUND(R162*'Data-CostAssumptions'!$C$3,-3)</f>
        <v>627000</v>
      </c>
      <c r="AA162" s="11">
        <f t="shared" si="7"/>
        <v>0</v>
      </c>
      <c r="AB162" s="11">
        <v>2041</v>
      </c>
      <c r="AC162" s="11">
        <v>2041</v>
      </c>
      <c r="AD162" s="11">
        <v>2041</v>
      </c>
      <c r="AE162" s="19">
        <f>ROUND((Z162*'Data-CostAssumptions'!$G$5)*(1+'Data-CostAssumptions'!$G$3)^(AB162-'Data-CostAssumptions'!$G$4),-3)</f>
        <v>354000</v>
      </c>
      <c r="AF162" s="19">
        <f>ROUND((Z162)*(1+'Data-CostAssumptions'!$G$3)^(AD162-'Data-CostAssumptions'!$G$4),-3)</f>
        <v>1608000</v>
      </c>
      <c r="AG162" s="170" t="str">
        <f t="shared" si="8"/>
        <v>No</v>
      </c>
    </row>
    <row r="163" spans="1:33" ht="15" customHeight="1" x14ac:dyDescent="0.2">
      <c r="A163" s="11"/>
      <c r="B163" s="11" t="s">
        <v>1211</v>
      </c>
      <c r="C163" s="13">
        <v>694</v>
      </c>
      <c r="D163" s="13" t="s">
        <v>420</v>
      </c>
      <c r="E163" s="20">
        <v>72</v>
      </c>
      <c r="F163" s="20">
        <v>181</v>
      </c>
      <c r="G163" s="20">
        <v>72</v>
      </c>
      <c r="H163" s="13" t="s">
        <v>2799</v>
      </c>
      <c r="I163" s="13" t="str">
        <f t="shared" si="6"/>
        <v>SR 845/Powerline Rd (NW 62nd St/Cypress Creek Rd to Atlantic Bl)</v>
      </c>
      <c r="J163" s="13" t="s">
        <v>29</v>
      </c>
      <c r="K163" s="13" t="str">
        <f>VLOOKUP(J163,'Data-ProjectTypes'!A$3:B$13,2,FALSE)</f>
        <v>Program</v>
      </c>
      <c r="L163" s="21" t="s">
        <v>348</v>
      </c>
      <c r="M163" s="13" t="s">
        <v>1928</v>
      </c>
      <c r="N163" s="13" t="s">
        <v>1809</v>
      </c>
      <c r="O163" s="13" t="s">
        <v>270</v>
      </c>
      <c r="P163" s="13" t="s">
        <v>270</v>
      </c>
      <c r="Q163" s="22">
        <v>1.9</v>
      </c>
      <c r="R163" s="23">
        <v>448849</v>
      </c>
      <c r="S163" s="12" t="s">
        <v>24</v>
      </c>
      <c r="T163" s="21"/>
      <c r="U163" s="21"/>
      <c r="V163" s="24"/>
      <c r="W163" s="24"/>
      <c r="X163" s="24"/>
      <c r="Y163" s="17" t="s">
        <v>538</v>
      </c>
      <c r="Z163" s="18">
        <f>ROUND(R163*'Data-CostAssumptions'!$C$3,-3)</f>
        <v>621000</v>
      </c>
      <c r="AA163" s="11">
        <f t="shared" si="7"/>
        <v>0</v>
      </c>
      <c r="AB163" s="11">
        <v>2041</v>
      </c>
      <c r="AC163" s="11">
        <v>2041</v>
      </c>
      <c r="AD163" s="11">
        <v>2041</v>
      </c>
      <c r="AE163" s="19">
        <f>ROUND((Z163*'Data-CostAssumptions'!$G$5)*(1+'Data-CostAssumptions'!$G$3)^(AB163-'Data-CostAssumptions'!$G$4),-3)</f>
        <v>350000</v>
      </c>
      <c r="AF163" s="19">
        <f>ROUND((Z163)*(1+'Data-CostAssumptions'!$G$3)^(AD163-'Data-CostAssumptions'!$G$4),-3)</f>
        <v>1592000</v>
      </c>
      <c r="AG163" s="170" t="str">
        <f t="shared" si="8"/>
        <v>No</v>
      </c>
    </row>
    <row r="164" spans="1:33" ht="15" customHeight="1" x14ac:dyDescent="0.2">
      <c r="A164" s="11"/>
      <c r="B164" s="11" t="s">
        <v>1211</v>
      </c>
      <c r="C164" s="13">
        <v>770</v>
      </c>
      <c r="D164" s="13" t="s">
        <v>420</v>
      </c>
      <c r="E164" s="20">
        <v>242</v>
      </c>
      <c r="F164" s="20">
        <v>185</v>
      </c>
      <c r="G164" s="20">
        <v>147</v>
      </c>
      <c r="H164" s="13" t="s">
        <v>1754</v>
      </c>
      <c r="I164" s="13" t="str">
        <f t="shared" si="6"/>
        <v>Lyons Rd (Atlantic Bl to Copans Rd)</v>
      </c>
      <c r="J164" s="13" t="s">
        <v>29</v>
      </c>
      <c r="K164" s="13" t="str">
        <f>VLOOKUP(J164,'Data-ProjectTypes'!A$3:B$13,2,FALSE)</f>
        <v>Program</v>
      </c>
      <c r="L164" s="21" t="s">
        <v>348</v>
      </c>
      <c r="M164" s="13" t="s">
        <v>1809</v>
      </c>
      <c r="N164" s="13" t="s">
        <v>1836</v>
      </c>
      <c r="O164" s="13" t="s">
        <v>283</v>
      </c>
      <c r="P164" s="13" t="s">
        <v>283</v>
      </c>
      <c r="Q164" s="22">
        <v>1.9</v>
      </c>
      <c r="R164" s="23">
        <v>447823</v>
      </c>
      <c r="S164" s="21" t="s">
        <v>24</v>
      </c>
      <c r="T164" s="21" t="s">
        <v>25</v>
      </c>
      <c r="U164" s="21" t="s">
        <v>25</v>
      </c>
      <c r="V164" s="24"/>
      <c r="W164" s="24" t="s">
        <v>573</v>
      </c>
      <c r="X164" s="24"/>
      <c r="Y164" s="17" t="s">
        <v>547</v>
      </c>
      <c r="Z164" s="18">
        <f>ROUND(R164*'Data-CostAssumptions'!$C$3,-3)</f>
        <v>620000</v>
      </c>
      <c r="AA164" s="11">
        <f t="shared" si="7"/>
        <v>1</v>
      </c>
      <c r="AB164" s="11">
        <v>2041</v>
      </c>
      <c r="AC164" s="11">
        <v>2041</v>
      </c>
      <c r="AD164" s="11">
        <v>2041</v>
      </c>
      <c r="AE164" s="19">
        <f>ROUND((Z164*'Data-CostAssumptions'!$G$5)*(1+'Data-CostAssumptions'!$G$3)^(AB164-'Data-CostAssumptions'!$G$4),-3)</f>
        <v>350000</v>
      </c>
      <c r="AF164" s="19">
        <f>ROUND((Z164)*(1+'Data-CostAssumptions'!$G$3)^(AD164-'Data-CostAssumptions'!$G$4),-3)</f>
        <v>1590000</v>
      </c>
      <c r="AG164" s="170" t="str">
        <f t="shared" si="8"/>
        <v>No</v>
      </c>
    </row>
    <row r="165" spans="1:33" ht="15" customHeight="1" x14ac:dyDescent="0.2">
      <c r="A165" s="11"/>
      <c r="B165" s="11" t="s">
        <v>1211</v>
      </c>
      <c r="C165" s="11"/>
      <c r="D165" s="84" t="s">
        <v>276</v>
      </c>
      <c r="E165" s="14">
        <v>17</v>
      </c>
      <c r="F165" s="14"/>
      <c r="G165" s="20">
        <v>1344</v>
      </c>
      <c r="H165" s="13" t="s">
        <v>1842</v>
      </c>
      <c r="I165" s="13" t="str">
        <f t="shared" si="6"/>
        <v>Cypress Creek Rd (SR 845/POWER-LINE RD to NW 21ST Av)</v>
      </c>
      <c r="J165" s="11" t="s">
        <v>29</v>
      </c>
      <c r="K165" s="13" t="str">
        <f>VLOOKUP(J165,'Data-ProjectTypes'!A$3:B$13,2,FALSE)</f>
        <v>Program</v>
      </c>
      <c r="L165" s="11" t="s">
        <v>1267</v>
      </c>
      <c r="M165" s="106" t="s">
        <v>1428</v>
      </c>
      <c r="N165" s="84" t="s">
        <v>2164</v>
      </c>
      <c r="O165" s="11"/>
      <c r="P165" s="11"/>
      <c r="Q165" s="107">
        <v>1</v>
      </c>
      <c r="R165" s="23">
        <v>619650</v>
      </c>
      <c r="S165" s="21" t="s">
        <v>24</v>
      </c>
      <c r="T165" s="21"/>
      <c r="U165" s="21"/>
      <c r="V165" s="24"/>
      <c r="W165" s="24"/>
      <c r="X165" s="24"/>
      <c r="Y165" s="17" t="s">
        <v>460</v>
      </c>
      <c r="Z165" s="18">
        <f>ROUND(R165*'Data-CostAssumptions'!$C$8,-3)</f>
        <v>620000</v>
      </c>
      <c r="AA165" s="11">
        <f t="shared" si="7"/>
        <v>0</v>
      </c>
      <c r="AB165" s="11">
        <v>2041</v>
      </c>
      <c r="AC165" s="11">
        <v>2041</v>
      </c>
      <c r="AD165" s="11">
        <v>2041</v>
      </c>
      <c r="AE165" s="19">
        <f>ROUND((Z165*'Data-CostAssumptions'!$G$5)*(1+'Data-CostAssumptions'!$G$3)^(AB165-'Data-CostAssumptions'!$G$4),-3)</f>
        <v>350000</v>
      </c>
      <c r="AF165" s="19">
        <f>ROUND((Z165)*(1+'Data-CostAssumptions'!$G$3)^(AD165-'Data-CostAssumptions'!$G$4),-3)</f>
        <v>1590000</v>
      </c>
      <c r="AG165" s="170" t="str">
        <f t="shared" si="8"/>
        <v>No</v>
      </c>
    </row>
    <row r="166" spans="1:33" ht="15" customHeight="1" x14ac:dyDescent="0.2">
      <c r="A166" s="11"/>
      <c r="B166" s="11" t="s">
        <v>1211</v>
      </c>
      <c r="C166" s="13">
        <v>778</v>
      </c>
      <c r="D166" s="13" t="s">
        <v>420</v>
      </c>
      <c r="E166" s="20">
        <v>300</v>
      </c>
      <c r="F166" s="20">
        <v>185</v>
      </c>
      <c r="G166" s="20">
        <v>155</v>
      </c>
      <c r="H166" s="13" t="s">
        <v>1780</v>
      </c>
      <c r="I166" s="13" t="str">
        <f t="shared" si="6"/>
        <v>Wiles Rd (Rock Island Rd to University Dr)</v>
      </c>
      <c r="J166" s="13" t="s">
        <v>29</v>
      </c>
      <c r="K166" s="13" t="str">
        <f>VLOOKUP(J166,'Data-ProjectTypes'!A$3:B$13,2,FALSE)</f>
        <v>Program</v>
      </c>
      <c r="L166" s="21" t="s">
        <v>348</v>
      </c>
      <c r="M166" s="13" t="s">
        <v>1768</v>
      </c>
      <c r="N166" s="13" t="s">
        <v>1804</v>
      </c>
      <c r="O166" s="13" t="s">
        <v>273</v>
      </c>
      <c r="P166" s="13" t="s">
        <v>273</v>
      </c>
      <c r="Q166" s="22">
        <v>1.9</v>
      </c>
      <c r="R166" s="23">
        <v>446938</v>
      </c>
      <c r="S166" s="21"/>
      <c r="T166" s="21"/>
      <c r="U166" s="21" t="s">
        <v>24</v>
      </c>
      <c r="V166" s="24"/>
      <c r="W166" s="24"/>
      <c r="X166" s="24"/>
      <c r="Y166" s="17" t="s">
        <v>846</v>
      </c>
      <c r="Z166" s="18">
        <f>ROUND(R166*'Data-CostAssumptions'!$C$3,-3)</f>
        <v>619000</v>
      </c>
      <c r="AA166" s="11">
        <f t="shared" si="7"/>
        <v>0</v>
      </c>
      <c r="AB166" s="11">
        <v>2041</v>
      </c>
      <c r="AC166" s="11">
        <v>2041</v>
      </c>
      <c r="AD166" s="11">
        <v>2041</v>
      </c>
      <c r="AE166" s="19">
        <f>ROUND((Z166*'Data-CostAssumptions'!$G$5)*(1+'Data-CostAssumptions'!$G$3)^(AB166-'Data-CostAssumptions'!$G$4),-3)</f>
        <v>349000</v>
      </c>
      <c r="AF166" s="19">
        <f>ROUND((Z166)*(1+'Data-CostAssumptions'!$G$3)^(AD166-'Data-CostAssumptions'!$G$4),-3)</f>
        <v>1587000</v>
      </c>
      <c r="AG166" s="170" t="str">
        <f t="shared" si="8"/>
        <v>No</v>
      </c>
    </row>
    <row r="167" spans="1:33" ht="15" customHeight="1" x14ac:dyDescent="0.2">
      <c r="A167" s="11"/>
      <c r="B167" s="11" t="s">
        <v>1211</v>
      </c>
      <c r="C167" s="13">
        <v>699</v>
      </c>
      <c r="D167" s="13" t="s">
        <v>420</v>
      </c>
      <c r="E167" s="20">
        <v>106</v>
      </c>
      <c r="F167" s="20">
        <v>181</v>
      </c>
      <c r="G167" s="20">
        <v>77</v>
      </c>
      <c r="H167" s="13" t="s">
        <v>1816</v>
      </c>
      <c r="I167" s="13" t="str">
        <f t="shared" si="6"/>
        <v>Davie Bl (US 1/Federal Hwy to Davie Bl)</v>
      </c>
      <c r="J167" s="13" t="s">
        <v>29</v>
      </c>
      <c r="K167" s="13" t="str">
        <f>VLOOKUP(J167,'Data-ProjectTypes'!A$3:B$13,2,FALSE)</f>
        <v>Program</v>
      </c>
      <c r="L167" s="21" t="s">
        <v>348</v>
      </c>
      <c r="M167" s="13" t="s">
        <v>2594</v>
      </c>
      <c r="N167" s="13" t="s">
        <v>1816</v>
      </c>
      <c r="O167" s="13" t="s">
        <v>270</v>
      </c>
      <c r="P167" s="13" t="s">
        <v>270</v>
      </c>
      <c r="Q167" s="22">
        <v>1.9</v>
      </c>
      <c r="R167" s="23">
        <v>446157</v>
      </c>
      <c r="S167" s="12" t="s">
        <v>24</v>
      </c>
      <c r="W167" s="24" t="s">
        <v>559</v>
      </c>
      <c r="X167" s="24"/>
      <c r="Y167" s="17" t="s">
        <v>538</v>
      </c>
      <c r="Z167" s="18">
        <f>ROUND(R167*'Data-CostAssumptions'!$C$3,-3)</f>
        <v>617000</v>
      </c>
      <c r="AA167" s="11">
        <f t="shared" si="7"/>
        <v>1</v>
      </c>
      <c r="AB167" s="11">
        <v>2041</v>
      </c>
      <c r="AC167" s="11">
        <v>2041</v>
      </c>
      <c r="AD167" s="11">
        <v>2041</v>
      </c>
      <c r="AE167" s="19">
        <f>ROUND((Z167*'Data-CostAssumptions'!$G$5)*(1+'Data-CostAssumptions'!$G$3)^(AB167-'Data-CostAssumptions'!$G$4),-3)</f>
        <v>348000</v>
      </c>
      <c r="AF167" s="19">
        <f>ROUND((Z167)*(1+'Data-CostAssumptions'!$G$3)^(AD167-'Data-CostAssumptions'!$G$4),-3)</f>
        <v>1582000</v>
      </c>
      <c r="AG167" s="170" t="str">
        <f t="shared" si="8"/>
        <v>No</v>
      </c>
    </row>
    <row r="168" spans="1:33" ht="15" customHeight="1" x14ac:dyDescent="0.2">
      <c r="A168" s="11"/>
      <c r="B168" s="11" t="s">
        <v>1211</v>
      </c>
      <c r="C168" s="13">
        <v>814</v>
      </c>
      <c r="D168" s="13" t="s">
        <v>420</v>
      </c>
      <c r="E168" s="20">
        <v>212</v>
      </c>
      <c r="F168" s="20">
        <v>187</v>
      </c>
      <c r="G168" s="20">
        <v>190</v>
      </c>
      <c r="H168" s="13" t="s">
        <v>1968</v>
      </c>
      <c r="I168" s="13" t="str">
        <f t="shared" si="6"/>
        <v>Taft St (North 26th Av to North 46th Av)</v>
      </c>
      <c r="J168" s="13" t="s">
        <v>29</v>
      </c>
      <c r="K168" s="13" t="str">
        <f>VLOOKUP(J168,'Data-ProjectTypes'!A$3:B$13,2,FALSE)</f>
        <v>Program</v>
      </c>
      <c r="L168" s="21" t="s">
        <v>562</v>
      </c>
      <c r="M168" s="13" t="s">
        <v>2039</v>
      </c>
      <c r="N168" s="13" t="s">
        <v>2040</v>
      </c>
      <c r="O168" s="13" t="s">
        <v>282</v>
      </c>
      <c r="P168" s="13" t="s">
        <v>282</v>
      </c>
      <c r="Q168" s="22">
        <v>1.9</v>
      </c>
      <c r="R168" s="23">
        <v>444003</v>
      </c>
      <c r="S168" s="21"/>
      <c r="T168" s="21"/>
      <c r="U168" s="21"/>
      <c r="V168" s="24"/>
      <c r="W168" s="24"/>
      <c r="X168" s="24" t="s">
        <v>771</v>
      </c>
      <c r="Y168" s="17" t="s">
        <v>765</v>
      </c>
      <c r="Z168" s="18">
        <f>ROUND(R168*'Data-CostAssumptions'!$C$3,-3)</f>
        <v>615000</v>
      </c>
      <c r="AA168" s="11">
        <f t="shared" si="7"/>
        <v>0</v>
      </c>
      <c r="AB168" s="11">
        <v>2041</v>
      </c>
      <c r="AC168" s="11">
        <v>2041</v>
      </c>
      <c r="AD168" s="11">
        <v>2041</v>
      </c>
      <c r="AE168" s="19">
        <f>ROUND((Z168*'Data-CostAssumptions'!$G$5)*(1+'Data-CostAssumptions'!$G$3)^(AB168-'Data-CostAssumptions'!$G$4),-3)</f>
        <v>347000</v>
      </c>
      <c r="AF168" s="19">
        <f>ROUND((Z168)*(1+'Data-CostAssumptions'!$G$3)^(AD168-'Data-CostAssumptions'!$G$4),-3)</f>
        <v>1577000</v>
      </c>
      <c r="AG168" s="170" t="str">
        <f t="shared" si="8"/>
        <v>No</v>
      </c>
    </row>
    <row r="169" spans="1:33" ht="15" customHeight="1" x14ac:dyDescent="0.2">
      <c r="A169" s="11"/>
      <c r="B169" s="11" t="s">
        <v>1211</v>
      </c>
      <c r="C169" s="13">
        <v>813</v>
      </c>
      <c r="D169" s="13" t="s">
        <v>420</v>
      </c>
      <c r="E169" s="20">
        <v>211</v>
      </c>
      <c r="F169" s="20">
        <v>187</v>
      </c>
      <c r="G169" s="20">
        <v>189</v>
      </c>
      <c r="H169" s="13" t="s">
        <v>2787</v>
      </c>
      <c r="I169" s="13" t="str">
        <f t="shared" si="6"/>
        <v>SR 822/Sheridan St (North 26th Av to North 46th Av)</v>
      </c>
      <c r="J169" s="13" t="s">
        <v>29</v>
      </c>
      <c r="K169" s="13" t="str">
        <f>VLOOKUP(J169,'Data-ProjectTypes'!A$3:B$13,2,FALSE)</f>
        <v>Program</v>
      </c>
      <c r="L169" s="21" t="s">
        <v>348</v>
      </c>
      <c r="M169" s="13" t="s">
        <v>2039</v>
      </c>
      <c r="N169" s="13" t="s">
        <v>2040</v>
      </c>
      <c r="O169" s="13" t="s">
        <v>270</v>
      </c>
      <c r="P169" s="13" t="s">
        <v>270</v>
      </c>
      <c r="Q169" s="22">
        <v>1.9</v>
      </c>
      <c r="R169" s="23">
        <v>442603</v>
      </c>
      <c r="S169" s="21"/>
      <c r="T169" s="21"/>
      <c r="U169" s="21"/>
      <c r="V169" s="24"/>
      <c r="W169" s="24"/>
      <c r="X169" s="24"/>
      <c r="Y169" s="17"/>
      <c r="Z169" s="18">
        <f>ROUND(R169*'Data-CostAssumptions'!$C$3,-3)</f>
        <v>613000</v>
      </c>
      <c r="AA169" s="11">
        <f t="shared" si="7"/>
        <v>0</v>
      </c>
      <c r="AB169" s="11">
        <v>2041</v>
      </c>
      <c r="AC169" s="11">
        <v>2041</v>
      </c>
      <c r="AD169" s="11">
        <v>2041</v>
      </c>
      <c r="AE169" s="19">
        <f>ROUND((Z169*'Data-CostAssumptions'!$G$5)*(1+'Data-CostAssumptions'!$G$3)^(AB169-'Data-CostAssumptions'!$G$4),-3)</f>
        <v>346000</v>
      </c>
      <c r="AF169" s="19">
        <f>ROUND((Z169)*(1+'Data-CostAssumptions'!$G$3)^(AD169-'Data-CostAssumptions'!$G$4),-3)</f>
        <v>1572000</v>
      </c>
      <c r="AG169" s="170" t="str">
        <f t="shared" si="8"/>
        <v>No</v>
      </c>
    </row>
    <row r="170" spans="1:33" ht="15" customHeight="1" x14ac:dyDescent="0.2">
      <c r="A170" s="11"/>
      <c r="B170" s="11" t="s">
        <v>1211</v>
      </c>
      <c r="C170" s="13">
        <v>812</v>
      </c>
      <c r="D170" s="13" t="s">
        <v>420</v>
      </c>
      <c r="E170" s="20">
        <v>209</v>
      </c>
      <c r="F170" s="20">
        <v>187</v>
      </c>
      <c r="G170" s="20">
        <v>188</v>
      </c>
      <c r="H170" s="13" t="s">
        <v>1971</v>
      </c>
      <c r="I170" s="13" t="str">
        <f t="shared" si="6"/>
        <v>Washington St (Park Rd to State Rd 7)</v>
      </c>
      <c r="J170" s="13" t="s">
        <v>29</v>
      </c>
      <c r="K170" s="13" t="str">
        <f>VLOOKUP(J170,'Data-ProjectTypes'!A$3:B$13,2,FALSE)</f>
        <v>Program</v>
      </c>
      <c r="L170" s="21" t="s">
        <v>562</v>
      </c>
      <c r="M170" s="13" t="s">
        <v>1857</v>
      </c>
      <c r="N170" s="13" t="s">
        <v>1772</v>
      </c>
      <c r="O170" s="13" t="s">
        <v>282</v>
      </c>
      <c r="P170" s="13" t="s">
        <v>282</v>
      </c>
      <c r="Q170" s="22">
        <v>1.9</v>
      </c>
      <c r="R170" s="23">
        <v>441370</v>
      </c>
      <c r="S170" s="21"/>
      <c r="T170" s="21"/>
      <c r="U170" s="21"/>
      <c r="V170" s="24"/>
      <c r="W170" s="24"/>
      <c r="X170" s="24"/>
      <c r="Y170" s="17"/>
      <c r="Z170" s="18">
        <f>ROUND(R170*'Data-CostAssumptions'!$C$3,-3)</f>
        <v>611000</v>
      </c>
      <c r="AA170" s="11">
        <f t="shared" si="7"/>
        <v>0</v>
      </c>
      <c r="AB170" s="11">
        <v>2041</v>
      </c>
      <c r="AC170" s="11">
        <v>2041</v>
      </c>
      <c r="AD170" s="11">
        <v>2041</v>
      </c>
      <c r="AE170" s="19">
        <f>ROUND((Z170*'Data-CostAssumptions'!$G$5)*(1+'Data-CostAssumptions'!$G$3)^(AB170-'Data-CostAssumptions'!$G$4),-3)</f>
        <v>345000</v>
      </c>
      <c r="AF170" s="19">
        <f>ROUND((Z170)*(1+'Data-CostAssumptions'!$G$3)^(AD170-'Data-CostAssumptions'!$G$4),-3)</f>
        <v>1567000</v>
      </c>
      <c r="AG170" s="170" t="str">
        <f t="shared" si="8"/>
        <v>No</v>
      </c>
    </row>
    <row r="171" spans="1:33" ht="15" customHeight="1" x14ac:dyDescent="0.2">
      <c r="A171" s="11"/>
      <c r="B171" s="11" t="s">
        <v>1211</v>
      </c>
      <c r="C171" s="13">
        <v>815</v>
      </c>
      <c r="D171" s="13" t="s">
        <v>420</v>
      </c>
      <c r="E171" s="20">
        <v>213</v>
      </c>
      <c r="F171" s="20">
        <v>187</v>
      </c>
      <c r="G171" s="20">
        <v>191</v>
      </c>
      <c r="H171" s="13" t="s">
        <v>1880</v>
      </c>
      <c r="I171" s="13" t="str">
        <f t="shared" si="6"/>
        <v>Johnson St (North 26th Av to North 46th Av)</v>
      </c>
      <c r="J171" s="13" t="s">
        <v>29</v>
      </c>
      <c r="K171" s="13" t="str">
        <f>VLOOKUP(J171,'Data-ProjectTypes'!A$3:B$13,2,FALSE)</f>
        <v>Program</v>
      </c>
      <c r="L171" s="21" t="s">
        <v>576</v>
      </c>
      <c r="M171" s="13" t="s">
        <v>2039</v>
      </c>
      <c r="N171" s="13" t="s">
        <v>2040</v>
      </c>
      <c r="O171" s="13" t="s">
        <v>282</v>
      </c>
      <c r="P171" s="13" t="s">
        <v>282</v>
      </c>
      <c r="Q171" s="22">
        <v>1.9</v>
      </c>
      <c r="R171" s="23">
        <v>437645</v>
      </c>
      <c r="S171" s="21"/>
      <c r="T171" s="21"/>
      <c r="U171" s="21"/>
      <c r="V171" s="24"/>
      <c r="W171" s="24"/>
      <c r="X171" s="24"/>
      <c r="Y171" s="17"/>
      <c r="Z171" s="18">
        <f>ROUND(R171*'Data-CostAssumptions'!$C$3,-3)</f>
        <v>606000</v>
      </c>
      <c r="AA171" s="11">
        <f t="shared" si="7"/>
        <v>0</v>
      </c>
      <c r="AB171" s="11">
        <v>2041</v>
      </c>
      <c r="AC171" s="11">
        <v>2041</v>
      </c>
      <c r="AD171" s="11">
        <v>2041</v>
      </c>
      <c r="AE171" s="19">
        <f>ROUND((Z171*'Data-CostAssumptions'!$G$5)*(1+'Data-CostAssumptions'!$G$3)^(AB171-'Data-CostAssumptions'!$G$4),-3)</f>
        <v>342000</v>
      </c>
      <c r="AF171" s="19">
        <f>ROUND((Z171)*(1+'Data-CostAssumptions'!$G$3)^(AD171-'Data-CostAssumptions'!$G$4),-3)</f>
        <v>1554000</v>
      </c>
      <c r="AG171" s="170" t="str">
        <f t="shared" si="8"/>
        <v>No</v>
      </c>
    </row>
    <row r="172" spans="1:33" ht="15" customHeight="1" x14ac:dyDescent="0.2">
      <c r="A172" s="11"/>
      <c r="B172" s="11" t="s">
        <v>1211</v>
      </c>
      <c r="C172" s="11">
        <v>12705</v>
      </c>
      <c r="D172" s="84" t="s">
        <v>278</v>
      </c>
      <c r="E172" s="14"/>
      <c r="F172" s="14"/>
      <c r="G172" s="20">
        <v>1844</v>
      </c>
      <c r="H172" s="13" t="s">
        <v>1934</v>
      </c>
      <c r="I172" s="13" t="str">
        <f t="shared" si="6"/>
        <v>NW 8th St (Flamingo Rd to NW 136th Av)</v>
      </c>
      <c r="J172" s="11" t="s">
        <v>29</v>
      </c>
      <c r="K172" s="13" t="str">
        <f>VLOOKUP(J172,'Data-ProjectTypes'!A$3:B$13,2,FALSE)</f>
        <v>Program</v>
      </c>
      <c r="L172" s="11" t="s">
        <v>817</v>
      </c>
      <c r="M172" s="11" t="s">
        <v>159</v>
      </c>
      <c r="N172" s="11" t="s">
        <v>2052</v>
      </c>
      <c r="O172" s="11"/>
      <c r="P172" s="11"/>
      <c r="Q172" s="15">
        <v>1</v>
      </c>
      <c r="R172" s="16">
        <v>435000</v>
      </c>
      <c r="S172" s="21" t="s">
        <v>24</v>
      </c>
      <c r="T172" s="21" t="s">
        <v>25</v>
      </c>
      <c r="U172" s="21" t="s">
        <v>24</v>
      </c>
      <c r="V172" s="24"/>
      <c r="W172" s="24"/>
      <c r="X172" s="24"/>
      <c r="Y172" s="17" t="s">
        <v>538</v>
      </c>
      <c r="Z172" s="18">
        <f>ROUND(R172*'Data-CostAssumptions'!$C$3,-3)</f>
        <v>602000</v>
      </c>
      <c r="AA172" s="11">
        <f t="shared" si="7"/>
        <v>0</v>
      </c>
      <c r="AB172" s="11">
        <v>2041</v>
      </c>
      <c r="AC172" s="11">
        <v>2041</v>
      </c>
      <c r="AD172" s="11">
        <v>2041</v>
      </c>
      <c r="AE172" s="19">
        <f>ROUND((Z172*'Data-CostAssumptions'!$G$5)*(1+'Data-CostAssumptions'!$G$3)^(AB172-'Data-CostAssumptions'!$G$4),-3)</f>
        <v>340000</v>
      </c>
      <c r="AF172" s="19">
        <f>ROUND((Z172)*(1+'Data-CostAssumptions'!$G$3)^(AD172-'Data-CostAssumptions'!$G$4),-3)</f>
        <v>1543000</v>
      </c>
      <c r="AG172" s="170" t="str">
        <f t="shared" si="8"/>
        <v>No</v>
      </c>
    </row>
    <row r="173" spans="1:33" ht="15" customHeight="1" x14ac:dyDescent="0.2">
      <c r="B173" s="11" t="s">
        <v>1211</v>
      </c>
      <c r="D173" s="84" t="s">
        <v>276</v>
      </c>
      <c r="E173" s="104">
        <v>24</v>
      </c>
      <c r="G173" s="20">
        <v>1361</v>
      </c>
      <c r="H173" s="13" t="s">
        <v>1823</v>
      </c>
      <c r="I173" s="13" t="str">
        <f t="shared" si="6"/>
        <v>Las Olas Bl (SE 15TH Av to US 1/SR 5/FEDERAL HWY)</v>
      </c>
      <c r="J173" s="12" t="s">
        <v>29</v>
      </c>
      <c r="K173" s="13" t="str">
        <f>VLOOKUP(J173,'Data-ProjectTypes'!A$3:B$13,2,FALSE)</f>
        <v>Program</v>
      </c>
      <c r="L173" s="12" t="s">
        <v>1290</v>
      </c>
      <c r="M173" s="105" t="s">
        <v>2607</v>
      </c>
      <c r="N173" s="12" t="s">
        <v>1425</v>
      </c>
      <c r="Q173" s="72">
        <v>0.5</v>
      </c>
      <c r="R173" s="23">
        <v>432600</v>
      </c>
      <c r="S173" s="21"/>
      <c r="T173" s="21"/>
      <c r="U173" s="21"/>
      <c r="V173" s="24"/>
      <c r="W173" s="24"/>
      <c r="X173" s="24"/>
      <c r="Y173" s="17"/>
      <c r="Z173" s="18">
        <f>ROUND(R173*'Data-CostAssumptions'!$C$3,-3)</f>
        <v>599000</v>
      </c>
      <c r="AA173" s="11">
        <f t="shared" si="7"/>
        <v>0</v>
      </c>
      <c r="AB173" s="11">
        <v>2041</v>
      </c>
      <c r="AC173" s="11">
        <v>2041</v>
      </c>
      <c r="AD173" s="11">
        <v>2041</v>
      </c>
      <c r="AE173" s="19">
        <f>ROUND((Z173*'Data-CostAssumptions'!$G$5)*(1+'Data-CostAssumptions'!$G$3)^(AB173-'Data-CostAssumptions'!$G$4),-3)</f>
        <v>338000</v>
      </c>
      <c r="AF173" s="19">
        <f>ROUND((Z173)*(1+'Data-CostAssumptions'!$G$3)^(AD173-'Data-CostAssumptions'!$G$4),-3)</f>
        <v>1536000</v>
      </c>
      <c r="AG173" s="170" t="str">
        <f t="shared" si="8"/>
        <v>No</v>
      </c>
    </row>
    <row r="174" spans="1:33" ht="15" customHeight="1" x14ac:dyDescent="0.2">
      <c r="B174" s="11" t="s">
        <v>1211</v>
      </c>
      <c r="D174" s="84" t="s">
        <v>276</v>
      </c>
      <c r="E174" s="104">
        <v>23</v>
      </c>
      <c r="G174" s="20">
        <v>1363</v>
      </c>
      <c r="H174" s="13" t="s">
        <v>1823</v>
      </c>
      <c r="I174" s="13" t="str">
        <f t="shared" si="6"/>
        <v>Las Olas Bl (US 1/SR 5/FEDERAL HWY to SW 1ST Av)</v>
      </c>
      <c r="J174" s="12" t="s">
        <v>29</v>
      </c>
      <c r="K174" s="13" t="str">
        <f>VLOOKUP(J174,'Data-ProjectTypes'!A$3:B$13,2,FALSE)</f>
        <v>Program</v>
      </c>
      <c r="L174" s="12" t="s">
        <v>1292</v>
      </c>
      <c r="M174" s="105" t="s">
        <v>1425</v>
      </c>
      <c r="N174" s="12" t="s">
        <v>2187</v>
      </c>
      <c r="Q174" s="72">
        <v>0.3</v>
      </c>
      <c r="R174" s="23">
        <v>432000</v>
      </c>
      <c r="S174" s="21"/>
      <c r="T174" s="21"/>
      <c r="U174" s="21"/>
      <c r="V174" s="24"/>
      <c r="W174" s="24"/>
      <c r="X174" s="24"/>
      <c r="Y174" s="17"/>
      <c r="Z174" s="18">
        <f>ROUND(R174*'Data-CostAssumptions'!$C$3,-3)</f>
        <v>598000</v>
      </c>
      <c r="AA174" s="11">
        <f t="shared" si="7"/>
        <v>0</v>
      </c>
      <c r="AB174" s="11">
        <v>2041</v>
      </c>
      <c r="AC174" s="11">
        <v>2041</v>
      </c>
      <c r="AD174" s="11">
        <v>2041</v>
      </c>
      <c r="AE174" s="19">
        <f>ROUND((Z174*'Data-CostAssumptions'!$G$5)*(1+'Data-CostAssumptions'!$G$3)^(AB174-'Data-CostAssumptions'!$G$4),-3)</f>
        <v>337000</v>
      </c>
      <c r="AF174" s="19">
        <f>ROUND((Z174)*(1+'Data-CostAssumptions'!$G$3)^(AD174-'Data-CostAssumptions'!$G$4),-3)</f>
        <v>1533000</v>
      </c>
      <c r="AG174" s="170" t="str">
        <f t="shared" si="8"/>
        <v>No</v>
      </c>
    </row>
    <row r="175" spans="1:33" ht="15" customHeight="1" x14ac:dyDescent="0.2">
      <c r="A175" s="11"/>
      <c r="B175" s="11" t="s">
        <v>1211</v>
      </c>
      <c r="C175" s="13">
        <v>739</v>
      </c>
      <c r="D175" s="13" t="s">
        <v>420</v>
      </c>
      <c r="E175" s="20">
        <v>18</v>
      </c>
      <c r="F175" s="20">
        <v>183</v>
      </c>
      <c r="G175" s="20">
        <v>117</v>
      </c>
      <c r="H175" s="13" t="s">
        <v>1827</v>
      </c>
      <c r="I175" s="13" t="str">
        <f t="shared" si="6"/>
        <v>Royal Palm Bl (Rock Island Rd to University Dr)</v>
      </c>
      <c r="J175" s="13" t="s">
        <v>29</v>
      </c>
      <c r="K175" s="13" t="str">
        <f>VLOOKUP(J175,'Data-ProjectTypes'!A$3:B$13,2,FALSE)</f>
        <v>Program</v>
      </c>
      <c r="L175" s="21" t="s">
        <v>348</v>
      </c>
      <c r="M175" s="13" t="s">
        <v>1768</v>
      </c>
      <c r="N175" s="13" t="s">
        <v>1804</v>
      </c>
      <c r="O175" s="13" t="s">
        <v>272</v>
      </c>
      <c r="P175" s="13" t="s">
        <v>272</v>
      </c>
      <c r="Q175" s="22">
        <v>1.9</v>
      </c>
      <c r="R175" s="23">
        <v>429187</v>
      </c>
      <c r="S175" s="21"/>
      <c r="T175" s="21" t="s">
        <v>24</v>
      </c>
      <c r="U175" s="21" t="s">
        <v>25</v>
      </c>
      <c r="V175" s="24" t="s">
        <v>24</v>
      </c>
      <c r="W175" s="24" t="s">
        <v>571</v>
      </c>
      <c r="X175" s="24"/>
      <c r="Y175" s="17" t="s">
        <v>538</v>
      </c>
      <c r="Z175" s="18">
        <f>ROUND(R175*'Data-CostAssumptions'!$C$3,-3)</f>
        <v>594000</v>
      </c>
      <c r="AA175" s="11">
        <f t="shared" si="7"/>
        <v>1</v>
      </c>
      <c r="AB175" s="11">
        <v>2041</v>
      </c>
      <c r="AC175" s="11">
        <v>2041</v>
      </c>
      <c r="AD175" s="11">
        <v>2041</v>
      </c>
      <c r="AE175" s="19">
        <f>ROUND((Z175*'Data-CostAssumptions'!$G$5)*(1+'Data-CostAssumptions'!$G$3)^(AB175-'Data-CostAssumptions'!$G$4),-3)</f>
        <v>335000</v>
      </c>
      <c r="AF175" s="19">
        <f>ROUND((Z175)*(1+'Data-CostAssumptions'!$G$3)^(AD175-'Data-CostAssumptions'!$G$4),-3)</f>
        <v>1523000</v>
      </c>
      <c r="AG175" s="170" t="str">
        <f t="shared" si="8"/>
        <v>No</v>
      </c>
    </row>
    <row r="176" spans="1:33" ht="15" customHeight="1" x14ac:dyDescent="0.2">
      <c r="A176" s="11"/>
      <c r="B176" s="11" t="s">
        <v>1211</v>
      </c>
      <c r="C176" s="13">
        <v>698</v>
      </c>
      <c r="D176" s="13" t="s">
        <v>420</v>
      </c>
      <c r="E176" s="20">
        <v>95</v>
      </c>
      <c r="F176" s="20">
        <v>181</v>
      </c>
      <c r="G176" s="20">
        <v>76</v>
      </c>
      <c r="H176" s="13" t="s">
        <v>1887</v>
      </c>
      <c r="I176" s="13" t="str">
        <f t="shared" si="6"/>
        <v>NE 26th St (US 1/Federal Hwy to Andrews Av)</v>
      </c>
      <c r="J176" s="13" t="s">
        <v>29</v>
      </c>
      <c r="K176" s="13" t="str">
        <f>VLOOKUP(J176,'Data-ProjectTypes'!A$3:B$13,2,FALSE)</f>
        <v>Program</v>
      </c>
      <c r="L176" s="26" t="s">
        <v>847</v>
      </c>
      <c r="M176" s="13" t="s">
        <v>2594</v>
      </c>
      <c r="N176" s="13" t="s">
        <v>2014</v>
      </c>
      <c r="O176" s="13" t="s">
        <v>273</v>
      </c>
      <c r="P176" s="13" t="s">
        <v>273</v>
      </c>
      <c r="Q176" s="22">
        <v>1.8</v>
      </c>
      <c r="R176" s="23">
        <v>426157</v>
      </c>
      <c r="S176" s="12" t="s">
        <v>24</v>
      </c>
      <c r="T176" s="21" t="s">
        <v>25</v>
      </c>
      <c r="U176" s="21" t="s">
        <v>24</v>
      </c>
      <c r="V176" s="24" t="s">
        <v>561</v>
      </c>
      <c r="W176" s="24"/>
      <c r="X176" s="24"/>
      <c r="Y176" s="17" t="s">
        <v>538</v>
      </c>
      <c r="Z176" s="18">
        <f>ROUND(R176*'Data-CostAssumptions'!$C$3,-3)</f>
        <v>590000</v>
      </c>
      <c r="AA176" s="11">
        <f t="shared" si="7"/>
        <v>1</v>
      </c>
      <c r="AB176" s="11">
        <v>2041</v>
      </c>
      <c r="AC176" s="11">
        <v>2041</v>
      </c>
      <c r="AD176" s="11">
        <v>2041</v>
      </c>
      <c r="AE176" s="19">
        <f>ROUND((Z176*'Data-CostAssumptions'!$G$5)*(1+'Data-CostAssumptions'!$G$3)^(AB176-'Data-CostAssumptions'!$G$4),-3)</f>
        <v>333000</v>
      </c>
      <c r="AF176" s="19">
        <f>ROUND((Z176)*(1+'Data-CostAssumptions'!$G$3)^(AD176-'Data-CostAssumptions'!$G$4),-3)</f>
        <v>1513000</v>
      </c>
      <c r="AG176" s="170" t="str">
        <f t="shared" si="8"/>
        <v>No</v>
      </c>
    </row>
    <row r="177" spans="1:33" ht="15" customHeight="1" x14ac:dyDescent="0.2">
      <c r="A177" s="11"/>
      <c r="B177" s="11" t="s">
        <v>1211</v>
      </c>
      <c r="C177" s="13">
        <v>654</v>
      </c>
      <c r="D177" s="13" t="s">
        <v>420</v>
      </c>
      <c r="E177" s="20">
        <v>97</v>
      </c>
      <c r="F177" s="20">
        <v>178</v>
      </c>
      <c r="G177" s="20">
        <v>35</v>
      </c>
      <c r="H177" s="13" t="s">
        <v>2755</v>
      </c>
      <c r="I177" s="13" t="str">
        <f t="shared" si="6"/>
        <v>SR 811/Dixie Hwy (NE 13th St to Oakland Park Bl)</v>
      </c>
      <c r="J177" s="13" t="s">
        <v>29</v>
      </c>
      <c r="K177" s="13" t="str">
        <f>VLOOKUP(J177,'Data-ProjectTypes'!A$3:B$13,2,FALSE)</f>
        <v>Program</v>
      </c>
      <c r="L177" s="26" t="s">
        <v>847</v>
      </c>
      <c r="M177" s="13" t="s">
        <v>2488</v>
      </c>
      <c r="N177" s="13" t="s">
        <v>1825</v>
      </c>
      <c r="O177" s="13" t="s">
        <v>272</v>
      </c>
      <c r="P177" s="13" t="s">
        <v>272</v>
      </c>
      <c r="Q177" s="22">
        <v>1.8</v>
      </c>
      <c r="R177" s="23">
        <v>421899</v>
      </c>
      <c r="S177" s="21" t="s">
        <v>24</v>
      </c>
      <c r="T177" s="21" t="s">
        <v>25</v>
      </c>
      <c r="U177" s="21"/>
      <c r="V177" s="24"/>
      <c r="W177" s="24" t="s">
        <v>566</v>
      </c>
      <c r="X177" s="24"/>
      <c r="Y177" s="17" t="s">
        <v>556</v>
      </c>
      <c r="Z177" s="18">
        <f>ROUND(R177*'Data-CostAssumptions'!$C$3,-3)</f>
        <v>584000</v>
      </c>
      <c r="AA177" s="11">
        <f t="shared" si="7"/>
        <v>1</v>
      </c>
      <c r="AB177" s="11">
        <v>2041</v>
      </c>
      <c r="AC177" s="11">
        <v>2041</v>
      </c>
      <c r="AD177" s="11">
        <v>2041</v>
      </c>
      <c r="AE177" s="19">
        <f>ROUND((Z177*'Data-CostAssumptions'!$G$5)*(1+'Data-CostAssumptions'!$G$3)^(AB177-'Data-CostAssumptions'!$G$4),-3)</f>
        <v>329000</v>
      </c>
      <c r="AF177" s="19">
        <f>ROUND((Z177)*(1+'Data-CostAssumptions'!$G$3)^(AD177-'Data-CostAssumptions'!$G$4),-3)</f>
        <v>1497000</v>
      </c>
      <c r="AG177" s="170" t="str">
        <f t="shared" si="8"/>
        <v>No</v>
      </c>
    </row>
    <row r="178" spans="1:33" ht="15" customHeight="1" x14ac:dyDescent="0.2">
      <c r="A178" s="11"/>
      <c r="B178" s="11" t="s">
        <v>1211</v>
      </c>
      <c r="C178" s="13">
        <v>820</v>
      </c>
      <c r="D178" s="13" t="s">
        <v>420</v>
      </c>
      <c r="E178" s="20">
        <v>232</v>
      </c>
      <c r="F178" s="20">
        <v>188</v>
      </c>
      <c r="G178" s="20">
        <v>196</v>
      </c>
      <c r="H178" s="13" t="s">
        <v>1973</v>
      </c>
      <c r="I178" s="13" t="str">
        <f t="shared" si="6"/>
        <v>Coconut Creek Pkwy/Martin Luther King Bl (NW 26th Av to Lyons Rd)</v>
      </c>
      <c r="J178" s="13" t="s">
        <v>29</v>
      </c>
      <c r="K178" s="13" t="str">
        <f>VLOOKUP(J178,'Data-ProjectTypes'!A$3:B$13,2,FALSE)</f>
        <v>Program</v>
      </c>
      <c r="L178" s="21" t="s">
        <v>348</v>
      </c>
      <c r="M178" s="13" t="s">
        <v>2222</v>
      </c>
      <c r="N178" s="13" t="s">
        <v>1754</v>
      </c>
      <c r="O178" s="13" t="s">
        <v>273</v>
      </c>
      <c r="P178" s="13" t="s">
        <v>273</v>
      </c>
      <c r="Q178" s="22">
        <v>1.8</v>
      </c>
      <c r="R178" s="23">
        <v>415183</v>
      </c>
      <c r="S178" s="21" t="s">
        <v>24</v>
      </c>
      <c r="T178" s="21"/>
      <c r="U178" s="21"/>
      <c r="V178" s="24"/>
      <c r="W178" s="24"/>
      <c r="X178" s="28"/>
      <c r="Y178" s="17" t="s">
        <v>765</v>
      </c>
      <c r="Z178" s="18">
        <f>ROUND(R178*'Data-CostAssumptions'!$C$3,-3)</f>
        <v>575000</v>
      </c>
      <c r="AA178" s="11">
        <f t="shared" si="7"/>
        <v>0</v>
      </c>
      <c r="AB178" s="11">
        <v>2041</v>
      </c>
      <c r="AC178" s="11">
        <v>2041</v>
      </c>
      <c r="AD178" s="11">
        <v>2041</v>
      </c>
      <c r="AE178" s="19">
        <f>ROUND((Z178*'Data-CostAssumptions'!$G$5)*(1+'Data-CostAssumptions'!$G$3)^(AB178-'Data-CostAssumptions'!$G$4),-3)</f>
        <v>324000</v>
      </c>
      <c r="AF178" s="19">
        <f>ROUND((Z178)*(1+'Data-CostAssumptions'!$G$3)^(AD178-'Data-CostAssumptions'!$G$4),-3)</f>
        <v>1474000</v>
      </c>
      <c r="AG178" s="170" t="str">
        <f t="shared" si="8"/>
        <v>No</v>
      </c>
    </row>
    <row r="179" spans="1:33" ht="15" customHeight="1" x14ac:dyDescent="0.2">
      <c r="A179" s="11"/>
      <c r="B179" s="11" t="s">
        <v>1211</v>
      </c>
      <c r="C179" s="13">
        <v>918</v>
      </c>
      <c r="D179" s="13" t="s">
        <v>420</v>
      </c>
      <c r="E179" s="20">
        <v>295</v>
      </c>
      <c r="F179" s="20">
        <v>193</v>
      </c>
      <c r="G179" s="20">
        <v>294</v>
      </c>
      <c r="H179" s="13" t="s">
        <v>1755</v>
      </c>
      <c r="I179" s="13" t="str">
        <f t="shared" si="6"/>
        <v>Nob Hill Rd (Broward Bl to Sunrise Bl)</v>
      </c>
      <c r="J179" s="13" t="s">
        <v>29</v>
      </c>
      <c r="K179" s="13" t="str">
        <f>VLOOKUP(J179,'Data-ProjectTypes'!A$3:B$13,2,FALSE)</f>
        <v>Program</v>
      </c>
      <c r="L179" s="21" t="s">
        <v>348</v>
      </c>
      <c r="M179" s="13" t="s">
        <v>1811</v>
      </c>
      <c r="N179" s="13" t="s">
        <v>1830</v>
      </c>
      <c r="O179" s="13" t="s">
        <v>284</v>
      </c>
      <c r="P179" s="13" t="s">
        <v>284</v>
      </c>
      <c r="Q179" s="22">
        <v>1.8</v>
      </c>
      <c r="R179" s="23">
        <v>414328</v>
      </c>
      <c r="S179" s="29" t="s">
        <v>792</v>
      </c>
      <c r="T179" s="21"/>
      <c r="U179" s="21"/>
      <c r="V179" s="24"/>
      <c r="W179" s="24" t="s">
        <v>793</v>
      </c>
      <c r="X179" s="36" t="s">
        <v>3234</v>
      </c>
      <c r="Y179" s="17" t="s">
        <v>790</v>
      </c>
      <c r="Z179" s="18">
        <f>ROUND(R179*'Data-CostAssumptions'!$C$3,-3)</f>
        <v>573000</v>
      </c>
      <c r="AA179" s="11">
        <f t="shared" si="7"/>
        <v>1</v>
      </c>
      <c r="AB179" s="11">
        <v>2041</v>
      </c>
      <c r="AC179" s="11">
        <v>2041</v>
      </c>
      <c r="AD179" s="11">
        <v>2041</v>
      </c>
      <c r="AE179" s="19">
        <f>ROUND((Z179*'Data-CostAssumptions'!$G$5)*(1+'Data-CostAssumptions'!$G$3)^(AB179-'Data-CostAssumptions'!$G$4),-3)</f>
        <v>323000</v>
      </c>
      <c r="AF179" s="19">
        <f>ROUND((Z179)*(1+'Data-CostAssumptions'!$G$3)^(AD179-'Data-CostAssumptions'!$G$4),-3)</f>
        <v>1469000</v>
      </c>
      <c r="AG179" s="170" t="str">
        <f t="shared" si="8"/>
        <v>No</v>
      </c>
    </row>
    <row r="180" spans="1:33" ht="15" customHeight="1" x14ac:dyDescent="0.2">
      <c r="A180" s="11"/>
      <c r="B180" s="11" t="s">
        <v>1211</v>
      </c>
      <c r="C180" s="13">
        <v>806</v>
      </c>
      <c r="D180" s="13" t="s">
        <v>420</v>
      </c>
      <c r="E180" s="20">
        <v>142</v>
      </c>
      <c r="F180" s="20">
        <v>187</v>
      </c>
      <c r="G180" s="20">
        <v>182</v>
      </c>
      <c r="H180" s="13" t="s">
        <v>2803</v>
      </c>
      <c r="I180" s="13" t="str">
        <f t="shared" si="6"/>
        <v>SR 870/Commercial Bl (Prospect Rd to State Rd 7)</v>
      </c>
      <c r="J180" s="13" t="s">
        <v>29</v>
      </c>
      <c r="K180" s="13" t="str">
        <f>VLOOKUP(J180,'Data-ProjectTypes'!A$3:B$13,2,FALSE)</f>
        <v>Program</v>
      </c>
      <c r="L180" s="21" t="s">
        <v>348</v>
      </c>
      <c r="M180" s="13" t="s">
        <v>1859</v>
      </c>
      <c r="N180" s="13" t="s">
        <v>1772</v>
      </c>
      <c r="O180" s="13" t="s">
        <v>270</v>
      </c>
      <c r="P180" s="13" t="s">
        <v>270</v>
      </c>
      <c r="Q180" s="22">
        <v>1.8</v>
      </c>
      <c r="R180" s="23">
        <v>413268</v>
      </c>
      <c r="S180" s="21"/>
      <c r="T180" s="21"/>
      <c r="U180" s="21"/>
      <c r="V180" s="24"/>
      <c r="W180" s="24"/>
      <c r="X180" s="24"/>
      <c r="Y180" s="17"/>
      <c r="Z180" s="18">
        <f>ROUND(R180*'Data-CostAssumptions'!$C$3,-3)</f>
        <v>572000</v>
      </c>
      <c r="AA180" s="11">
        <f t="shared" si="7"/>
        <v>0</v>
      </c>
      <c r="AB180" s="11">
        <v>2041</v>
      </c>
      <c r="AC180" s="11">
        <v>2041</v>
      </c>
      <c r="AD180" s="11">
        <v>2041</v>
      </c>
      <c r="AE180" s="19">
        <f>ROUND((Z180*'Data-CostAssumptions'!$G$5)*(1+'Data-CostAssumptions'!$G$3)^(AB180-'Data-CostAssumptions'!$G$4),-3)</f>
        <v>323000</v>
      </c>
      <c r="AF180" s="19">
        <f>ROUND((Z180)*(1+'Data-CostAssumptions'!$G$3)^(AD180-'Data-CostAssumptions'!$G$4),-3)</f>
        <v>1467000</v>
      </c>
      <c r="AG180" s="170" t="str">
        <f t="shared" si="8"/>
        <v>No</v>
      </c>
    </row>
    <row r="181" spans="1:33" ht="15" customHeight="1" x14ac:dyDescent="0.2">
      <c r="A181" s="11"/>
      <c r="B181" s="11" t="s">
        <v>1211</v>
      </c>
      <c r="C181" s="13">
        <v>845</v>
      </c>
      <c r="D181" s="13" t="s">
        <v>420</v>
      </c>
      <c r="E181" s="20">
        <v>48</v>
      </c>
      <c r="F181" s="20">
        <v>189</v>
      </c>
      <c r="G181" s="20">
        <v>221</v>
      </c>
      <c r="H181" s="13" t="s">
        <v>2798</v>
      </c>
      <c r="I181" s="13" t="str">
        <f t="shared" si="6"/>
        <v>SR 842/Broward Bl (Nob Hill Rd to Flamingo Rd)</v>
      </c>
      <c r="J181" s="13" t="s">
        <v>29</v>
      </c>
      <c r="K181" s="13" t="str">
        <f>VLOOKUP(J181,'Data-ProjectTypes'!A$3:B$13,2,FALSE)</f>
        <v>Program</v>
      </c>
      <c r="L181" s="21" t="s">
        <v>348</v>
      </c>
      <c r="M181" s="13" t="s">
        <v>1755</v>
      </c>
      <c r="N181" s="13" t="s">
        <v>159</v>
      </c>
      <c r="O181" s="13" t="s">
        <v>273</v>
      </c>
      <c r="P181" s="13" t="s">
        <v>273</v>
      </c>
      <c r="Q181" s="22">
        <v>1.8</v>
      </c>
      <c r="R181" s="23">
        <v>411548</v>
      </c>
      <c r="S181" s="21" t="s">
        <v>24</v>
      </c>
      <c r="T181" s="21"/>
      <c r="U181" s="21"/>
      <c r="V181" s="24"/>
      <c r="W181" s="24" t="s">
        <v>561</v>
      </c>
      <c r="X181" s="24"/>
      <c r="Y181" s="17" t="s">
        <v>687</v>
      </c>
      <c r="Z181" s="18">
        <f>ROUND(R181*'Data-CostAssumptions'!$C$3,-3)</f>
        <v>570000</v>
      </c>
      <c r="AA181" s="11">
        <f t="shared" si="7"/>
        <v>1</v>
      </c>
      <c r="AB181" s="11">
        <v>2041</v>
      </c>
      <c r="AC181" s="11">
        <v>2041</v>
      </c>
      <c r="AD181" s="11">
        <v>2041</v>
      </c>
      <c r="AE181" s="19">
        <f>ROUND((Z181*'Data-CostAssumptions'!$G$5)*(1+'Data-CostAssumptions'!$G$3)^(AB181-'Data-CostAssumptions'!$G$4),-3)</f>
        <v>322000</v>
      </c>
      <c r="AF181" s="19">
        <f>ROUND((Z181)*(1+'Data-CostAssumptions'!$G$3)^(AD181-'Data-CostAssumptions'!$G$4),-3)</f>
        <v>1461000</v>
      </c>
      <c r="AG181" s="170" t="str">
        <f t="shared" si="8"/>
        <v>No</v>
      </c>
    </row>
    <row r="182" spans="1:33" ht="15" customHeight="1" x14ac:dyDescent="0.2">
      <c r="A182" s="11"/>
      <c r="B182" s="11" t="s">
        <v>1211</v>
      </c>
      <c r="C182" s="13">
        <v>703</v>
      </c>
      <c r="D182" s="13" t="s">
        <v>420</v>
      </c>
      <c r="E182" s="20">
        <v>145</v>
      </c>
      <c r="F182" s="20">
        <v>181</v>
      </c>
      <c r="G182" s="20">
        <v>81</v>
      </c>
      <c r="H182" s="13" t="s">
        <v>57</v>
      </c>
      <c r="I182" s="13" t="str">
        <f t="shared" si="6"/>
        <v>SR 7/US 441 (Sunrise Bl to NW 29th St)</v>
      </c>
      <c r="J182" s="13" t="s">
        <v>29</v>
      </c>
      <c r="K182" s="13" t="str">
        <f>VLOOKUP(J182,'Data-ProjectTypes'!A$3:B$13,2,FALSE)</f>
        <v>Program</v>
      </c>
      <c r="L182" s="21" t="s">
        <v>348</v>
      </c>
      <c r="M182" s="13" t="s">
        <v>1830</v>
      </c>
      <c r="N182" s="13" t="s">
        <v>2564</v>
      </c>
      <c r="O182" s="13" t="s">
        <v>270</v>
      </c>
      <c r="P182" s="13" t="s">
        <v>270</v>
      </c>
      <c r="Q182" s="22">
        <v>1.8</v>
      </c>
      <c r="R182" s="23">
        <v>411420</v>
      </c>
      <c r="S182" s="21" t="s">
        <v>24</v>
      </c>
      <c r="T182" s="21" t="s">
        <v>25</v>
      </c>
      <c r="U182" s="21" t="s">
        <v>25</v>
      </c>
      <c r="V182" s="24"/>
      <c r="W182" s="24"/>
      <c r="X182" s="24"/>
      <c r="Y182" s="17" t="s">
        <v>685</v>
      </c>
      <c r="Z182" s="18">
        <f>ROUND(R182*'Data-CostAssumptions'!$C$3,-3)</f>
        <v>569000</v>
      </c>
      <c r="AA182" s="11">
        <f t="shared" si="7"/>
        <v>0</v>
      </c>
      <c r="AB182" s="11">
        <v>2041</v>
      </c>
      <c r="AC182" s="11">
        <v>2041</v>
      </c>
      <c r="AD182" s="11">
        <v>2041</v>
      </c>
      <c r="AE182" s="19">
        <f>ROUND((Z182*'Data-CostAssumptions'!$G$5)*(1+'Data-CostAssumptions'!$G$3)^(AB182-'Data-CostAssumptions'!$G$4),-3)</f>
        <v>321000</v>
      </c>
      <c r="AF182" s="19">
        <f>ROUND((Z182)*(1+'Data-CostAssumptions'!$G$3)^(AD182-'Data-CostAssumptions'!$G$4),-3)</f>
        <v>1459000</v>
      </c>
      <c r="AG182" s="170" t="str">
        <f t="shared" si="8"/>
        <v>No</v>
      </c>
    </row>
    <row r="183" spans="1:33" ht="15" customHeight="1" x14ac:dyDescent="0.2">
      <c r="A183" s="11"/>
      <c r="B183" s="11" t="s">
        <v>1211</v>
      </c>
      <c r="C183" s="13">
        <v>671</v>
      </c>
      <c r="D183" s="13" t="s">
        <v>420</v>
      </c>
      <c r="E183" s="20">
        <v>171</v>
      </c>
      <c r="F183" s="20">
        <v>179</v>
      </c>
      <c r="G183" s="20">
        <v>52</v>
      </c>
      <c r="H183" s="13" t="s">
        <v>1763</v>
      </c>
      <c r="I183" s="13" t="str">
        <f t="shared" si="6"/>
        <v>Peters Rd (Tropical Way to Pine Island Rd)</v>
      </c>
      <c r="J183" s="13" t="s">
        <v>29</v>
      </c>
      <c r="K183" s="13" t="str">
        <f>VLOOKUP(J183,'Data-ProjectTypes'!A$3:B$13,2,FALSE)</f>
        <v>Program</v>
      </c>
      <c r="L183" s="21" t="s">
        <v>348</v>
      </c>
      <c r="M183" s="13" t="s">
        <v>66</v>
      </c>
      <c r="N183" s="13" t="s">
        <v>266</v>
      </c>
      <c r="O183" s="13" t="s">
        <v>273</v>
      </c>
      <c r="P183" s="13" t="s">
        <v>273</v>
      </c>
      <c r="Q183" s="22">
        <v>1.8</v>
      </c>
      <c r="R183" s="23">
        <v>409091</v>
      </c>
      <c r="S183" s="21"/>
      <c r="T183" s="21"/>
      <c r="U183" s="21"/>
      <c r="V183" s="24"/>
      <c r="W183" s="24" t="s">
        <v>696</v>
      </c>
      <c r="X183" s="24"/>
      <c r="Y183" s="17" t="s">
        <v>287</v>
      </c>
      <c r="Z183" s="18">
        <f>ROUND(R183*'Data-CostAssumptions'!$C$3,-3)</f>
        <v>566000</v>
      </c>
      <c r="AA183" s="11">
        <f t="shared" si="7"/>
        <v>1</v>
      </c>
      <c r="AB183" s="11">
        <v>2041</v>
      </c>
      <c r="AC183" s="11">
        <v>2041</v>
      </c>
      <c r="AD183" s="11">
        <v>2041</v>
      </c>
      <c r="AE183" s="19">
        <f>ROUND((Z183*'Data-CostAssumptions'!$G$5)*(1+'Data-CostAssumptions'!$G$3)^(AB183-'Data-CostAssumptions'!$G$4),-3)</f>
        <v>319000</v>
      </c>
      <c r="AF183" s="19">
        <f>ROUND((Z183)*(1+'Data-CostAssumptions'!$G$3)^(AD183-'Data-CostAssumptions'!$G$4),-3)</f>
        <v>1451000</v>
      </c>
      <c r="AG183" s="170" t="str">
        <f t="shared" si="8"/>
        <v>No</v>
      </c>
    </row>
    <row r="184" spans="1:33" ht="15" customHeight="1" x14ac:dyDescent="0.2">
      <c r="A184" s="11"/>
      <c r="B184" s="11" t="s">
        <v>1211</v>
      </c>
      <c r="C184" s="13">
        <v>670</v>
      </c>
      <c r="D184" s="13" t="s">
        <v>420</v>
      </c>
      <c r="E184" s="20">
        <v>162</v>
      </c>
      <c r="F184" s="20">
        <v>179</v>
      </c>
      <c r="G184" s="20">
        <v>51</v>
      </c>
      <c r="H184" s="13" t="s">
        <v>1926</v>
      </c>
      <c r="I184" s="13" t="str">
        <f t="shared" si="6"/>
        <v>NW 5th St (Sunrise Bl to University Bl)</v>
      </c>
      <c r="J184" s="13" t="s">
        <v>29</v>
      </c>
      <c r="K184" s="13" t="str">
        <f>VLOOKUP(J184,'Data-ProjectTypes'!A$3:B$13,2,FALSE)</f>
        <v>Program</v>
      </c>
      <c r="L184" s="21" t="s">
        <v>348</v>
      </c>
      <c r="M184" s="13" t="s">
        <v>1830</v>
      </c>
      <c r="N184" s="13" t="s">
        <v>2277</v>
      </c>
      <c r="O184" s="13" t="s">
        <v>284</v>
      </c>
      <c r="P184" s="13" t="s">
        <v>284</v>
      </c>
      <c r="Q184" s="22">
        <v>1.8</v>
      </c>
      <c r="R184" s="23">
        <v>408079</v>
      </c>
      <c r="S184" s="21"/>
      <c r="T184" s="21"/>
      <c r="U184" s="21"/>
      <c r="V184" s="24"/>
      <c r="W184" s="24" t="s">
        <v>696</v>
      </c>
      <c r="X184" s="24"/>
      <c r="Y184" s="17" t="s">
        <v>287</v>
      </c>
      <c r="Z184" s="18">
        <f>ROUND(R184*'Data-CostAssumptions'!$C$3,-3)</f>
        <v>565000</v>
      </c>
      <c r="AA184" s="11">
        <f t="shared" si="7"/>
        <v>1</v>
      </c>
      <c r="AB184" s="11">
        <v>2041</v>
      </c>
      <c r="AC184" s="11">
        <v>2041</v>
      </c>
      <c r="AD184" s="11">
        <v>2041</v>
      </c>
      <c r="AE184" s="19">
        <f>ROUND((Z184*'Data-CostAssumptions'!$G$5)*(1+'Data-CostAssumptions'!$G$3)^(AB184-'Data-CostAssumptions'!$G$4),-3)</f>
        <v>319000</v>
      </c>
      <c r="AF184" s="19">
        <f>ROUND((Z184)*(1+'Data-CostAssumptions'!$G$3)^(AD184-'Data-CostAssumptions'!$G$4),-3)</f>
        <v>1449000</v>
      </c>
      <c r="AG184" s="170" t="str">
        <f t="shared" si="8"/>
        <v>No</v>
      </c>
    </row>
    <row r="185" spans="1:33" ht="15" customHeight="1" x14ac:dyDescent="0.2">
      <c r="A185" s="11"/>
      <c r="B185" s="11" t="s">
        <v>1211</v>
      </c>
      <c r="C185" s="13">
        <v>890</v>
      </c>
      <c r="D185" s="13" t="s">
        <v>420</v>
      </c>
      <c r="E185" s="20">
        <v>45</v>
      </c>
      <c r="F185" s="20">
        <v>192</v>
      </c>
      <c r="G185" s="20">
        <v>267</v>
      </c>
      <c r="H185" s="13" t="s">
        <v>1755</v>
      </c>
      <c r="I185" s="13" t="str">
        <f t="shared" si="6"/>
        <v>Nob Hill Rd (Sunrise Bl to Oakland Park Bl)</v>
      </c>
      <c r="J185" s="13" t="s">
        <v>29</v>
      </c>
      <c r="K185" s="13" t="str">
        <f>VLOOKUP(J185,'Data-ProjectTypes'!A$3:B$13,2,FALSE)</f>
        <v>Program</v>
      </c>
      <c r="L185" s="21" t="s">
        <v>348</v>
      </c>
      <c r="M185" s="13" t="s">
        <v>1830</v>
      </c>
      <c r="N185" s="13" t="s">
        <v>1825</v>
      </c>
      <c r="O185" s="13" t="s">
        <v>272</v>
      </c>
      <c r="P185" s="13" t="s">
        <v>272</v>
      </c>
      <c r="Q185" s="22">
        <v>1.8</v>
      </c>
      <c r="R185" s="23">
        <v>407371</v>
      </c>
      <c r="S185" s="21"/>
      <c r="T185" s="21"/>
      <c r="U185" s="21"/>
      <c r="V185" s="24"/>
      <c r="W185" s="24"/>
      <c r="X185" s="24"/>
      <c r="Y185" s="17"/>
      <c r="Z185" s="18">
        <f>ROUND(R185*'Data-CostAssumptions'!$C$3,-3)</f>
        <v>564000</v>
      </c>
      <c r="AA185" s="11">
        <f t="shared" si="7"/>
        <v>0</v>
      </c>
      <c r="AB185" s="11">
        <v>2041</v>
      </c>
      <c r="AC185" s="11">
        <v>2041</v>
      </c>
      <c r="AD185" s="11">
        <v>2041</v>
      </c>
      <c r="AE185" s="19">
        <f>ROUND((Z185*'Data-CostAssumptions'!$G$5)*(1+'Data-CostAssumptions'!$G$3)^(AB185-'Data-CostAssumptions'!$G$4),-3)</f>
        <v>318000</v>
      </c>
      <c r="AF185" s="19">
        <f>ROUND((Z185)*(1+'Data-CostAssumptions'!$G$3)^(AD185-'Data-CostAssumptions'!$G$4),-3)</f>
        <v>1446000</v>
      </c>
      <c r="AG185" s="170" t="str">
        <f t="shared" si="8"/>
        <v>No</v>
      </c>
    </row>
    <row r="186" spans="1:33" ht="15" customHeight="1" x14ac:dyDescent="0.2">
      <c r="A186" s="11"/>
      <c r="B186" s="11" t="s">
        <v>1211</v>
      </c>
      <c r="C186" s="13">
        <v>826</v>
      </c>
      <c r="D186" s="13" t="s">
        <v>420</v>
      </c>
      <c r="E186" s="20">
        <v>265</v>
      </c>
      <c r="F186" s="20">
        <v>188</v>
      </c>
      <c r="G186" s="20">
        <v>202</v>
      </c>
      <c r="H186" s="13" t="s">
        <v>2727</v>
      </c>
      <c r="I186" s="13" t="str">
        <f t="shared" si="6"/>
        <v>SR 848/Stirling Rd (Davie Rd/Davie Rd Extension to Pine Island Rd)</v>
      </c>
      <c r="J186" s="13" t="s">
        <v>29</v>
      </c>
      <c r="K186" s="13" t="str">
        <f>VLOOKUP(J186,'Data-ProjectTypes'!A$3:B$13,2,FALSE)</f>
        <v>Program</v>
      </c>
      <c r="L186" s="21" t="s">
        <v>348</v>
      </c>
      <c r="M186" s="13" t="s">
        <v>2456</v>
      </c>
      <c r="N186" s="13" t="s">
        <v>266</v>
      </c>
      <c r="O186" s="13" t="s">
        <v>270</v>
      </c>
      <c r="P186" s="13" t="s">
        <v>270</v>
      </c>
      <c r="Q186" s="22">
        <v>1.8</v>
      </c>
      <c r="R186" s="23">
        <v>406706</v>
      </c>
      <c r="S186" s="21"/>
      <c r="T186" s="21"/>
      <c r="U186" s="21"/>
      <c r="V186" s="24"/>
      <c r="W186" s="24"/>
      <c r="X186" s="24"/>
      <c r="Y186" s="17"/>
      <c r="Z186" s="18">
        <f>ROUND(R186*'Data-CostAssumptions'!$C$3,-3)</f>
        <v>563000</v>
      </c>
      <c r="AA186" s="11">
        <f t="shared" si="7"/>
        <v>0</v>
      </c>
      <c r="AB186" s="11">
        <v>2041</v>
      </c>
      <c r="AC186" s="11">
        <v>2041</v>
      </c>
      <c r="AD186" s="11">
        <v>2041</v>
      </c>
      <c r="AE186" s="19">
        <f>ROUND((Z186*'Data-CostAssumptions'!$G$5)*(1+'Data-CostAssumptions'!$G$3)^(AB186-'Data-CostAssumptions'!$G$4),-3)</f>
        <v>318000</v>
      </c>
      <c r="AF186" s="19">
        <f>ROUND((Z186)*(1+'Data-CostAssumptions'!$G$3)^(AD186-'Data-CostAssumptions'!$G$4),-3)</f>
        <v>1444000</v>
      </c>
      <c r="AG186" s="170" t="str">
        <f t="shared" si="8"/>
        <v>No</v>
      </c>
    </row>
    <row r="187" spans="1:33" ht="15" customHeight="1" x14ac:dyDescent="0.2">
      <c r="A187" s="11"/>
      <c r="B187" s="11" t="s">
        <v>1211</v>
      </c>
      <c r="C187" s="13">
        <v>761</v>
      </c>
      <c r="D187" s="13" t="s">
        <v>420</v>
      </c>
      <c r="E187" s="20">
        <v>179</v>
      </c>
      <c r="F187" s="20">
        <v>184</v>
      </c>
      <c r="G187" s="20">
        <v>138</v>
      </c>
      <c r="H187" s="13" t="s">
        <v>184</v>
      </c>
      <c r="I187" s="13" t="str">
        <f t="shared" si="6"/>
        <v>Orange Dr (University Dr to Nob Hill Rd)</v>
      </c>
      <c r="J187" s="13" t="s">
        <v>29</v>
      </c>
      <c r="K187" s="13" t="str">
        <f>VLOOKUP(J187,'Data-ProjectTypes'!A$3:B$13,2,FALSE)</f>
        <v>Program</v>
      </c>
      <c r="L187" s="21" t="s">
        <v>348</v>
      </c>
      <c r="M187" s="13" t="s">
        <v>1804</v>
      </c>
      <c r="N187" s="13" t="s">
        <v>1755</v>
      </c>
      <c r="O187" s="13" t="s">
        <v>279</v>
      </c>
      <c r="P187" s="13" t="s">
        <v>279</v>
      </c>
      <c r="Q187" s="22">
        <v>1.7</v>
      </c>
      <c r="R187" s="23">
        <v>405678</v>
      </c>
      <c r="S187" s="21" t="s">
        <v>24</v>
      </c>
      <c r="T187" s="21" t="s">
        <v>24</v>
      </c>
      <c r="U187" s="21"/>
      <c r="V187" s="24"/>
      <c r="W187" s="24"/>
      <c r="X187" s="24"/>
      <c r="Y187" s="17" t="s">
        <v>469</v>
      </c>
      <c r="Z187" s="18">
        <f>ROUND(R187*'Data-CostAssumptions'!$C$3,-3)</f>
        <v>561000</v>
      </c>
      <c r="AA187" s="11">
        <f t="shared" si="7"/>
        <v>0</v>
      </c>
      <c r="AB187" s="11">
        <v>2041</v>
      </c>
      <c r="AC187" s="11">
        <v>2041</v>
      </c>
      <c r="AD187" s="11">
        <v>2041</v>
      </c>
      <c r="AE187" s="19">
        <f>ROUND((Z187*'Data-CostAssumptions'!$G$5)*(1+'Data-CostAssumptions'!$G$3)^(AB187-'Data-CostAssumptions'!$G$4),-3)</f>
        <v>316000</v>
      </c>
      <c r="AF187" s="19">
        <f>ROUND((Z187)*(1+'Data-CostAssumptions'!$G$3)^(AD187-'Data-CostAssumptions'!$G$4),-3)</f>
        <v>1438000</v>
      </c>
      <c r="AG187" s="170" t="str">
        <f t="shared" si="8"/>
        <v>No</v>
      </c>
    </row>
    <row r="188" spans="1:33" ht="15" customHeight="1" x14ac:dyDescent="0.2">
      <c r="A188" s="11"/>
      <c r="B188" s="11" t="s">
        <v>1211</v>
      </c>
      <c r="C188" s="13">
        <v>724</v>
      </c>
      <c r="D188" s="13" t="s">
        <v>420</v>
      </c>
      <c r="E188" s="20">
        <v>214</v>
      </c>
      <c r="F188" s="20">
        <v>182</v>
      </c>
      <c r="G188" s="20">
        <v>102</v>
      </c>
      <c r="H188" s="13" t="s">
        <v>2813</v>
      </c>
      <c r="I188" s="13" t="str">
        <f t="shared" si="6"/>
        <v>SR 820/Hollywood Bl (Eastern I-95 ramp to North 46th Av)</v>
      </c>
      <c r="J188" s="13" t="s">
        <v>29</v>
      </c>
      <c r="K188" s="13" t="str">
        <f>VLOOKUP(J188,'Data-ProjectTypes'!A$3:B$13,2,FALSE)</f>
        <v>Program</v>
      </c>
      <c r="L188" s="21" t="s">
        <v>348</v>
      </c>
      <c r="M188" s="13" t="s">
        <v>135</v>
      </c>
      <c r="N188" s="13" t="s">
        <v>2040</v>
      </c>
      <c r="O188" s="13" t="s">
        <v>270</v>
      </c>
      <c r="P188" s="13" t="s">
        <v>270</v>
      </c>
      <c r="Q188" s="22">
        <v>1.7</v>
      </c>
      <c r="R188" s="23">
        <v>404961</v>
      </c>
      <c r="S188" s="21"/>
      <c r="T188" s="21"/>
      <c r="U188" s="21"/>
      <c r="V188" s="24"/>
      <c r="W188" s="24"/>
      <c r="X188" s="29" t="s">
        <v>706</v>
      </c>
      <c r="Y188" s="17" t="s">
        <v>287</v>
      </c>
      <c r="Z188" s="18">
        <f>ROUND(R188*'Data-CostAssumptions'!$C$3,-3)</f>
        <v>560000</v>
      </c>
      <c r="AA188" s="11">
        <f t="shared" si="7"/>
        <v>0</v>
      </c>
      <c r="AB188" s="11">
        <v>2041</v>
      </c>
      <c r="AC188" s="11">
        <v>2041</v>
      </c>
      <c r="AD188" s="11">
        <v>2041</v>
      </c>
      <c r="AE188" s="19">
        <f>ROUND((Z188*'Data-CostAssumptions'!$G$5)*(1+'Data-CostAssumptions'!$G$3)^(AB188-'Data-CostAssumptions'!$G$4),-3)</f>
        <v>316000</v>
      </c>
      <c r="AF188" s="19">
        <f>ROUND((Z188)*(1+'Data-CostAssumptions'!$G$3)^(AD188-'Data-CostAssumptions'!$G$4),-3)</f>
        <v>1436000</v>
      </c>
      <c r="AG188" s="170" t="str">
        <f t="shared" si="8"/>
        <v>No</v>
      </c>
    </row>
    <row r="189" spans="1:33" ht="15" customHeight="1" x14ac:dyDescent="0.2">
      <c r="A189" s="11"/>
      <c r="B189" s="11" t="s">
        <v>1211</v>
      </c>
      <c r="C189" s="13">
        <v>783</v>
      </c>
      <c r="D189" s="13" t="s">
        <v>420</v>
      </c>
      <c r="E189" s="20">
        <v>329</v>
      </c>
      <c r="F189" s="20">
        <v>186</v>
      </c>
      <c r="G189" s="20">
        <v>160</v>
      </c>
      <c r="H189" s="13" t="s">
        <v>485</v>
      </c>
      <c r="I189" s="13" t="str">
        <f t="shared" si="6"/>
        <v>SW 30th St (College Av to Pine Island Rd)</v>
      </c>
      <c r="J189" s="13" t="s">
        <v>29</v>
      </c>
      <c r="K189" s="13" t="str">
        <f>VLOOKUP(J189,'Data-ProjectTypes'!A$3:B$13,2,FALSE)</f>
        <v>Program</v>
      </c>
      <c r="L189" s="21" t="s">
        <v>348</v>
      </c>
      <c r="M189" s="13" t="s">
        <v>2016</v>
      </c>
      <c r="N189" s="13" t="s">
        <v>266</v>
      </c>
      <c r="O189" s="13" t="s">
        <v>279</v>
      </c>
      <c r="P189" s="13" t="s">
        <v>279</v>
      </c>
      <c r="Q189" s="22">
        <v>1.7</v>
      </c>
      <c r="R189" s="23">
        <v>403247</v>
      </c>
      <c r="S189" s="21"/>
      <c r="T189" s="21"/>
      <c r="U189" s="21"/>
      <c r="V189" s="24"/>
      <c r="W189" s="24" t="s">
        <v>696</v>
      </c>
      <c r="X189" s="24"/>
      <c r="Y189" s="17" t="s">
        <v>287</v>
      </c>
      <c r="Z189" s="18">
        <f>ROUND(R189*'Data-CostAssumptions'!$C$3,-3)</f>
        <v>558000</v>
      </c>
      <c r="AA189" s="11">
        <f t="shared" si="7"/>
        <v>1</v>
      </c>
      <c r="AB189" s="11">
        <v>2041</v>
      </c>
      <c r="AC189" s="11">
        <v>2041</v>
      </c>
      <c r="AD189" s="11">
        <v>2041</v>
      </c>
      <c r="AE189" s="19">
        <f>ROUND((Z189*'Data-CostAssumptions'!$G$5)*(1+'Data-CostAssumptions'!$G$3)^(AB189-'Data-CostAssumptions'!$G$4),-3)</f>
        <v>315000</v>
      </c>
      <c r="AF189" s="19">
        <f>ROUND((Z189)*(1+'Data-CostAssumptions'!$G$3)^(AD189-'Data-CostAssumptions'!$G$4),-3)</f>
        <v>1431000</v>
      </c>
      <c r="AG189" s="170" t="str">
        <f t="shared" si="8"/>
        <v>No</v>
      </c>
    </row>
    <row r="190" spans="1:33" ht="15" customHeight="1" x14ac:dyDescent="0.2">
      <c r="A190" s="11"/>
      <c r="B190" s="11" t="s">
        <v>1211</v>
      </c>
      <c r="C190" s="13">
        <v>659</v>
      </c>
      <c r="D190" s="13" t="s">
        <v>420</v>
      </c>
      <c r="E190" s="20">
        <v>108</v>
      </c>
      <c r="F190" s="20">
        <v>179</v>
      </c>
      <c r="G190" s="20">
        <v>40</v>
      </c>
      <c r="H190" s="13" t="s">
        <v>2014</v>
      </c>
      <c r="I190" s="13" t="str">
        <f t="shared" si="6"/>
        <v>Andrews Av (Eller Dr to Davie Bl)</v>
      </c>
      <c r="J190" s="13" t="s">
        <v>29</v>
      </c>
      <c r="K190" s="13" t="str">
        <f>VLOOKUP(J190,'Data-ProjectTypes'!A$3:B$13,2,FALSE)</f>
        <v>Program</v>
      </c>
      <c r="L190" s="21" t="s">
        <v>348</v>
      </c>
      <c r="M190" s="13" t="s">
        <v>1789</v>
      </c>
      <c r="N190" s="13" t="s">
        <v>1816</v>
      </c>
      <c r="O190" s="13" t="s">
        <v>273</v>
      </c>
      <c r="P190" s="13" t="s">
        <v>273</v>
      </c>
      <c r="Q190" s="22">
        <v>1.7</v>
      </c>
      <c r="R190" s="23">
        <v>402223</v>
      </c>
      <c r="S190" s="21" t="s">
        <v>24</v>
      </c>
      <c r="T190" s="21"/>
      <c r="U190" s="21"/>
      <c r="V190" s="24"/>
      <c r="W190" s="24"/>
      <c r="X190" s="30" t="s">
        <v>474</v>
      </c>
      <c r="Y190" s="17" t="s">
        <v>469</v>
      </c>
      <c r="Z190" s="18">
        <f>ROUND(R190*'Data-CostAssumptions'!$C$3,-3)</f>
        <v>557000</v>
      </c>
      <c r="AA190" s="11">
        <f t="shared" si="7"/>
        <v>0</v>
      </c>
      <c r="AB190" s="11">
        <v>2041</v>
      </c>
      <c r="AC190" s="11">
        <v>2041</v>
      </c>
      <c r="AD190" s="11">
        <v>2041</v>
      </c>
      <c r="AE190" s="19">
        <f>ROUND((Z190*'Data-CostAssumptions'!$G$5)*(1+'Data-CostAssumptions'!$G$3)^(AB190-'Data-CostAssumptions'!$G$4),-3)</f>
        <v>314000</v>
      </c>
      <c r="AF190" s="19">
        <f>ROUND((Z190)*(1+'Data-CostAssumptions'!$G$3)^(AD190-'Data-CostAssumptions'!$G$4),-3)</f>
        <v>1428000</v>
      </c>
      <c r="AG190" s="170" t="str">
        <f t="shared" si="8"/>
        <v>No</v>
      </c>
    </row>
    <row r="191" spans="1:33" ht="15" customHeight="1" x14ac:dyDescent="0.2">
      <c r="B191" s="11" t="s">
        <v>1211</v>
      </c>
      <c r="D191" s="84" t="s">
        <v>276</v>
      </c>
      <c r="E191" s="104">
        <v>40</v>
      </c>
      <c r="G191" s="20">
        <v>1389</v>
      </c>
      <c r="H191" s="13" t="s">
        <v>1228</v>
      </c>
      <c r="I191" s="13" t="str">
        <f t="shared" si="6"/>
        <v>NE 2ND ST (US 1/SR 5/FEDERAL HW to NE 16TH Av)</v>
      </c>
      <c r="J191" s="12" t="s">
        <v>29</v>
      </c>
      <c r="K191" s="13" t="str">
        <f>VLOOKUP(J191,'Data-ProjectTypes'!A$3:B$13,2,FALSE)</f>
        <v>Program</v>
      </c>
      <c r="L191" s="12" t="s">
        <v>1302</v>
      </c>
      <c r="M191" s="105" t="s">
        <v>1438</v>
      </c>
      <c r="N191" s="12" t="s">
        <v>2614</v>
      </c>
      <c r="Q191" s="72">
        <v>0.6</v>
      </c>
      <c r="R191" s="23">
        <v>401000</v>
      </c>
      <c r="S191" s="21"/>
      <c r="T191" s="21"/>
      <c r="U191" s="21"/>
      <c r="V191" s="24"/>
      <c r="W191" s="24"/>
      <c r="X191" s="24"/>
      <c r="Y191" s="17"/>
      <c r="Z191" s="18">
        <f>ROUND(R191*'Data-CostAssumptions'!$C$3,-3)</f>
        <v>555000</v>
      </c>
      <c r="AA191" s="11">
        <f t="shared" si="7"/>
        <v>0</v>
      </c>
      <c r="AB191" s="11">
        <v>2041</v>
      </c>
      <c r="AC191" s="11">
        <v>2041</v>
      </c>
      <c r="AD191" s="11">
        <v>2041</v>
      </c>
      <c r="AE191" s="19">
        <f>ROUND((Z191*'Data-CostAssumptions'!$G$5)*(1+'Data-CostAssumptions'!$G$3)^(AB191-'Data-CostAssumptions'!$G$4),-3)</f>
        <v>313000</v>
      </c>
      <c r="AF191" s="19">
        <f>ROUND((Z191)*(1+'Data-CostAssumptions'!$G$3)^(AD191-'Data-CostAssumptions'!$G$4),-3)</f>
        <v>1423000</v>
      </c>
      <c r="AG191" s="170" t="str">
        <f t="shared" si="8"/>
        <v>No</v>
      </c>
    </row>
    <row r="192" spans="1:33" ht="15" customHeight="1" x14ac:dyDescent="0.2">
      <c r="A192" s="11"/>
      <c r="B192" s="11" t="s">
        <v>1211</v>
      </c>
      <c r="C192" s="11"/>
      <c r="D192" s="84" t="s">
        <v>276</v>
      </c>
      <c r="E192" s="14">
        <v>10</v>
      </c>
      <c r="F192" s="14"/>
      <c r="G192" s="20">
        <v>1477</v>
      </c>
      <c r="H192" s="13" t="s">
        <v>2798</v>
      </c>
      <c r="I192" s="13" t="str">
        <f t="shared" si="6"/>
        <v>SR 842/Broward Bl (I-95 to SR 7/US 441)</v>
      </c>
      <c r="J192" s="11" t="s">
        <v>29</v>
      </c>
      <c r="K192" s="13" t="str">
        <f>VLOOKUP(J192,'Data-ProjectTypes'!A$3:B$13,2,FALSE)</f>
        <v>Program</v>
      </c>
      <c r="L192" s="11" t="s">
        <v>1267</v>
      </c>
      <c r="M192" s="106" t="s">
        <v>41</v>
      </c>
      <c r="N192" s="84" t="s">
        <v>57</v>
      </c>
      <c r="O192" s="11"/>
      <c r="P192" s="11"/>
      <c r="Q192" s="107">
        <v>2.1</v>
      </c>
      <c r="R192" s="23">
        <v>400950</v>
      </c>
      <c r="S192" s="21"/>
      <c r="T192" s="21"/>
      <c r="U192" s="21"/>
      <c r="V192" s="24"/>
      <c r="W192" s="24"/>
      <c r="X192" s="24"/>
      <c r="Y192" s="17"/>
      <c r="Z192" s="18">
        <f>ROUND(R192*'Data-CostAssumptions'!$C$3,-3)</f>
        <v>555000</v>
      </c>
      <c r="AA192" s="11">
        <f t="shared" si="7"/>
        <v>0</v>
      </c>
      <c r="AB192" s="11">
        <v>2041</v>
      </c>
      <c r="AC192" s="11">
        <v>2041</v>
      </c>
      <c r="AD192" s="11">
        <v>2041</v>
      </c>
      <c r="AE192" s="19">
        <f>ROUND((Z192*'Data-CostAssumptions'!$G$5)*(1+'Data-CostAssumptions'!$G$3)^(AB192-'Data-CostAssumptions'!$G$4),-3)</f>
        <v>313000</v>
      </c>
      <c r="AF192" s="19">
        <f>ROUND((Z192)*(1+'Data-CostAssumptions'!$G$3)^(AD192-'Data-CostAssumptions'!$G$4),-3)</f>
        <v>1423000</v>
      </c>
      <c r="AG192" s="170" t="str">
        <f t="shared" si="8"/>
        <v>No</v>
      </c>
    </row>
    <row r="193" spans="1:33" ht="15" customHeight="1" x14ac:dyDescent="0.2">
      <c r="A193" s="11"/>
      <c r="B193" s="11" t="s">
        <v>1211</v>
      </c>
      <c r="C193" s="13">
        <v>949</v>
      </c>
      <c r="D193" s="13" t="s">
        <v>420</v>
      </c>
      <c r="E193" s="20">
        <v>334</v>
      </c>
      <c r="F193" s="20">
        <v>195</v>
      </c>
      <c r="G193" s="20">
        <v>324</v>
      </c>
      <c r="H193" s="13" t="s">
        <v>1906</v>
      </c>
      <c r="I193" s="13" t="str">
        <f t="shared" si="6"/>
        <v>NW 120th Way-NW 44th St Connector (Hiatus Rd to Oakland Park Bl)</v>
      </c>
      <c r="J193" s="13" t="s">
        <v>29</v>
      </c>
      <c r="K193" s="13" t="str">
        <f>VLOOKUP(J193,'Data-ProjectTypes'!A$3:B$13,2,FALSE)</f>
        <v>Program</v>
      </c>
      <c r="L193" s="21" t="s">
        <v>817</v>
      </c>
      <c r="M193" s="13" t="s">
        <v>1752</v>
      </c>
      <c r="N193" s="13" t="s">
        <v>1825</v>
      </c>
      <c r="O193" s="13" t="s">
        <v>278</v>
      </c>
      <c r="P193" s="13" t="s">
        <v>278</v>
      </c>
      <c r="Q193" s="22">
        <v>1.7</v>
      </c>
      <c r="R193" s="23">
        <v>400134</v>
      </c>
      <c r="S193" s="21"/>
      <c r="T193" s="21"/>
      <c r="U193" s="21"/>
      <c r="V193" s="24"/>
      <c r="W193" s="24"/>
      <c r="X193" s="28"/>
      <c r="Y193" s="17"/>
      <c r="Z193" s="18">
        <f>ROUND(R193*'Data-CostAssumptions'!$C$3,-3)</f>
        <v>554000</v>
      </c>
      <c r="AA193" s="11">
        <f t="shared" si="7"/>
        <v>0</v>
      </c>
      <c r="AB193" s="11">
        <v>2041</v>
      </c>
      <c r="AC193" s="11">
        <v>2041</v>
      </c>
      <c r="AD193" s="11">
        <v>2041</v>
      </c>
      <c r="AE193" s="19">
        <f>ROUND((Z193*'Data-CostAssumptions'!$G$5)*(1+'Data-CostAssumptions'!$G$3)^(AB193-'Data-CostAssumptions'!$G$4),-3)</f>
        <v>312000</v>
      </c>
      <c r="AF193" s="19">
        <f>ROUND((Z193)*(1+'Data-CostAssumptions'!$G$3)^(AD193-'Data-CostAssumptions'!$G$4),-3)</f>
        <v>1420000</v>
      </c>
      <c r="AG193" s="170" t="str">
        <f t="shared" si="8"/>
        <v>No</v>
      </c>
    </row>
    <row r="194" spans="1:33" ht="15" customHeight="1" x14ac:dyDescent="0.2">
      <c r="B194" s="11" t="s">
        <v>1211</v>
      </c>
      <c r="D194" s="84" t="s">
        <v>276</v>
      </c>
      <c r="E194" s="104">
        <v>18</v>
      </c>
      <c r="G194" s="20">
        <v>1347</v>
      </c>
      <c r="H194" s="13" t="s">
        <v>1816</v>
      </c>
      <c r="I194" s="13" t="str">
        <f t="shared" ref="I194:I257" si="9">IF(M194="@",H194&amp;" ("&amp;M194&amp;"  "&amp;N194&amp;")",H194&amp;" ("&amp;M194&amp;" to "&amp;N194&amp;")")</f>
        <v>Davie Bl (SW 31ST Av to US 441/SR 7)</v>
      </c>
      <c r="J194" s="12" t="s">
        <v>29</v>
      </c>
      <c r="K194" s="13" t="str">
        <f>VLOOKUP(J194,'Data-ProjectTypes'!A$3:B$13,2,FALSE)</f>
        <v>Program</v>
      </c>
      <c r="L194" s="12" t="s">
        <v>1284</v>
      </c>
      <c r="M194" s="105" t="s">
        <v>2191</v>
      </c>
      <c r="N194" s="12" t="s">
        <v>1430</v>
      </c>
      <c r="Q194" s="72">
        <v>1</v>
      </c>
      <c r="R194" s="23">
        <v>551000</v>
      </c>
      <c r="S194" s="21" t="s">
        <v>24</v>
      </c>
      <c r="T194" s="21" t="s">
        <v>684</v>
      </c>
      <c r="U194" s="21" t="s">
        <v>684</v>
      </c>
      <c r="V194" s="24"/>
      <c r="W194" s="24"/>
      <c r="X194" s="24"/>
      <c r="Y194" s="17" t="s">
        <v>685</v>
      </c>
      <c r="Z194" s="18">
        <f>ROUND(R194*'Data-CostAssumptions'!$C$8,-3)</f>
        <v>551000</v>
      </c>
      <c r="AA194" s="11">
        <f t="shared" ref="AA194:AA257" si="10">IF(V194="",IF(W194="",0,1),1)</f>
        <v>0</v>
      </c>
      <c r="AB194" s="11">
        <v>2041</v>
      </c>
      <c r="AC194" s="11">
        <v>2041</v>
      </c>
      <c r="AD194" s="11">
        <v>2041</v>
      </c>
      <c r="AE194" s="19">
        <f>ROUND((Z194*'Data-CostAssumptions'!$G$5)*(1+'Data-CostAssumptions'!$G$3)^(AB194-'Data-CostAssumptions'!$G$4),-3)</f>
        <v>311000</v>
      </c>
      <c r="AF194" s="19">
        <f>ROUND((Z194)*(1+'Data-CostAssumptions'!$G$3)^(AD194-'Data-CostAssumptions'!$G$4),-3)</f>
        <v>1413000</v>
      </c>
      <c r="AG194" s="170" t="str">
        <f t="shared" ref="AG194:AG257" si="11">IF(MIN(AC194:AD194)&lt;2041,"Yes","No")</f>
        <v>No</v>
      </c>
    </row>
    <row r="195" spans="1:33" ht="15" customHeight="1" x14ac:dyDescent="0.2">
      <c r="A195" s="11"/>
      <c r="B195" s="11" t="s">
        <v>1211</v>
      </c>
      <c r="C195" s="11"/>
      <c r="D195" s="84" t="s">
        <v>276</v>
      </c>
      <c r="E195" s="14">
        <v>110</v>
      </c>
      <c r="F195" s="14"/>
      <c r="G195" s="20">
        <v>1327</v>
      </c>
      <c r="H195" s="13" t="s">
        <v>2014</v>
      </c>
      <c r="I195" s="13" t="str">
        <f t="shared" si="9"/>
        <v>Andrews Av (US1/SE 6TH Av to SR 84/SW 24TH ST)</v>
      </c>
      <c r="J195" s="11" t="s">
        <v>29</v>
      </c>
      <c r="K195" s="13" t="str">
        <f>VLOOKUP(J195,'Data-ProjectTypes'!A$3:B$13,2,FALSE)</f>
        <v>Program</v>
      </c>
      <c r="L195" s="11" t="s">
        <v>1254</v>
      </c>
      <c r="M195" s="106" t="s">
        <v>2599</v>
      </c>
      <c r="N195" s="84" t="s">
        <v>1419</v>
      </c>
      <c r="O195" s="11"/>
      <c r="P195" s="11"/>
      <c r="Q195" s="107">
        <v>0.7</v>
      </c>
      <c r="R195" s="23">
        <v>390000</v>
      </c>
      <c r="S195" s="21"/>
      <c r="T195" s="21"/>
      <c r="U195" s="21"/>
      <c r="V195" s="24"/>
      <c r="W195" s="24"/>
      <c r="X195" s="24"/>
      <c r="Y195" s="17"/>
      <c r="Z195" s="18">
        <f>ROUND(R195*'Data-CostAssumptions'!$C$3,-3)</f>
        <v>540000</v>
      </c>
      <c r="AA195" s="11">
        <f t="shared" si="10"/>
        <v>0</v>
      </c>
      <c r="AB195" s="11">
        <v>2041</v>
      </c>
      <c r="AC195" s="11">
        <v>2041</v>
      </c>
      <c r="AD195" s="11">
        <v>2041</v>
      </c>
      <c r="AE195" s="19">
        <f>ROUND((Z195*'Data-CostAssumptions'!$G$5)*(1+'Data-CostAssumptions'!$G$3)^(AB195-'Data-CostAssumptions'!$G$4),-3)</f>
        <v>305000</v>
      </c>
      <c r="AF195" s="19">
        <f>ROUND((Z195)*(1+'Data-CostAssumptions'!$G$3)^(AD195-'Data-CostAssumptions'!$G$4),-3)</f>
        <v>1385000</v>
      </c>
      <c r="AG195" s="170" t="str">
        <f t="shared" si="11"/>
        <v>No</v>
      </c>
    </row>
    <row r="196" spans="1:33" ht="15" customHeight="1" x14ac:dyDescent="0.2">
      <c r="A196" s="11"/>
      <c r="B196" s="11" t="s">
        <v>1211</v>
      </c>
      <c r="C196" s="13">
        <v>954</v>
      </c>
      <c r="D196" s="13" t="s">
        <v>420</v>
      </c>
      <c r="E196" s="20">
        <v>286</v>
      </c>
      <c r="F196" s="20">
        <v>195</v>
      </c>
      <c r="G196" s="20">
        <v>329</v>
      </c>
      <c r="H196" s="13" t="s">
        <v>1863</v>
      </c>
      <c r="I196" s="13" t="str">
        <f t="shared" si="9"/>
        <v>Saddle Club Rd (Weston Rd to Just west of Lakeview Dr)</v>
      </c>
      <c r="J196" s="13" t="s">
        <v>29</v>
      </c>
      <c r="K196" s="13" t="str">
        <f>VLOOKUP(J196,'Data-ProjectTypes'!A$3:B$13,2,FALSE)</f>
        <v>Program</v>
      </c>
      <c r="L196" s="21" t="s">
        <v>837</v>
      </c>
      <c r="M196" s="13" t="s">
        <v>1779</v>
      </c>
      <c r="N196" s="13" t="s">
        <v>2673</v>
      </c>
      <c r="O196" s="13" t="s">
        <v>272</v>
      </c>
      <c r="P196" s="13" t="s">
        <v>272</v>
      </c>
      <c r="Q196" s="22">
        <v>1.7</v>
      </c>
      <c r="R196" s="23">
        <v>388392</v>
      </c>
      <c r="S196" s="21"/>
      <c r="T196" s="21"/>
      <c r="U196" s="21"/>
      <c r="V196" s="24"/>
      <c r="W196" s="24" t="s">
        <v>715</v>
      </c>
      <c r="X196" s="24"/>
      <c r="Y196" s="17" t="s">
        <v>717</v>
      </c>
      <c r="Z196" s="18">
        <f>ROUND(R196*'Data-CostAssumptions'!$C$3,-3)</f>
        <v>538000</v>
      </c>
      <c r="AA196" s="11">
        <f t="shared" si="10"/>
        <v>1</v>
      </c>
      <c r="AB196" s="11">
        <v>2041</v>
      </c>
      <c r="AC196" s="11">
        <v>2041</v>
      </c>
      <c r="AD196" s="11">
        <v>2041</v>
      </c>
      <c r="AE196" s="19">
        <f>ROUND((Z196*'Data-CostAssumptions'!$G$5)*(1+'Data-CostAssumptions'!$G$3)^(AB196-'Data-CostAssumptions'!$G$4),-3)</f>
        <v>303000</v>
      </c>
      <c r="AF196" s="19">
        <f>ROUND((Z196)*(1+'Data-CostAssumptions'!$G$3)^(AD196-'Data-CostAssumptions'!$G$4),-3)</f>
        <v>1379000</v>
      </c>
      <c r="AG196" s="170" t="str">
        <f t="shared" si="11"/>
        <v>No</v>
      </c>
    </row>
    <row r="197" spans="1:33" ht="15" customHeight="1" x14ac:dyDescent="0.2">
      <c r="A197" s="11"/>
      <c r="B197" s="11" t="s">
        <v>1211</v>
      </c>
      <c r="C197" s="13">
        <v>726</v>
      </c>
      <c r="D197" s="13" t="s">
        <v>420</v>
      </c>
      <c r="E197" s="20">
        <v>228</v>
      </c>
      <c r="F197" s="20">
        <v>183</v>
      </c>
      <c r="G197" s="20">
        <v>104</v>
      </c>
      <c r="H197" s="13" t="s">
        <v>1977</v>
      </c>
      <c r="I197" s="13" t="str">
        <f t="shared" si="9"/>
        <v>Miramar Pkwy (Miramar Parkway/SW 67th Av to Utopia Dr)</v>
      </c>
      <c r="J197" s="13" t="s">
        <v>29</v>
      </c>
      <c r="K197" s="13" t="str">
        <f>VLOOKUP(J197,'Data-ProjectTypes'!A$3:B$13,2,FALSE)</f>
        <v>Program</v>
      </c>
      <c r="L197" s="21" t="s">
        <v>348</v>
      </c>
      <c r="M197" s="13" t="s">
        <v>2361</v>
      </c>
      <c r="N197" s="13" t="s">
        <v>2657</v>
      </c>
      <c r="O197" s="13" t="s">
        <v>273</v>
      </c>
      <c r="P197" s="13" t="s">
        <v>273</v>
      </c>
      <c r="Q197" s="22">
        <v>1.7</v>
      </c>
      <c r="R197" s="23">
        <v>384505</v>
      </c>
      <c r="S197" s="21"/>
      <c r="T197" s="21"/>
      <c r="U197" s="21" t="s">
        <v>24</v>
      </c>
      <c r="V197" s="24"/>
      <c r="W197" s="24" t="s">
        <v>848</v>
      </c>
      <c r="X197" s="28"/>
      <c r="Y197" s="17" t="s">
        <v>843</v>
      </c>
      <c r="Z197" s="18">
        <f>ROUND(R197*'Data-CostAssumptions'!$C$3,-3)</f>
        <v>532000</v>
      </c>
      <c r="AA197" s="11">
        <f t="shared" si="10"/>
        <v>1</v>
      </c>
      <c r="AB197" s="11">
        <v>2041</v>
      </c>
      <c r="AC197" s="11">
        <v>2041</v>
      </c>
      <c r="AD197" s="11">
        <v>2041</v>
      </c>
      <c r="AE197" s="19">
        <f>ROUND((Z197*'Data-CostAssumptions'!$G$5)*(1+'Data-CostAssumptions'!$G$3)^(AB197-'Data-CostAssumptions'!$G$4),-3)</f>
        <v>300000</v>
      </c>
      <c r="AF197" s="19">
        <f>ROUND((Z197)*(1+'Data-CostAssumptions'!$G$3)^(AD197-'Data-CostAssumptions'!$G$4),-3)</f>
        <v>1364000</v>
      </c>
      <c r="AG197" s="170" t="str">
        <f t="shared" si="11"/>
        <v>No</v>
      </c>
    </row>
    <row r="198" spans="1:33" ht="15" customHeight="1" x14ac:dyDescent="0.2">
      <c r="A198" s="11"/>
      <c r="B198" s="11" t="s">
        <v>1211</v>
      </c>
      <c r="C198" s="13">
        <v>679</v>
      </c>
      <c r="D198" s="13" t="s">
        <v>420</v>
      </c>
      <c r="E198" s="20">
        <v>215</v>
      </c>
      <c r="F198" s="20">
        <v>180</v>
      </c>
      <c r="G198" s="20">
        <v>59</v>
      </c>
      <c r="H198" s="13" t="s">
        <v>2813</v>
      </c>
      <c r="I198" s="13" t="str">
        <f t="shared" si="9"/>
        <v>SR 820/Hollywood Bl (North 46th Av to North 64th Av)</v>
      </c>
      <c r="J198" s="13" t="s">
        <v>29</v>
      </c>
      <c r="K198" s="13" t="str">
        <f>VLOOKUP(J198,'Data-ProjectTypes'!A$3:B$13,2,FALSE)</f>
        <v>Program</v>
      </c>
      <c r="L198" s="21" t="s">
        <v>348</v>
      </c>
      <c r="M198" s="13" t="s">
        <v>2040</v>
      </c>
      <c r="N198" s="13" t="s">
        <v>2043</v>
      </c>
      <c r="O198" s="13" t="s">
        <v>270</v>
      </c>
      <c r="P198" s="13" t="s">
        <v>270</v>
      </c>
      <c r="Q198" s="22">
        <v>1.6</v>
      </c>
      <c r="R198" s="23">
        <v>376058</v>
      </c>
      <c r="S198" s="21"/>
      <c r="T198" s="21"/>
      <c r="U198" s="21"/>
      <c r="V198" s="24"/>
      <c r="W198" s="24"/>
      <c r="X198" s="24"/>
      <c r="Y198" s="17"/>
      <c r="Z198" s="18">
        <f>ROUND(R198*'Data-CostAssumptions'!$C$3,-3)</f>
        <v>520000</v>
      </c>
      <c r="AA198" s="11">
        <f t="shared" si="10"/>
        <v>0</v>
      </c>
      <c r="AB198" s="11">
        <v>2041</v>
      </c>
      <c r="AC198" s="11">
        <v>2041</v>
      </c>
      <c r="AD198" s="11">
        <v>2041</v>
      </c>
      <c r="AE198" s="19">
        <f>ROUND((Z198*'Data-CostAssumptions'!$G$5)*(1+'Data-CostAssumptions'!$G$3)^(AB198-'Data-CostAssumptions'!$G$4),-3)</f>
        <v>293000</v>
      </c>
      <c r="AF198" s="19">
        <f>ROUND((Z198)*(1+'Data-CostAssumptions'!$G$3)^(AD198-'Data-CostAssumptions'!$G$4),-3)</f>
        <v>1333000</v>
      </c>
      <c r="AG198" s="170" t="str">
        <f t="shared" si="11"/>
        <v>No</v>
      </c>
    </row>
    <row r="199" spans="1:33" ht="15" customHeight="1" x14ac:dyDescent="0.2">
      <c r="A199" s="11"/>
      <c r="B199" s="11" t="s">
        <v>1211</v>
      </c>
      <c r="C199" s="13">
        <v>823</v>
      </c>
      <c r="D199" s="13" t="s">
        <v>420</v>
      </c>
      <c r="E199" s="20">
        <v>237</v>
      </c>
      <c r="F199" s="20">
        <v>188</v>
      </c>
      <c r="G199" s="20">
        <v>199</v>
      </c>
      <c r="H199" s="13" t="s">
        <v>1754</v>
      </c>
      <c r="I199" s="13" t="str">
        <f t="shared" si="9"/>
        <v>Lyons Rd (Sawgrass Expressway to Access Rd just north of NW 74th St)</v>
      </c>
      <c r="J199" s="13" t="s">
        <v>29</v>
      </c>
      <c r="K199" s="13" t="str">
        <f>VLOOKUP(J199,'Data-ProjectTypes'!A$3:B$13,2,FALSE)</f>
        <v>Program</v>
      </c>
      <c r="L199" s="21" t="s">
        <v>348</v>
      </c>
      <c r="M199" s="13" t="s">
        <v>72</v>
      </c>
      <c r="N199" s="13" t="s">
        <v>2495</v>
      </c>
      <c r="O199" s="13" t="s">
        <v>273</v>
      </c>
      <c r="P199" s="13" t="s">
        <v>273</v>
      </c>
      <c r="Q199" s="22">
        <v>1.6</v>
      </c>
      <c r="R199" s="23">
        <v>374139</v>
      </c>
      <c r="S199" s="21" t="s">
        <v>24</v>
      </c>
      <c r="T199" s="21"/>
      <c r="U199" s="21"/>
      <c r="V199" s="24"/>
      <c r="W199" s="24"/>
      <c r="X199" s="24"/>
      <c r="Y199" s="17" t="s">
        <v>469</v>
      </c>
      <c r="Z199" s="18">
        <f>ROUND(R199*'Data-CostAssumptions'!$C$3,-3)</f>
        <v>518000</v>
      </c>
      <c r="AA199" s="11">
        <f t="shared" si="10"/>
        <v>0</v>
      </c>
      <c r="AB199" s="11">
        <v>2041</v>
      </c>
      <c r="AC199" s="11">
        <v>2041</v>
      </c>
      <c r="AD199" s="11">
        <v>2041</v>
      </c>
      <c r="AE199" s="19">
        <f>ROUND((Z199*'Data-CostAssumptions'!$G$5)*(1+'Data-CostAssumptions'!$G$3)^(AB199-'Data-CostAssumptions'!$G$4),-3)</f>
        <v>292000</v>
      </c>
      <c r="AF199" s="19">
        <f>ROUND((Z199)*(1+'Data-CostAssumptions'!$G$3)^(AD199-'Data-CostAssumptions'!$G$4),-3)</f>
        <v>1328000</v>
      </c>
      <c r="AG199" s="170" t="str">
        <f t="shared" si="11"/>
        <v>No</v>
      </c>
    </row>
    <row r="200" spans="1:33" ht="15" customHeight="1" x14ac:dyDescent="0.2">
      <c r="A200" s="11"/>
      <c r="B200" s="11" t="s">
        <v>1211</v>
      </c>
      <c r="C200" s="13">
        <v>721</v>
      </c>
      <c r="D200" s="13" t="s">
        <v>420</v>
      </c>
      <c r="E200" s="20">
        <v>201</v>
      </c>
      <c r="F200" s="20">
        <v>182</v>
      </c>
      <c r="G200" s="20">
        <v>99</v>
      </c>
      <c r="H200" s="13" t="s">
        <v>2813</v>
      </c>
      <c r="I200" s="13" t="str">
        <f t="shared" si="9"/>
        <v>SR 820/Hollywood Bl (17th Av to City Hall Circle)</v>
      </c>
      <c r="J200" s="13" t="s">
        <v>29</v>
      </c>
      <c r="K200" s="13" t="str">
        <f>VLOOKUP(J200,'Data-ProjectTypes'!A$3:B$13,2,FALSE)</f>
        <v>Program</v>
      </c>
      <c r="L200" s="21" t="s">
        <v>570</v>
      </c>
      <c r="M200" s="13" t="s">
        <v>2349</v>
      </c>
      <c r="N200" s="13" t="s">
        <v>188</v>
      </c>
      <c r="O200" s="13" t="s">
        <v>282</v>
      </c>
      <c r="P200" s="13" t="s">
        <v>282</v>
      </c>
      <c r="Q200" s="22">
        <v>1.6</v>
      </c>
      <c r="R200" s="23">
        <v>372910</v>
      </c>
      <c r="S200" s="21"/>
      <c r="T200" s="21"/>
      <c r="U200" s="21"/>
      <c r="V200" s="24"/>
      <c r="W200" s="24"/>
      <c r="X200" s="28" t="s">
        <v>777</v>
      </c>
      <c r="Y200" s="17" t="s">
        <v>765</v>
      </c>
      <c r="Z200" s="18">
        <f>ROUND(R200*'Data-CostAssumptions'!$C$3,-3)</f>
        <v>516000</v>
      </c>
      <c r="AA200" s="11">
        <f t="shared" si="10"/>
        <v>0</v>
      </c>
      <c r="AB200" s="11">
        <v>2041</v>
      </c>
      <c r="AC200" s="11">
        <v>2041</v>
      </c>
      <c r="AD200" s="11">
        <v>2041</v>
      </c>
      <c r="AE200" s="19">
        <f>ROUND((Z200*'Data-CostAssumptions'!$G$5)*(1+'Data-CostAssumptions'!$G$3)^(AB200-'Data-CostAssumptions'!$G$4),-3)</f>
        <v>291000</v>
      </c>
      <c r="AF200" s="19">
        <f>ROUND((Z200)*(1+'Data-CostAssumptions'!$G$3)^(AD200-'Data-CostAssumptions'!$G$4),-3)</f>
        <v>1323000</v>
      </c>
      <c r="AG200" s="170" t="str">
        <f t="shared" si="11"/>
        <v>No</v>
      </c>
    </row>
    <row r="201" spans="1:33" ht="15" customHeight="1" x14ac:dyDescent="0.2">
      <c r="A201" s="11"/>
      <c r="B201" s="11" t="s">
        <v>1211</v>
      </c>
      <c r="C201" s="13">
        <v>860</v>
      </c>
      <c r="D201" s="13" t="s">
        <v>420</v>
      </c>
      <c r="E201" s="20">
        <v>143</v>
      </c>
      <c r="F201" s="20">
        <v>190</v>
      </c>
      <c r="G201" s="20">
        <v>237</v>
      </c>
      <c r="H201" s="13" t="s">
        <v>2062</v>
      </c>
      <c r="I201" s="13" t="str">
        <f t="shared" si="9"/>
        <v>NW 31st Av (Commercial Bl to McNab Rd)</v>
      </c>
      <c r="J201" s="13" t="s">
        <v>29</v>
      </c>
      <c r="K201" s="13" t="str">
        <f>VLOOKUP(J201,'Data-ProjectTypes'!A$3:B$13,2,FALSE)</f>
        <v>Program</v>
      </c>
      <c r="L201" s="21" t="s">
        <v>348</v>
      </c>
      <c r="M201" s="13" t="s">
        <v>1813</v>
      </c>
      <c r="N201" s="13" t="s">
        <v>1854</v>
      </c>
      <c r="O201" s="13" t="s">
        <v>273</v>
      </c>
      <c r="P201" s="13" t="s">
        <v>273</v>
      </c>
      <c r="Q201" s="22">
        <v>1.6</v>
      </c>
      <c r="R201" s="23">
        <v>372606</v>
      </c>
      <c r="S201" s="21"/>
      <c r="T201" s="21"/>
      <c r="U201" s="21"/>
      <c r="V201" s="24"/>
      <c r="W201" s="24"/>
      <c r="X201" s="24"/>
      <c r="Y201" s="17"/>
      <c r="Z201" s="18">
        <f>ROUND(R201*'Data-CostAssumptions'!$C$3,-3)</f>
        <v>516000</v>
      </c>
      <c r="AA201" s="11">
        <f t="shared" si="10"/>
        <v>0</v>
      </c>
      <c r="AB201" s="11">
        <v>2041</v>
      </c>
      <c r="AC201" s="11">
        <v>2041</v>
      </c>
      <c r="AD201" s="11">
        <v>2041</v>
      </c>
      <c r="AE201" s="19">
        <f>ROUND((Z201*'Data-CostAssumptions'!$G$5)*(1+'Data-CostAssumptions'!$G$3)^(AB201-'Data-CostAssumptions'!$G$4),-3)</f>
        <v>291000</v>
      </c>
      <c r="AF201" s="19">
        <f>ROUND((Z201)*(1+'Data-CostAssumptions'!$G$3)^(AD201-'Data-CostAssumptions'!$G$4),-3)</f>
        <v>1323000</v>
      </c>
      <c r="AG201" s="170" t="str">
        <f t="shared" si="11"/>
        <v>No</v>
      </c>
    </row>
    <row r="202" spans="1:33" ht="15" customHeight="1" x14ac:dyDescent="0.2">
      <c r="B202" s="11" t="s">
        <v>1211</v>
      </c>
      <c r="D202" s="84" t="s">
        <v>276</v>
      </c>
      <c r="E202" s="104">
        <v>28</v>
      </c>
      <c r="G202" s="20">
        <v>1358</v>
      </c>
      <c r="H202" s="13" t="s">
        <v>1226</v>
      </c>
      <c r="I202" s="13" t="str">
        <f t="shared" si="9"/>
        <v>HIMMARSHEE ST (SW 7TH Av to BRICKELL Av)</v>
      </c>
      <c r="J202" s="12" t="s">
        <v>29</v>
      </c>
      <c r="K202" s="13" t="str">
        <f>VLOOKUP(J202,'Data-ProjectTypes'!A$3:B$13,2,FALSE)</f>
        <v>Program</v>
      </c>
      <c r="L202" s="12" t="s">
        <v>1297</v>
      </c>
      <c r="M202" s="105" t="s">
        <v>2609</v>
      </c>
      <c r="N202" s="12" t="s">
        <v>2608</v>
      </c>
      <c r="Q202" s="72">
        <v>0.4</v>
      </c>
      <c r="R202" s="23">
        <v>371000</v>
      </c>
      <c r="S202" s="21"/>
      <c r="T202" s="21"/>
      <c r="U202" s="21"/>
      <c r="V202" s="24"/>
      <c r="W202" s="24"/>
      <c r="X202" s="24"/>
      <c r="Y202" s="17"/>
      <c r="Z202" s="18">
        <f>ROUND(R202*'Data-CostAssumptions'!$C$3,-3)</f>
        <v>513000</v>
      </c>
      <c r="AA202" s="11">
        <f t="shared" si="10"/>
        <v>0</v>
      </c>
      <c r="AB202" s="11">
        <v>2041</v>
      </c>
      <c r="AC202" s="11">
        <v>2041</v>
      </c>
      <c r="AD202" s="11">
        <v>2041</v>
      </c>
      <c r="AE202" s="19">
        <f>ROUND((Z202*'Data-CostAssumptions'!$G$5)*(1+'Data-CostAssumptions'!$G$3)^(AB202-'Data-CostAssumptions'!$G$4),-3)</f>
        <v>289000</v>
      </c>
      <c r="AF202" s="19">
        <f>ROUND((Z202)*(1+'Data-CostAssumptions'!$G$3)^(AD202-'Data-CostAssumptions'!$G$4),-3)</f>
        <v>1315000</v>
      </c>
      <c r="AG202" s="170" t="str">
        <f t="shared" si="11"/>
        <v>No</v>
      </c>
    </row>
    <row r="203" spans="1:33" ht="15" customHeight="1" x14ac:dyDescent="0.2">
      <c r="B203" s="11" t="s">
        <v>1211</v>
      </c>
      <c r="D203" s="84" t="s">
        <v>276</v>
      </c>
      <c r="E203" s="104" t="s">
        <v>1561</v>
      </c>
      <c r="G203" s="20">
        <v>1517</v>
      </c>
      <c r="H203" s="13" t="s">
        <v>1619</v>
      </c>
      <c r="I203" s="13" t="str">
        <f t="shared" si="9"/>
        <v>WESTSIDE - EX AIRPORT LOOP (NW 7TH Av to NE 62ND ST )</v>
      </c>
      <c r="J203" s="12" t="s">
        <v>29</v>
      </c>
      <c r="K203" s="13" t="str">
        <f>VLOOKUP(J203,'Data-ProjectTypes'!A$3:B$13,2,FALSE)</f>
        <v>Program</v>
      </c>
      <c r="L203" s="12" t="s">
        <v>1667</v>
      </c>
      <c r="M203" s="105" t="s">
        <v>2601</v>
      </c>
      <c r="N203" s="12" t="s">
        <v>1731</v>
      </c>
      <c r="Q203" s="72">
        <v>2.2000000000000002</v>
      </c>
      <c r="R203" s="23">
        <f>ROUND(Q203*'Data-CostAssumptions'!$C$25,-1)</f>
        <v>370480</v>
      </c>
      <c r="S203" s="21"/>
      <c r="T203" s="21"/>
      <c r="U203" s="21"/>
      <c r="V203" s="24"/>
      <c r="W203" s="24"/>
      <c r="X203" s="24"/>
      <c r="Y203" s="17"/>
      <c r="Z203" s="18">
        <f>ROUND(R203*'Data-CostAssumptions'!$C$3,-3)</f>
        <v>513000</v>
      </c>
      <c r="AA203" s="11">
        <f t="shared" si="10"/>
        <v>0</v>
      </c>
      <c r="AB203" s="11">
        <v>2041</v>
      </c>
      <c r="AC203" s="11">
        <v>2041</v>
      </c>
      <c r="AD203" s="11">
        <v>2041</v>
      </c>
      <c r="AE203" s="19">
        <f>ROUND((Z203*'Data-CostAssumptions'!$G$5)*(1+'Data-CostAssumptions'!$G$3)^(AB203-'Data-CostAssumptions'!$G$4),-3)</f>
        <v>289000</v>
      </c>
      <c r="AF203" s="19">
        <f>ROUND((Z203)*(1+'Data-CostAssumptions'!$G$3)^(AD203-'Data-CostAssumptions'!$G$4),-3)</f>
        <v>1315000</v>
      </c>
      <c r="AG203" s="170" t="str">
        <f t="shared" si="11"/>
        <v>No</v>
      </c>
    </row>
    <row r="204" spans="1:33" ht="15" customHeight="1" x14ac:dyDescent="0.2">
      <c r="A204" s="11"/>
      <c r="B204" s="11" t="s">
        <v>1211</v>
      </c>
      <c r="C204" s="13">
        <v>652</v>
      </c>
      <c r="D204" s="13" t="s">
        <v>420</v>
      </c>
      <c r="E204" s="20">
        <v>86</v>
      </c>
      <c r="F204" s="20">
        <v>178</v>
      </c>
      <c r="G204" s="20">
        <v>33</v>
      </c>
      <c r="H204" s="13" t="s">
        <v>2755</v>
      </c>
      <c r="I204" s="13" t="str">
        <f t="shared" si="9"/>
        <v>SR 811/Dixie Hwy (Oakland Park Bl to Commercial Bl)</v>
      </c>
      <c r="J204" s="13" t="s">
        <v>29</v>
      </c>
      <c r="K204" s="13" t="str">
        <f>VLOOKUP(J204,'Data-ProjectTypes'!A$3:B$13,2,FALSE)</f>
        <v>Program</v>
      </c>
      <c r="L204" s="21" t="s">
        <v>348</v>
      </c>
      <c r="M204" s="13" t="s">
        <v>1825</v>
      </c>
      <c r="N204" s="13" t="s">
        <v>1813</v>
      </c>
      <c r="O204" s="13" t="s">
        <v>270</v>
      </c>
      <c r="P204" s="13" t="s">
        <v>270</v>
      </c>
      <c r="Q204" s="22">
        <v>1.6</v>
      </c>
      <c r="R204" s="23">
        <v>369978</v>
      </c>
      <c r="S204" s="21" t="s">
        <v>24</v>
      </c>
      <c r="T204" s="21" t="s">
        <v>24</v>
      </c>
      <c r="U204" s="21"/>
      <c r="V204" s="24"/>
      <c r="W204" s="24"/>
      <c r="X204" s="24"/>
      <c r="Y204" s="17" t="s">
        <v>469</v>
      </c>
      <c r="Z204" s="18">
        <f>ROUND(R204*'Data-CostAssumptions'!$C$3,-3)</f>
        <v>512000</v>
      </c>
      <c r="AA204" s="11">
        <f t="shared" si="10"/>
        <v>0</v>
      </c>
      <c r="AB204" s="11">
        <v>2041</v>
      </c>
      <c r="AC204" s="11">
        <v>2041</v>
      </c>
      <c r="AD204" s="11">
        <v>2041</v>
      </c>
      <c r="AE204" s="19">
        <f>ROUND((Z204*'Data-CostAssumptions'!$G$5)*(1+'Data-CostAssumptions'!$G$3)^(AB204-'Data-CostAssumptions'!$G$4),-3)</f>
        <v>289000</v>
      </c>
      <c r="AF204" s="19">
        <f>ROUND((Z204)*(1+'Data-CostAssumptions'!$G$3)^(AD204-'Data-CostAssumptions'!$G$4),-3)</f>
        <v>1313000</v>
      </c>
      <c r="AG204" s="170" t="str">
        <f t="shared" si="11"/>
        <v>No</v>
      </c>
    </row>
    <row r="205" spans="1:33" ht="15" customHeight="1" x14ac:dyDescent="0.2">
      <c r="A205" s="11"/>
      <c r="B205" s="11" t="s">
        <v>1211</v>
      </c>
      <c r="C205" s="13">
        <v>875</v>
      </c>
      <c r="D205" s="13" t="s">
        <v>420</v>
      </c>
      <c r="E205" s="20">
        <v>268</v>
      </c>
      <c r="F205" s="20">
        <v>191</v>
      </c>
      <c r="G205" s="20">
        <v>252</v>
      </c>
      <c r="H205" s="13" t="s">
        <v>1752</v>
      </c>
      <c r="I205" s="13" t="str">
        <f t="shared" si="9"/>
        <v>Hiatus Rd (Pines Bl to Sheridan St)</v>
      </c>
      <c r="J205" s="13" t="s">
        <v>29</v>
      </c>
      <c r="K205" s="13" t="str">
        <f>VLOOKUP(J205,'Data-ProjectTypes'!A$3:B$13,2,FALSE)</f>
        <v>Program</v>
      </c>
      <c r="L205" s="21" t="s">
        <v>348</v>
      </c>
      <c r="M205" s="13" t="s">
        <v>1826</v>
      </c>
      <c r="N205" s="13" t="s">
        <v>1951</v>
      </c>
      <c r="O205" s="13" t="s">
        <v>271</v>
      </c>
      <c r="P205" s="13" t="s">
        <v>271</v>
      </c>
      <c r="Q205" s="22">
        <v>1.6</v>
      </c>
      <c r="R205" s="23">
        <v>369838</v>
      </c>
      <c r="S205" s="21"/>
      <c r="T205" s="21"/>
      <c r="U205" s="21"/>
      <c r="V205" s="24"/>
      <c r="W205" s="24"/>
      <c r="X205" s="24"/>
      <c r="Y205" s="17"/>
      <c r="Z205" s="18">
        <f>ROUND(R205*'Data-CostAssumptions'!$C$3,-3)</f>
        <v>512000</v>
      </c>
      <c r="AA205" s="11">
        <f t="shared" si="10"/>
        <v>0</v>
      </c>
      <c r="AB205" s="11">
        <v>2041</v>
      </c>
      <c r="AC205" s="11">
        <v>2041</v>
      </c>
      <c r="AD205" s="11">
        <v>2041</v>
      </c>
      <c r="AE205" s="19">
        <f>ROUND((Z205*'Data-CostAssumptions'!$G$5)*(1+'Data-CostAssumptions'!$G$3)^(AB205-'Data-CostAssumptions'!$G$4),-3)</f>
        <v>289000</v>
      </c>
      <c r="AF205" s="19">
        <f>ROUND((Z205)*(1+'Data-CostAssumptions'!$G$3)^(AD205-'Data-CostAssumptions'!$G$4),-3)</f>
        <v>1313000</v>
      </c>
      <c r="AG205" s="170" t="str">
        <f t="shared" si="11"/>
        <v>No</v>
      </c>
    </row>
    <row r="206" spans="1:33" ht="15" customHeight="1" x14ac:dyDescent="0.2">
      <c r="A206" s="11"/>
      <c r="B206" s="11" t="s">
        <v>1211</v>
      </c>
      <c r="C206" s="13">
        <v>766</v>
      </c>
      <c r="D206" s="13" t="s">
        <v>420</v>
      </c>
      <c r="E206" s="20">
        <v>207</v>
      </c>
      <c r="F206" s="20">
        <v>185</v>
      </c>
      <c r="G206" s="20">
        <v>143</v>
      </c>
      <c r="H206" s="13" t="s">
        <v>1857</v>
      </c>
      <c r="I206" s="13" t="str">
        <f t="shared" si="9"/>
        <v>Park Rd (Park Rd turn-off to North 56th Av)</v>
      </c>
      <c r="J206" s="13" t="s">
        <v>29</v>
      </c>
      <c r="K206" s="13" t="str">
        <f>VLOOKUP(J206,'Data-ProjectTypes'!A$3:B$13,2,FALSE)</f>
        <v>Program</v>
      </c>
      <c r="L206" s="21" t="s">
        <v>562</v>
      </c>
      <c r="M206" s="13" t="s">
        <v>2441</v>
      </c>
      <c r="N206" s="13" t="s">
        <v>2041</v>
      </c>
      <c r="O206" s="13" t="s">
        <v>282</v>
      </c>
      <c r="P206" s="13" t="s">
        <v>282</v>
      </c>
      <c r="Q206" s="22">
        <v>1.6</v>
      </c>
      <c r="R206" s="23">
        <v>367603</v>
      </c>
      <c r="S206" s="21"/>
      <c r="T206" s="21"/>
      <c r="U206" s="21"/>
      <c r="V206" s="24"/>
      <c r="W206" s="24"/>
      <c r="X206" s="24" t="s">
        <v>764</v>
      </c>
      <c r="Y206" s="17" t="s">
        <v>765</v>
      </c>
      <c r="Z206" s="18">
        <f>ROUND(R206*'Data-CostAssumptions'!$C$3,-3)</f>
        <v>509000</v>
      </c>
      <c r="AA206" s="11">
        <f t="shared" si="10"/>
        <v>0</v>
      </c>
      <c r="AB206" s="11">
        <v>2041</v>
      </c>
      <c r="AC206" s="11">
        <v>2041</v>
      </c>
      <c r="AD206" s="11">
        <v>2041</v>
      </c>
      <c r="AE206" s="19">
        <f>ROUND((Z206*'Data-CostAssumptions'!$G$5)*(1+'Data-CostAssumptions'!$G$3)^(AB206-'Data-CostAssumptions'!$G$4),-3)</f>
        <v>287000</v>
      </c>
      <c r="AF206" s="19">
        <f>ROUND((Z206)*(1+'Data-CostAssumptions'!$G$3)^(AD206-'Data-CostAssumptions'!$G$4),-3)</f>
        <v>1305000</v>
      </c>
      <c r="AG206" s="170" t="str">
        <f t="shared" si="11"/>
        <v>No</v>
      </c>
    </row>
    <row r="207" spans="1:33" ht="15" customHeight="1" x14ac:dyDescent="0.2">
      <c r="A207" s="11"/>
      <c r="B207" s="11" t="s">
        <v>1211</v>
      </c>
      <c r="C207" s="11"/>
      <c r="D207" s="84" t="s">
        <v>276</v>
      </c>
      <c r="E207" s="14">
        <v>14</v>
      </c>
      <c r="F207" s="14"/>
      <c r="G207" s="20">
        <v>1345</v>
      </c>
      <c r="H207" s="13" t="s">
        <v>1842</v>
      </c>
      <c r="I207" s="13" t="str">
        <f t="shared" si="9"/>
        <v>Cypress Creek Rd (US 1/SR 5 to NE 18TH Av)</v>
      </c>
      <c r="J207" s="11" t="s">
        <v>29</v>
      </c>
      <c r="K207" s="13" t="str">
        <f>VLOOKUP(J207,'Data-ProjectTypes'!A$3:B$13,2,FALSE)</f>
        <v>Program</v>
      </c>
      <c r="L207" s="11" t="s">
        <v>1273</v>
      </c>
      <c r="M207" s="106" t="s">
        <v>1422</v>
      </c>
      <c r="N207" s="84" t="s">
        <v>2146</v>
      </c>
      <c r="O207" s="11"/>
      <c r="P207" s="11"/>
      <c r="Q207" s="107">
        <v>0.9</v>
      </c>
      <c r="R207" s="23">
        <v>508000</v>
      </c>
      <c r="S207" s="21" t="s">
        <v>24</v>
      </c>
      <c r="T207" s="21"/>
      <c r="U207" s="21"/>
      <c r="V207" s="24"/>
      <c r="W207" s="24"/>
      <c r="X207" s="24"/>
      <c r="Y207" s="17" t="s">
        <v>469</v>
      </c>
      <c r="Z207" s="18">
        <f>ROUND(R207*'Data-CostAssumptions'!$C$8,-3)</f>
        <v>508000</v>
      </c>
      <c r="AA207" s="11">
        <f t="shared" si="10"/>
        <v>0</v>
      </c>
      <c r="AB207" s="11">
        <v>2041</v>
      </c>
      <c r="AC207" s="11">
        <v>2041</v>
      </c>
      <c r="AD207" s="11">
        <v>2041</v>
      </c>
      <c r="AE207" s="19">
        <f>ROUND((Z207*'Data-CostAssumptions'!$G$5)*(1+'Data-CostAssumptions'!$G$3)^(AB207-'Data-CostAssumptions'!$G$4),-3)</f>
        <v>287000</v>
      </c>
      <c r="AF207" s="19">
        <f>ROUND((Z207)*(1+'Data-CostAssumptions'!$G$3)^(AD207-'Data-CostAssumptions'!$G$4),-3)</f>
        <v>1302000</v>
      </c>
      <c r="AG207" s="170" t="str">
        <f t="shared" si="11"/>
        <v>No</v>
      </c>
    </row>
    <row r="208" spans="1:33" ht="15" customHeight="1" x14ac:dyDescent="0.2">
      <c r="A208" s="11"/>
      <c r="B208" s="11" t="s">
        <v>1211</v>
      </c>
      <c r="C208" s="13">
        <v>643</v>
      </c>
      <c r="D208" s="13" t="s">
        <v>420</v>
      </c>
      <c r="E208" s="20">
        <v>210</v>
      </c>
      <c r="F208" s="20">
        <v>178</v>
      </c>
      <c r="G208" s="20">
        <v>24</v>
      </c>
      <c r="H208" s="13" t="s">
        <v>2043</v>
      </c>
      <c r="I208" s="13" t="str">
        <f t="shared" si="9"/>
        <v>North 64th Av (Hollywood Bl to Hood St)</v>
      </c>
      <c r="J208" s="13" t="s">
        <v>29</v>
      </c>
      <c r="K208" s="13" t="str">
        <f>VLOOKUP(J208,'Data-ProjectTypes'!A$3:B$13,2,FALSE)</f>
        <v>Program</v>
      </c>
      <c r="L208" s="21" t="s">
        <v>562</v>
      </c>
      <c r="M208" s="13" t="s">
        <v>1820</v>
      </c>
      <c r="N208" s="13" t="s">
        <v>2522</v>
      </c>
      <c r="O208" s="13" t="s">
        <v>272</v>
      </c>
      <c r="P208" s="13" t="s">
        <v>272</v>
      </c>
      <c r="Q208" s="22">
        <v>1.6</v>
      </c>
      <c r="R208" s="23">
        <v>364142</v>
      </c>
      <c r="S208" s="21"/>
      <c r="T208" s="21"/>
      <c r="U208" s="21"/>
      <c r="V208" s="24"/>
      <c r="W208" s="24"/>
      <c r="X208" s="24"/>
      <c r="Y208" s="17"/>
      <c r="Z208" s="18">
        <f>ROUND(R208*'Data-CostAssumptions'!$C$3,-3)</f>
        <v>504000</v>
      </c>
      <c r="AA208" s="11">
        <f t="shared" si="10"/>
        <v>0</v>
      </c>
      <c r="AB208" s="11">
        <v>2041</v>
      </c>
      <c r="AC208" s="11">
        <v>2041</v>
      </c>
      <c r="AD208" s="11">
        <v>2041</v>
      </c>
      <c r="AE208" s="19">
        <f>ROUND((Z208*'Data-CostAssumptions'!$G$5)*(1+'Data-CostAssumptions'!$G$3)^(AB208-'Data-CostAssumptions'!$G$4),-3)</f>
        <v>284000</v>
      </c>
      <c r="AF208" s="19">
        <f>ROUND((Z208)*(1+'Data-CostAssumptions'!$G$3)^(AD208-'Data-CostAssumptions'!$G$4),-3)</f>
        <v>1292000</v>
      </c>
      <c r="AG208" s="170" t="str">
        <f t="shared" si="11"/>
        <v>No</v>
      </c>
    </row>
    <row r="209" spans="1:33" ht="15" customHeight="1" x14ac:dyDescent="0.2">
      <c r="A209" s="11"/>
      <c r="B209" s="11" t="s">
        <v>1211</v>
      </c>
      <c r="C209" s="13">
        <v>850</v>
      </c>
      <c r="D209" s="13" t="s">
        <v>420</v>
      </c>
      <c r="E209" s="20">
        <v>77</v>
      </c>
      <c r="F209" s="20">
        <v>189</v>
      </c>
      <c r="G209" s="20">
        <v>226</v>
      </c>
      <c r="H209" s="13" t="s">
        <v>2014</v>
      </c>
      <c r="I209" s="13" t="str">
        <f t="shared" si="9"/>
        <v>Andrews Av (Prospect Rd to NE 62nd St/Cypress Creek Rd)</v>
      </c>
      <c r="J209" s="13" t="s">
        <v>29</v>
      </c>
      <c r="K209" s="13" t="str">
        <f>VLOOKUP(J209,'Data-ProjectTypes'!A$3:B$13,2,FALSE)</f>
        <v>Program</v>
      </c>
      <c r="L209" s="21" t="s">
        <v>708</v>
      </c>
      <c r="M209" s="13" t="s">
        <v>1859</v>
      </c>
      <c r="N209" s="13" t="s">
        <v>1901</v>
      </c>
      <c r="O209" s="13" t="s">
        <v>273</v>
      </c>
      <c r="P209" s="13" t="s">
        <v>273</v>
      </c>
      <c r="Q209" s="22">
        <v>1.6</v>
      </c>
      <c r="R209" s="23">
        <v>361720</v>
      </c>
      <c r="S209" s="21"/>
      <c r="T209" s="21"/>
      <c r="U209" s="21"/>
      <c r="V209" s="24"/>
      <c r="W209" s="24"/>
      <c r="X209" s="24"/>
      <c r="Y209" s="17"/>
      <c r="Z209" s="18">
        <f>ROUND(R209*'Data-CostAssumptions'!$C$3,-3)</f>
        <v>501000</v>
      </c>
      <c r="AA209" s="11">
        <f t="shared" si="10"/>
        <v>0</v>
      </c>
      <c r="AB209" s="11">
        <v>2041</v>
      </c>
      <c r="AC209" s="11">
        <v>2041</v>
      </c>
      <c r="AD209" s="11">
        <v>2041</v>
      </c>
      <c r="AE209" s="19">
        <f>ROUND((Z209*'Data-CostAssumptions'!$G$5)*(1+'Data-CostAssumptions'!$G$3)^(AB209-'Data-CostAssumptions'!$G$4),-3)</f>
        <v>283000</v>
      </c>
      <c r="AF209" s="19">
        <f>ROUND((Z209)*(1+'Data-CostAssumptions'!$G$3)^(AD209-'Data-CostAssumptions'!$G$4),-3)</f>
        <v>1285000</v>
      </c>
      <c r="AG209" s="170" t="str">
        <f t="shared" si="11"/>
        <v>No</v>
      </c>
    </row>
    <row r="210" spans="1:33" ht="15" customHeight="1" x14ac:dyDescent="0.2">
      <c r="A210" s="11"/>
      <c r="B210" s="11" t="s">
        <v>1211</v>
      </c>
      <c r="C210" s="13">
        <v>929</v>
      </c>
      <c r="D210" s="13" t="s">
        <v>420</v>
      </c>
      <c r="E210" s="20">
        <v>47</v>
      </c>
      <c r="F210" s="20">
        <v>194</v>
      </c>
      <c r="G210" s="20">
        <v>305</v>
      </c>
      <c r="H210" s="13" t="s">
        <v>1752</v>
      </c>
      <c r="I210" s="13" t="str">
        <f t="shared" si="9"/>
        <v>Hiatus Rd (Sunrise Bl to Oakland Park Bl)</v>
      </c>
      <c r="J210" s="13" t="s">
        <v>29</v>
      </c>
      <c r="K210" s="13" t="str">
        <f>VLOOKUP(J210,'Data-ProjectTypes'!A$3:B$13,2,FALSE)</f>
        <v>Program</v>
      </c>
      <c r="L210" s="21" t="s">
        <v>348</v>
      </c>
      <c r="M210" s="13" t="s">
        <v>1830</v>
      </c>
      <c r="N210" s="13" t="s">
        <v>1825</v>
      </c>
      <c r="O210" s="13" t="s">
        <v>273</v>
      </c>
      <c r="P210" s="13" t="s">
        <v>273</v>
      </c>
      <c r="Q210" s="22">
        <v>1.6</v>
      </c>
      <c r="R210" s="23">
        <v>361514</v>
      </c>
      <c r="S210" s="21"/>
      <c r="T210" s="21"/>
      <c r="U210" s="21"/>
      <c r="V210" s="24"/>
      <c r="W210" s="24"/>
      <c r="X210" s="24"/>
      <c r="Y210" s="17"/>
      <c r="Z210" s="18">
        <f>ROUND(R210*'Data-CostAssumptions'!$C$3,-3)</f>
        <v>500000</v>
      </c>
      <c r="AA210" s="11">
        <f t="shared" si="10"/>
        <v>0</v>
      </c>
      <c r="AB210" s="11">
        <v>2041</v>
      </c>
      <c r="AC210" s="11">
        <v>2041</v>
      </c>
      <c r="AD210" s="11">
        <v>2041</v>
      </c>
      <c r="AE210" s="19">
        <f>ROUND((Z210*'Data-CostAssumptions'!$G$5)*(1+'Data-CostAssumptions'!$G$3)^(AB210-'Data-CostAssumptions'!$G$4),-3)</f>
        <v>282000</v>
      </c>
      <c r="AF210" s="19">
        <f>ROUND((Z210)*(1+'Data-CostAssumptions'!$G$3)^(AD210-'Data-CostAssumptions'!$G$4),-3)</f>
        <v>1282000</v>
      </c>
      <c r="AG210" s="170" t="str">
        <f t="shared" si="11"/>
        <v>No</v>
      </c>
    </row>
    <row r="211" spans="1:33" ht="15" customHeight="1" x14ac:dyDescent="0.2">
      <c r="A211" s="11"/>
      <c r="B211" s="11" t="s">
        <v>1211</v>
      </c>
      <c r="C211" s="13">
        <v>697</v>
      </c>
      <c r="D211" s="13" t="s">
        <v>420</v>
      </c>
      <c r="E211" s="20">
        <v>90</v>
      </c>
      <c r="F211" s="20">
        <v>181</v>
      </c>
      <c r="G211" s="20">
        <v>75</v>
      </c>
      <c r="H211" s="13" t="s">
        <v>2057</v>
      </c>
      <c r="I211" s="13" t="str">
        <f t="shared" si="9"/>
        <v>NW 21st Av (Oakland Park Bl to Commercial Bl)</v>
      </c>
      <c r="J211" s="13" t="s">
        <v>29</v>
      </c>
      <c r="K211" s="13" t="str">
        <f>VLOOKUP(J211,'Data-ProjectTypes'!A$3:B$13,2,FALSE)</f>
        <v>Program</v>
      </c>
      <c r="L211" s="21" t="s">
        <v>348</v>
      </c>
      <c r="M211" s="13" t="s">
        <v>1825</v>
      </c>
      <c r="N211" s="13" t="s">
        <v>1813</v>
      </c>
      <c r="O211" s="13" t="s">
        <v>273</v>
      </c>
      <c r="P211" s="13" t="s">
        <v>273</v>
      </c>
      <c r="Q211" s="22">
        <v>1.6</v>
      </c>
      <c r="R211" s="23">
        <v>360418</v>
      </c>
      <c r="S211" s="12" t="s">
        <v>24</v>
      </c>
      <c r="T211" s="21" t="s">
        <v>25</v>
      </c>
      <c r="U211" s="21" t="s">
        <v>24</v>
      </c>
      <c r="V211" s="24" t="s">
        <v>561</v>
      </c>
      <c r="W211" s="24"/>
      <c r="X211" s="28"/>
      <c r="Y211" s="17" t="s">
        <v>538</v>
      </c>
      <c r="Z211" s="18">
        <f>ROUND(R211*'Data-CostAssumptions'!$C$3,-3)</f>
        <v>499000</v>
      </c>
      <c r="AA211" s="11">
        <f t="shared" si="10"/>
        <v>1</v>
      </c>
      <c r="AB211" s="11">
        <v>2041</v>
      </c>
      <c r="AC211" s="11">
        <v>2041</v>
      </c>
      <c r="AD211" s="11">
        <v>2041</v>
      </c>
      <c r="AE211" s="19">
        <f>ROUND((Z211*'Data-CostAssumptions'!$G$5)*(1+'Data-CostAssumptions'!$G$3)^(AB211-'Data-CostAssumptions'!$G$4),-3)</f>
        <v>281000</v>
      </c>
      <c r="AF211" s="19">
        <f>ROUND((Z211)*(1+'Data-CostAssumptions'!$G$3)^(AD211-'Data-CostAssumptions'!$G$4),-3)</f>
        <v>1279000</v>
      </c>
      <c r="AG211" s="170" t="str">
        <f t="shared" si="11"/>
        <v>No</v>
      </c>
    </row>
    <row r="212" spans="1:33" ht="15" customHeight="1" x14ac:dyDescent="0.2">
      <c r="A212" s="11"/>
      <c r="B212" s="11" t="s">
        <v>1211</v>
      </c>
      <c r="C212" s="13">
        <v>741</v>
      </c>
      <c r="D212" s="13" t="s">
        <v>420</v>
      </c>
      <c r="E212" s="20">
        <v>39</v>
      </c>
      <c r="F212" s="20">
        <v>183</v>
      </c>
      <c r="G212" s="20">
        <v>118</v>
      </c>
      <c r="H212" s="13" t="s">
        <v>1871</v>
      </c>
      <c r="I212" s="13" t="str">
        <f t="shared" si="9"/>
        <v>48th St/49th St (SR 5/US 1 to NE 3rd Av)</v>
      </c>
      <c r="J212" s="13" t="s">
        <v>29</v>
      </c>
      <c r="K212" s="13" t="str">
        <f>VLOOKUP(J212,'Data-ProjectTypes'!A$3:B$13,2,FALSE)</f>
        <v>Program</v>
      </c>
      <c r="L212" s="21" t="s">
        <v>348</v>
      </c>
      <c r="M212" s="13" t="s">
        <v>1424</v>
      </c>
      <c r="N212" s="13" t="s">
        <v>2033</v>
      </c>
      <c r="O212" s="13" t="s">
        <v>273</v>
      </c>
      <c r="P212" s="13" t="s">
        <v>273</v>
      </c>
      <c r="Q212" s="22">
        <v>1.5</v>
      </c>
      <c r="R212" s="23">
        <v>359178</v>
      </c>
      <c r="S212" s="21" t="s">
        <v>24</v>
      </c>
      <c r="T212" s="21" t="s">
        <v>25</v>
      </c>
      <c r="U212" s="21"/>
      <c r="V212" s="24"/>
      <c r="W212" s="24" t="s">
        <v>517</v>
      </c>
      <c r="X212" s="24"/>
      <c r="Y212" s="17" t="s">
        <v>297</v>
      </c>
      <c r="Z212" s="18">
        <f>ROUND(R212*'Data-CostAssumptions'!$C$3,-3)</f>
        <v>497000</v>
      </c>
      <c r="AA212" s="11">
        <f t="shared" si="10"/>
        <v>1</v>
      </c>
      <c r="AB212" s="11">
        <v>2041</v>
      </c>
      <c r="AC212" s="11">
        <v>2041</v>
      </c>
      <c r="AD212" s="11">
        <v>2041</v>
      </c>
      <c r="AE212" s="19">
        <f>ROUND((Z212*'Data-CostAssumptions'!$G$5)*(1+'Data-CostAssumptions'!$G$3)^(AB212-'Data-CostAssumptions'!$G$4),-3)</f>
        <v>280000</v>
      </c>
      <c r="AF212" s="19">
        <f>ROUND((Z212)*(1+'Data-CostAssumptions'!$G$3)^(AD212-'Data-CostAssumptions'!$G$4),-3)</f>
        <v>1274000</v>
      </c>
      <c r="AG212" s="170" t="str">
        <f t="shared" si="11"/>
        <v>No</v>
      </c>
    </row>
    <row r="213" spans="1:33" ht="15" customHeight="1" x14ac:dyDescent="0.2">
      <c r="B213" s="11" t="s">
        <v>1211</v>
      </c>
      <c r="D213" s="84" t="s">
        <v>276</v>
      </c>
      <c r="E213" s="104">
        <v>91</v>
      </c>
      <c r="G213" s="20">
        <v>1472</v>
      </c>
      <c r="H213" s="13" t="s">
        <v>2728</v>
      </c>
      <c r="I213" s="13" t="str">
        <f t="shared" si="9"/>
        <v>SR 838/Sunrise Bl (NE 26TH Av to SR A1A)</v>
      </c>
      <c r="J213" s="12" t="s">
        <v>29</v>
      </c>
      <c r="K213" s="13" t="str">
        <f>VLOOKUP(J213,'Data-ProjectTypes'!A$3:B$13,2,FALSE)</f>
        <v>Program</v>
      </c>
      <c r="L213" s="12" t="s">
        <v>1394</v>
      </c>
      <c r="M213" s="105" t="s">
        <v>2632</v>
      </c>
      <c r="N213" s="12" t="s">
        <v>110</v>
      </c>
      <c r="Q213" s="72">
        <v>0.5</v>
      </c>
      <c r="R213" s="23">
        <v>358200</v>
      </c>
      <c r="S213" s="21" t="s">
        <v>24</v>
      </c>
      <c r="T213" s="21" t="s">
        <v>25</v>
      </c>
      <c r="U213" s="21" t="s">
        <v>24</v>
      </c>
      <c r="V213" s="24"/>
      <c r="W213" s="24"/>
      <c r="X213" s="24"/>
      <c r="Y213" s="17" t="s">
        <v>538</v>
      </c>
      <c r="Z213" s="18">
        <f>ROUND(R213*'Data-CostAssumptions'!$C$3,-3)</f>
        <v>496000</v>
      </c>
      <c r="AA213" s="11">
        <f t="shared" si="10"/>
        <v>0</v>
      </c>
      <c r="AB213" s="11">
        <v>2041</v>
      </c>
      <c r="AC213" s="11">
        <v>2041</v>
      </c>
      <c r="AD213" s="11">
        <v>2041</v>
      </c>
      <c r="AE213" s="19">
        <f>ROUND((Z213*'Data-CostAssumptions'!$G$5)*(1+'Data-CostAssumptions'!$G$3)^(AB213-'Data-CostAssumptions'!$G$4),-3)</f>
        <v>280000</v>
      </c>
      <c r="AF213" s="19">
        <f>ROUND((Z213)*(1+'Data-CostAssumptions'!$G$3)^(AD213-'Data-CostAssumptions'!$G$4),-3)</f>
        <v>1272000</v>
      </c>
      <c r="AG213" s="170" t="str">
        <f t="shared" si="11"/>
        <v>No</v>
      </c>
    </row>
    <row r="214" spans="1:33" ht="15" customHeight="1" x14ac:dyDescent="0.2">
      <c r="A214" s="11"/>
      <c r="B214" s="11" t="s">
        <v>1211</v>
      </c>
      <c r="C214" s="13">
        <v>765</v>
      </c>
      <c r="D214" s="13" t="s">
        <v>420</v>
      </c>
      <c r="E214" s="20">
        <v>203</v>
      </c>
      <c r="F214" s="20">
        <v>185</v>
      </c>
      <c r="G214" s="20">
        <v>142</v>
      </c>
      <c r="H214" s="13" t="s">
        <v>1857</v>
      </c>
      <c r="I214" s="13" t="str">
        <f t="shared" si="9"/>
        <v>Park Rd (Hollywood Bl to Sheridan St)</v>
      </c>
      <c r="J214" s="13" t="s">
        <v>29</v>
      </c>
      <c r="K214" s="13" t="str">
        <f>VLOOKUP(J214,'Data-ProjectTypes'!A$3:B$13,2,FALSE)</f>
        <v>Program</v>
      </c>
      <c r="L214" s="21" t="s">
        <v>562</v>
      </c>
      <c r="M214" s="13" t="s">
        <v>1820</v>
      </c>
      <c r="N214" s="13" t="s">
        <v>1951</v>
      </c>
      <c r="O214" s="13" t="s">
        <v>282</v>
      </c>
      <c r="P214" s="13" t="s">
        <v>282</v>
      </c>
      <c r="Q214" s="22">
        <v>1.5</v>
      </c>
      <c r="R214" s="23">
        <v>357540</v>
      </c>
      <c r="S214" s="21"/>
      <c r="T214" s="21"/>
      <c r="U214" s="21"/>
      <c r="V214" s="24"/>
      <c r="W214" s="24"/>
      <c r="X214" s="24"/>
      <c r="Y214" s="17"/>
      <c r="Z214" s="18">
        <f>ROUND(R214*'Data-CostAssumptions'!$C$3,-3)</f>
        <v>495000</v>
      </c>
      <c r="AA214" s="11">
        <f t="shared" si="10"/>
        <v>0</v>
      </c>
      <c r="AB214" s="11">
        <v>2041</v>
      </c>
      <c r="AC214" s="11">
        <v>2041</v>
      </c>
      <c r="AD214" s="11">
        <v>2041</v>
      </c>
      <c r="AE214" s="19">
        <f>ROUND((Z214*'Data-CostAssumptions'!$G$5)*(1+'Data-CostAssumptions'!$G$3)^(AB214-'Data-CostAssumptions'!$G$4),-3)</f>
        <v>279000</v>
      </c>
      <c r="AF214" s="19">
        <f>ROUND((Z214)*(1+'Data-CostAssumptions'!$G$3)^(AD214-'Data-CostAssumptions'!$G$4),-3)</f>
        <v>1269000</v>
      </c>
      <c r="AG214" s="170" t="str">
        <f t="shared" si="11"/>
        <v>No</v>
      </c>
    </row>
    <row r="215" spans="1:33" ht="15" customHeight="1" x14ac:dyDescent="0.2">
      <c r="A215" s="11"/>
      <c r="B215" s="11" t="s">
        <v>1211</v>
      </c>
      <c r="C215" s="13">
        <v>927</v>
      </c>
      <c r="D215" s="13" t="s">
        <v>420</v>
      </c>
      <c r="E215" s="20">
        <v>43</v>
      </c>
      <c r="F215" s="20">
        <v>194</v>
      </c>
      <c r="G215" s="20">
        <v>303</v>
      </c>
      <c r="H215" s="13" t="s">
        <v>2209</v>
      </c>
      <c r="I215" s="13" t="str">
        <f t="shared" si="9"/>
        <v>SR 5/ US 1 (Sample Rd to SE 15th St)</v>
      </c>
      <c r="J215" s="13" t="s">
        <v>29</v>
      </c>
      <c r="K215" s="13" t="str">
        <f>VLOOKUP(J215,'Data-ProjectTypes'!A$3:B$13,2,FALSE)</f>
        <v>Program</v>
      </c>
      <c r="L215" s="21" t="s">
        <v>348</v>
      </c>
      <c r="M215" s="13" t="s">
        <v>1864</v>
      </c>
      <c r="N215" s="13" t="s">
        <v>1939</v>
      </c>
      <c r="O215" s="13" t="s">
        <v>270</v>
      </c>
      <c r="P215" s="13" t="s">
        <v>270</v>
      </c>
      <c r="Q215" s="22">
        <v>1.5</v>
      </c>
      <c r="R215" s="23">
        <v>357652</v>
      </c>
      <c r="S215" s="21"/>
      <c r="T215" s="21"/>
      <c r="U215" s="21"/>
      <c r="V215" s="24"/>
      <c r="W215" s="24"/>
      <c r="X215" s="24"/>
      <c r="Y215" s="17"/>
      <c r="Z215" s="18">
        <f>ROUND(R215*'Data-CostAssumptions'!$C$3,-3)</f>
        <v>495000</v>
      </c>
      <c r="AA215" s="11">
        <f t="shared" si="10"/>
        <v>0</v>
      </c>
      <c r="AB215" s="11">
        <v>2041</v>
      </c>
      <c r="AC215" s="11">
        <v>2041</v>
      </c>
      <c r="AD215" s="11">
        <v>2041</v>
      </c>
      <c r="AE215" s="19">
        <f>ROUND((Z215*'Data-CostAssumptions'!$G$5)*(1+'Data-CostAssumptions'!$G$3)^(AB215-'Data-CostAssumptions'!$G$4),-3)</f>
        <v>279000</v>
      </c>
      <c r="AF215" s="19">
        <f>ROUND((Z215)*(1+'Data-CostAssumptions'!$G$3)^(AD215-'Data-CostAssumptions'!$G$4),-3)</f>
        <v>1269000</v>
      </c>
      <c r="AG215" s="170" t="str">
        <f t="shared" si="11"/>
        <v>No</v>
      </c>
    </row>
    <row r="216" spans="1:33" ht="15" customHeight="1" x14ac:dyDescent="0.2">
      <c r="A216" s="11"/>
      <c r="B216" s="11" t="s">
        <v>1211</v>
      </c>
      <c r="C216" s="11">
        <v>12006</v>
      </c>
      <c r="D216" s="84" t="s">
        <v>292</v>
      </c>
      <c r="E216" s="14"/>
      <c r="F216" s="14"/>
      <c r="G216" s="20">
        <v>1089</v>
      </c>
      <c r="H216" s="13" t="s">
        <v>2793</v>
      </c>
      <c r="I216" s="13" t="str">
        <f t="shared" si="9"/>
        <v>SR 834/Sample Rd (University Dr to NW 110 Av)</v>
      </c>
      <c r="J216" s="11" t="s">
        <v>29</v>
      </c>
      <c r="K216" s="13" t="str">
        <f>VLOOKUP(J216,'Data-ProjectTypes'!A$3:B$13,2,FALSE)</f>
        <v>Program</v>
      </c>
      <c r="L216" s="11" t="s">
        <v>426</v>
      </c>
      <c r="M216" s="11" t="s">
        <v>1804</v>
      </c>
      <c r="N216" s="11" t="s">
        <v>2258</v>
      </c>
      <c r="O216" s="11"/>
      <c r="P216" s="11"/>
      <c r="Q216" s="15">
        <v>1.4</v>
      </c>
      <c r="R216" s="16">
        <v>356531.86498280271</v>
      </c>
      <c r="S216" s="21" t="s">
        <v>24</v>
      </c>
      <c r="T216" s="21"/>
      <c r="U216" s="21"/>
      <c r="V216" s="24"/>
      <c r="W216" s="24"/>
      <c r="X216" s="24"/>
      <c r="Y216" s="17" t="s">
        <v>469</v>
      </c>
      <c r="Z216" s="18">
        <f>ROUND(R216*'Data-CostAssumptions'!$C$3,-3)</f>
        <v>493000</v>
      </c>
      <c r="AA216" s="11">
        <f t="shared" si="10"/>
        <v>0</v>
      </c>
      <c r="AB216" s="11">
        <v>2041</v>
      </c>
      <c r="AC216" s="11">
        <v>2041</v>
      </c>
      <c r="AD216" s="11">
        <v>2041</v>
      </c>
      <c r="AE216" s="19">
        <f>ROUND((Z216*'Data-CostAssumptions'!$G$5)*(1+'Data-CostAssumptions'!$G$3)^(AB216-'Data-CostAssumptions'!$G$4),-3)</f>
        <v>278000</v>
      </c>
      <c r="AF216" s="19">
        <f>ROUND((Z216)*(1+'Data-CostAssumptions'!$G$3)^(AD216-'Data-CostAssumptions'!$G$4),-3)</f>
        <v>1264000</v>
      </c>
      <c r="AG216" s="170" t="str">
        <f t="shared" si="11"/>
        <v>No</v>
      </c>
    </row>
    <row r="217" spans="1:33" ht="15" customHeight="1" x14ac:dyDescent="0.2">
      <c r="A217" s="11"/>
      <c r="B217" s="11" t="s">
        <v>1211</v>
      </c>
      <c r="C217" s="13">
        <v>755</v>
      </c>
      <c r="D217" s="13" t="s">
        <v>420</v>
      </c>
      <c r="E217" s="20">
        <v>120</v>
      </c>
      <c r="F217" s="20">
        <v>184</v>
      </c>
      <c r="G217" s="20">
        <v>132</v>
      </c>
      <c r="H217" s="13" t="s">
        <v>2727</v>
      </c>
      <c r="I217" s="13" t="str">
        <f t="shared" si="9"/>
        <v>SR 848/Stirling Rd (US 1/Federal Hwy to Ravenswood Rd)</v>
      </c>
      <c r="J217" s="13" t="s">
        <v>29</v>
      </c>
      <c r="K217" s="13" t="str">
        <f>VLOOKUP(J217,'Data-ProjectTypes'!A$3:B$13,2,FALSE)</f>
        <v>Program</v>
      </c>
      <c r="L217" s="21" t="s">
        <v>348</v>
      </c>
      <c r="M217" s="13" t="s">
        <v>2594</v>
      </c>
      <c r="N217" s="13" t="s">
        <v>1765</v>
      </c>
      <c r="O217" s="13" t="s">
        <v>270</v>
      </c>
      <c r="P217" s="13" t="s">
        <v>270</v>
      </c>
      <c r="Q217" s="22">
        <v>1.5</v>
      </c>
      <c r="R217" s="23">
        <v>355303</v>
      </c>
      <c r="S217" s="21" t="s">
        <v>24</v>
      </c>
      <c r="T217" s="21"/>
      <c r="U217" s="21"/>
      <c r="V217" s="24"/>
      <c r="W217" s="24"/>
      <c r="X217" s="24"/>
      <c r="Y217" s="17" t="s">
        <v>460</v>
      </c>
      <c r="Z217" s="18">
        <f>ROUND(R217*'Data-CostAssumptions'!$C$3,-3)</f>
        <v>492000</v>
      </c>
      <c r="AA217" s="11">
        <f t="shared" si="10"/>
        <v>0</v>
      </c>
      <c r="AB217" s="11">
        <v>2041</v>
      </c>
      <c r="AC217" s="11">
        <v>2041</v>
      </c>
      <c r="AD217" s="11">
        <v>2041</v>
      </c>
      <c r="AE217" s="19">
        <f>ROUND((Z217*'Data-CostAssumptions'!$G$5)*(1+'Data-CostAssumptions'!$G$3)^(AB217-'Data-CostAssumptions'!$G$4),-3)</f>
        <v>278000</v>
      </c>
      <c r="AF217" s="19">
        <f>ROUND((Z217)*(1+'Data-CostAssumptions'!$G$3)^(AD217-'Data-CostAssumptions'!$G$4),-3)</f>
        <v>1261000</v>
      </c>
      <c r="AG217" s="170" t="str">
        <f t="shared" si="11"/>
        <v>No</v>
      </c>
    </row>
    <row r="218" spans="1:33" ht="15" customHeight="1" x14ac:dyDescent="0.2">
      <c r="A218" s="11"/>
      <c r="B218" s="11" t="s">
        <v>1211</v>
      </c>
      <c r="C218" s="13">
        <v>717</v>
      </c>
      <c r="D218" s="13" t="s">
        <v>420</v>
      </c>
      <c r="E218" s="20">
        <v>195</v>
      </c>
      <c r="F218" s="20">
        <v>182</v>
      </c>
      <c r="G218" s="20">
        <v>95</v>
      </c>
      <c r="H218" s="13" t="s">
        <v>728</v>
      </c>
      <c r="I218" s="13" t="str">
        <f t="shared" si="9"/>
        <v>Dixie Hwy (Hollywood Bl to Sheridan St)</v>
      </c>
      <c r="J218" s="13" t="s">
        <v>29</v>
      </c>
      <c r="K218" s="13" t="str">
        <f>VLOOKUP(J218,'Data-ProjectTypes'!A$3:B$13,2,FALSE)</f>
        <v>Program</v>
      </c>
      <c r="L218" s="21" t="s">
        <v>348</v>
      </c>
      <c r="M218" s="13" t="s">
        <v>1820</v>
      </c>
      <c r="N218" s="13" t="s">
        <v>1951</v>
      </c>
      <c r="O218" s="13" t="s">
        <v>273</v>
      </c>
      <c r="P218" s="13" t="s">
        <v>273</v>
      </c>
      <c r="Q218" s="22">
        <v>1.5</v>
      </c>
      <c r="R218" s="23">
        <v>353311</v>
      </c>
      <c r="S218" s="21"/>
      <c r="T218" s="21"/>
      <c r="U218" s="21"/>
      <c r="V218" s="24"/>
      <c r="W218" s="24" t="s">
        <v>676</v>
      </c>
      <c r="X218" s="28" t="s">
        <v>499</v>
      </c>
      <c r="Y218" s="17" t="s">
        <v>673</v>
      </c>
      <c r="Z218" s="18">
        <f>ROUND(R218*'Data-CostAssumptions'!$C$3,-3)</f>
        <v>489000</v>
      </c>
      <c r="AA218" s="11">
        <f t="shared" si="10"/>
        <v>1</v>
      </c>
      <c r="AB218" s="11">
        <v>2041</v>
      </c>
      <c r="AC218" s="11">
        <v>2041</v>
      </c>
      <c r="AD218" s="11">
        <v>2041</v>
      </c>
      <c r="AE218" s="19">
        <f>ROUND((Z218*'Data-CostAssumptions'!$G$5)*(1+'Data-CostAssumptions'!$G$3)^(AB218-'Data-CostAssumptions'!$G$4),-3)</f>
        <v>276000</v>
      </c>
      <c r="AF218" s="19">
        <f>ROUND((Z218)*(1+'Data-CostAssumptions'!$G$3)^(AD218-'Data-CostAssumptions'!$G$4),-3)</f>
        <v>1254000</v>
      </c>
      <c r="AG218" s="170" t="str">
        <f t="shared" si="11"/>
        <v>No</v>
      </c>
    </row>
    <row r="219" spans="1:33" ht="15" customHeight="1" x14ac:dyDescent="0.2">
      <c r="A219" s="11"/>
      <c r="B219" s="11" t="s">
        <v>1211</v>
      </c>
      <c r="C219" s="13">
        <v>754</v>
      </c>
      <c r="D219" s="13" t="s">
        <v>420</v>
      </c>
      <c r="E219" s="20">
        <v>116</v>
      </c>
      <c r="F219" s="20">
        <v>184</v>
      </c>
      <c r="G219" s="20">
        <v>131</v>
      </c>
      <c r="H219" s="13" t="s">
        <v>1765</v>
      </c>
      <c r="I219" s="13" t="str">
        <f t="shared" si="9"/>
        <v>Ravenswood Rd (Stirling Rd to SW 42nd St)</v>
      </c>
      <c r="J219" s="13" t="s">
        <v>29</v>
      </c>
      <c r="K219" s="13" t="str">
        <f>VLOOKUP(J219,'Data-ProjectTypes'!A$3:B$13,2,FALSE)</f>
        <v>Program</v>
      </c>
      <c r="L219" s="21" t="s">
        <v>348</v>
      </c>
      <c r="M219" s="13" t="s">
        <v>177</v>
      </c>
      <c r="N219" s="13" t="s">
        <v>2556</v>
      </c>
      <c r="O219" s="13" t="s">
        <v>273</v>
      </c>
      <c r="P219" s="13" t="s">
        <v>273</v>
      </c>
      <c r="Q219" s="22">
        <v>1.5</v>
      </c>
      <c r="R219" s="23">
        <v>352659</v>
      </c>
      <c r="S219" s="29" t="s">
        <v>835</v>
      </c>
      <c r="T219" s="21"/>
      <c r="U219" s="21"/>
      <c r="V219" s="24"/>
      <c r="W219" s="24"/>
      <c r="X219" s="24"/>
      <c r="Y219" s="17" t="s">
        <v>834</v>
      </c>
      <c r="Z219" s="18">
        <f>ROUND(R219*'Data-CostAssumptions'!$C$3,-3)</f>
        <v>488000</v>
      </c>
      <c r="AA219" s="11">
        <f t="shared" si="10"/>
        <v>0</v>
      </c>
      <c r="AB219" s="11">
        <v>2041</v>
      </c>
      <c r="AC219" s="11">
        <v>2041</v>
      </c>
      <c r="AD219" s="11">
        <v>2041</v>
      </c>
      <c r="AE219" s="19">
        <f>ROUND((Z219*'Data-CostAssumptions'!$G$5)*(1+'Data-CostAssumptions'!$G$3)^(AB219-'Data-CostAssumptions'!$G$4),-3)</f>
        <v>275000</v>
      </c>
      <c r="AF219" s="19">
        <f>ROUND((Z219)*(1+'Data-CostAssumptions'!$G$3)^(AD219-'Data-CostAssumptions'!$G$4),-3)</f>
        <v>1251000</v>
      </c>
      <c r="AG219" s="170" t="str">
        <f t="shared" si="11"/>
        <v>No</v>
      </c>
    </row>
    <row r="220" spans="1:33" ht="15" customHeight="1" x14ac:dyDescent="0.2">
      <c r="A220" s="11"/>
      <c r="B220" s="11" t="s">
        <v>1211</v>
      </c>
      <c r="C220" s="13">
        <v>653</v>
      </c>
      <c r="D220" s="13" t="s">
        <v>420</v>
      </c>
      <c r="E220" s="20">
        <v>96</v>
      </c>
      <c r="F220" s="20">
        <v>178</v>
      </c>
      <c r="G220" s="20">
        <v>34</v>
      </c>
      <c r="H220" s="13" t="s">
        <v>2036</v>
      </c>
      <c r="I220" s="13" t="str">
        <f t="shared" si="9"/>
        <v>NE 6th Av (Prospect Rd to NE 61st Court)</v>
      </c>
      <c r="J220" s="13" t="s">
        <v>29</v>
      </c>
      <c r="K220" s="13" t="str">
        <f>VLOOKUP(J220,'Data-ProjectTypes'!A$3:B$13,2,FALSE)</f>
        <v>Program</v>
      </c>
      <c r="L220" s="21" t="s">
        <v>348</v>
      </c>
      <c r="M220" s="13" t="s">
        <v>1859</v>
      </c>
      <c r="N220" s="13" t="s">
        <v>148</v>
      </c>
      <c r="O220" s="13" t="s">
        <v>273</v>
      </c>
      <c r="P220" s="13" t="s">
        <v>273</v>
      </c>
      <c r="Q220" s="22">
        <v>1.5</v>
      </c>
      <c r="R220" s="23">
        <v>351451</v>
      </c>
      <c r="S220" s="21" t="s">
        <v>24</v>
      </c>
      <c r="T220" s="21" t="s">
        <v>25</v>
      </c>
      <c r="U220" s="21" t="s">
        <v>24</v>
      </c>
      <c r="V220" s="24" t="s">
        <v>561</v>
      </c>
      <c r="W220" s="24"/>
      <c r="X220" s="24"/>
      <c r="Y220" s="17" t="s">
        <v>538</v>
      </c>
      <c r="Z220" s="18">
        <f>ROUND(R220*'Data-CostAssumptions'!$C$3,-3)</f>
        <v>486000</v>
      </c>
      <c r="AA220" s="11">
        <f t="shared" si="10"/>
        <v>1</v>
      </c>
      <c r="AB220" s="11">
        <v>2041</v>
      </c>
      <c r="AC220" s="11">
        <v>2041</v>
      </c>
      <c r="AD220" s="11">
        <v>2041</v>
      </c>
      <c r="AE220" s="19">
        <f>ROUND((Z220*'Data-CostAssumptions'!$G$5)*(1+'Data-CostAssumptions'!$G$3)^(AB220-'Data-CostAssumptions'!$G$4),-3)</f>
        <v>274000</v>
      </c>
      <c r="AF220" s="19">
        <f>ROUND((Z220)*(1+'Data-CostAssumptions'!$G$3)^(AD220-'Data-CostAssumptions'!$G$4),-3)</f>
        <v>1246000</v>
      </c>
      <c r="AG220" s="170" t="str">
        <f t="shared" si="11"/>
        <v>No</v>
      </c>
    </row>
    <row r="221" spans="1:33" ht="15" customHeight="1" x14ac:dyDescent="0.2">
      <c r="A221" s="11"/>
      <c r="B221" s="11" t="s">
        <v>1211</v>
      </c>
      <c r="C221" s="13">
        <v>917</v>
      </c>
      <c r="D221" s="13" t="s">
        <v>420</v>
      </c>
      <c r="E221" s="20">
        <v>292</v>
      </c>
      <c r="F221" s="20">
        <v>193</v>
      </c>
      <c r="G221" s="20">
        <v>293</v>
      </c>
      <c r="H221" s="13" t="s">
        <v>2110</v>
      </c>
      <c r="I221" s="13" t="str">
        <f t="shared" si="9"/>
        <v>SW 172nd Av (Pines Bl to Sheridan St)</v>
      </c>
      <c r="J221" s="13" t="s">
        <v>29</v>
      </c>
      <c r="K221" s="13" t="str">
        <f>VLOOKUP(J221,'Data-ProjectTypes'!A$3:B$13,2,FALSE)</f>
        <v>Program</v>
      </c>
      <c r="L221" s="21" t="s">
        <v>348</v>
      </c>
      <c r="M221" s="13" t="s">
        <v>1826</v>
      </c>
      <c r="N221" s="13" t="s">
        <v>1951</v>
      </c>
      <c r="O221" s="13" t="s">
        <v>272</v>
      </c>
      <c r="P221" s="13" t="s">
        <v>272</v>
      </c>
      <c r="Q221" s="22">
        <v>1.5</v>
      </c>
      <c r="R221" s="23">
        <v>349979</v>
      </c>
      <c r="S221" s="21" t="s">
        <v>24</v>
      </c>
      <c r="T221" s="21" t="s">
        <v>24</v>
      </c>
      <c r="U221" s="21" t="s">
        <v>24</v>
      </c>
      <c r="V221" s="24" t="s">
        <v>816</v>
      </c>
      <c r="W221" s="24"/>
      <c r="X221" s="28" t="s">
        <v>819</v>
      </c>
      <c r="Y221" s="17" t="s">
        <v>806</v>
      </c>
      <c r="Z221" s="18">
        <f>ROUND(R221*'Data-CostAssumptions'!$C$3,-3)</f>
        <v>484000</v>
      </c>
      <c r="AA221" s="11">
        <f t="shared" si="10"/>
        <v>1</v>
      </c>
      <c r="AB221" s="11">
        <v>2041</v>
      </c>
      <c r="AC221" s="11">
        <v>2041</v>
      </c>
      <c r="AD221" s="11">
        <v>2041</v>
      </c>
      <c r="AE221" s="19">
        <f>ROUND((Z221*'Data-CostAssumptions'!$G$5)*(1+'Data-CostAssumptions'!$G$3)^(AB221-'Data-CostAssumptions'!$G$4),-3)</f>
        <v>273000</v>
      </c>
      <c r="AF221" s="19">
        <f>ROUND((Z221)*(1+'Data-CostAssumptions'!$G$3)^(AD221-'Data-CostAssumptions'!$G$4),-3)</f>
        <v>1241000</v>
      </c>
      <c r="AG221" s="170" t="str">
        <f t="shared" si="11"/>
        <v>No</v>
      </c>
    </row>
    <row r="222" spans="1:33" ht="15" customHeight="1" x14ac:dyDescent="0.2">
      <c r="A222" s="11"/>
      <c r="B222" s="11" t="s">
        <v>1211</v>
      </c>
      <c r="C222" s="13">
        <v>833</v>
      </c>
      <c r="D222" s="13" t="s">
        <v>420</v>
      </c>
      <c r="E222" s="20">
        <v>289</v>
      </c>
      <c r="F222" s="20">
        <v>188</v>
      </c>
      <c r="G222" s="20">
        <v>209</v>
      </c>
      <c r="H222" s="13" t="s">
        <v>2111</v>
      </c>
      <c r="I222" s="13" t="str">
        <f t="shared" si="9"/>
        <v>SW 184th Av (Pines Bl to Sheridan St)</v>
      </c>
      <c r="J222" s="13" t="s">
        <v>29</v>
      </c>
      <c r="K222" s="13" t="str">
        <f>VLOOKUP(J222,'Data-ProjectTypes'!A$3:B$13,2,FALSE)</f>
        <v>Program</v>
      </c>
      <c r="L222" s="21" t="s">
        <v>348</v>
      </c>
      <c r="M222" s="13" t="s">
        <v>1826</v>
      </c>
      <c r="N222" s="13" t="s">
        <v>1951</v>
      </c>
      <c r="O222" s="13" t="s">
        <v>272</v>
      </c>
      <c r="P222" s="13" t="s">
        <v>272</v>
      </c>
      <c r="Q222" s="22">
        <v>1.5</v>
      </c>
      <c r="R222" s="23">
        <v>349830</v>
      </c>
      <c r="S222" s="21"/>
      <c r="T222" s="21"/>
      <c r="U222" s="21"/>
      <c r="V222" s="24"/>
      <c r="W222" s="24" t="s">
        <v>696</v>
      </c>
      <c r="X222" s="28"/>
      <c r="Y222" s="17" t="s">
        <v>287</v>
      </c>
      <c r="Z222" s="18">
        <f>ROUND(R222*'Data-CostAssumptions'!$C$3,-3)</f>
        <v>484000</v>
      </c>
      <c r="AA222" s="11">
        <f t="shared" si="10"/>
        <v>1</v>
      </c>
      <c r="AB222" s="11">
        <v>2041</v>
      </c>
      <c r="AC222" s="11">
        <v>2041</v>
      </c>
      <c r="AD222" s="11">
        <v>2041</v>
      </c>
      <c r="AE222" s="19">
        <f>ROUND((Z222*'Data-CostAssumptions'!$G$5)*(1+'Data-CostAssumptions'!$G$3)^(AB222-'Data-CostAssumptions'!$G$4),-3)</f>
        <v>273000</v>
      </c>
      <c r="AF222" s="19">
        <f>ROUND((Z222)*(1+'Data-CostAssumptions'!$G$3)^(AD222-'Data-CostAssumptions'!$G$4),-3)</f>
        <v>1241000</v>
      </c>
      <c r="AG222" s="170" t="str">
        <f t="shared" si="11"/>
        <v>No</v>
      </c>
    </row>
    <row r="223" spans="1:33" ht="15" customHeight="1" x14ac:dyDescent="0.2">
      <c r="A223" s="11"/>
      <c r="B223" s="11" t="s">
        <v>1211</v>
      </c>
      <c r="C223" s="13">
        <v>868</v>
      </c>
      <c r="D223" s="13" t="s">
        <v>420</v>
      </c>
      <c r="E223" s="20">
        <v>223</v>
      </c>
      <c r="F223" s="20">
        <v>190</v>
      </c>
      <c r="G223" s="20">
        <v>245</v>
      </c>
      <c r="H223" s="13" t="s">
        <v>2792</v>
      </c>
      <c r="I223" s="13" t="str">
        <f t="shared" si="9"/>
        <v>SR 827/Pembroke Rd (State Rd 7 to NW 72nd Av)</v>
      </c>
      <c r="J223" s="13" t="s">
        <v>29</v>
      </c>
      <c r="K223" s="13" t="str">
        <f>VLOOKUP(J223,'Data-ProjectTypes'!A$3:B$13,2,FALSE)</f>
        <v>Program</v>
      </c>
      <c r="L223" s="21" t="s">
        <v>348</v>
      </c>
      <c r="M223" s="13" t="s">
        <v>1772</v>
      </c>
      <c r="N223" s="13" t="s">
        <v>2079</v>
      </c>
      <c r="O223" s="13" t="s">
        <v>270</v>
      </c>
      <c r="P223" s="13" t="s">
        <v>270</v>
      </c>
      <c r="Q223" s="22">
        <v>1.5</v>
      </c>
      <c r="R223" s="23">
        <v>349941</v>
      </c>
      <c r="S223" s="29" t="s">
        <v>791</v>
      </c>
      <c r="T223" s="21" t="s">
        <v>25</v>
      </c>
      <c r="U223" s="21"/>
      <c r="V223" s="24"/>
      <c r="W223" s="24" t="s">
        <v>781</v>
      </c>
      <c r="X223" s="24"/>
      <c r="Y223" s="17" t="s">
        <v>790</v>
      </c>
      <c r="Z223" s="18">
        <f>ROUND(R223*'Data-CostAssumptions'!$C$3,-3)</f>
        <v>484000</v>
      </c>
      <c r="AA223" s="11">
        <f t="shared" si="10"/>
        <v>1</v>
      </c>
      <c r="AB223" s="11">
        <v>2041</v>
      </c>
      <c r="AC223" s="11">
        <v>2041</v>
      </c>
      <c r="AD223" s="11">
        <v>2041</v>
      </c>
      <c r="AE223" s="19">
        <f>ROUND((Z223*'Data-CostAssumptions'!$G$5)*(1+'Data-CostAssumptions'!$G$3)^(AB223-'Data-CostAssumptions'!$G$4),-3)</f>
        <v>273000</v>
      </c>
      <c r="AF223" s="19">
        <f>ROUND((Z223)*(1+'Data-CostAssumptions'!$G$3)^(AD223-'Data-CostAssumptions'!$G$4),-3)</f>
        <v>1241000</v>
      </c>
      <c r="AG223" s="170" t="str">
        <f t="shared" si="11"/>
        <v>No</v>
      </c>
    </row>
    <row r="224" spans="1:33" ht="15" customHeight="1" x14ac:dyDescent="0.2">
      <c r="A224" s="11"/>
      <c r="B224" s="11" t="s">
        <v>1211</v>
      </c>
      <c r="C224" s="13">
        <v>762</v>
      </c>
      <c r="D224" s="13" t="s">
        <v>420</v>
      </c>
      <c r="E224" s="20">
        <v>181</v>
      </c>
      <c r="F224" s="20">
        <v>184</v>
      </c>
      <c r="G224" s="20">
        <v>139</v>
      </c>
      <c r="H224" s="13" t="s">
        <v>184</v>
      </c>
      <c r="I224" s="13" t="str">
        <f t="shared" si="9"/>
        <v>Orange Dr (State Rd 7 to Davie Rd)</v>
      </c>
      <c r="J224" s="13" t="s">
        <v>29</v>
      </c>
      <c r="K224" s="13" t="str">
        <f>VLOOKUP(J224,'Data-ProjectTypes'!A$3:B$13,2,FALSE)</f>
        <v>Program</v>
      </c>
      <c r="L224" s="21" t="s">
        <v>348</v>
      </c>
      <c r="M224" s="13" t="s">
        <v>1772</v>
      </c>
      <c r="N224" s="13" t="s">
        <v>1845</v>
      </c>
      <c r="O224" s="13" t="s">
        <v>279</v>
      </c>
      <c r="P224" s="13" t="s">
        <v>279</v>
      </c>
      <c r="Q224" s="22">
        <v>1.5</v>
      </c>
      <c r="R224" s="23">
        <v>349047</v>
      </c>
      <c r="S224" s="21" t="s">
        <v>24</v>
      </c>
      <c r="T224" s="21"/>
      <c r="U224" s="21"/>
      <c r="V224" s="24"/>
      <c r="W224" s="24"/>
      <c r="X224" s="24"/>
      <c r="Y224" s="17" t="s">
        <v>460</v>
      </c>
      <c r="Z224" s="18">
        <f>ROUND(R224*'Data-CostAssumptions'!$C$3,-3)</f>
        <v>483000</v>
      </c>
      <c r="AA224" s="11">
        <f t="shared" si="10"/>
        <v>0</v>
      </c>
      <c r="AB224" s="11">
        <v>2041</v>
      </c>
      <c r="AC224" s="11">
        <v>2041</v>
      </c>
      <c r="AD224" s="11">
        <v>2041</v>
      </c>
      <c r="AE224" s="19">
        <f>ROUND((Z224*'Data-CostAssumptions'!$G$5)*(1+'Data-CostAssumptions'!$G$3)^(AB224-'Data-CostAssumptions'!$G$4),-3)</f>
        <v>272000</v>
      </c>
      <c r="AF224" s="19">
        <f>ROUND((Z224)*(1+'Data-CostAssumptions'!$G$3)^(AD224-'Data-CostAssumptions'!$G$4),-3)</f>
        <v>1238000</v>
      </c>
      <c r="AG224" s="170" t="str">
        <f t="shared" si="11"/>
        <v>No</v>
      </c>
    </row>
    <row r="225" spans="1:33" ht="15" customHeight="1" x14ac:dyDescent="0.2">
      <c r="A225" s="11"/>
      <c r="B225" s="11" t="s">
        <v>1211</v>
      </c>
      <c r="C225" s="13">
        <v>650</v>
      </c>
      <c r="D225" s="13" t="s">
        <v>420</v>
      </c>
      <c r="E225" s="20">
        <v>70</v>
      </c>
      <c r="F225" s="20">
        <v>178</v>
      </c>
      <c r="G225" s="20">
        <v>31</v>
      </c>
      <c r="H225" s="13" t="s">
        <v>1928</v>
      </c>
      <c r="I225" s="13" t="str">
        <f t="shared" si="9"/>
        <v>NW 62nd St/Cypress Creek Rd (US 1/Federal Hwy to Dixie Hwy)</v>
      </c>
      <c r="J225" s="13" t="s">
        <v>29</v>
      </c>
      <c r="K225" s="13" t="str">
        <f>VLOOKUP(J225,'Data-ProjectTypes'!A$3:B$13,2,FALSE)</f>
        <v>Program</v>
      </c>
      <c r="L225" s="21" t="s">
        <v>348</v>
      </c>
      <c r="M225" s="13" t="s">
        <v>2594</v>
      </c>
      <c r="N225" s="13" t="s">
        <v>728</v>
      </c>
      <c r="O225" s="13" t="s">
        <v>273</v>
      </c>
      <c r="P225" s="13" t="s">
        <v>273</v>
      </c>
      <c r="Q225" s="22">
        <v>1.5</v>
      </c>
      <c r="R225" s="23">
        <v>347786</v>
      </c>
      <c r="S225" s="21"/>
      <c r="T225" s="21"/>
      <c r="U225" s="21"/>
      <c r="V225" s="24"/>
      <c r="W225" s="24"/>
      <c r="X225" s="28"/>
      <c r="Y225" s="17"/>
      <c r="Z225" s="18">
        <f>ROUND(R225*'Data-CostAssumptions'!$C$3,-3)</f>
        <v>481000</v>
      </c>
      <c r="AA225" s="11">
        <f t="shared" si="10"/>
        <v>0</v>
      </c>
      <c r="AB225" s="11">
        <v>2041</v>
      </c>
      <c r="AC225" s="11">
        <v>2041</v>
      </c>
      <c r="AD225" s="11">
        <v>2041</v>
      </c>
      <c r="AE225" s="19">
        <f>ROUND((Z225*'Data-CostAssumptions'!$G$5)*(1+'Data-CostAssumptions'!$G$3)^(AB225-'Data-CostAssumptions'!$G$4),-3)</f>
        <v>271000</v>
      </c>
      <c r="AF225" s="19">
        <f>ROUND((Z225)*(1+'Data-CostAssumptions'!$G$3)^(AD225-'Data-CostAssumptions'!$G$4),-3)</f>
        <v>1233000</v>
      </c>
      <c r="AG225" s="170" t="str">
        <f t="shared" si="11"/>
        <v>No</v>
      </c>
    </row>
    <row r="226" spans="1:33" ht="15" customHeight="1" x14ac:dyDescent="0.2">
      <c r="B226" s="11" t="s">
        <v>1211</v>
      </c>
      <c r="D226" s="84" t="s">
        <v>276</v>
      </c>
      <c r="E226" s="104">
        <v>102</v>
      </c>
      <c r="G226" s="20">
        <v>1511</v>
      </c>
      <c r="H226" s="13" t="s">
        <v>1250</v>
      </c>
      <c r="I226" s="13" t="str">
        <f t="shared" si="9"/>
        <v>SW/SE 17TH ST (SW 4TH Av to US 1/SR 5)</v>
      </c>
      <c r="J226" s="12" t="s">
        <v>29</v>
      </c>
      <c r="K226" s="13" t="str">
        <f>VLOOKUP(J226,'Data-ProjectTypes'!A$3:B$13,2,FALSE)</f>
        <v>Program</v>
      </c>
      <c r="L226" s="12" t="s">
        <v>1405</v>
      </c>
      <c r="M226" s="105" t="s">
        <v>2194</v>
      </c>
      <c r="N226" s="12" t="s">
        <v>1422</v>
      </c>
      <c r="Q226" s="72">
        <v>0.7</v>
      </c>
      <c r="R226" s="23">
        <v>347400</v>
      </c>
      <c r="S226" s="21"/>
      <c r="T226" s="21"/>
      <c r="U226" s="21"/>
      <c r="V226" s="24"/>
      <c r="W226" s="24"/>
      <c r="X226" s="24"/>
      <c r="Y226" s="17"/>
      <c r="Z226" s="18">
        <f>ROUND(R226*'Data-CostAssumptions'!$C$3,-3)</f>
        <v>481000</v>
      </c>
      <c r="AA226" s="11">
        <f t="shared" si="10"/>
        <v>0</v>
      </c>
      <c r="AB226" s="11">
        <v>2041</v>
      </c>
      <c r="AC226" s="11">
        <v>2041</v>
      </c>
      <c r="AD226" s="11">
        <v>2041</v>
      </c>
      <c r="AE226" s="19">
        <f>ROUND((Z226*'Data-CostAssumptions'!$G$5)*(1+'Data-CostAssumptions'!$G$3)^(AB226-'Data-CostAssumptions'!$G$4),-3)</f>
        <v>271000</v>
      </c>
      <c r="AF226" s="19">
        <f>ROUND((Z226)*(1+'Data-CostAssumptions'!$G$3)^(AD226-'Data-CostAssumptions'!$G$4),-3)</f>
        <v>1233000</v>
      </c>
      <c r="AG226" s="170" t="str">
        <f t="shared" si="11"/>
        <v>No</v>
      </c>
    </row>
    <row r="227" spans="1:33" ht="15" customHeight="1" x14ac:dyDescent="0.2">
      <c r="A227" s="11"/>
      <c r="B227" s="11" t="s">
        <v>1211</v>
      </c>
      <c r="C227" s="13">
        <v>641</v>
      </c>
      <c r="D227" s="13" t="s">
        <v>420</v>
      </c>
      <c r="E227" s="20">
        <v>187</v>
      </c>
      <c r="F227" s="20">
        <v>177</v>
      </c>
      <c r="G227" s="20">
        <v>22</v>
      </c>
      <c r="H227" s="13" t="s">
        <v>2792</v>
      </c>
      <c r="I227" s="13" t="str">
        <f t="shared" si="9"/>
        <v>SR 827/Pembroke Rd (US 1/Federal Hwy to I-95)</v>
      </c>
      <c r="J227" s="13" t="s">
        <v>29</v>
      </c>
      <c r="K227" s="13" t="str">
        <f>VLOOKUP(J227,'Data-ProjectTypes'!A$3:B$13,2,FALSE)</f>
        <v>Program</v>
      </c>
      <c r="L227" s="21" t="s">
        <v>348</v>
      </c>
      <c r="M227" s="13" t="s">
        <v>2594</v>
      </c>
      <c r="N227" s="13" t="s">
        <v>41</v>
      </c>
      <c r="O227" s="13" t="s">
        <v>270</v>
      </c>
      <c r="P227" s="13" t="s">
        <v>270</v>
      </c>
      <c r="Q227" s="22">
        <v>1.5</v>
      </c>
      <c r="R227" s="23">
        <v>344239</v>
      </c>
      <c r="S227" s="21"/>
      <c r="T227" s="21"/>
      <c r="U227" s="21" t="s">
        <v>24</v>
      </c>
      <c r="V227" s="24"/>
      <c r="W227" s="24"/>
      <c r="X227" s="24"/>
      <c r="Y227" s="17" t="s">
        <v>846</v>
      </c>
      <c r="Z227" s="18">
        <f>ROUND(R227*'Data-CostAssumptions'!$C$3,-3)</f>
        <v>476000</v>
      </c>
      <c r="AA227" s="11">
        <f t="shared" si="10"/>
        <v>0</v>
      </c>
      <c r="AB227" s="11">
        <v>2041</v>
      </c>
      <c r="AC227" s="11">
        <v>2041</v>
      </c>
      <c r="AD227" s="11">
        <v>2041</v>
      </c>
      <c r="AE227" s="19">
        <f>ROUND((Z227*'Data-CostAssumptions'!$G$5)*(1+'Data-CostAssumptions'!$G$3)^(AB227-'Data-CostAssumptions'!$G$4),-3)</f>
        <v>268000</v>
      </c>
      <c r="AF227" s="19">
        <f>ROUND((Z227)*(1+'Data-CostAssumptions'!$G$3)^(AD227-'Data-CostAssumptions'!$G$4),-3)</f>
        <v>1220000</v>
      </c>
      <c r="AG227" s="170" t="str">
        <f t="shared" si="11"/>
        <v>No</v>
      </c>
    </row>
    <row r="228" spans="1:33" ht="15" customHeight="1" x14ac:dyDescent="0.2">
      <c r="A228" s="11"/>
      <c r="B228" s="11" t="s">
        <v>1211</v>
      </c>
      <c r="C228" s="13">
        <v>771</v>
      </c>
      <c r="D228" s="13" t="s">
        <v>420</v>
      </c>
      <c r="E228" s="20">
        <v>243</v>
      </c>
      <c r="F228" s="20">
        <v>185</v>
      </c>
      <c r="G228" s="20">
        <v>148</v>
      </c>
      <c r="H228" s="13" t="s">
        <v>1745</v>
      </c>
      <c r="I228" s="13" t="str">
        <f t="shared" si="9"/>
        <v>Banks Rd (Atlantic Bl to Copans Rd)</v>
      </c>
      <c r="J228" s="13" t="s">
        <v>29</v>
      </c>
      <c r="K228" s="13" t="str">
        <f>VLOOKUP(J228,'Data-ProjectTypes'!A$3:B$13,2,FALSE)</f>
        <v>Program</v>
      </c>
      <c r="L228" s="21" t="s">
        <v>348</v>
      </c>
      <c r="M228" s="13" t="s">
        <v>1809</v>
      </c>
      <c r="N228" s="13" t="s">
        <v>1836</v>
      </c>
      <c r="O228" s="13" t="s">
        <v>272</v>
      </c>
      <c r="P228" s="13" t="s">
        <v>272</v>
      </c>
      <c r="Q228" s="22">
        <v>1.5</v>
      </c>
      <c r="R228" s="23">
        <v>338601</v>
      </c>
      <c r="S228" s="21" t="s">
        <v>24</v>
      </c>
      <c r="T228" s="21" t="s">
        <v>25</v>
      </c>
      <c r="U228" s="21"/>
      <c r="V228" s="24"/>
      <c r="W228" s="24"/>
      <c r="X228" s="24"/>
      <c r="Y228" s="17" t="s">
        <v>547</v>
      </c>
      <c r="Z228" s="18">
        <f>ROUND(R228*'Data-CostAssumptions'!$C$3,-3)</f>
        <v>469000</v>
      </c>
      <c r="AA228" s="11">
        <f t="shared" si="10"/>
        <v>0</v>
      </c>
      <c r="AB228" s="11">
        <v>2041</v>
      </c>
      <c r="AC228" s="11">
        <v>2041</v>
      </c>
      <c r="AD228" s="11">
        <v>2041</v>
      </c>
      <c r="AE228" s="19">
        <f>ROUND((Z228*'Data-CostAssumptions'!$G$5)*(1+'Data-CostAssumptions'!$G$3)^(AB228-'Data-CostAssumptions'!$G$4),-3)</f>
        <v>265000</v>
      </c>
      <c r="AF228" s="19">
        <f>ROUND((Z228)*(1+'Data-CostAssumptions'!$G$3)^(AD228-'Data-CostAssumptions'!$G$4),-3)</f>
        <v>1202000</v>
      </c>
      <c r="AG228" s="170" t="str">
        <f t="shared" si="11"/>
        <v>No</v>
      </c>
    </row>
    <row r="229" spans="1:33" ht="15" customHeight="1" x14ac:dyDescent="0.2">
      <c r="A229" s="11"/>
      <c r="B229" s="11" t="s">
        <v>1211</v>
      </c>
      <c r="C229" s="13">
        <v>795</v>
      </c>
      <c r="D229" s="13" t="s">
        <v>420</v>
      </c>
      <c r="E229" s="20">
        <v>58</v>
      </c>
      <c r="F229" s="20">
        <v>186</v>
      </c>
      <c r="G229" s="20">
        <v>171</v>
      </c>
      <c r="H229" s="13" t="s">
        <v>2838</v>
      </c>
      <c r="I229" s="13" t="str">
        <f t="shared" si="9"/>
        <v>Davie Rd Ext. (Stirling Rd/Davie Bl to University Dr)</v>
      </c>
      <c r="J229" s="13" t="s">
        <v>29</v>
      </c>
      <c r="K229" s="13" t="str">
        <f>VLOOKUP(J229,'Data-ProjectTypes'!A$3:B$13,2,FALSE)</f>
        <v>Program</v>
      </c>
      <c r="L229" s="21" t="s">
        <v>348</v>
      </c>
      <c r="M229" s="13" t="s">
        <v>2406</v>
      </c>
      <c r="N229" s="13" t="s">
        <v>1804</v>
      </c>
      <c r="O229" s="13" t="s">
        <v>273</v>
      </c>
      <c r="P229" s="13" t="s">
        <v>273</v>
      </c>
      <c r="Q229" s="22">
        <v>1.5</v>
      </c>
      <c r="R229" s="23">
        <v>338828</v>
      </c>
      <c r="S229" s="21" t="s">
        <v>24</v>
      </c>
      <c r="T229" s="21" t="s">
        <v>684</v>
      </c>
      <c r="U229" s="21" t="s">
        <v>684</v>
      </c>
      <c r="V229" s="24"/>
      <c r="W229" s="24"/>
      <c r="X229" s="24"/>
      <c r="Y229" s="17" t="s">
        <v>685</v>
      </c>
      <c r="Z229" s="18">
        <f>ROUND(R229*'Data-CostAssumptions'!$C$3,-3)</f>
        <v>469000</v>
      </c>
      <c r="AA229" s="11">
        <f t="shared" si="10"/>
        <v>0</v>
      </c>
      <c r="AB229" s="11">
        <v>2041</v>
      </c>
      <c r="AC229" s="11">
        <v>2041</v>
      </c>
      <c r="AD229" s="11">
        <v>2041</v>
      </c>
      <c r="AE229" s="19">
        <f>ROUND((Z229*'Data-CostAssumptions'!$G$5)*(1+'Data-CostAssumptions'!$G$3)^(AB229-'Data-CostAssumptions'!$G$4),-3)</f>
        <v>265000</v>
      </c>
      <c r="AF229" s="19">
        <f>ROUND((Z229)*(1+'Data-CostAssumptions'!$G$3)^(AD229-'Data-CostAssumptions'!$G$4),-3)</f>
        <v>1202000</v>
      </c>
      <c r="AG229" s="170" t="str">
        <f t="shared" si="11"/>
        <v>No</v>
      </c>
    </row>
    <row r="230" spans="1:33" ht="15" customHeight="1" x14ac:dyDescent="0.2">
      <c r="A230" s="11"/>
      <c r="B230" s="11" t="s">
        <v>1211</v>
      </c>
      <c r="C230" s="13">
        <v>718</v>
      </c>
      <c r="D230" s="13" t="s">
        <v>420</v>
      </c>
      <c r="E230" s="20">
        <v>196</v>
      </c>
      <c r="F230" s="20">
        <v>182</v>
      </c>
      <c r="G230" s="20">
        <v>96</v>
      </c>
      <c r="H230" s="13" t="s">
        <v>2039</v>
      </c>
      <c r="I230" s="13" t="str">
        <f t="shared" si="9"/>
        <v>North 26th Av (Polk St to Sheridan St)</v>
      </c>
      <c r="J230" s="13" t="s">
        <v>29</v>
      </c>
      <c r="K230" s="13" t="str">
        <f>VLOOKUP(J230,'Data-ProjectTypes'!A$3:B$13,2,FALSE)</f>
        <v>Program</v>
      </c>
      <c r="L230" s="21" t="s">
        <v>563</v>
      </c>
      <c r="M230" s="13" t="s">
        <v>1936</v>
      </c>
      <c r="N230" s="13" t="s">
        <v>1951</v>
      </c>
      <c r="O230" s="13" t="s">
        <v>282</v>
      </c>
      <c r="P230" s="13" t="s">
        <v>282</v>
      </c>
      <c r="Q230" s="22">
        <v>1.5</v>
      </c>
      <c r="R230" s="23">
        <v>336878</v>
      </c>
      <c r="S230" s="21"/>
      <c r="T230" s="21"/>
      <c r="U230" s="21"/>
      <c r="V230" s="24"/>
      <c r="W230" s="24"/>
      <c r="X230" s="24" t="s">
        <v>815</v>
      </c>
      <c r="Y230" s="17" t="s">
        <v>806</v>
      </c>
      <c r="Z230" s="18">
        <f>ROUND(R230*'Data-CostAssumptions'!$C$3,-3)</f>
        <v>466000</v>
      </c>
      <c r="AA230" s="11">
        <f t="shared" si="10"/>
        <v>0</v>
      </c>
      <c r="AB230" s="11">
        <v>2041</v>
      </c>
      <c r="AC230" s="11">
        <v>2041</v>
      </c>
      <c r="AD230" s="11">
        <v>2041</v>
      </c>
      <c r="AE230" s="19">
        <f>ROUND((Z230*'Data-CostAssumptions'!$G$5)*(1+'Data-CostAssumptions'!$G$3)^(AB230-'Data-CostAssumptions'!$G$4),-3)</f>
        <v>263000</v>
      </c>
      <c r="AF230" s="19">
        <f>ROUND((Z230)*(1+'Data-CostAssumptions'!$G$3)^(AD230-'Data-CostAssumptions'!$G$4),-3)</f>
        <v>1195000</v>
      </c>
      <c r="AG230" s="170" t="str">
        <f t="shared" si="11"/>
        <v>No</v>
      </c>
    </row>
    <row r="231" spans="1:33" ht="15" customHeight="1" x14ac:dyDescent="0.2">
      <c r="B231" s="11" t="s">
        <v>1211</v>
      </c>
      <c r="D231" s="84" t="s">
        <v>276</v>
      </c>
      <c r="E231" s="104" t="s">
        <v>1533</v>
      </c>
      <c r="G231" s="20">
        <v>1372</v>
      </c>
      <c r="H231" s="13" t="s">
        <v>1604</v>
      </c>
      <c r="I231" s="13" t="str">
        <f t="shared" si="9"/>
        <v>NE 11TH ST  (NW 15TH Av  to N POWERLINE RD)</v>
      </c>
      <c r="J231" s="12" t="s">
        <v>29</v>
      </c>
      <c r="K231" s="13" t="str">
        <f>VLOOKUP(J231,'Data-ProjectTypes'!A$3:B$13,2,FALSE)</f>
        <v>Program</v>
      </c>
      <c r="L231" s="12" t="s">
        <v>1667</v>
      </c>
      <c r="M231" s="105" t="s">
        <v>2161</v>
      </c>
      <c r="N231" s="12" t="s">
        <v>1712</v>
      </c>
      <c r="Q231" s="72">
        <v>2</v>
      </c>
      <c r="R231" s="23">
        <f>ROUND(Q231*'Data-CostAssumptions'!$C$25,-1)</f>
        <v>336800</v>
      </c>
      <c r="S231" s="21"/>
      <c r="T231" s="21"/>
      <c r="U231" s="21"/>
      <c r="V231" s="24"/>
      <c r="W231" s="24"/>
      <c r="X231" s="24" t="s">
        <v>764</v>
      </c>
      <c r="Y231" s="17" t="s">
        <v>765</v>
      </c>
      <c r="Z231" s="18">
        <f>ROUND(R231*'Data-CostAssumptions'!$C$3,-3)</f>
        <v>466000</v>
      </c>
      <c r="AA231" s="11">
        <f t="shared" si="10"/>
        <v>0</v>
      </c>
      <c r="AB231" s="11">
        <v>2041</v>
      </c>
      <c r="AC231" s="11">
        <v>2041</v>
      </c>
      <c r="AD231" s="11">
        <v>2041</v>
      </c>
      <c r="AE231" s="19">
        <f>ROUND((Z231*'Data-CostAssumptions'!$G$5)*(1+'Data-CostAssumptions'!$G$3)^(AB231-'Data-CostAssumptions'!$G$4),-3)</f>
        <v>263000</v>
      </c>
      <c r="AF231" s="19">
        <f>ROUND((Z231)*(1+'Data-CostAssumptions'!$G$3)^(AD231-'Data-CostAssumptions'!$G$4),-3)</f>
        <v>1195000</v>
      </c>
      <c r="AG231" s="170" t="str">
        <f t="shared" si="11"/>
        <v>No</v>
      </c>
    </row>
    <row r="232" spans="1:33" ht="15" customHeight="1" x14ac:dyDescent="0.2">
      <c r="A232" s="11"/>
      <c r="B232" s="11" t="s">
        <v>1211</v>
      </c>
      <c r="C232" s="13">
        <v>758</v>
      </c>
      <c r="D232" s="13" t="s">
        <v>420</v>
      </c>
      <c r="E232" s="20">
        <v>160</v>
      </c>
      <c r="F232" s="20">
        <v>184</v>
      </c>
      <c r="G232" s="20">
        <v>135</v>
      </c>
      <c r="H232" s="13" t="s">
        <v>2798</v>
      </c>
      <c r="I232" s="13" t="str">
        <f t="shared" si="9"/>
        <v>SR 842/Broward Bl (NW 70th Av to Pine Island Rd)</v>
      </c>
      <c r="J232" s="13" t="s">
        <v>29</v>
      </c>
      <c r="K232" s="13" t="str">
        <f>VLOOKUP(J232,'Data-ProjectTypes'!A$3:B$13,2,FALSE)</f>
        <v>Program</v>
      </c>
      <c r="L232" s="21" t="s">
        <v>348</v>
      </c>
      <c r="M232" s="13" t="s">
        <v>2078</v>
      </c>
      <c r="N232" s="13" t="s">
        <v>266</v>
      </c>
      <c r="O232" s="13" t="s">
        <v>273</v>
      </c>
      <c r="P232" s="13" t="s">
        <v>273</v>
      </c>
      <c r="Q232" s="22">
        <v>1.4</v>
      </c>
      <c r="R232" s="23">
        <v>335454</v>
      </c>
      <c r="S232" s="21"/>
      <c r="T232" s="21"/>
      <c r="U232" s="21"/>
      <c r="V232" s="24"/>
      <c r="W232" s="24"/>
      <c r="X232" s="24"/>
      <c r="Y232" s="17"/>
      <c r="Z232" s="18">
        <f>ROUND(R232*'Data-CostAssumptions'!$C$3,-3)</f>
        <v>464000</v>
      </c>
      <c r="AA232" s="11">
        <f t="shared" si="10"/>
        <v>0</v>
      </c>
      <c r="AB232" s="11">
        <v>2041</v>
      </c>
      <c r="AC232" s="11">
        <v>2041</v>
      </c>
      <c r="AD232" s="11">
        <v>2041</v>
      </c>
      <c r="AE232" s="19">
        <f>ROUND((Z232*'Data-CostAssumptions'!$G$5)*(1+'Data-CostAssumptions'!$G$3)^(AB232-'Data-CostAssumptions'!$G$4),-3)</f>
        <v>262000</v>
      </c>
      <c r="AF232" s="19">
        <f>ROUND((Z232)*(1+'Data-CostAssumptions'!$G$3)^(AD232-'Data-CostAssumptions'!$G$4),-3)</f>
        <v>1190000</v>
      </c>
      <c r="AG232" s="170" t="str">
        <f t="shared" si="11"/>
        <v>No</v>
      </c>
    </row>
    <row r="233" spans="1:33" ht="15" customHeight="1" x14ac:dyDescent="0.2">
      <c r="A233" s="11"/>
      <c r="B233" s="11" t="s">
        <v>1211</v>
      </c>
      <c r="C233" s="11"/>
      <c r="D233" s="84" t="s">
        <v>276</v>
      </c>
      <c r="E233" s="14">
        <v>16</v>
      </c>
      <c r="F233" s="14"/>
      <c r="G233" s="20">
        <v>1341</v>
      </c>
      <c r="H233" s="13" t="s">
        <v>1842</v>
      </c>
      <c r="I233" s="13" t="str">
        <f t="shared" si="9"/>
        <v>Cypress Creek Rd (ANDREWS Av to SR 845/POWER-LINE RD)</v>
      </c>
      <c r="J233" s="11" t="s">
        <v>29</v>
      </c>
      <c r="K233" s="13" t="str">
        <f>VLOOKUP(J233,'Data-ProjectTypes'!A$3:B$13,2,FALSE)</f>
        <v>Program</v>
      </c>
      <c r="L233" s="11" t="s">
        <v>1267</v>
      </c>
      <c r="M233" s="106" t="s">
        <v>2139</v>
      </c>
      <c r="N233" s="84" t="s">
        <v>1428</v>
      </c>
      <c r="O233" s="11"/>
      <c r="P233" s="11"/>
      <c r="Q233" s="107">
        <v>0.4</v>
      </c>
      <c r="R233" s="23">
        <v>461700</v>
      </c>
      <c r="S233" s="21"/>
      <c r="T233" s="21"/>
      <c r="U233" s="21"/>
      <c r="V233" s="24"/>
      <c r="W233" s="24"/>
      <c r="X233" s="24"/>
      <c r="Y233" s="17"/>
      <c r="Z233" s="18">
        <f>ROUND(R233*'Data-CostAssumptions'!$C$8,-3)</f>
        <v>462000</v>
      </c>
      <c r="AA233" s="11">
        <f t="shared" si="10"/>
        <v>0</v>
      </c>
      <c r="AB233" s="11">
        <v>2041</v>
      </c>
      <c r="AC233" s="11">
        <v>2041</v>
      </c>
      <c r="AD233" s="11">
        <v>2041</v>
      </c>
      <c r="AE233" s="19">
        <f>ROUND((Z233*'Data-CostAssumptions'!$G$5)*(1+'Data-CostAssumptions'!$G$3)^(AB233-'Data-CostAssumptions'!$G$4),-3)</f>
        <v>261000</v>
      </c>
      <c r="AF233" s="19">
        <f>ROUND((Z233)*(1+'Data-CostAssumptions'!$G$3)^(AD233-'Data-CostAssumptions'!$G$4),-3)</f>
        <v>1185000</v>
      </c>
      <c r="AG233" s="170" t="str">
        <f t="shared" si="11"/>
        <v>No</v>
      </c>
    </row>
    <row r="234" spans="1:33" ht="15" customHeight="1" x14ac:dyDescent="0.2">
      <c r="A234" s="11"/>
      <c r="B234" s="11" t="s">
        <v>1211</v>
      </c>
      <c r="C234" s="13">
        <v>642</v>
      </c>
      <c r="D234" s="13" t="s">
        <v>420</v>
      </c>
      <c r="E234" s="20">
        <v>197</v>
      </c>
      <c r="F234" s="20">
        <v>177</v>
      </c>
      <c r="G234" s="20">
        <v>23</v>
      </c>
      <c r="H234" s="13" t="s">
        <v>2209</v>
      </c>
      <c r="I234" s="13" t="str">
        <f t="shared" si="9"/>
        <v>SR 5/ US 1 (Young Circle to Sheridan St)</v>
      </c>
      <c r="J234" s="13" t="s">
        <v>29</v>
      </c>
      <c r="K234" s="13" t="str">
        <f>VLOOKUP(J234,'Data-ProjectTypes'!A$3:B$13,2,FALSE)</f>
        <v>Program</v>
      </c>
      <c r="L234" s="21" t="s">
        <v>348</v>
      </c>
      <c r="M234" s="13" t="s">
        <v>189</v>
      </c>
      <c r="N234" s="13" t="s">
        <v>1951</v>
      </c>
      <c r="O234" s="13" t="s">
        <v>270</v>
      </c>
      <c r="P234" s="13" t="s">
        <v>270</v>
      </c>
      <c r="Q234" s="22">
        <v>1.4</v>
      </c>
      <c r="R234" s="23">
        <v>332671</v>
      </c>
      <c r="S234" s="21"/>
      <c r="T234" s="21"/>
      <c r="U234" s="21"/>
      <c r="V234" s="24"/>
      <c r="W234" s="24" t="s">
        <v>696</v>
      </c>
      <c r="X234" s="32"/>
      <c r="Y234" s="17" t="s">
        <v>287</v>
      </c>
      <c r="Z234" s="18">
        <f>ROUND(R234*'Data-CostAssumptions'!$C$3,-3)</f>
        <v>460000</v>
      </c>
      <c r="AA234" s="11">
        <f t="shared" si="10"/>
        <v>1</v>
      </c>
      <c r="AB234" s="11">
        <v>2041</v>
      </c>
      <c r="AC234" s="11">
        <v>2041</v>
      </c>
      <c r="AD234" s="11">
        <v>2041</v>
      </c>
      <c r="AE234" s="19">
        <f>ROUND((Z234*'Data-CostAssumptions'!$G$5)*(1+'Data-CostAssumptions'!$G$3)^(AB234-'Data-CostAssumptions'!$G$4),-3)</f>
        <v>259000</v>
      </c>
      <c r="AF234" s="19">
        <f>ROUND((Z234)*(1+'Data-CostAssumptions'!$G$3)^(AD234-'Data-CostAssumptions'!$G$4),-3)</f>
        <v>1179000</v>
      </c>
      <c r="AG234" s="170" t="str">
        <f t="shared" si="11"/>
        <v>No</v>
      </c>
    </row>
    <row r="235" spans="1:33" ht="15" customHeight="1" x14ac:dyDescent="0.2">
      <c r="A235" s="11"/>
      <c r="B235" s="11" t="s">
        <v>1211</v>
      </c>
      <c r="C235" s="13">
        <v>938</v>
      </c>
      <c r="D235" s="13" t="s">
        <v>420</v>
      </c>
      <c r="E235" s="20">
        <v>260</v>
      </c>
      <c r="F235" s="20">
        <v>194</v>
      </c>
      <c r="G235" s="20">
        <v>314</v>
      </c>
      <c r="H235" s="13" t="s">
        <v>1189</v>
      </c>
      <c r="I235" s="13" t="str">
        <f t="shared" si="9"/>
        <v>NW 44th St (Pine Island Rd to Hiatus Rd)</v>
      </c>
      <c r="J235" s="13" t="s">
        <v>29</v>
      </c>
      <c r="K235" s="13" t="str">
        <f>VLOOKUP(J235,'Data-ProjectTypes'!A$3:B$13,2,FALSE)</f>
        <v>Program</v>
      </c>
      <c r="L235" s="21" t="s">
        <v>817</v>
      </c>
      <c r="M235" s="13" t="s">
        <v>266</v>
      </c>
      <c r="N235" s="13" t="s">
        <v>1752</v>
      </c>
      <c r="O235" s="13" t="s">
        <v>278</v>
      </c>
      <c r="P235" s="13" t="s">
        <v>278</v>
      </c>
      <c r="Q235" s="22">
        <v>1.4</v>
      </c>
      <c r="R235" s="23">
        <v>330829</v>
      </c>
      <c r="S235" s="21" t="s">
        <v>24</v>
      </c>
      <c r="T235" s="21"/>
      <c r="U235" s="21"/>
      <c r="V235" s="24"/>
      <c r="W235" s="24"/>
      <c r="X235" s="24"/>
      <c r="Y235" s="17" t="s">
        <v>538</v>
      </c>
      <c r="Z235" s="18">
        <f>ROUND(R235*'Data-CostAssumptions'!$C$3,-3)</f>
        <v>458000</v>
      </c>
      <c r="AA235" s="11">
        <f t="shared" si="10"/>
        <v>0</v>
      </c>
      <c r="AB235" s="11">
        <v>2041</v>
      </c>
      <c r="AC235" s="11">
        <v>2041</v>
      </c>
      <c r="AD235" s="11">
        <v>2041</v>
      </c>
      <c r="AE235" s="19">
        <f>ROUND((Z235*'Data-CostAssumptions'!$G$5)*(1+'Data-CostAssumptions'!$G$3)^(AB235-'Data-CostAssumptions'!$G$4),-3)</f>
        <v>258000</v>
      </c>
      <c r="AF235" s="19">
        <f>ROUND((Z235)*(1+'Data-CostAssumptions'!$G$3)^(AD235-'Data-CostAssumptions'!$G$4),-3)</f>
        <v>1174000</v>
      </c>
      <c r="AG235" s="170" t="str">
        <f t="shared" si="11"/>
        <v>No</v>
      </c>
    </row>
    <row r="236" spans="1:33" ht="15" customHeight="1" x14ac:dyDescent="0.2">
      <c r="A236" s="11"/>
      <c r="B236" s="11" t="s">
        <v>1211</v>
      </c>
      <c r="C236" s="13">
        <v>665</v>
      </c>
      <c r="D236" s="13" t="s">
        <v>420</v>
      </c>
      <c r="E236" s="20">
        <v>144</v>
      </c>
      <c r="F236" s="20">
        <v>179</v>
      </c>
      <c r="G236" s="20">
        <v>46</v>
      </c>
      <c r="H236" s="13" t="s">
        <v>2062</v>
      </c>
      <c r="I236" s="13" t="str">
        <f t="shared" si="9"/>
        <v>NW 31st Av (Oakland Park Bl to Commercial Bl)</v>
      </c>
      <c r="J236" s="13" t="s">
        <v>29</v>
      </c>
      <c r="K236" s="13" t="str">
        <f>VLOOKUP(J236,'Data-ProjectTypes'!A$3:B$13,2,FALSE)</f>
        <v>Program</v>
      </c>
      <c r="L236" s="21" t="s">
        <v>348</v>
      </c>
      <c r="M236" s="13" t="s">
        <v>1825</v>
      </c>
      <c r="N236" s="13" t="s">
        <v>1813</v>
      </c>
      <c r="O236" s="13" t="s">
        <v>273</v>
      </c>
      <c r="P236" s="13" t="s">
        <v>273</v>
      </c>
      <c r="Q236" s="22">
        <v>1.4</v>
      </c>
      <c r="R236" s="23">
        <v>328661</v>
      </c>
      <c r="S236" s="21" t="s">
        <v>24</v>
      </c>
      <c r="T236" s="21" t="s">
        <v>24</v>
      </c>
      <c r="U236" s="21" t="s">
        <v>24</v>
      </c>
      <c r="V236" s="24"/>
      <c r="W236" s="24"/>
      <c r="X236" s="24" t="s">
        <v>497</v>
      </c>
      <c r="Y236" s="17" t="s">
        <v>492</v>
      </c>
      <c r="Z236" s="18">
        <f>ROUND(R236*'Data-CostAssumptions'!$C$3,-3)</f>
        <v>455000</v>
      </c>
      <c r="AA236" s="11">
        <f t="shared" si="10"/>
        <v>0</v>
      </c>
      <c r="AB236" s="11">
        <v>2041</v>
      </c>
      <c r="AC236" s="11">
        <v>2041</v>
      </c>
      <c r="AD236" s="11">
        <v>2041</v>
      </c>
      <c r="AE236" s="19">
        <f>ROUND((Z236*'Data-CostAssumptions'!$G$5)*(1+'Data-CostAssumptions'!$G$3)^(AB236-'Data-CostAssumptions'!$G$4),-3)</f>
        <v>257000</v>
      </c>
      <c r="AF236" s="19">
        <f>ROUND((Z236)*(1+'Data-CostAssumptions'!$G$3)^(AD236-'Data-CostAssumptions'!$G$4),-3)</f>
        <v>1167000</v>
      </c>
      <c r="AG236" s="170" t="str">
        <f t="shared" si="11"/>
        <v>No</v>
      </c>
    </row>
    <row r="237" spans="1:33" ht="15" customHeight="1" x14ac:dyDescent="0.2">
      <c r="A237" s="11"/>
      <c r="B237" s="11" t="s">
        <v>1211</v>
      </c>
      <c r="C237" s="13">
        <v>644</v>
      </c>
      <c r="D237" s="13" t="s">
        <v>420</v>
      </c>
      <c r="E237" s="20">
        <v>234</v>
      </c>
      <c r="F237" s="20">
        <v>178</v>
      </c>
      <c r="G237" s="20">
        <v>25</v>
      </c>
      <c r="H237" s="13" t="s">
        <v>1843</v>
      </c>
      <c r="I237" s="13" t="str">
        <f t="shared" si="9"/>
        <v>Cypress Rd (McNab Rd to Atlantic Bl)</v>
      </c>
      <c r="J237" s="13" t="s">
        <v>29</v>
      </c>
      <c r="K237" s="13" t="str">
        <f>VLOOKUP(J237,'Data-ProjectTypes'!A$3:B$13,2,FALSE)</f>
        <v>Program</v>
      </c>
      <c r="L237" s="21" t="s">
        <v>348</v>
      </c>
      <c r="M237" s="13" t="s">
        <v>1854</v>
      </c>
      <c r="N237" s="13" t="s">
        <v>1809</v>
      </c>
      <c r="O237" s="13" t="s">
        <v>275</v>
      </c>
      <c r="P237" s="13" t="s">
        <v>275</v>
      </c>
      <c r="Q237" s="22">
        <v>1.4</v>
      </c>
      <c r="R237" s="23">
        <v>328014</v>
      </c>
      <c r="S237" s="21"/>
      <c r="T237" s="21"/>
      <c r="U237" s="21"/>
      <c r="V237" s="24"/>
      <c r="W237" s="24"/>
      <c r="X237" s="24" t="s">
        <v>704</v>
      </c>
      <c r="Y237" s="17" t="s">
        <v>287</v>
      </c>
      <c r="Z237" s="18">
        <f>ROUND(R237*'Data-CostAssumptions'!$C$3,-3)</f>
        <v>454000</v>
      </c>
      <c r="AA237" s="11">
        <f t="shared" si="10"/>
        <v>0</v>
      </c>
      <c r="AB237" s="11">
        <v>2041</v>
      </c>
      <c r="AC237" s="11">
        <v>2041</v>
      </c>
      <c r="AD237" s="11">
        <v>2041</v>
      </c>
      <c r="AE237" s="19">
        <f>ROUND((Z237*'Data-CostAssumptions'!$G$5)*(1+'Data-CostAssumptions'!$G$3)^(AB237-'Data-CostAssumptions'!$G$4),-3)</f>
        <v>256000</v>
      </c>
      <c r="AF237" s="19">
        <f>ROUND((Z237)*(1+'Data-CostAssumptions'!$G$3)^(AD237-'Data-CostAssumptions'!$G$4),-3)</f>
        <v>1164000</v>
      </c>
      <c r="AG237" s="170" t="str">
        <f t="shared" si="11"/>
        <v>No</v>
      </c>
    </row>
    <row r="238" spans="1:33" ht="15" customHeight="1" x14ac:dyDescent="0.2">
      <c r="A238" s="11"/>
      <c r="B238" s="11" t="s">
        <v>1211</v>
      </c>
      <c r="C238" s="13">
        <v>842</v>
      </c>
      <c r="D238" s="13" t="s">
        <v>420</v>
      </c>
      <c r="E238" s="20">
        <v>37</v>
      </c>
      <c r="F238" s="20">
        <v>189</v>
      </c>
      <c r="G238" s="20">
        <v>218</v>
      </c>
      <c r="H238" s="13" t="s">
        <v>2209</v>
      </c>
      <c r="I238" s="13" t="str">
        <f t="shared" si="9"/>
        <v>SR 5/ US 1 (SE 15th St to Hillsboro Bl)</v>
      </c>
      <c r="J238" s="13" t="s">
        <v>29</v>
      </c>
      <c r="K238" s="13" t="str">
        <f>VLOOKUP(J238,'Data-ProjectTypes'!A$3:B$13,2,FALSE)</f>
        <v>Program</v>
      </c>
      <c r="L238" s="21" t="s">
        <v>348</v>
      </c>
      <c r="M238" s="13" t="s">
        <v>1939</v>
      </c>
      <c r="N238" s="13" t="s">
        <v>1819</v>
      </c>
      <c r="O238" s="13" t="s">
        <v>270</v>
      </c>
      <c r="P238" s="13" t="s">
        <v>270</v>
      </c>
      <c r="Q238" s="22">
        <v>1.4</v>
      </c>
      <c r="R238" s="23">
        <v>327967</v>
      </c>
      <c r="S238" s="21" t="s">
        <v>24</v>
      </c>
      <c r="T238" s="21" t="s">
        <v>25</v>
      </c>
      <c r="U238" s="21" t="s">
        <v>24</v>
      </c>
      <c r="V238" s="24"/>
      <c r="W238" s="24" t="s">
        <v>565</v>
      </c>
      <c r="X238" s="24"/>
      <c r="Y238" s="17" t="s">
        <v>556</v>
      </c>
      <c r="Z238" s="18">
        <f>ROUND(R238*'Data-CostAssumptions'!$C$3,-3)</f>
        <v>454000</v>
      </c>
      <c r="AA238" s="11">
        <f t="shared" si="10"/>
        <v>1</v>
      </c>
      <c r="AB238" s="11">
        <v>2041</v>
      </c>
      <c r="AC238" s="11">
        <v>2041</v>
      </c>
      <c r="AD238" s="11">
        <v>2041</v>
      </c>
      <c r="AE238" s="19">
        <f>ROUND((Z238*'Data-CostAssumptions'!$G$5)*(1+'Data-CostAssumptions'!$G$3)^(AB238-'Data-CostAssumptions'!$G$4),-3)</f>
        <v>256000</v>
      </c>
      <c r="AF238" s="19">
        <f>ROUND((Z238)*(1+'Data-CostAssumptions'!$G$3)^(AD238-'Data-CostAssumptions'!$G$4),-3)</f>
        <v>1164000</v>
      </c>
      <c r="AG238" s="170" t="str">
        <f t="shared" si="11"/>
        <v>No</v>
      </c>
    </row>
    <row r="239" spans="1:33" ht="15" customHeight="1" x14ac:dyDescent="0.2">
      <c r="B239" s="11" t="s">
        <v>1211</v>
      </c>
      <c r="D239" s="84" t="s">
        <v>276</v>
      </c>
      <c r="E239" s="104">
        <v>105</v>
      </c>
      <c r="G239" s="20">
        <v>1461</v>
      </c>
      <c r="H239" s="13" t="s">
        <v>2209</v>
      </c>
      <c r="I239" s="13" t="str">
        <f t="shared" si="9"/>
        <v>SR 5/ US 1 (BROWARD Bl to NE 6TH ST)</v>
      </c>
      <c r="J239" s="12" t="s">
        <v>29</v>
      </c>
      <c r="K239" s="13" t="str">
        <f>VLOOKUP(J239,'Data-ProjectTypes'!A$3:B$13,2,FALSE)</f>
        <v>Program</v>
      </c>
      <c r="L239" s="12" t="s">
        <v>1413</v>
      </c>
      <c r="M239" s="105" t="s">
        <v>1988</v>
      </c>
      <c r="N239" s="12" t="s">
        <v>1230</v>
      </c>
      <c r="Q239" s="72">
        <v>0.5</v>
      </c>
      <c r="R239" s="23">
        <v>328050</v>
      </c>
      <c r="S239" s="21"/>
      <c r="T239" s="21"/>
      <c r="U239" s="21"/>
      <c r="V239" s="24"/>
      <c r="W239" s="24"/>
      <c r="X239" s="28"/>
      <c r="Y239" s="17"/>
      <c r="Z239" s="18">
        <f>ROUND(R239*'Data-CostAssumptions'!$C$3,-3)</f>
        <v>454000</v>
      </c>
      <c r="AA239" s="11">
        <f t="shared" si="10"/>
        <v>0</v>
      </c>
      <c r="AB239" s="11">
        <v>2041</v>
      </c>
      <c r="AC239" s="11">
        <v>2041</v>
      </c>
      <c r="AD239" s="11">
        <v>2041</v>
      </c>
      <c r="AE239" s="19">
        <f>ROUND((Z239*'Data-CostAssumptions'!$G$5)*(1+'Data-CostAssumptions'!$G$3)^(AB239-'Data-CostAssumptions'!$G$4),-3)</f>
        <v>256000</v>
      </c>
      <c r="AF239" s="19">
        <f>ROUND((Z239)*(1+'Data-CostAssumptions'!$G$3)^(AD239-'Data-CostAssumptions'!$G$4),-3)</f>
        <v>1164000</v>
      </c>
      <c r="AG239" s="170" t="str">
        <f t="shared" si="11"/>
        <v>No</v>
      </c>
    </row>
    <row r="240" spans="1:33" ht="15" customHeight="1" x14ac:dyDescent="0.2">
      <c r="A240" s="11"/>
      <c r="B240" s="11" t="s">
        <v>1211</v>
      </c>
      <c r="C240" s="13">
        <v>752</v>
      </c>
      <c r="D240" s="13" t="s">
        <v>420</v>
      </c>
      <c r="E240" s="20">
        <v>105</v>
      </c>
      <c r="F240" s="20">
        <v>184</v>
      </c>
      <c r="G240" s="20">
        <v>129</v>
      </c>
      <c r="H240" s="13" t="s">
        <v>2209</v>
      </c>
      <c r="I240" s="13" t="str">
        <f t="shared" si="9"/>
        <v>SR 5/ US 1 (SE 30th St to SE 12th St/Davie Bl)</v>
      </c>
      <c r="J240" s="13" t="s">
        <v>29</v>
      </c>
      <c r="K240" s="13" t="str">
        <f>VLOOKUP(J240,'Data-ProjectTypes'!A$3:B$13,2,FALSE)</f>
        <v>Program</v>
      </c>
      <c r="L240" s="21" t="s">
        <v>348</v>
      </c>
      <c r="M240" s="13" t="s">
        <v>1945</v>
      </c>
      <c r="N240" s="13" t="s">
        <v>2590</v>
      </c>
      <c r="O240" s="13" t="s">
        <v>270</v>
      </c>
      <c r="P240" s="13" t="s">
        <v>270</v>
      </c>
      <c r="Q240" s="22">
        <v>1.4</v>
      </c>
      <c r="R240" s="23">
        <v>326260</v>
      </c>
      <c r="S240" s="21" t="s">
        <v>24</v>
      </c>
      <c r="T240" s="21"/>
      <c r="U240" s="21"/>
      <c r="V240" s="24"/>
      <c r="W240" s="24"/>
      <c r="X240" s="24"/>
      <c r="Y240" s="17" t="s">
        <v>460</v>
      </c>
      <c r="Z240" s="18">
        <f>ROUND(R240*'Data-CostAssumptions'!$C$3,-3)</f>
        <v>452000</v>
      </c>
      <c r="AA240" s="11">
        <f t="shared" si="10"/>
        <v>0</v>
      </c>
      <c r="AB240" s="11">
        <v>2041</v>
      </c>
      <c r="AC240" s="11">
        <v>2041</v>
      </c>
      <c r="AD240" s="11">
        <v>2041</v>
      </c>
      <c r="AE240" s="19">
        <f>ROUND((Z240*'Data-CostAssumptions'!$G$5)*(1+'Data-CostAssumptions'!$G$3)^(AB240-'Data-CostAssumptions'!$G$4),-3)</f>
        <v>255000</v>
      </c>
      <c r="AF240" s="19">
        <f>ROUND((Z240)*(1+'Data-CostAssumptions'!$G$3)^(AD240-'Data-CostAssumptions'!$G$4),-3)</f>
        <v>1159000</v>
      </c>
      <c r="AG240" s="170" t="str">
        <f t="shared" si="11"/>
        <v>No</v>
      </c>
    </row>
    <row r="241" spans="1:33" ht="15" customHeight="1" x14ac:dyDescent="0.2">
      <c r="A241" s="11"/>
      <c r="B241" s="11" t="s">
        <v>1211</v>
      </c>
      <c r="C241" s="13">
        <v>924</v>
      </c>
      <c r="D241" s="13" t="s">
        <v>420</v>
      </c>
      <c r="E241" s="20">
        <v>2</v>
      </c>
      <c r="F241" s="20">
        <v>194</v>
      </c>
      <c r="G241" s="20">
        <v>300</v>
      </c>
      <c r="H241" s="13" t="s">
        <v>1854</v>
      </c>
      <c r="I241" s="13" t="str">
        <f t="shared" si="9"/>
        <v>McNab Rd (Pine Island Rd to Hiatus Rd)</v>
      </c>
      <c r="J241" s="13" t="s">
        <v>29</v>
      </c>
      <c r="K241" s="13" t="str">
        <f>VLOOKUP(J241,'Data-ProjectTypes'!A$3:B$13,2,FALSE)</f>
        <v>Program</v>
      </c>
      <c r="L241" s="21" t="s">
        <v>348</v>
      </c>
      <c r="M241" s="13" t="s">
        <v>266</v>
      </c>
      <c r="N241" s="13" t="s">
        <v>1752</v>
      </c>
      <c r="O241" s="13" t="s">
        <v>280</v>
      </c>
      <c r="P241" s="13" t="s">
        <v>280</v>
      </c>
      <c r="Q241" s="22">
        <v>1.4</v>
      </c>
      <c r="R241" s="23">
        <v>325890</v>
      </c>
      <c r="S241" s="21"/>
      <c r="T241" s="21"/>
      <c r="U241" s="21"/>
      <c r="V241" s="24"/>
      <c r="W241" s="24" t="s">
        <v>491</v>
      </c>
      <c r="X241" s="24" t="s">
        <v>499</v>
      </c>
      <c r="Y241" s="17" t="s">
        <v>492</v>
      </c>
      <c r="Z241" s="18">
        <f>ROUND(R241*'Data-CostAssumptions'!$C$3,-3)</f>
        <v>451000</v>
      </c>
      <c r="AA241" s="11">
        <f t="shared" si="10"/>
        <v>1</v>
      </c>
      <c r="AB241" s="11">
        <v>2041</v>
      </c>
      <c r="AC241" s="11">
        <v>2041</v>
      </c>
      <c r="AD241" s="11">
        <v>2041</v>
      </c>
      <c r="AE241" s="19">
        <f>ROUND((Z241*'Data-CostAssumptions'!$G$5)*(1+'Data-CostAssumptions'!$G$3)^(AB241-'Data-CostAssumptions'!$G$4),-3)</f>
        <v>254000</v>
      </c>
      <c r="AF241" s="19">
        <f>ROUND((Z241)*(1+'Data-CostAssumptions'!$G$3)^(AD241-'Data-CostAssumptions'!$G$4),-3)</f>
        <v>1156000</v>
      </c>
      <c r="AG241" s="170" t="str">
        <f t="shared" si="11"/>
        <v>No</v>
      </c>
    </row>
    <row r="242" spans="1:33" ht="15" customHeight="1" x14ac:dyDescent="0.2">
      <c r="A242" s="11"/>
      <c r="B242" s="11" t="s">
        <v>1211</v>
      </c>
      <c r="C242" s="13">
        <v>952</v>
      </c>
      <c r="D242" s="13" t="s">
        <v>420</v>
      </c>
      <c r="E242" s="20">
        <v>254</v>
      </c>
      <c r="F242" s="20">
        <v>195</v>
      </c>
      <c r="G242" s="20">
        <v>327</v>
      </c>
      <c r="H242" s="13" t="s">
        <v>1786</v>
      </c>
      <c r="I242" s="13" t="str">
        <f t="shared" si="9"/>
        <v>Coral Ridge Dr (Atlantic Bl to Royal Palm Bl)</v>
      </c>
      <c r="J242" s="13" t="s">
        <v>29</v>
      </c>
      <c r="K242" s="13" t="str">
        <f>VLOOKUP(J242,'Data-ProjectTypes'!A$3:B$13,2,FALSE)</f>
        <v>Program</v>
      </c>
      <c r="L242" s="21" t="s">
        <v>348</v>
      </c>
      <c r="M242" s="13" t="s">
        <v>1809</v>
      </c>
      <c r="N242" s="13" t="s">
        <v>1827</v>
      </c>
      <c r="O242" s="13" t="s">
        <v>273</v>
      </c>
      <c r="P242" s="13" t="s">
        <v>273</v>
      </c>
      <c r="Q242" s="22">
        <v>1.4</v>
      </c>
      <c r="R242" s="23">
        <v>322356</v>
      </c>
      <c r="S242" s="21" t="s">
        <v>24</v>
      </c>
      <c r="T242" s="21"/>
      <c r="U242" s="21"/>
      <c r="V242" s="24"/>
      <c r="W242" s="24"/>
      <c r="X242" s="28"/>
      <c r="Y242" s="17" t="s">
        <v>460</v>
      </c>
      <c r="Z242" s="18">
        <f>ROUND(R242*'Data-CostAssumptions'!$C$3,-3)</f>
        <v>446000</v>
      </c>
      <c r="AA242" s="11">
        <f t="shared" si="10"/>
        <v>0</v>
      </c>
      <c r="AB242" s="11">
        <v>2041</v>
      </c>
      <c r="AC242" s="11">
        <v>2041</v>
      </c>
      <c r="AD242" s="11">
        <v>2041</v>
      </c>
      <c r="AE242" s="19">
        <f>ROUND((Z242*'Data-CostAssumptions'!$G$5)*(1+'Data-CostAssumptions'!$G$3)^(AB242-'Data-CostAssumptions'!$G$4),-3)</f>
        <v>252000</v>
      </c>
      <c r="AF242" s="19">
        <f>ROUND((Z242)*(1+'Data-CostAssumptions'!$G$3)^(AD242-'Data-CostAssumptions'!$G$4),-3)</f>
        <v>1144000</v>
      </c>
      <c r="AG242" s="170" t="str">
        <f t="shared" si="11"/>
        <v>No</v>
      </c>
    </row>
    <row r="243" spans="1:33" ht="15" customHeight="1" x14ac:dyDescent="0.2">
      <c r="A243" s="11"/>
      <c r="B243" s="11" t="s">
        <v>1211</v>
      </c>
      <c r="C243" s="13">
        <v>657</v>
      </c>
      <c r="D243" s="13" t="s">
        <v>420</v>
      </c>
      <c r="E243" s="20">
        <v>104</v>
      </c>
      <c r="F243" s="20">
        <v>178</v>
      </c>
      <c r="G243" s="20">
        <v>38</v>
      </c>
      <c r="H243" s="13" t="s">
        <v>2090</v>
      </c>
      <c r="I243" s="13" t="str">
        <f t="shared" si="9"/>
        <v>SE 17th Av (SE 23rd Av to US 1/Federal Hwy)</v>
      </c>
      <c r="J243" s="13" t="s">
        <v>29</v>
      </c>
      <c r="K243" s="13" t="str">
        <f>VLOOKUP(J243,'Data-ProjectTypes'!A$3:B$13,2,FALSE)</f>
        <v>Program</v>
      </c>
      <c r="L243" s="21" t="s">
        <v>348</v>
      </c>
      <c r="M243" s="13" t="s">
        <v>2377</v>
      </c>
      <c r="N243" s="13" t="s">
        <v>2594</v>
      </c>
      <c r="O243" s="13" t="s">
        <v>270</v>
      </c>
      <c r="P243" s="13" t="s">
        <v>270</v>
      </c>
      <c r="Q243" s="22">
        <v>1.4</v>
      </c>
      <c r="R243" s="23">
        <v>320893</v>
      </c>
      <c r="S243" s="21"/>
      <c r="T243" s="21"/>
      <c r="U243" s="21"/>
      <c r="V243" s="24"/>
      <c r="W243" s="24"/>
      <c r="X243" s="24"/>
      <c r="Y243" s="17"/>
      <c r="Z243" s="18">
        <f>ROUND(R243*'Data-CostAssumptions'!$C$3,-3)</f>
        <v>444000</v>
      </c>
      <c r="AA243" s="11">
        <f t="shared" si="10"/>
        <v>0</v>
      </c>
      <c r="AB243" s="11">
        <v>2041</v>
      </c>
      <c r="AC243" s="11">
        <v>2041</v>
      </c>
      <c r="AD243" s="11">
        <v>2041</v>
      </c>
      <c r="AE243" s="19">
        <f>ROUND((Z243*'Data-CostAssumptions'!$G$5)*(1+'Data-CostAssumptions'!$G$3)^(AB243-'Data-CostAssumptions'!$G$4),-3)</f>
        <v>250000</v>
      </c>
      <c r="AF243" s="19">
        <f>ROUND((Z243)*(1+'Data-CostAssumptions'!$G$3)^(AD243-'Data-CostAssumptions'!$G$4),-3)</f>
        <v>1138000</v>
      </c>
      <c r="AG243" s="170" t="str">
        <f t="shared" si="11"/>
        <v>No</v>
      </c>
    </row>
    <row r="244" spans="1:33" ht="15" customHeight="1" x14ac:dyDescent="0.2">
      <c r="A244" s="11"/>
      <c r="B244" s="11" t="s">
        <v>1211</v>
      </c>
      <c r="C244" s="13">
        <v>716</v>
      </c>
      <c r="D244" s="13" t="s">
        <v>420</v>
      </c>
      <c r="E244" s="20">
        <v>191</v>
      </c>
      <c r="F244" s="20">
        <v>182</v>
      </c>
      <c r="G244" s="20">
        <v>94</v>
      </c>
      <c r="H244" s="13" t="s">
        <v>1880</v>
      </c>
      <c r="I244" s="13" t="str">
        <f t="shared" si="9"/>
        <v>Johnson St (North 8th Av to US 1/Federal Hwy)</v>
      </c>
      <c r="J244" s="13" t="s">
        <v>29</v>
      </c>
      <c r="K244" s="13" t="str">
        <f>VLOOKUP(J244,'Data-ProjectTypes'!A$3:B$13,2,FALSE)</f>
        <v>Program</v>
      </c>
      <c r="L244" s="21" t="s">
        <v>563</v>
      </c>
      <c r="M244" s="13" t="s">
        <v>2356</v>
      </c>
      <c r="N244" s="13" t="s">
        <v>2594</v>
      </c>
      <c r="O244" s="13" t="s">
        <v>282</v>
      </c>
      <c r="P244" s="13" t="s">
        <v>282</v>
      </c>
      <c r="Q244" s="22">
        <v>1.4</v>
      </c>
      <c r="R244" s="23">
        <v>320140</v>
      </c>
      <c r="S244" s="21" t="s">
        <v>24</v>
      </c>
      <c r="T244" s="21"/>
      <c r="U244" s="21"/>
      <c r="V244" s="24"/>
      <c r="W244" s="24"/>
      <c r="X244" s="24"/>
      <c r="Y244" s="17" t="s">
        <v>460</v>
      </c>
      <c r="Z244" s="18">
        <f>ROUND(R244*'Data-CostAssumptions'!$C$3,-3)</f>
        <v>443000</v>
      </c>
      <c r="AA244" s="11">
        <f t="shared" si="10"/>
        <v>0</v>
      </c>
      <c r="AB244" s="11">
        <v>2041</v>
      </c>
      <c r="AC244" s="11">
        <v>2041</v>
      </c>
      <c r="AD244" s="11">
        <v>2041</v>
      </c>
      <c r="AE244" s="19">
        <f>ROUND((Z244*'Data-CostAssumptions'!$G$5)*(1+'Data-CostAssumptions'!$G$3)^(AB244-'Data-CostAssumptions'!$G$4),-3)</f>
        <v>250000</v>
      </c>
      <c r="AF244" s="19">
        <f>ROUND((Z244)*(1+'Data-CostAssumptions'!$G$3)^(AD244-'Data-CostAssumptions'!$G$4),-3)</f>
        <v>1136000</v>
      </c>
      <c r="AG244" s="170" t="str">
        <f t="shared" si="11"/>
        <v>No</v>
      </c>
    </row>
    <row r="245" spans="1:33" ht="15" customHeight="1" x14ac:dyDescent="0.2">
      <c r="A245" s="11"/>
      <c r="B245" s="11" t="s">
        <v>1211</v>
      </c>
      <c r="C245" s="13">
        <v>730</v>
      </c>
      <c r="D245" s="13" t="s">
        <v>420</v>
      </c>
      <c r="E245" s="20">
        <v>302</v>
      </c>
      <c r="F245" s="20">
        <v>183</v>
      </c>
      <c r="G245" s="20">
        <v>108</v>
      </c>
      <c r="H245" s="13" t="s">
        <v>1882</v>
      </c>
      <c r="I245" s="13" t="str">
        <f t="shared" si="9"/>
        <v>NE 10th St (US 1/Federal Hwy to Dixie Hwy)</v>
      </c>
      <c r="J245" s="13" t="s">
        <v>29</v>
      </c>
      <c r="K245" s="13" t="str">
        <f>VLOOKUP(J245,'Data-ProjectTypes'!A$3:B$13,2,FALSE)</f>
        <v>Program</v>
      </c>
      <c r="L245" s="21" t="s">
        <v>348</v>
      </c>
      <c r="M245" s="13" t="s">
        <v>2594</v>
      </c>
      <c r="N245" s="13" t="s">
        <v>728</v>
      </c>
      <c r="O245" s="13" t="s">
        <v>275</v>
      </c>
      <c r="P245" s="13" t="s">
        <v>275</v>
      </c>
      <c r="Q245" s="22">
        <v>1.4</v>
      </c>
      <c r="R245" s="23">
        <v>320379</v>
      </c>
      <c r="S245" s="21"/>
      <c r="T245" s="21"/>
      <c r="U245" s="21"/>
      <c r="V245" s="24"/>
      <c r="W245" s="24"/>
      <c r="X245" s="24"/>
      <c r="Y245" s="17"/>
      <c r="Z245" s="18">
        <f>ROUND(R245*'Data-CostAssumptions'!$C$3,-3)</f>
        <v>443000</v>
      </c>
      <c r="AA245" s="11">
        <f t="shared" si="10"/>
        <v>0</v>
      </c>
      <c r="AB245" s="11">
        <v>2041</v>
      </c>
      <c r="AC245" s="11">
        <v>2041</v>
      </c>
      <c r="AD245" s="11">
        <v>2041</v>
      </c>
      <c r="AE245" s="19">
        <f>ROUND((Z245*'Data-CostAssumptions'!$G$5)*(1+'Data-CostAssumptions'!$G$3)^(AB245-'Data-CostAssumptions'!$G$4),-3)</f>
        <v>250000</v>
      </c>
      <c r="AF245" s="19">
        <f>ROUND((Z245)*(1+'Data-CostAssumptions'!$G$3)^(AD245-'Data-CostAssumptions'!$G$4),-3)</f>
        <v>1136000</v>
      </c>
      <c r="AG245" s="170" t="str">
        <f t="shared" si="11"/>
        <v>No</v>
      </c>
    </row>
    <row r="246" spans="1:33" ht="15" customHeight="1" x14ac:dyDescent="0.2">
      <c r="A246" s="11"/>
      <c r="B246" s="11" t="s">
        <v>1211</v>
      </c>
      <c r="C246" s="13">
        <v>772</v>
      </c>
      <c r="D246" s="13" t="s">
        <v>420</v>
      </c>
      <c r="E246" s="20">
        <v>244</v>
      </c>
      <c r="F246" s="20">
        <v>185</v>
      </c>
      <c r="G246" s="20">
        <v>149</v>
      </c>
      <c r="H246" s="13" t="s">
        <v>57</v>
      </c>
      <c r="I246" s="13" t="str">
        <f t="shared" si="9"/>
        <v>SR 7/US 441 (Atlantic Bl to Copans Rd)</v>
      </c>
      <c r="J246" s="13" t="s">
        <v>29</v>
      </c>
      <c r="K246" s="13" t="str">
        <f>VLOOKUP(J246,'Data-ProjectTypes'!A$3:B$13,2,FALSE)</f>
        <v>Program</v>
      </c>
      <c r="L246" s="21" t="s">
        <v>348</v>
      </c>
      <c r="M246" s="13" t="s">
        <v>1809</v>
      </c>
      <c r="N246" s="13" t="s">
        <v>1836</v>
      </c>
      <c r="O246" s="13" t="s">
        <v>270</v>
      </c>
      <c r="P246" s="13" t="s">
        <v>270</v>
      </c>
      <c r="Q246" s="22">
        <v>1.4</v>
      </c>
      <c r="R246" s="23">
        <v>316986</v>
      </c>
      <c r="S246" s="21"/>
      <c r="T246" s="21"/>
      <c r="U246" s="21"/>
      <c r="V246" s="24"/>
      <c r="W246" s="24"/>
      <c r="X246" s="24"/>
      <c r="Y246" s="17"/>
      <c r="Z246" s="18">
        <f>ROUND(R246*'Data-CostAssumptions'!$C$3,-3)</f>
        <v>439000</v>
      </c>
      <c r="AA246" s="11">
        <f t="shared" si="10"/>
        <v>0</v>
      </c>
      <c r="AB246" s="11">
        <v>2041</v>
      </c>
      <c r="AC246" s="11">
        <v>2041</v>
      </c>
      <c r="AD246" s="11">
        <v>2041</v>
      </c>
      <c r="AE246" s="19">
        <f>ROUND((Z246*'Data-CostAssumptions'!$G$5)*(1+'Data-CostAssumptions'!$G$3)^(AB246-'Data-CostAssumptions'!$G$4),-3)</f>
        <v>248000</v>
      </c>
      <c r="AF246" s="19">
        <f>ROUND((Z246)*(1+'Data-CostAssumptions'!$G$3)^(AD246-'Data-CostAssumptions'!$G$4),-3)</f>
        <v>1126000</v>
      </c>
      <c r="AG246" s="170" t="str">
        <f t="shared" si="11"/>
        <v>No</v>
      </c>
    </row>
    <row r="247" spans="1:33" ht="15" customHeight="1" x14ac:dyDescent="0.2">
      <c r="A247" s="11"/>
      <c r="B247" s="11" t="s">
        <v>1211</v>
      </c>
      <c r="C247" s="13">
        <v>693</v>
      </c>
      <c r="D247" s="13" t="s">
        <v>420</v>
      </c>
      <c r="E247" s="20">
        <v>42</v>
      </c>
      <c r="F247" s="20">
        <v>180</v>
      </c>
      <c r="G247" s="20">
        <v>71</v>
      </c>
      <c r="H247" s="13" t="s">
        <v>2793</v>
      </c>
      <c r="I247" s="13" t="str">
        <f t="shared" si="9"/>
        <v>SR 834/Sample Rd (US 1/Federal Hwy to NE 3rd Av)</v>
      </c>
      <c r="J247" s="13" t="s">
        <v>29</v>
      </c>
      <c r="K247" s="13" t="str">
        <f>VLOOKUP(J247,'Data-ProjectTypes'!A$3:B$13,2,FALSE)</f>
        <v>Program</v>
      </c>
      <c r="L247" s="21" t="s">
        <v>348</v>
      </c>
      <c r="M247" s="13" t="s">
        <v>2594</v>
      </c>
      <c r="N247" s="13" t="s">
        <v>2033</v>
      </c>
      <c r="O247" s="13" t="s">
        <v>270</v>
      </c>
      <c r="P247" s="13" t="s">
        <v>270</v>
      </c>
      <c r="Q247" s="22">
        <v>1.4</v>
      </c>
      <c r="R247" s="23">
        <v>316334</v>
      </c>
      <c r="S247" s="12" t="s">
        <v>24</v>
      </c>
      <c r="T247" s="21" t="s">
        <v>25</v>
      </c>
      <c r="U247" s="21" t="s">
        <v>24</v>
      </c>
      <c r="V247" s="24" t="s">
        <v>561</v>
      </c>
      <c r="W247" s="24"/>
      <c r="X247" s="28"/>
      <c r="Y247" s="17" t="s">
        <v>538</v>
      </c>
      <c r="Z247" s="18">
        <f>ROUND(R247*'Data-CostAssumptions'!$C$3,-3)</f>
        <v>438000</v>
      </c>
      <c r="AA247" s="11">
        <f t="shared" si="10"/>
        <v>1</v>
      </c>
      <c r="AB247" s="11">
        <v>2041</v>
      </c>
      <c r="AC247" s="11">
        <v>2041</v>
      </c>
      <c r="AD247" s="11">
        <v>2041</v>
      </c>
      <c r="AE247" s="19">
        <f>ROUND((Z247*'Data-CostAssumptions'!$G$5)*(1+'Data-CostAssumptions'!$G$3)^(AB247-'Data-CostAssumptions'!$G$4),-3)</f>
        <v>247000</v>
      </c>
      <c r="AF247" s="19">
        <f>ROUND((Z247)*(1+'Data-CostAssumptions'!$G$3)^(AD247-'Data-CostAssumptions'!$G$4),-3)</f>
        <v>1123000</v>
      </c>
      <c r="AG247" s="170" t="str">
        <f t="shared" si="11"/>
        <v>No</v>
      </c>
    </row>
    <row r="248" spans="1:33" ht="15" customHeight="1" x14ac:dyDescent="0.2">
      <c r="A248" s="11"/>
      <c r="B248" s="11" t="s">
        <v>1211</v>
      </c>
      <c r="C248" s="13">
        <v>737</v>
      </c>
      <c r="D248" s="13" t="s">
        <v>420</v>
      </c>
      <c r="E248" s="20">
        <v>15</v>
      </c>
      <c r="F248" s="20">
        <v>183</v>
      </c>
      <c r="G248" s="20">
        <v>115</v>
      </c>
      <c r="H248" s="13" t="s">
        <v>57</v>
      </c>
      <c r="I248" s="13" t="str">
        <f t="shared" si="9"/>
        <v>SR 7/US 441 (Copans Rd to Sample Rd)</v>
      </c>
      <c r="J248" s="13" t="s">
        <v>29</v>
      </c>
      <c r="K248" s="13" t="str">
        <f>VLOOKUP(J248,'Data-ProjectTypes'!A$3:B$13,2,FALSE)</f>
        <v>Program</v>
      </c>
      <c r="L248" s="21" t="s">
        <v>348</v>
      </c>
      <c r="M248" s="13" t="s">
        <v>1836</v>
      </c>
      <c r="N248" s="13" t="s">
        <v>1864</v>
      </c>
      <c r="O248" s="13" t="s">
        <v>270</v>
      </c>
      <c r="P248" s="13" t="s">
        <v>270</v>
      </c>
      <c r="Q248" s="22">
        <v>1.4</v>
      </c>
      <c r="R248" s="23">
        <v>316208</v>
      </c>
      <c r="S248" s="21" t="s">
        <v>24</v>
      </c>
      <c r="T248" s="21" t="s">
        <v>25</v>
      </c>
      <c r="U248" s="21"/>
      <c r="V248" s="24"/>
      <c r="W248" s="24"/>
      <c r="X248" s="24"/>
      <c r="Y248" s="17" t="s">
        <v>469</v>
      </c>
      <c r="Z248" s="18">
        <f>ROUND(R248*'Data-CostAssumptions'!$C$3,-3)</f>
        <v>438000</v>
      </c>
      <c r="AA248" s="11">
        <f t="shared" si="10"/>
        <v>0</v>
      </c>
      <c r="AB248" s="11">
        <v>2041</v>
      </c>
      <c r="AC248" s="11">
        <v>2041</v>
      </c>
      <c r="AD248" s="11">
        <v>2041</v>
      </c>
      <c r="AE248" s="19">
        <f>ROUND((Z248*'Data-CostAssumptions'!$G$5)*(1+'Data-CostAssumptions'!$G$3)^(AB248-'Data-CostAssumptions'!$G$4),-3)</f>
        <v>247000</v>
      </c>
      <c r="AF248" s="19">
        <f>ROUND((Z248)*(1+'Data-CostAssumptions'!$G$3)^(AD248-'Data-CostAssumptions'!$G$4),-3)</f>
        <v>1123000</v>
      </c>
      <c r="AG248" s="170" t="str">
        <f t="shared" si="11"/>
        <v>No</v>
      </c>
    </row>
    <row r="249" spans="1:33" ht="15" customHeight="1" x14ac:dyDescent="0.2">
      <c r="A249" s="11"/>
      <c r="B249" s="11" t="s">
        <v>1211</v>
      </c>
      <c r="C249" s="13">
        <v>908</v>
      </c>
      <c r="D249" s="13" t="s">
        <v>420</v>
      </c>
      <c r="E249" s="20">
        <v>252</v>
      </c>
      <c r="F249" s="20">
        <v>193</v>
      </c>
      <c r="G249" s="20">
        <v>285</v>
      </c>
      <c r="H249" s="13" t="s">
        <v>2134</v>
      </c>
      <c r="I249" s="13" t="str">
        <f t="shared" si="9"/>
        <v>SW 81st Av (McNab Rd to Southgate Bl)</v>
      </c>
      <c r="J249" s="13" t="s">
        <v>29</v>
      </c>
      <c r="K249" s="13" t="str">
        <f>VLOOKUP(J249,'Data-ProjectTypes'!A$3:B$13,2,FALSE)</f>
        <v>Program</v>
      </c>
      <c r="L249" s="21" t="s">
        <v>348</v>
      </c>
      <c r="M249" s="13" t="s">
        <v>1854</v>
      </c>
      <c r="N249" s="13" t="s">
        <v>1829</v>
      </c>
      <c r="O249" s="13" t="s">
        <v>285</v>
      </c>
      <c r="P249" s="13" t="s">
        <v>285</v>
      </c>
      <c r="Q249" s="22">
        <v>1.4</v>
      </c>
      <c r="R249" s="23">
        <v>316795</v>
      </c>
      <c r="S249" s="21"/>
      <c r="T249" s="21"/>
      <c r="U249" s="21"/>
      <c r="V249" s="24"/>
      <c r="W249" s="24"/>
      <c r="X249" s="24"/>
      <c r="Y249" s="17"/>
      <c r="Z249" s="18">
        <f>ROUND(R249*'Data-CostAssumptions'!$C$3,-3)</f>
        <v>438000</v>
      </c>
      <c r="AA249" s="11">
        <f t="shared" si="10"/>
        <v>0</v>
      </c>
      <c r="AB249" s="11">
        <v>2041</v>
      </c>
      <c r="AC249" s="11">
        <v>2041</v>
      </c>
      <c r="AD249" s="11">
        <v>2041</v>
      </c>
      <c r="AE249" s="19">
        <f>ROUND((Z249*'Data-CostAssumptions'!$G$5)*(1+'Data-CostAssumptions'!$G$3)^(AB249-'Data-CostAssumptions'!$G$4),-3)</f>
        <v>247000</v>
      </c>
      <c r="AF249" s="19">
        <f>ROUND((Z249)*(1+'Data-CostAssumptions'!$G$3)^(AD249-'Data-CostAssumptions'!$G$4),-3)</f>
        <v>1123000</v>
      </c>
      <c r="AG249" s="170" t="str">
        <f t="shared" si="11"/>
        <v>No</v>
      </c>
    </row>
    <row r="250" spans="1:33" ht="15" customHeight="1" x14ac:dyDescent="0.2">
      <c r="A250" s="11"/>
      <c r="B250" s="11" t="s">
        <v>1211</v>
      </c>
      <c r="C250" s="13">
        <v>876</v>
      </c>
      <c r="D250" s="13" t="s">
        <v>420</v>
      </c>
      <c r="E250" s="20">
        <v>282</v>
      </c>
      <c r="F250" s="20">
        <v>191</v>
      </c>
      <c r="G250" s="20">
        <v>253</v>
      </c>
      <c r="H250" s="13" t="s">
        <v>2098</v>
      </c>
      <c r="I250" s="13" t="str">
        <f t="shared" si="9"/>
        <v>SW 100th Av/Nob Hill Rd (Stirling Rd to Griffin Rd)</v>
      </c>
      <c r="J250" s="13" t="s">
        <v>29</v>
      </c>
      <c r="K250" s="13" t="str">
        <f>VLOOKUP(J250,'Data-ProjectTypes'!A$3:B$13,2,FALSE)</f>
        <v>Program</v>
      </c>
      <c r="L250" s="21" t="s">
        <v>348</v>
      </c>
      <c r="M250" s="13" t="s">
        <v>177</v>
      </c>
      <c r="N250" s="13" t="s">
        <v>1750</v>
      </c>
      <c r="O250" s="13" t="s">
        <v>273</v>
      </c>
      <c r="P250" s="13" t="s">
        <v>273</v>
      </c>
      <c r="Q250" s="22">
        <v>1.4</v>
      </c>
      <c r="R250" s="23">
        <v>315461</v>
      </c>
      <c r="S250" s="21"/>
      <c r="T250" s="21"/>
      <c r="U250" s="21"/>
      <c r="V250" s="24"/>
      <c r="W250" s="24"/>
      <c r="X250" s="24"/>
      <c r="Y250" s="17"/>
      <c r="Z250" s="18">
        <f>ROUND(R250*'Data-CostAssumptions'!$C$3,-3)</f>
        <v>437000</v>
      </c>
      <c r="AA250" s="11">
        <f t="shared" si="10"/>
        <v>0</v>
      </c>
      <c r="AB250" s="11">
        <v>2041</v>
      </c>
      <c r="AC250" s="11">
        <v>2041</v>
      </c>
      <c r="AD250" s="11">
        <v>2041</v>
      </c>
      <c r="AE250" s="19">
        <f>ROUND((Z250*'Data-CostAssumptions'!$G$5)*(1+'Data-CostAssumptions'!$G$3)^(AB250-'Data-CostAssumptions'!$G$4),-3)</f>
        <v>246000</v>
      </c>
      <c r="AF250" s="19">
        <f>ROUND((Z250)*(1+'Data-CostAssumptions'!$G$3)^(AD250-'Data-CostAssumptions'!$G$4),-3)</f>
        <v>1120000</v>
      </c>
      <c r="AG250" s="170" t="str">
        <f t="shared" si="11"/>
        <v>No</v>
      </c>
    </row>
    <row r="251" spans="1:33" ht="15" customHeight="1" x14ac:dyDescent="0.2">
      <c r="A251" s="11"/>
      <c r="B251" s="11" t="s">
        <v>1211</v>
      </c>
      <c r="C251" s="13">
        <v>901</v>
      </c>
      <c r="D251" s="13" t="s">
        <v>420</v>
      </c>
      <c r="E251" s="20">
        <v>178</v>
      </c>
      <c r="F251" s="20">
        <v>192</v>
      </c>
      <c r="G251" s="20">
        <v>278</v>
      </c>
      <c r="H251" s="13" t="s">
        <v>1845</v>
      </c>
      <c r="I251" s="13" t="str">
        <f t="shared" si="9"/>
        <v>Davie Rd (Stirling Rd to Orange Dr)</v>
      </c>
      <c r="J251" s="13" t="s">
        <v>29</v>
      </c>
      <c r="K251" s="13" t="str">
        <f>VLOOKUP(J251,'Data-ProjectTypes'!A$3:B$13,2,FALSE)</f>
        <v>Program</v>
      </c>
      <c r="L251" s="21" t="s">
        <v>348</v>
      </c>
      <c r="M251" s="13" t="s">
        <v>177</v>
      </c>
      <c r="N251" s="13" t="s">
        <v>184</v>
      </c>
      <c r="O251" s="13" t="s">
        <v>273</v>
      </c>
      <c r="P251" s="13" t="s">
        <v>273</v>
      </c>
      <c r="Q251" s="22">
        <v>1.4</v>
      </c>
      <c r="R251" s="23">
        <v>315754</v>
      </c>
      <c r="S251" s="21"/>
      <c r="T251" s="21"/>
      <c r="U251" s="21"/>
      <c r="V251" s="24"/>
      <c r="W251" s="24" t="s">
        <v>491</v>
      </c>
      <c r="X251" s="28"/>
      <c r="Y251" s="17" t="s">
        <v>492</v>
      </c>
      <c r="Z251" s="18">
        <f>ROUND(R251*'Data-CostAssumptions'!$C$3,-3)</f>
        <v>437000</v>
      </c>
      <c r="AA251" s="11">
        <f t="shared" si="10"/>
        <v>1</v>
      </c>
      <c r="AB251" s="11">
        <v>2041</v>
      </c>
      <c r="AC251" s="11">
        <v>2041</v>
      </c>
      <c r="AD251" s="11">
        <v>2041</v>
      </c>
      <c r="AE251" s="19">
        <f>ROUND((Z251*'Data-CostAssumptions'!$G$5)*(1+'Data-CostAssumptions'!$G$3)^(AB251-'Data-CostAssumptions'!$G$4),-3)</f>
        <v>246000</v>
      </c>
      <c r="AF251" s="19">
        <f>ROUND((Z251)*(1+'Data-CostAssumptions'!$G$3)^(AD251-'Data-CostAssumptions'!$G$4),-3)</f>
        <v>1120000</v>
      </c>
      <c r="AG251" s="170" t="str">
        <f t="shared" si="11"/>
        <v>No</v>
      </c>
    </row>
    <row r="252" spans="1:33" ht="15" customHeight="1" x14ac:dyDescent="0.2">
      <c r="B252" s="11" t="s">
        <v>1211</v>
      </c>
      <c r="D252" s="84" t="s">
        <v>276</v>
      </c>
      <c r="E252" s="104">
        <v>29</v>
      </c>
      <c r="G252" s="20">
        <v>1422</v>
      </c>
      <c r="H252" s="13" t="s">
        <v>2168</v>
      </c>
      <c r="I252" s="13" t="str">
        <f t="shared" si="9"/>
        <v>NW 31ST Av/LYONS RD (CYPRESS CREEK RD/NW 62ND ST to MCNAB RD)</v>
      </c>
      <c r="J252" s="12" t="s">
        <v>29</v>
      </c>
      <c r="K252" s="13" t="str">
        <f>VLOOKUP(J252,'Data-ProjectTypes'!A$3:B$13,2,FALSE)</f>
        <v>Program</v>
      </c>
      <c r="L252" s="12" t="s">
        <v>1355</v>
      </c>
      <c r="M252" s="105" t="s">
        <v>1448</v>
      </c>
      <c r="N252" s="12" t="s">
        <v>1227</v>
      </c>
      <c r="Q252" s="72">
        <v>0.5</v>
      </c>
      <c r="R252" s="23">
        <v>315900</v>
      </c>
      <c r="S252" s="21"/>
      <c r="T252" s="21"/>
      <c r="U252" s="21"/>
      <c r="V252" s="24"/>
      <c r="W252" s="24"/>
      <c r="X252" s="24"/>
      <c r="Y252" s="17"/>
      <c r="Z252" s="18">
        <f>ROUND(R252*'Data-CostAssumptions'!$C$3,-3)</f>
        <v>437000</v>
      </c>
      <c r="AA252" s="11">
        <f t="shared" si="10"/>
        <v>0</v>
      </c>
      <c r="AB252" s="11">
        <v>2041</v>
      </c>
      <c r="AC252" s="11">
        <v>2041</v>
      </c>
      <c r="AD252" s="11">
        <v>2041</v>
      </c>
      <c r="AE252" s="19">
        <f>ROUND((Z252*'Data-CostAssumptions'!$G$5)*(1+'Data-CostAssumptions'!$G$3)^(AB252-'Data-CostAssumptions'!$G$4),-3)</f>
        <v>246000</v>
      </c>
      <c r="AF252" s="19">
        <f>ROUND((Z252)*(1+'Data-CostAssumptions'!$G$3)^(AD252-'Data-CostAssumptions'!$G$4),-3)</f>
        <v>1120000</v>
      </c>
      <c r="AG252" s="170" t="str">
        <f t="shared" si="11"/>
        <v>No</v>
      </c>
    </row>
    <row r="253" spans="1:33" ht="15" customHeight="1" x14ac:dyDescent="0.2">
      <c r="B253" s="11" t="s">
        <v>1211</v>
      </c>
      <c r="D253" s="84" t="s">
        <v>276</v>
      </c>
      <c r="E253" s="104">
        <v>66</v>
      </c>
      <c r="G253" s="20">
        <v>1429</v>
      </c>
      <c r="H253" s="13" t="s">
        <v>1982</v>
      </c>
      <c r="I253" s="13" t="str">
        <f t="shared" si="9"/>
        <v>NW 7th Av (BROWARD Bl to NW 6TH ST/SISTRUNK Bl)</v>
      </c>
      <c r="J253" s="12" t="s">
        <v>29</v>
      </c>
      <c r="K253" s="13" t="str">
        <f>VLOOKUP(J253,'Data-ProjectTypes'!A$3:B$13,2,FALSE)</f>
        <v>Program</v>
      </c>
      <c r="L253" s="12" t="s">
        <v>1335</v>
      </c>
      <c r="M253" s="105" t="s">
        <v>1988</v>
      </c>
      <c r="N253" s="12" t="s">
        <v>2304</v>
      </c>
      <c r="Q253" s="72">
        <v>0.5</v>
      </c>
      <c r="R253" s="23">
        <v>315900</v>
      </c>
      <c r="S253" s="21"/>
      <c r="T253" s="21"/>
      <c r="U253" s="21"/>
      <c r="V253" s="24"/>
      <c r="W253" s="24"/>
      <c r="X253" s="28" t="s">
        <v>764</v>
      </c>
      <c r="Y253" s="17" t="s">
        <v>765</v>
      </c>
      <c r="Z253" s="18">
        <f>ROUND(R253*'Data-CostAssumptions'!$C$3,-3)</f>
        <v>437000</v>
      </c>
      <c r="AA253" s="11">
        <f t="shared" si="10"/>
        <v>0</v>
      </c>
      <c r="AB253" s="11">
        <v>2041</v>
      </c>
      <c r="AC253" s="11">
        <v>2041</v>
      </c>
      <c r="AD253" s="11">
        <v>2041</v>
      </c>
      <c r="AE253" s="19">
        <f>ROUND((Z253*'Data-CostAssumptions'!$G$5)*(1+'Data-CostAssumptions'!$G$3)^(AB253-'Data-CostAssumptions'!$G$4),-3)</f>
        <v>246000</v>
      </c>
      <c r="AF253" s="19">
        <f>ROUND((Z253)*(1+'Data-CostAssumptions'!$G$3)^(AD253-'Data-CostAssumptions'!$G$4),-3)</f>
        <v>1120000</v>
      </c>
      <c r="AG253" s="170" t="str">
        <f t="shared" si="11"/>
        <v>No</v>
      </c>
    </row>
    <row r="254" spans="1:33" ht="15" customHeight="1" x14ac:dyDescent="0.2">
      <c r="A254" s="11"/>
      <c r="B254" s="11" t="s">
        <v>1211</v>
      </c>
      <c r="C254" s="11"/>
      <c r="D254" s="84" t="s">
        <v>276</v>
      </c>
      <c r="E254" s="14">
        <v>13</v>
      </c>
      <c r="F254" s="14"/>
      <c r="G254" s="20">
        <v>1484</v>
      </c>
      <c r="H254" s="13" t="s">
        <v>2803</v>
      </c>
      <c r="I254" s="13" t="str">
        <f t="shared" si="9"/>
        <v>SR 870/Commercial Bl (US 1/SR 5/FEDERAL HWY to NE 15TH TER)</v>
      </c>
      <c r="J254" s="11" t="s">
        <v>29</v>
      </c>
      <c r="K254" s="13" t="str">
        <f>VLOOKUP(J254,'Data-ProjectTypes'!A$3:B$13,2,FALSE)</f>
        <v>Program</v>
      </c>
      <c r="L254" s="11" t="s">
        <v>1267</v>
      </c>
      <c r="M254" s="106" t="s">
        <v>1425</v>
      </c>
      <c r="N254" s="84" t="s">
        <v>1427</v>
      </c>
      <c r="O254" s="11"/>
      <c r="P254" s="11"/>
      <c r="Q254" s="107">
        <v>0.7</v>
      </c>
      <c r="R254" s="23">
        <v>315900</v>
      </c>
      <c r="S254" s="21"/>
      <c r="T254" s="21"/>
      <c r="U254" s="21"/>
      <c r="V254" s="24"/>
      <c r="W254" s="24"/>
      <c r="X254" s="24" t="s">
        <v>764</v>
      </c>
      <c r="Y254" s="17" t="s">
        <v>765</v>
      </c>
      <c r="Z254" s="18">
        <f>ROUND(R254*'Data-CostAssumptions'!$C$3,-3)</f>
        <v>437000</v>
      </c>
      <c r="AA254" s="11">
        <f t="shared" si="10"/>
        <v>0</v>
      </c>
      <c r="AB254" s="11">
        <v>2041</v>
      </c>
      <c r="AC254" s="11">
        <v>2041</v>
      </c>
      <c r="AD254" s="11">
        <v>2041</v>
      </c>
      <c r="AE254" s="19">
        <f>ROUND((Z254*'Data-CostAssumptions'!$G$5)*(1+'Data-CostAssumptions'!$G$3)^(AB254-'Data-CostAssumptions'!$G$4),-3)</f>
        <v>246000</v>
      </c>
      <c r="AF254" s="19">
        <f>ROUND((Z254)*(1+'Data-CostAssumptions'!$G$3)^(AD254-'Data-CostAssumptions'!$G$4),-3)</f>
        <v>1120000</v>
      </c>
      <c r="AG254" s="170" t="str">
        <f t="shared" si="11"/>
        <v>No</v>
      </c>
    </row>
    <row r="255" spans="1:33" ht="15" customHeight="1" x14ac:dyDescent="0.2">
      <c r="A255" s="11"/>
      <c r="B255" s="11" t="s">
        <v>1211</v>
      </c>
      <c r="C255" s="13">
        <v>863</v>
      </c>
      <c r="D255" s="13" t="s">
        <v>420</v>
      </c>
      <c r="E255" s="20">
        <v>157</v>
      </c>
      <c r="F255" s="20">
        <v>190</v>
      </c>
      <c r="G255" s="20">
        <v>240</v>
      </c>
      <c r="H255" s="13" t="s">
        <v>81</v>
      </c>
      <c r="I255" s="13" t="str">
        <f t="shared" si="9"/>
        <v>Sunset Strip (Sunrise Bl to NW 64th Av)</v>
      </c>
      <c r="J255" s="13" t="s">
        <v>29</v>
      </c>
      <c r="K255" s="13" t="str">
        <f>VLOOKUP(J255,'Data-ProjectTypes'!A$3:B$13,2,FALSE)</f>
        <v>Program</v>
      </c>
      <c r="L255" s="21" t="s">
        <v>348</v>
      </c>
      <c r="M255" s="13" t="s">
        <v>1830</v>
      </c>
      <c r="N255" s="13" t="s">
        <v>2225</v>
      </c>
      <c r="O255" s="13" t="s">
        <v>278</v>
      </c>
      <c r="P255" s="13" t="s">
        <v>278</v>
      </c>
      <c r="Q255" s="22">
        <v>1.4</v>
      </c>
      <c r="R255" s="23">
        <v>313193</v>
      </c>
      <c r="S255" s="21"/>
      <c r="T255" s="21"/>
      <c r="U255" s="21"/>
      <c r="V255" s="24"/>
      <c r="W255" s="24"/>
      <c r="X255" s="24"/>
      <c r="Y255" s="17"/>
      <c r="Z255" s="18">
        <f>ROUND(R255*'Data-CostAssumptions'!$C$3,-3)</f>
        <v>433000</v>
      </c>
      <c r="AA255" s="11">
        <f t="shared" si="10"/>
        <v>0</v>
      </c>
      <c r="AB255" s="11">
        <v>2041</v>
      </c>
      <c r="AC255" s="11">
        <v>2041</v>
      </c>
      <c r="AD255" s="11">
        <v>2041</v>
      </c>
      <c r="AE255" s="19">
        <f>ROUND((Z255*'Data-CostAssumptions'!$G$5)*(1+'Data-CostAssumptions'!$G$3)^(AB255-'Data-CostAssumptions'!$G$4),-3)</f>
        <v>244000</v>
      </c>
      <c r="AF255" s="19">
        <f>ROUND((Z255)*(1+'Data-CostAssumptions'!$G$3)^(AD255-'Data-CostAssumptions'!$G$4),-3)</f>
        <v>1110000</v>
      </c>
      <c r="AG255" s="170" t="str">
        <f t="shared" si="11"/>
        <v>No</v>
      </c>
    </row>
    <row r="256" spans="1:33" ht="15" customHeight="1" x14ac:dyDescent="0.2">
      <c r="A256" s="11"/>
      <c r="B256" s="11" t="s">
        <v>1211</v>
      </c>
      <c r="C256" s="13">
        <v>696</v>
      </c>
      <c r="D256" s="13" t="s">
        <v>420</v>
      </c>
      <c r="E256" s="20">
        <v>82</v>
      </c>
      <c r="F256" s="20">
        <v>181</v>
      </c>
      <c r="G256" s="20">
        <v>74</v>
      </c>
      <c r="H256" s="13" t="s">
        <v>2803</v>
      </c>
      <c r="I256" s="13" t="str">
        <f t="shared" si="9"/>
        <v>SR 870/Commercial Bl (Dixie Hwy to SR 845 / Powerline Rd)</v>
      </c>
      <c r="J256" s="13" t="s">
        <v>29</v>
      </c>
      <c r="K256" s="13" t="str">
        <f>VLOOKUP(J256,'Data-ProjectTypes'!A$3:B$13,2,FALSE)</f>
        <v>Program</v>
      </c>
      <c r="L256" s="21" t="s">
        <v>348</v>
      </c>
      <c r="M256" s="13" t="s">
        <v>728</v>
      </c>
      <c r="N256" s="13" t="s">
        <v>2210</v>
      </c>
      <c r="O256" s="13" t="s">
        <v>270</v>
      </c>
      <c r="P256" s="13" t="s">
        <v>270</v>
      </c>
      <c r="Q256" s="22">
        <v>1.3</v>
      </c>
      <c r="R256" s="23">
        <v>311899</v>
      </c>
      <c r="S256" s="12" t="s">
        <v>24</v>
      </c>
      <c r="T256" s="21"/>
      <c r="U256" s="21"/>
      <c r="V256" s="24"/>
      <c r="W256" s="24" t="s">
        <v>569</v>
      </c>
      <c r="X256" s="24"/>
      <c r="Y256" s="17" t="s">
        <v>538</v>
      </c>
      <c r="Z256" s="18">
        <f>ROUND(R256*'Data-CostAssumptions'!$C$3,-3)</f>
        <v>432000</v>
      </c>
      <c r="AA256" s="11">
        <f t="shared" si="10"/>
        <v>1</v>
      </c>
      <c r="AB256" s="11">
        <v>2041</v>
      </c>
      <c r="AC256" s="11">
        <v>2041</v>
      </c>
      <c r="AD256" s="11">
        <v>2041</v>
      </c>
      <c r="AE256" s="19">
        <f>ROUND((Z256*'Data-CostAssumptions'!$G$5)*(1+'Data-CostAssumptions'!$G$3)^(AB256-'Data-CostAssumptions'!$G$4),-3)</f>
        <v>244000</v>
      </c>
      <c r="AF256" s="19">
        <f>ROUND((Z256)*(1+'Data-CostAssumptions'!$G$3)^(AD256-'Data-CostAssumptions'!$G$4),-3)</f>
        <v>1108000</v>
      </c>
      <c r="AG256" s="170" t="str">
        <f t="shared" si="11"/>
        <v>No</v>
      </c>
    </row>
    <row r="257" spans="1:33" ht="15" customHeight="1" x14ac:dyDescent="0.2">
      <c r="B257" s="11" t="s">
        <v>1211</v>
      </c>
      <c r="D257" s="84" t="s">
        <v>276</v>
      </c>
      <c r="E257" s="104">
        <v>109</v>
      </c>
      <c r="G257" s="20">
        <v>1515</v>
      </c>
      <c r="H257" s="13" t="s">
        <v>1868</v>
      </c>
      <c r="I257" s="13" t="str">
        <f t="shared" si="9"/>
        <v>Victoria Park Rd (BROWARD Bl to NE 7TH ST)</v>
      </c>
      <c r="J257" s="12" t="s">
        <v>29</v>
      </c>
      <c r="K257" s="13" t="str">
        <f>VLOOKUP(J257,'Data-ProjectTypes'!A$3:B$13,2,FALSE)</f>
        <v>Program</v>
      </c>
      <c r="L257" s="12" t="s">
        <v>1418</v>
      </c>
      <c r="M257" s="105" t="s">
        <v>1988</v>
      </c>
      <c r="N257" s="12" t="s">
        <v>1458</v>
      </c>
      <c r="Q257" s="72">
        <v>0.7</v>
      </c>
      <c r="R257" s="23">
        <v>311850</v>
      </c>
      <c r="S257" s="21"/>
      <c r="T257" s="21"/>
      <c r="U257" s="21"/>
      <c r="V257" s="24"/>
      <c r="W257" s="24"/>
      <c r="X257" s="24"/>
      <c r="Y257" s="17"/>
      <c r="Z257" s="18">
        <f>ROUND(R257*'Data-CostAssumptions'!$C$3,-3)</f>
        <v>432000</v>
      </c>
      <c r="AA257" s="11">
        <f t="shared" si="10"/>
        <v>0</v>
      </c>
      <c r="AB257" s="11">
        <v>2041</v>
      </c>
      <c r="AC257" s="11">
        <v>2041</v>
      </c>
      <c r="AD257" s="11">
        <v>2041</v>
      </c>
      <c r="AE257" s="19">
        <f>ROUND((Z257*'Data-CostAssumptions'!$G$5)*(1+'Data-CostAssumptions'!$G$3)^(AB257-'Data-CostAssumptions'!$G$4),-3)</f>
        <v>244000</v>
      </c>
      <c r="AF257" s="19">
        <f>ROUND((Z257)*(1+'Data-CostAssumptions'!$G$3)^(AD257-'Data-CostAssumptions'!$G$4),-3)</f>
        <v>1108000</v>
      </c>
      <c r="AG257" s="170" t="str">
        <f t="shared" si="11"/>
        <v>No</v>
      </c>
    </row>
    <row r="258" spans="1:33" ht="15" customHeight="1" x14ac:dyDescent="0.2">
      <c r="A258" s="11"/>
      <c r="B258" s="11" t="s">
        <v>1211</v>
      </c>
      <c r="C258" s="13">
        <v>628</v>
      </c>
      <c r="D258" s="13" t="s">
        <v>420</v>
      </c>
      <c r="E258" s="20">
        <v>64</v>
      </c>
      <c r="F258" s="20">
        <v>177</v>
      </c>
      <c r="G258" s="20">
        <v>9</v>
      </c>
      <c r="H258" s="13" t="s">
        <v>2734</v>
      </c>
      <c r="I258" s="13" t="str">
        <f t="shared" ref="I258:I321" si="12">IF(M258="@",H258&amp;" ("&amp;M258&amp;"  "&amp;N258&amp;")",H258&amp;" ("&amp;M258&amp;" to "&amp;N258&amp;")")</f>
        <v>SR 814/Atlantic Bl (US 1/Federal Hwy to NE 1st Av)</v>
      </c>
      <c r="J258" s="13" t="s">
        <v>29</v>
      </c>
      <c r="K258" s="13" t="str">
        <f>VLOOKUP(J258,'Data-ProjectTypes'!A$3:B$13,2,FALSE)</f>
        <v>Program</v>
      </c>
      <c r="L258" s="21" t="s">
        <v>348</v>
      </c>
      <c r="M258" s="13" t="s">
        <v>2594</v>
      </c>
      <c r="N258" s="13" t="s">
        <v>2027</v>
      </c>
      <c r="O258" s="13" t="s">
        <v>270</v>
      </c>
      <c r="P258" s="13" t="s">
        <v>270</v>
      </c>
      <c r="Q258" s="22">
        <v>1.3</v>
      </c>
      <c r="R258" s="23">
        <v>309157</v>
      </c>
      <c r="S258" s="21"/>
      <c r="T258" s="21"/>
      <c r="U258" s="21"/>
      <c r="V258" s="24"/>
      <c r="W258" s="24" t="s">
        <v>696</v>
      </c>
      <c r="X258" s="24"/>
      <c r="Y258" s="17" t="s">
        <v>287</v>
      </c>
      <c r="Z258" s="18">
        <f>ROUND(R258*'Data-CostAssumptions'!$C$3,-3)</f>
        <v>428000</v>
      </c>
      <c r="AA258" s="11">
        <f t="shared" ref="AA258:AA321" si="13">IF(V258="",IF(W258="",0,1),1)</f>
        <v>1</v>
      </c>
      <c r="AB258" s="11">
        <v>2041</v>
      </c>
      <c r="AC258" s="11">
        <v>2041</v>
      </c>
      <c r="AD258" s="11">
        <v>2041</v>
      </c>
      <c r="AE258" s="19">
        <f>ROUND((Z258*'Data-CostAssumptions'!$G$5)*(1+'Data-CostAssumptions'!$G$3)^(AB258-'Data-CostAssumptions'!$G$4),-3)</f>
        <v>241000</v>
      </c>
      <c r="AF258" s="19">
        <f>ROUND((Z258)*(1+'Data-CostAssumptions'!$G$3)^(AD258-'Data-CostAssumptions'!$G$4),-3)</f>
        <v>1097000</v>
      </c>
      <c r="AG258" s="170" t="str">
        <f t="shared" ref="AG258:AG321" si="14">IF(MIN(AC258:AD258)&lt;2041,"Yes","No")</f>
        <v>No</v>
      </c>
    </row>
    <row r="259" spans="1:33" ht="15" customHeight="1" x14ac:dyDescent="0.2">
      <c r="A259" s="11"/>
      <c r="B259" s="11" t="s">
        <v>1211</v>
      </c>
      <c r="C259" s="13">
        <v>827</v>
      </c>
      <c r="D259" s="13" t="s">
        <v>420</v>
      </c>
      <c r="E259" s="20">
        <v>266</v>
      </c>
      <c r="F259" s="20">
        <v>188</v>
      </c>
      <c r="G259" s="20">
        <v>203</v>
      </c>
      <c r="H259" s="13" t="s">
        <v>177</v>
      </c>
      <c r="I259" s="13" t="str">
        <f t="shared" si="12"/>
        <v>Stirling Rd (Pine Island Rd to Palm Av/Nob Hill Rd)</v>
      </c>
      <c r="J259" s="13" t="s">
        <v>29</v>
      </c>
      <c r="K259" s="13" t="str">
        <f>VLOOKUP(J259,'Data-ProjectTypes'!A$3:B$13,2,FALSE)</f>
        <v>Program</v>
      </c>
      <c r="L259" s="21" t="s">
        <v>348</v>
      </c>
      <c r="M259" s="13" t="s">
        <v>266</v>
      </c>
      <c r="N259" s="13" t="s">
        <v>2455</v>
      </c>
      <c r="O259" s="13" t="s">
        <v>273</v>
      </c>
      <c r="P259" s="13" t="s">
        <v>273</v>
      </c>
      <c r="Q259" s="22">
        <v>1.3</v>
      </c>
      <c r="R259" s="23">
        <v>308243</v>
      </c>
      <c r="S259" s="21" t="s">
        <v>24</v>
      </c>
      <c r="T259" s="21" t="s">
        <v>24</v>
      </c>
      <c r="U259" s="21" t="s">
        <v>24</v>
      </c>
      <c r="V259" s="24" t="s">
        <v>707</v>
      </c>
      <c r="W259" s="24"/>
      <c r="X259" s="29" t="s">
        <v>708</v>
      </c>
      <c r="Y259" s="17" t="s">
        <v>287</v>
      </c>
      <c r="Z259" s="18">
        <f>ROUND(R259*'Data-CostAssumptions'!$C$3,-3)</f>
        <v>427000</v>
      </c>
      <c r="AA259" s="11">
        <f t="shared" si="13"/>
        <v>1</v>
      </c>
      <c r="AB259" s="11">
        <v>2041</v>
      </c>
      <c r="AC259" s="11">
        <v>2041</v>
      </c>
      <c r="AD259" s="11">
        <v>2041</v>
      </c>
      <c r="AE259" s="19">
        <f>ROUND((Z259*'Data-CostAssumptions'!$G$5)*(1+'Data-CostAssumptions'!$G$3)^(AB259-'Data-CostAssumptions'!$G$4),-3)</f>
        <v>241000</v>
      </c>
      <c r="AF259" s="19">
        <f>ROUND((Z259)*(1+'Data-CostAssumptions'!$G$3)^(AD259-'Data-CostAssumptions'!$G$4),-3)</f>
        <v>1095000</v>
      </c>
      <c r="AG259" s="170" t="str">
        <f t="shared" si="14"/>
        <v>No</v>
      </c>
    </row>
    <row r="260" spans="1:33" ht="15" customHeight="1" x14ac:dyDescent="0.2">
      <c r="A260" s="11"/>
      <c r="B260" s="11" t="s">
        <v>1211</v>
      </c>
      <c r="C260" s="13">
        <v>888</v>
      </c>
      <c r="D260" s="13" t="s">
        <v>420</v>
      </c>
      <c r="E260" s="20">
        <v>20</v>
      </c>
      <c r="F260" s="20">
        <v>192</v>
      </c>
      <c r="G260" s="20">
        <v>265</v>
      </c>
      <c r="H260" s="13" t="s">
        <v>1836</v>
      </c>
      <c r="I260" s="13" t="str">
        <f t="shared" si="12"/>
        <v>Copans Rd (NW 42nd Av to State Rd 7)</v>
      </c>
      <c r="J260" s="13" t="s">
        <v>29</v>
      </c>
      <c r="K260" s="13" t="str">
        <f>VLOOKUP(J260,'Data-ProjectTypes'!A$3:B$13,2,FALSE)</f>
        <v>Program</v>
      </c>
      <c r="L260" s="21" t="s">
        <v>348</v>
      </c>
      <c r="M260" s="13" t="s">
        <v>2213</v>
      </c>
      <c r="N260" s="13" t="s">
        <v>1772</v>
      </c>
      <c r="O260" s="13" t="s">
        <v>273</v>
      </c>
      <c r="P260" s="13" t="s">
        <v>273</v>
      </c>
      <c r="Q260" s="22">
        <v>1.3</v>
      </c>
      <c r="R260" s="23">
        <v>305772</v>
      </c>
      <c r="S260" s="21"/>
      <c r="T260" s="21"/>
      <c r="U260" s="21"/>
      <c r="V260" s="24"/>
      <c r="W260" s="24"/>
      <c r="X260" s="24"/>
      <c r="Y260" s="17"/>
      <c r="Z260" s="18">
        <f>ROUND(R260*'Data-CostAssumptions'!$C$3,-3)</f>
        <v>423000</v>
      </c>
      <c r="AA260" s="11">
        <f t="shared" si="13"/>
        <v>0</v>
      </c>
      <c r="AB260" s="11">
        <v>2041</v>
      </c>
      <c r="AC260" s="11">
        <v>2041</v>
      </c>
      <c r="AD260" s="11">
        <v>2041</v>
      </c>
      <c r="AE260" s="19">
        <f>ROUND((Z260*'Data-CostAssumptions'!$G$5)*(1+'Data-CostAssumptions'!$G$3)^(AB260-'Data-CostAssumptions'!$G$4),-3)</f>
        <v>239000</v>
      </c>
      <c r="AF260" s="19">
        <f>ROUND((Z260)*(1+'Data-CostAssumptions'!$G$3)^(AD260-'Data-CostAssumptions'!$G$4),-3)</f>
        <v>1085000</v>
      </c>
      <c r="AG260" s="170" t="str">
        <f t="shared" si="14"/>
        <v>No</v>
      </c>
    </row>
    <row r="261" spans="1:33" ht="15" customHeight="1" x14ac:dyDescent="0.2">
      <c r="B261" s="11" t="s">
        <v>1211</v>
      </c>
      <c r="D261" s="84" t="s">
        <v>276</v>
      </c>
      <c r="E261" s="104">
        <v>65</v>
      </c>
      <c r="G261" s="20">
        <v>1430</v>
      </c>
      <c r="H261" s="13" t="s">
        <v>1982</v>
      </c>
      <c r="I261" s="13" t="str">
        <f t="shared" si="12"/>
        <v>NW 7th Av (NW 6TH ST/SISTRUNK Bl to SUNRISE Bl/SR 838)</v>
      </c>
      <c r="J261" s="12" t="s">
        <v>29</v>
      </c>
      <c r="K261" s="13" t="str">
        <f>VLOOKUP(J261,'Data-ProjectTypes'!A$3:B$13,2,FALSE)</f>
        <v>Program</v>
      </c>
      <c r="L261" s="12" t="s">
        <v>1337</v>
      </c>
      <c r="M261" s="105" t="s">
        <v>2304</v>
      </c>
      <c r="N261" s="12" t="s">
        <v>2305</v>
      </c>
      <c r="Q261" s="72">
        <v>0.5</v>
      </c>
      <c r="R261" s="23">
        <v>303750</v>
      </c>
      <c r="S261" s="21" t="s">
        <v>24</v>
      </c>
      <c r="T261" s="21" t="s">
        <v>24</v>
      </c>
      <c r="U261" s="21"/>
      <c r="V261" s="24"/>
      <c r="W261" s="24"/>
      <c r="X261" s="24"/>
      <c r="Y261" s="17" t="s">
        <v>469</v>
      </c>
      <c r="Z261" s="18">
        <f>ROUND(R261*'Data-CostAssumptions'!$C$3,-3)</f>
        <v>420000</v>
      </c>
      <c r="AA261" s="11">
        <f t="shared" si="13"/>
        <v>0</v>
      </c>
      <c r="AB261" s="11">
        <v>2041</v>
      </c>
      <c r="AC261" s="11">
        <v>2041</v>
      </c>
      <c r="AD261" s="11">
        <v>2041</v>
      </c>
      <c r="AE261" s="19">
        <f>ROUND((Z261*'Data-CostAssumptions'!$G$5)*(1+'Data-CostAssumptions'!$G$3)^(AB261-'Data-CostAssumptions'!$G$4),-3)</f>
        <v>237000</v>
      </c>
      <c r="AF261" s="19">
        <f>ROUND((Z261)*(1+'Data-CostAssumptions'!$G$3)^(AD261-'Data-CostAssumptions'!$G$4),-3)</f>
        <v>1077000</v>
      </c>
      <c r="AG261" s="170" t="str">
        <f t="shared" si="14"/>
        <v>No</v>
      </c>
    </row>
    <row r="262" spans="1:33" ht="15" customHeight="1" x14ac:dyDescent="0.2">
      <c r="A262" s="11"/>
      <c r="B262" s="11" t="s">
        <v>1211</v>
      </c>
      <c r="C262" s="13">
        <v>736</v>
      </c>
      <c r="D262" s="13" t="s">
        <v>420</v>
      </c>
      <c r="E262" s="20">
        <v>14</v>
      </c>
      <c r="F262" s="20">
        <v>183</v>
      </c>
      <c r="G262" s="20">
        <v>114</v>
      </c>
      <c r="H262" s="13" t="s">
        <v>1745</v>
      </c>
      <c r="I262" s="13" t="str">
        <f t="shared" si="12"/>
        <v>Banks Rd (Copans Rd to Sample Rd)</v>
      </c>
      <c r="J262" s="13" t="s">
        <v>29</v>
      </c>
      <c r="K262" s="13" t="str">
        <f>VLOOKUP(J262,'Data-ProjectTypes'!A$3:B$13,2,FALSE)</f>
        <v>Program</v>
      </c>
      <c r="L262" s="21" t="s">
        <v>348</v>
      </c>
      <c r="M262" s="13" t="s">
        <v>1836</v>
      </c>
      <c r="N262" s="13" t="s">
        <v>1864</v>
      </c>
      <c r="O262" s="13" t="s">
        <v>272</v>
      </c>
      <c r="P262" s="13" t="s">
        <v>272</v>
      </c>
      <c r="Q262" s="22">
        <v>1.3</v>
      </c>
      <c r="R262" s="23">
        <v>302791</v>
      </c>
      <c r="S262" s="21"/>
      <c r="T262" s="21"/>
      <c r="U262" s="21"/>
      <c r="V262" s="24"/>
      <c r="W262" s="24"/>
      <c r="X262" s="24"/>
      <c r="Y262" s="17"/>
      <c r="Z262" s="18">
        <f>ROUND(R262*'Data-CostAssumptions'!$C$3,-3)</f>
        <v>419000</v>
      </c>
      <c r="AA262" s="11">
        <f t="shared" si="13"/>
        <v>0</v>
      </c>
      <c r="AB262" s="11">
        <v>2041</v>
      </c>
      <c r="AC262" s="11">
        <v>2041</v>
      </c>
      <c r="AD262" s="11">
        <v>2041</v>
      </c>
      <c r="AE262" s="19">
        <f>ROUND((Z262*'Data-CostAssumptions'!$G$5)*(1+'Data-CostAssumptions'!$G$3)^(AB262-'Data-CostAssumptions'!$G$4),-3)</f>
        <v>236000</v>
      </c>
      <c r="AF262" s="19">
        <f>ROUND((Z262)*(1+'Data-CostAssumptions'!$G$3)^(AD262-'Data-CostAssumptions'!$G$4),-3)</f>
        <v>1074000</v>
      </c>
      <c r="AG262" s="170" t="str">
        <f t="shared" si="14"/>
        <v>No</v>
      </c>
    </row>
    <row r="263" spans="1:33" ht="15" customHeight="1" x14ac:dyDescent="0.2">
      <c r="A263" s="11"/>
      <c r="B263" s="11" t="s">
        <v>1211</v>
      </c>
      <c r="C263" s="13">
        <v>748</v>
      </c>
      <c r="D263" s="13" t="s">
        <v>420</v>
      </c>
      <c r="E263" s="20">
        <v>80</v>
      </c>
      <c r="F263" s="20">
        <v>184</v>
      </c>
      <c r="G263" s="20">
        <v>125</v>
      </c>
      <c r="H263" s="13" t="s">
        <v>1899</v>
      </c>
      <c r="I263" s="13" t="str">
        <f t="shared" si="12"/>
        <v>NE 58th St (US 1/Federal Hwy to Dixie Hwy)</v>
      </c>
      <c r="J263" s="13" t="s">
        <v>29</v>
      </c>
      <c r="K263" s="13" t="str">
        <f>VLOOKUP(J263,'Data-ProjectTypes'!A$3:B$13,2,FALSE)</f>
        <v>Program</v>
      </c>
      <c r="L263" s="21" t="s">
        <v>348</v>
      </c>
      <c r="M263" s="13" t="s">
        <v>2594</v>
      </c>
      <c r="N263" s="13" t="s">
        <v>728</v>
      </c>
      <c r="O263" s="13" t="s">
        <v>273</v>
      </c>
      <c r="P263" s="13" t="s">
        <v>273</v>
      </c>
      <c r="Q263" s="22">
        <v>1.3</v>
      </c>
      <c r="R263" s="23">
        <v>303036</v>
      </c>
      <c r="S263" s="21"/>
      <c r="T263" s="21"/>
      <c r="U263" s="21"/>
      <c r="V263" s="24"/>
      <c r="W263" s="24"/>
      <c r="X263" s="24"/>
      <c r="Y263" s="17"/>
      <c r="Z263" s="18">
        <f>ROUND(R263*'Data-CostAssumptions'!$C$3,-3)</f>
        <v>419000</v>
      </c>
      <c r="AA263" s="11">
        <f t="shared" si="13"/>
        <v>0</v>
      </c>
      <c r="AB263" s="11">
        <v>2041</v>
      </c>
      <c r="AC263" s="11">
        <v>2041</v>
      </c>
      <c r="AD263" s="11">
        <v>2041</v>
      </c>
      <c r="AE263" s="19">
        <f>ROUND((Z263*'Data-CostAssumptions'!$G$5)*(1+'Data-CostAssumptions'!$G$3)^(AB263-'Data-CostAssumptions'!$G$4),-3)</f>
        <v>236000</v>
      </c>
      <c r="AF263" s="19">
        <f>ROUND((Z263)*(1+'Data-CostAssumptions'!$G$3)^(AD263-'Data-CostAssumptions'!$G$4),-3)</f>
        <v>1074000</v>
      </c>
      <c r="AG263" s="170" t="str">
        <f t="shared" si="14"/>
        <v>No</v>
      </c>
    </row>
    <row r="264" spans="1:33" ht="15" customHeight="1" x14ac:dyDescent="0.2">
      <c r="A264" s="11"/>
      <c r="B264" s="11" t="s">
        <v>1211</v>
      </c>
      <c r="C264" s="13">
        <v>865</v>
      </c>
      <c r="D264" s="13" t="s">
        <v>420</v>
      </c>
      <c r="E264" s="20">
        <v>185</v>
      </c>
      <c r="F264" s="20">
        <v>190</v>
      </c>
      <c r="G264" s="20">
        <v>242</v>
      </c>
      <c r="H264" s="13" t="s">
        <v>2038</v>
      </c>
      <c r="I264" s="13" t="str">
        <f t="shared" si="12"/>
        <v>North 14th Av (Hallandale Beach Bl to Washington St)</v>
      </c>
      <c r="J264" s="13" t="s">
        <v>29</v>
      </c>
      <c r="K264" s="13" t="str">
        <f>VLOOKUP(J264,'Data-ProjectTypes'!A$3:B$13,2,FALSE)</f>
        <v>Program</v>
      </c>
      <c r="L264" s="21" t="s">
        <v>562</v>
      </c>
      <c r="M264" s="13" t="s">
        <v>1818</v>
      </c>
      <c r="N264" s="13" t="s">
        <v>1971</v>
      </c>
      <c r="O264" s="13" t="s">
        <v>272</v>
      </c>
      <c r="P264" s="13" t="s">
        <v>272</v>
      </c>
      <c r="Q264" s="22">
        <v>1.3</v>
      </c>
      <c r="R264" s="23">
        <v>296425</v>
      </c>
      <c r="S264" s="21"/>
      <c r="T264" s="21"/>
      <c r="U264" s="21"/>
      <c r="V264" s="24"/>
      <c r="W264" s="24"/>
      <c r="X264" s="24"/>
      <c r="Y264" s="17"/>
      <c r="Z264" s="18">
        <f>ROUND(R264*'Data-CostAssumptions'!$C$3,-3)</f>
        <v>410000</v>
      </c>
      <c r="AA264" s="11">
        <f t="shared" si="13"/>
        <v>0</v>
      </c>
      <c r="AB264" s="11">
        <v>2041</v>
      </c>
      <c r="AC264" s="11">
        <v>2041</v>
      </c>
      <c r="AD264" s="11">
        <v>2041</v>
      </c>
      <c r="AE264" s="19">
        <f>ROUND((Z264*'Data-CostAssumptions'!$G$5)*(1+'Data-CostAssumptions'!$G$3)^(AB264-'Data-CostAssumptions'!$G$4),-3)</f>
        <v>231000</v>
      </c>
      <c r="AF264" s="19">
        <f>ROUND((Z264)*(1+'Data-CostAssumptions'!$G$3)^(AD264-'Data-CostAssumptions'!$G$4),-3)</f>
        <v>1051000</v>
      </c>
      <c r="AG264" s="170" t="str">
        <f t="shared" si="14"/>
        <v>No</v>
      </c>
    </row>
    <row r="265" spans="1:33" ht="15" customHeight="1" x14ac:dyDescent="0.2">
      <c r="A265" s="11"/>
      <c r="B265" s="11" t="s">
        <v>1211</v>
      </c>
      <c r="C265" s="13">
        <v>931</v>
      </c>
      <c r="D265" s="13" t="s">
        <v>420</v>
      </c>
      <c r="E265" s="20">
        <v>53</v>
      </c>
      <c r="F265" s="20">
        <v>194</v>
      </c>
      <c r="G265" s="20">
        <v>307</v>
      </c>
      <c r="H265" s="13" t="s">
        <v>1846</v>
      </c>
      <c r="I265" s="13" t="str">
        <f t="shared" si="12"/>
        <v>Dykes Rd (Stirling Rd to Griffin Rd)</v>
      </c>
      <c r="J265" s="13" t="s">
        <v>29</v>
      </c>
      <c r="K265" s="13" t="str">
        <f>VLOOKUP(J265,'Data-ProjectTypes'!A$3:B$13,2,FALSE)</f>
        <v>Program</v>
      </c>
      <c r="L265" s="21" t="s">
        <v>348</v>
      </c>
      <c r="M265" s="13" t="s">
        <v>177</v>
      </c>
      <c r="N265" s="13" t="s">
        <v>1750</v>
      </c>
      <c r="O265" s="13" t="s">
        <v>272</v>
      </c>
      <c r="P265" s="13" t="s">
        <v>272</v>
      </c>
      <c r="Q265" s="22">
        <v>1.3</v>
      </c>
      <c r="R265" s="23">
        <v>294994</v>
      </c>
      <c r="S265" s="21" t="s">
        <v>24</v>
      </c>
      <c r="T265" s="21" t="s">
        <v>25</v>
      </c>
      <c r="U265" s="21" t="s">
        <v>24</v>
      </c>
      <c r="V265" s="24" t="s">
        <v>838</v>
      </c>
      <c r="W265" s="24"/>
      <c r="X265" s="24"/>
      <c r="Y265" s="17" t="s">
        <v>831</v>
      </c>
      <c r="Z265" s="18">
        <f>ROUND(R265*'Data-CostAssumptions'!$C$3,-3)</f>
        <v>408000</v>
      </c>
      <c r="AA265" s="11">
        <f t="shared" si="13"/>
        <v>1</v>
      </c>
      <c r="AB265" s="11">
        <v>2041</v>
      </c>
      <c r="AC265" s="11">
        <v>2041</v>
      </c>
      <c r="AD265" s="11">
        <v>2041</v>
      </c>
      <c r="AE265" s="19">
        <f>ROUND((Z265*'Data-CostAssumptions'!$G$5)*(1+'Data-CostAssumptions'!$G$3)^(AB265-'Data-CostAssumptions'!$G$4),-3)</f>
        <v>230000</v>
      </c>
      <c r="AF265" s="19">
        <f>ROUND((Z265)*(1+'Data-CostAssumptions'!$G$3)^(AD265-'Data-CostAssumptions'!$G$4),-3)</f>
        <v>1046000</v>
      </c>
      <c r="AG265" s="170" t="str">
        <f t="shared" si="14"/>
        <v>No</v>
      </c>
    </row>
    <row r="266" spans="1:33" ht="15" customHeight="1" x14ac:dyDescent="0.2">
      <c r="A266" s="11"/>
      <c r="B266" s="11" t="s">
        <v>1211</v>
      </c>
      <c r="C266" s="13">
        <v>905</v>
      </c>
      <c r="D266" s="13" t="s">
        <v>420</v>
      </c>
      <c r="E266" s="20">
        <v>239</v>
      </c>
      <c r="F266" s="20">
        <v>193</v>
      </c>
      <c r="G266" s="20">
        <v>282</v>
      </c>
      <c r="H266" s="13" t="s">
        <v>2734</v>
      </c>
      <c r="I266" s="13" t="str">
        <f t="shared" si="12"/>
        <v>SR 814/Atlantic Bl (NW 31st Av to Lyons Rd)</v>
      </c>
      <c r="J266" s="13" t="s">
        <v>29</v>
      </c>
      <c r="K266" s="13" t="str">
        <f>VLOOKUP(J266,'Data-ProjectTypes'!A$3:B$13,2,FALSE)</f>
        <v>Program</v>
      </c>
      <c r="L266" s="21" t="s">
        <v>348</v>
      </c>
      <c r="M266" s="13" t="s">
        <v>2062</v>
      </c>
      <c r="N266" s="13" t="s">
        <v>1754</v>
      </c>
      <c r="O266" s="13" t="s">
        <v>270</v>
      </c>
      <c r="P266" s="13" t="s">
        <v>270</v>
      </c>
      <c r="Q266" s="22">
        <v>1.3</v>
      </c>
      <c r="R266" s="23">
        <v>292405</v>
      </c>
      <c r="S266" s="21"/>
      <c r="T266" s="21"/>
      <c r="U266" s="21"/>
      <c r="V266" s="24"/>
      <c r="W266" s="24"/>
      <c r="X266" s="28"/>
      <c r="Y266" s="17"/>
      <c r="Z266" s="18">
        <f>ROUND(R266*'Data-CostAssumptions'!$C$3,-3)</f>
        <v>405000</v>
      </c>
      <c r="AA266" s="11">
        <f t="shared" si="13"/>
        <v>0</v>
      </c>
      <c r="AB266" s="11">
        <v>2041</v>
      </c>
      <c r="AC266" s="11">
        <v>2041</v>
      </c>
      <c r="AD266" s="11">
        <v>2041</v>
      </c>
      <c r="AE266" s="19">
        <f>ROUND((Z266*'Data-CostAssumptions'!$G$5)*(1+'Data-CostAssumptions'!$G$3)^(AB266-'Data-CostAssumptions'!$G$4),-3)</f>
        <v>228000</v>
      </c>
      <c r="AF266" s="19">
        <f>ROUND((Z266)*(1+'Data-CostAssumptions'!$G$3)^(AD266-'Data-CostAssumptions'!$G$4),-3)</f>
        <v>1038000</v>
      </c>
      <c r="AG266" s="170" t="str">
        <f t="shared" si="14"/>
        <v>No</v>
      </c>
    </row>
    <row r="267" spans="1:33" ht="15" customHeight="1" x14ac:dyDescent="0.2">
      <c r="A267" s="11"/>
      <c r="B267" s="11" t="s">
        <v>1211</v>
      </c>
      <c r="C267" s="13">
        <v>749</v>
      </c>
      <c r="D267" s="13" t="s">
        <v>420</v>
      </c>
      <c r="E267" s="20">
        <v>85</v>
      </c>
      <c r="F267" s="20">
        <v>184</v>
      </c>
      <c r="G267" s="20">
        <v>126</v>
      </c>
      <c r="H267" s="13" t="s">
        <v>150</v>
      </c>
      <c r="I267" s="13" t="str">
        <f t="shared" si="12"/>
        <v>Prospect Park (Dixie Hwy to Powerline Rd)</v>
      </c>
      <c r="J267" s="13" t="s">
        <v>29</v>
      </c>
      <c r="K267" s="13" t="str">
        <f>VLOOKUP(J267,'Data-ProjectTypes'!A$3:B$13,2,FALSE)</f>
        <v>Program</v>
      </c>
      <c r="L267" s="21" t="s">
        <v>348</v>
      </c>
      <c r="M267" s="13" t="s">
        <v>728</v>
      </c>
      <c r="N267" s="13" t="s">
        <v>1858</v>
      </c>
      <c r="O267" s="13" t="s">
        <v>273</v>
      </c>
      <c r="P267" s="13" t="s">
        <v>273</v>
      </c>
      <c r="Q267" s="22">
        <v>1.3</v>
      </c>
      <c r="R267" s="23">
        <v>292056</v>
      </c>
      <c r="S267" s="21"/>
      <c r="T267" s="21"/>
      <c r="U267" s="21"/>
      <c r="V267" s="24"/>
      <c r="W267" s="24"/>
      <c r="X267" s="24"/>
      <c r="Y267" s="17"/>
      <c r="Z267" s="18">
        <f>ROUND(R267*'Data-CostAssumptions'!$C$3,-3)</f>
        <v>404000</v>
      </c>
      <c r="AA267" s="11">
        <f t="shared" si="13"/>
        <v>0</v>
      </c>
      <c r="AB267" s="11">
        <v>2041</v>
      </c>
      <c r="AC267" s="11">
        <v>2041</v>
      </c>
      <c r="AD267" s="11">
        <v>2041</v>
      </c>
      <c r="AE267" s="19">
        <f>ROUND((Z267*'Data-CostAssumptions'!$G$5)*(1+'Data-CostAssumptions'!$G$3)^(AB267-'Data-CostAssumptions'!$G$4),-3)</f>
        <v>228000</v>
      </c>
      <c r="AF267" s="19">
        <f>ROUND((Z267)*(1+'Data-CostAssumptions'!$G$3)^(AD267-'Data-CostAssumptions'!$G$4),-3)</f>
        <v>1036000</v>
      </c>
      <c r="AG267" s="170" t="str">
        <f t="shared" si="14"/>
        <v>No</v>
      </c>
    </row>
    <row r="268" spans="1:33" ht="15" customHeight="1" x14ac:dyDescent="0.2">
      <c r="A268" s="11"/>
      <c r="B268" s="11" t="s">
        <v>1211</v>
      </c>
      <c r="C268" s="13">
        <v>784</v>
      </c>
      <c r="D268" s="13" t="s">
        <v>420</v>
      </c>
      <c r="E268" s="20">
        <v>331</v>
      </c>
      <c r="F268" s="20">
        <v>186</v>
      </c>
      <c r="G268" s="20">
        <v>161</v>
      </c>
      <c r="H268" s="13" t="s">
        <v>486</v>
      </c>
      <c r="I268" s="13" t="str">
        <f t="shared" si="12"/>
        <v>SW 39th St (Davie Rd to University Dr)</v>
      </c>
      <c r="J268" s="13" t="s">
        <v>29</v>
      </c>
      <c r="K268" s="13" t="str">
        <f>VLOOKUP(J268,'Data-ProjectTypes'!A$3:B$13,2,FALSE)</f>
        <v>Program</v>
      </c>
      <c r="L268" s="21" t="s">
        <v>348</v>
      </c>
      <c r="M268" s="13" t="s">
        <v>1845</v>
      </c>
      <c r="N268" s="13" t="s">
        <v>1804</v>
      </c>
      <c r="O268" s="13" t="s">
        <v>279</v>
      </c>
      <c r="P268" s="13" t="s">
        <v>279</v>
      </c>
      <c r="Q268" s="22">
        <v>1.3</v>
      </c>
      <c r="R268" s="23">
        <v>292133</v>
      </c>
      <c r="S268" s="21"/>
      <c r="T268" s="21"/>
      <c r="U268" s="21"/>
      <c r="V268" s="24"/>
      <c r="W268" s="24"/>
      <c r="X268" s="24"/>
      <c r="Y268" s="17"/>
      <c r="Z268" s="18">
        <f>ROUND(R268*'Data-CostAssumptions'!$C$3,-3)</f>
        <v>404000</v>
      </c>
      <c r="AA268" s="11">
        <f t="shared" si="13"/>
        <v>0</v>
      </c>
      <c r="AB268" s="11">
        <v>2041</v>
      </c>
      <c r="AC268" s="11">
        <v>2041</v>
      </c>
      <c r="AD268" s="11">
        <v>2041</v>
      </c>
      <c r="AE268" s="19">
        <f>ROUND((Z268*'Data-CostAssumptions'!$G$5)*(1+'Data-CostAssumptions'!$G$3)^(AB268-'Data-CostAssumptions'!$G$4),-3)</f>
        <v>228000</v>
      </c>
      <c r="AF268" s="19">
        <f>ROUND((Z268)*(1+'Data-CostAssumptions'!$G$3)^(AD268-'Data-CostAssumptions'!$G$4),-3)</f>
        <v>1036000</v>
      </c>
      <c r="AG268" s="170" t="str">
        <f t="shared" si="14"/>
        <v>No</v>
      </c>
    </row>
    <row r="269" spans="1:33" ht="15" customHeight="1" x14ac:dyDescent="0.2">
      <c r="A269" s="11"/>
      <c r="B269" s="11" t="s">
        <v>1211</v>
      </c>
      <c r="C269" s="13">
        <v>787</v>
      </c>
      <c r="D269" s="13" t="s">
        <v>420</v>
      </c>
      <c r="E269" s="20">
        <v>19</v>
      </c>
      <c r="F269" s="20">
        <v>186</v>
      </c>
      <c r="G269" s="20">
        <v>164</v>
      </c>
      <c r="H269" s="13" t="s">
        <v>1827</v>
      </c>
      <c r="I269" s="13" t="str">
        <f t="shared" si="12"/>
        <v>Royal Palm Bl (State Rd 7 to Rock Island Rd)</v>
      </c>
      <c r="J269" s="13" t="s">
        <v>29</v>
      </c>
      <c r="K269" s="13" t="str">
        <f>VLOOKUP(J269,'Data-ProjectTypes'!A$3:B$13,2,FALSE)</f>
        <v>Program</v>
      </c>
      <c r="L269" s="21" t="s">
        <v>348</v>
      </c>
      <c r="M269" s="13" t="s">
        <v>1772</v>
      </c>
      <c r="N269" s="13" t="s">
        <v>1768</v>
      </c>
      <c r="O269" s="13" t="s">
        <v>291</v>
      </c>
      <c r="P269" s="13" t="s">
        <v>291</v>
      </c>
      <c r="Q269" s="22">
        <v>1.3</v>
      </c>
      <c r="R269" s="23">
        <v>291007</v>
      </c>
      <c r="S269" s="21" t="s">
        <v>24</v>
      </c>
      <c r="T269" s="21" t="s">
        <v>25</v>
      </c>
      <c r="U269" s="21" t="s">
        <v>24</v>
      </c>
      <c r="V269" s="24" t="s">
        <v>561</v>
      </c>
      <c r="W269" s="24"/>
      <c r="X269" s="24"/>
      <c r="Y269" s="17" t="s">
        <v>538</v>
      </c>
      <c r="Z269" s="18">
        <f>ROUND(R269*'Data-CostAssumptions'!$C$3,-3)</f>
        <v>403000</v>
      </c>
      <c r="AA269" s="11">
        <f t="shared" si="13"/>
        <v>1</v>
      </c>
      <c r="AB269" s="11">
        <v>2041</v>
      </c>
      <c r="AC269" s="11">
        <v>2041</v>
      </c>
      <c r="AD269" s="11">
        <v>2041</v>
      </c>
      <c r="AE269" s="19">
        <f>ROUND((Z269*'Data-CostAssumptions'!$G$5)*(1+'Data-CostAssumptions'!$G$3)^(AB269-'Data-CostAssumptions'!$G$4),-3)</f>
        <v>227000</v>
      </c>
      <c r="AF269" s="19">
        <f>ROUND((Z269)*(1+'Data-CostAssumptions'!$G$3)^(AD269-'Data-CostAssumptions'!$G$4),-3)</f>
        <v>1033000</v>
      </c>
      <c r="AG269" s="170" t="str">
        <f t="shared" si="14"/>
        <v>No</v>
      </c>
    </row>
    <row r="270" spans="1:33" ht="15" customHeight="1" x14ac:dyDescent="0.2">
      <c r="A270" s="11"/>
      <c r="B270" s="11" t="s">
        <v>1211</v>
      </c>
      <c r="C270" s="13">
        <v>646</v>
      </c>
      <c r="D270" s="13" t="s">
        <v>420</v>
      </c>
      <c r="E270" s="20">
        <v>318</v>
      </c>
      <c r="F270" s="20">
        <v>178</v>
      </c>
      <c r="G270" s="20">
        <v>27</v>
      </c>
      <c r="H270" s="13" t="s">
        <v>2093</v>
      </c>
      <c r="I270" s="13" t="str">
        <f t="shared" si="12"/>
        <v>SE 3rd Av (SE 17th St to Las Olas Bl)</v>
      </c>
      <c r="J270" s="13" t="s">
        <v>29</v>
      </c>
      <c r="K270" s="13" t="str">
        <f>VLOOKUP(J270,'Data-ProjectTypes'!A$3:B$13,2,FALSE)</f>
        <v>Program</v>
      </c>
      <c r="L270" s="21" t="s">
        <v>348</v>
      </c>
      <c r="M270" s="13" t="s">
        <v>182</v>
      </c>
      <c r="N270" s="13" t="s">
        <v>1823</v>
      </c>
      <c r="O270" s="13" t="s">
        <v>273</v>
      </c>
      <c r="P270" s="13" t="s">
        <v>273</v>
      </c>
      <c r="Q270" s="22">
        <v>1.3</v>
      </c>
      <c r="R270" s="23">
        <v>291543</v>
      </c>
      <c r="S270" s="21"/>
      <c r="T270" s="21"/>
      <c r="U270" s="21"/>
      <c r="V270" s="24"/>
      <c r="W270" s="24"/>
      <c r="X270" s="24"/>
      <c r="Y270" s="17"/>
      <c r="Z270" s="18">
        <f>ROUND(R270*'Data-CostAssumptions'!$C$3,-3)</f>
        <v>403000</v>
      </c>
      <c r="AA270" s="11">
        <f t="shared" si="13"/>
        <v>0</v>
      </c>
      <c r="AB270" s="11">
        <v>2041</v>
      </c>
      <c r="AC270" s="11">
        <v>2041</v>
      </c>
      <c r="AD270" s="11">
        <v>2041</v>
      </c>
      <c r="AE270" s="19">
        <f>ROUND((Z270*'Data-CostAssumptions'!$G$5)*(1+'Data-CostAssumptions'!$G$3)^(AB270-'Data-CostAssumptions'!$G$4),-3)</f>
        <v>227000</v>
      </c>
      <c r="AF270" s="19">
        <f>ROUND((Z270)*(1+'Data-CostAssumptions'!$G$3)^(AD270-'Data-CostAssumptions'!$G$4),-3)</f>
        <v>1033000</v>
      </c>
      <c r="AG270" s="170" t="str">
        <f t="shared" si="14"/>
        <v>No</v>
      </c>
    </row>
    <row r="271" spans="1:33" ht="15" customHeight="1" x14ac:dyDescent="0.2">
      <c r="A271" s="11"/>
      <c r="B271" s="11" t="s">
        <v>1211</v>
      </c>
      <c r="C271" s="11">
        <v>12290</v>
      </c>
      <c r="D271" s="84" t="s">
        <v>282</v>
      </c>
      <c r="E271" s="14"/>
      <c r="F271" s="14"/>
      <c r="G271" s="20">
        <v>1762</v>
      </c>
      <c r="H271" s="13" t="s">
        <v>1862</v>
      </c>
      <c r="I271" s="13" t="str">
        <f t="shared" si="12"/>
        <v>S. Park Rd (Washington St to Hollywood Bl)</v>
      </c>
      <c r="J271" s="11" t="s">
        <v>29</v>
      </c>
      <c r="K271" s="13" t="str">
        <f>VLOOKUP(J271,'Data-ProjectTypes'!A$3:B$13,2,FALSE)</f>
        <v>Program</v>
      </c>
      <c r="L271" s="142" t="s">
        <v>628</v>
      </c>
      <c r="M271" s="11" t="s">
        <v>1971</v>
      </c>
      <c r="N271" s="11" t="s">
        <v>1820</v>
      </c>
      <c r="O271" s="11"/>
      <c r="P271" s="11"/>
      <c r="Q271" s="79">
        <v>0.54</v>
      </c>
      <c r="R271" s="143">
        <f>ROUND(Q271*'Data-CostAssumptions'!$C$25,-3)+200000</f>
        <v>291000</v>
      </c>
      <c r="S271" s="21"/>
      <c r="T271" s="21"/>
      <c r="U271" s="21"/>
      <c r="V271" s="24"/>
      <c r="W271" s="24"/>
      <c r="X271" s="24"/>
      <c r="Y271" s="17"/>
      <c r="Z271" s="18">
        <f>ROUND(R271*'Data-CostAssumptions'!$C$3,-3)</f>
        <v>403000</v>
      </c>
      <c r="AA271" s="11">
        <f t="shared" si="13"/>
        <v>0</v>
      </c>
      <c r="AB271" s="11">
        <v>2041</v>
      </c>
      <c r="AC271" s="11">
        <v>2041</v>
      </c>
      <c r="AD271" s="11">
        <v>2041</v>
      </c>
      <c r="AE271" s="19">
        <f>ROUND((Z271*'Data-CostAssumptions'!$G$5)*(1+'Data-CostAssumptions'!$G$3)^(AB271-'Data-CostAssumptions'!$G$4),-3)</f>
        <v>227000</v>
      </c>
      <c r="AF271" s="19">
        <f>ROUND((Z271)*(1+'Data-CostAssumptions'!$G$3)^(AD271-'Data-CostAssumptions'!$G$4),-3)</f>
        <v>1033000</v>
      </c>
      <c r="AG271" s="170" t="str">
        <f t="shared" si="14"/>
        <v>No</v>
      </c>
    </row>
    <row r="272" spans="1:33" ht="15" customHeight="1" x14ac:dyDescent="0.2">
      <c r="A272" s="11"/>
      <c r="B272" s="11" t="s">
        <v>1211</v>
      </c>
      <c r="C272" s="13">
        <v>710</v>
      </c>
      <c r="D272" s="13" t="s">
        <v>420</v>
      </c>
      <c r="E272" s="20">
        <v>180</v>
      </c>
      <c r="F272" s="20">
        <v>182</v>
      </c>
      <c r="G272" s="20">
        <v>88</v>
      </c>
      <c r="H272" s="13" t="s">
        <v>184</v>
      </c>
      <c r="I272" s="13" t="str">
        <f t="shared" si="12"/>
        <v>Orange Dr (Davie Rd to University Dr)</v>
      </c>
      <c r="J272" s="13" t="s">
        <v>29</v>
      </c>
      <c r="K272" s="13" t="str">
        <f>VLOOKUP(J272,'Data-ProjectTypes'!A$3:B$13,2,FALSE)</f>
        <v>Program</v>
      </c>
      <c r="L272" s="21" t="s">
        <v>348</v>
      </c>
      <c r="M272" s="13" t="s">
        <v>1845</v>
      </c>
      <c r="N272" s="13" t="s">
        <v>1804</v>
      </c>
      <c r="O272" s="13" t="s">
        <v>279</v>
      </c>
      <c r="P272" s="13" t="s">
        <v>279</v>
      </c>
      <c r="Q272" s="22">
        <v>1.2</v>
      </c>
      <c r="R272" s="23">
        <v>289909</v>
      </c>
      <c r="S272" s="21" t="s">
        <v>24</v>
      </c>
      <c r="T272" s="21"/>
      <c r="U272" s="21"/>
      <c r="V272" s="24"/>
      <c r="W272" s="24"/>
      <c r="X272" s="28"/>
      <c r="Y272" s="17" t="s">
        <v>469</v>
      </c>
      <c r="Z272" s="18">
        <f>ROUND(R272*'Data-CostAssumptions'!$C$3,-3)</f>
        <v>401000</v>
      </c>
      <c r="AA272" s="11">
        <f t="shared" si="13"/>
        <v>0</v>
      </c>
      <c r="AB272" s="11">
        <v>2041</v>
      </c>
      <c r="AC272" s="11">
        <v>2041</v>
      </c>
      <c r="AD272" s="11">
        <v>2041</v>
      </c>
      <c r="AE272" s="19">
        <f>ROUND((Z272*'Data-CostAssumptions'!$G$5)*(1+'Data-CostAssumptions'!$G$3)^(AB272-'Data-CostAssumptions'!$G$4),-3)</f>
        <v>226000</v>
      </c>
      <c r="AF272" s="19">
        <f>ROUND((Z272)*(1+'Data-CostAssumptions'!$G$3)^(AD272-'Data-CostAssumptions'!$G$4),-3)</f>
        <v>1028000</v>
      </c>
      <c r="AG272" s="170" t="str">
        <f t="shared" si="14"/>
        <v>No</v>
      </c>
    </row>
    <row r="273" spans="1:33" ht="15" customHeight="1" x14ac:dyDescent="0.2">
      <c r="A273" s="11"/>
      <c r="B273" s="11" t="s">
        <v>1211</v>
      </c>
      <c r="C273" s="13">
        <v>851</v>
      </c>
      <c r="D273" s="13" t="s">
        <v>420</v>
      </c>
      <c r="E273" s="20">
        <v>83</v>
      </c>
      <c r="F273" s="20">
        <v>190</v>
      </c>
      <c r="G273" s="20">
        <v>227</v>
      </c>
      <c r="H273" s="13" t="s">
        <v>2803</v>
      </c>
      <c r="I273" s="13" t="str">
        <f t="shared" si="12"/>
        <v>SR 870/Commercial Bl (SR 845 / Powerline Rd to Propect Rd)</v>
      </c>
      <c r="J273" s="13" t="s">
        <v>29</v>
      </c>
      <c r="K273" s="13" t="str">
        <f>VLOOKUP(J273,'Data-ProjectTypes'!A$3:B$13,2,FALSE)</f>
        <v>Program</v>
      </c>
      <c r="L273" s="21" t="s">
        <v>348</v>
      </c>
      <c r="M273" s="13" t="s">
        <v>2210</v>
      </c>
      <c r="N273" s="13" t="s">
        <v>2403</v>
      </c>
      <c r="O273" s="13" t="s">
        <v>270</v>
      </c>
      <c r="P273" s="13" t="s">
        <v>270</v>
      </c>
      <c r="Q273" s="22">
        <v>1.2</v>
      </c>
      <c r="R273" s="23">
        <v>288420</v>
      </c>
      <c r="S273" s="21" t="s">
        <v>24</v>
      </c>
      <c r="T273" s="21" t="s">
        <v>25</v>
      </c>
      <c r="U273" s="21" t="s">
        <v>24</v>
      </c>
      <c r="V273" s="24" t="s">
        <v>561</v>
      </c>
      <c r="W273" s="24"/>
      <c r="X273" s="28"/>
      <c r="Y273" s="17" t="s">
        <v>538</v>
      </c>
      <c r="Z273" s="18">
        <f>ROUND(R273*'Data-CostAssumptions'!$C$3,-3)</f>
        <v>399000</v>
      </c>
      <c r="AA273" s="11">
        <f t="shared" si="13"/>
        <v>1</v>
      </c>
      <c r="AB273" s="11">
        <v>2041</v>
      </c>
      <c r="AC273" s="11">
        <v>2041</v>
      </c>
      <c r="AD273" s="11">
        <v>2041</v>
      </c>
      <c r="AE273" s="19">
        <f>ROUND((Z273*'Data-CostAssumptions'!$G$5)*(1+'Data-CostAssumptions'!$G$3)^(AB273-'Data-CostAssumptions'!$G$4),-3)</f>
        <v>225000</v>
      </c>
      <c r="AF273" s="19">
        <f>ROUND((Z273)*(1+'Data-CostAssumptions'!$G$3)^(AD273-'Data-CostAssumptions'!$G$4),-3)</f>
        <v>1023000</v>
      </c>
      <c r="AG273" s="170" t="str">
        <f t="shared" si="14"/>
        <v>No</v>
      </c>
    </row>
    <row r="274" spans="1:33" ht="15" customHeight="1" x14ac:dyDescent="0.2">
      <c r="A274" s="11"/>
      <c r="B274" s="11" t="s">
        <v>1211</v>
      </c>
      <c r="C274" s="13">
        <v>923</v>
      </c>
      <c r="D274" s="13" t="s">
        <v>420</v>
      </c>
      <c r="E274" s="20">
        <v>316</v>
      </c>
      <c r="F274" s="20">
        <v>193</v>
      </c>
      <c r="G274" s="20">
        <v>299</v>
      </c>
      <c r="H274" s="13" t="s">
        <v>1881</v>
      </c>
      <c r="I274" s="13" t="str">
        <f t="shared" si="12"/>
        <v>Lee Wagener Bl/SW 42 St (Perimeter Rd to SW 30th Av)</v>
      </c>
      <c r="J274" s="13" t="s">
        <v>29</v>
      </c>
      <c r="K274" s="13" t="str">
        <f>VLOOKUP(J274,'Data-ProjectTypes'!A$3:B$13,2,FALSE)</f>
        <v>Program</v>
      </c>
      <c r="L274" s="21" t="s">
        <v>348</v>
      </c>
      <c r="M274" s="13" t="s">
        <v>1761</v>
      </c>
      <c r="N274" s="13" t="s">
        <v>2119</v>
      </c>
      <c r="O274" s="13" t="s">
        <v>273</v>
      </c>
      <c r="P274" s="13" t="s">
        <v>273</v>
      </c>
      <c r="Q274" s="22">
        <v>1.2</v>
      </c>
      <c r="R274" s="23">
        <v>287643</v>
      </c>
      <c r="S274" s="21"/>
      <c r="T274" s="21"/>
      <c r="U274" s="21"/>
      <c r="V274" s="24"/>
      <c r="W274" s="24" t="s">
        <v>491</v>
      </c>
      <c r="X274" s="24"/>
      <c r="Y274" s="17" t="s">
        <v>492</v>
      </c>
      <c r="Z274" s="18">
        <f>ROUND(R274*'Data-CostAssumptions'!$C$3,-3)</f>
        <v>398000</v>
      </c>
      <c r="AA274" s="11">
        <f t="shared" si="13"/>
        <v>1</v>
      </c>
      <c r="AB274" s="11">
        <v>2041</v>
      </c>
      <c r="AC274" s="11">
        <v>2041</v>
      </c>
      <c r="AD274" s="11">
        <v>2041</v>
      </c>
      <c r="AE274" s="19">
        <f>ROUND((Z274*'Data-CostAssumptions'!$G$5)*(1+'Data-CostAssumptions'!$G$3)^(AB274-'Data-CostAssumptions'!$G$4),-3)</f>
        <v>224000</v>
      </c>
      <c r="AF274" s="19">
        <f>ROUND((Z274)*(1+'Data-CostAssumptions'!$G$3)^(AD274-'Data-CostAssumptions'!$G$4),-3)</f>
        <v>1020000</v>
      </c>
      <c r="AG274" s="170" t="str">
        <f t="shared" si="14"/>
        <v>No</v>
      </c>
    </row>
    <row r="275" spans="1:33" ht="15" customHeight="1" x14ac:dyDescent="0.2">
      <c r="A275" s="11"/>
      <c r="B275" s="11" t="s">
        <v>1211</v>
      </c>
      <c r="C275" s="13">
        <v>636</v>
      </c>
      <c r="D275" s="13" t="s">
        <v>420</v>
      </c>
      <c r="E275" s="20">
        <v>131</v>
      </c>
      <c r="F275" s="20">
        <v>177</v>
      </c>
      <c r="G275" s="20">
        <v>17</v>
      </c>
      <c r="H275" s="13" t="s">
        <v>2033</v>
      </c>
      <c r="I275" s="13" t="str">
        <f t="shared" si="12"/>
        <v>NE 3rd Av (Las Olas Bl to Sunrise Bl)</v>
      </c>
      <c r="J275" s="13" t="s">
        <v>29</v>
      </c>
      <c r="K275" s="13" t="str">
        <f>VLOOKUP(J275,'Data-ProjectTypes'!A$3:B$13,2,FALSE)</f>
        <v>Program</v>
      </c>
      <c r="L275" s="21" t="s">
        <v>348</v>
      </c>
      <c r="M275" s="13" t="s">
        <v>1823</v>
      </c>
      <c r="N275" s="13" t="s">
        <v>1830</v>
      </c>
      <c r="O275" s="13" t="s">
        <v>273</v>
      </c>
      <c r="P275" s="13" t="s">
        <v>273</v>
      </c>
      <c r="Q275" s="22">
        <v>1.2</v>
      </c>
      <c r="R275" s="23">
        <v>286803</v>
      </c>
      <c r="S275" s="21"/>
      <c r="T275" s="21"/>
      <c r="U275" s="21"/>
      <c r="V275" s="24"/>
      <c r="W275" s="24"/>
      <c r="X275" s="24"/>
      <c r="Y275" s="17"/>
      <c r="Z275" s="18">
        <f>ROUND(R275*'Data-CostAssumptions'!$C$3,-3)</f>
        <v>397000</v>
      </c>
      <c r="AA275" s="11">
        <f t="shared" si="13"/>
        <v>0</v>
      </c>
      <c r="AB275" s="11">
        <v>2041</v>
      </c>
      <c r="AC275" s="11">
        <v>2041</v>
      </c>
      <c r="AD275" s="11">
        <v>2041</v>
      </c>
      <c r="AE275" s="19">
        <f>ROUND((Z275*'Data-CostAssumptions'!$G$5)*(1+'Data-CostAssumptions'!$G$3)^(AB275-'Data-CostAssumptions'!$G$4),-3)</f>
        <v>224000</v>
      </c>
      <c r="AF275" s="19">
        <f>ROUND((Z275)*(1+'Data-CostAssumptions'!$G$3)^(AD275-'Data-CostAssumptions'!$G$4),-3)</f>
        <v>1018000</v>
      </c>
      <c r="AG275" s="170" t="str">
        <f t="shared" si="14"/>
        <v>No</v>
      </c>
    </row>
    <row r="276" spans="1:33" ht="15" customHeight="1" x14ac:dyDescent="0.2">
      <c r="A276" s="11"/>
      <c r="B276" s="11" t="s">
        <v>1211</v>
      </c>
      <c r="C276" s="13">
        <v>841</v>
      </c>
      <c r="D276" s="13" t="s">
        <v>420</v>
      </c>
      <c r="E276" s="20">
        <v>31</v>
      </c>
      <c r="F276" s="20">
        <v>189</v>
      </c>
      <c r="G276" s="20">
        <v>217</v>
      </c>
      <c r="H276" s="13" t="s">
        <v>1824</v>
      </c>
      <c r="I276" s="13" t="str">
        <f t="shared" si="12"/>
        <v>Natura Bl (10th St to Hillsboro Bl)</v>
      </c>
      <c r="J276" s="13" t="s">
        <v>29</v>
      </c>
      <c r="K276" s="13" t="str">
        <f>VLOOKUP(J276,'Data-ProjectTypes'!A$3:B$13,2,FALSE)</f>
        <v>Program</v>
      </c>
      <c r="L276" s="21" t="s">
        <v>503</v>
      </c>
      <c r="M276" s="13" t="s">
        <v>1870</v>
      </c>
      <c r="N276" s="13" t="s">
        <v>1819</v>
      </c>
      <c r="O276" s="13" t="s">
        <v>289</v>
      </c>
      <c r="P276" s="13" t="s">
        <v>289</v>
      </c>
      <c r="Q276" s="22">
        <v>1.2</v>
      </c>
      <c r="R276" s="23">
        <v>286250</v>
      </c>
      <c r="S276" s="21"/>
      <c r="T276" s="21"/>
      <c r="U276" s="21"/>
      <c r="V276" s="24"/>
      <c r="W276" s="24"/>
      <c r="X276" s="24"/>
      <c r="Y276" s="17"/>
      <c r="Z276" s="18">
        <f>ROUND(R276*'Data-CostAssumptions'!$C$3,-3)</f>
        <v>396000</v>
      </c>
      <c r="AA276" s="11">
        <f t="shared" si="13"/>
        <v>0</v>
      </c>
      <c r="AB276" s="11">
        <v>2041</v>
      </c>
      <c r="AC276" s="11">
        <v>2041</v>
      </c>
      <c r="AD276" s="11">
        <v>2041</v>
      </c>
      <c r="AE276" s="19">
        <f>ROUND((Z276*'Data-CostAssumptions'!$G$5)*(1+'Data-CostAssumptions'!$G$3)^(AB276-'Data-CostAssumptions'!$G$4),-3)</f>
        <v>223000</v>
      </c>
      <c r="AF276" s="19">
        <f>ROUND((Z276)*(1+'Data-CostAssumptions'!$G$3)^(AD276-'Data-CostAssumptions'!$G$4),-3)</f>
        <v>1015000</v>
      </c>
      <c r="AG276" s="170" t="str">
        <f t="shared" si="14"/>
        <v>No</v>
      </c>
    </row>
    <row r="277" spans="1:33" ht="15" customHeight="1" x14ac:dyDescent="0.2">
      <c r="A277" s="11"/>
      <c r="B277" s="11" t="s">
        <v>1211</v>
      </c>
      <c r="C277" s="13">
        <v>791</v>
      </c>
      <c r="D277" s="13" t="s">
        <v>420</v>
      </c>
      <c r="E277" s="20">
        <v>32</v>
      </c>
      <c r="F277" s="20">
        <v>186</v>
      </c>
      <c r="G277" s="20">
        <v>167</v>
      </c>
      <c r="H277" s="13" t="s">
        <v>2815</v>
      </c>
      <c r="I277" s="13" t="str">
        <f t="shared" si="12"/>
        <v>SR 820/Hillsboro Bl (US 1/Federal Hwy to Natura Bl)</v>
      </c>
      <c r="J277" s="13" t="s">
        <v>29</v>
      </c>
      <c r="K277" s="13" t="str">
        <f>VLOOKUP(J277,'Data-ProjectTypes'!A$3:B$13,2,FALSE)</f>
        <v>Program</v>
      </c>
      <c r="L277" s="21" t="s">
        <v>501</v>
      </c>
      <c r="M277" s="13" t="s">
        <v>2594</v>
      </c>
      <c r="N277" s="13" t="s">
        <v>1824</v>
      </c>
      <c r="O277" s="13" t="s">
        <v>270</v>
      </c>
      <c r="P277" s="13" t="s">
        <v>270</v>
      </c>
      <c r="Q277" s="22">
        <v>1.2</v>
      </c>
      <c r="R277" s="23">
        <v>285732</v>
      </c>
      <c r="S277" s="21" t="s">
        <v>24</v>
      </c>
      <c r="T277" s="21" t="s">
        <v>25</v>
      </c>
      <c r="U277" s="21" t="s">
        <v>24</v>
      </c>
      <c r="V277" s="24" t="s">
        <v>561</v>
      </c>
      <c r="W277" s="24"/>
      <c r="X277" s="32"/>
      <c r="Y277" s="17" t="s">
        <v>538</v>
      </c>
      <c r="Z277" s="18">
        <f>ROUND(R277*'Data-CostAssumptions'!$C$3,-3)</f>
        <v>395000</v>
      </c>
      <c r="AA277" s="11">
        <f t="shared" si="13"/>
        <v>1</v>
      </c>
      <c r="AB277" s="11">
        <v>2041</v>
      </c>
      <c r="AC277" s="11">
        <v>2041</v>
      </c>
      <c r="AD277" s="11">
        <v>2041</v>
      </c>
      <c r="AE277" s="19">
        <f>ROUND((Z277*'Data-CostAssumptions'!$G$5)*(1+'Data-CostAssumptions'!$G$3)^(AB277-'Data-CostAssumptions'!$G$4),-3)</f>
        <v>223000</v>
      </c>
      <c r="AF277" s="19">
        <f>ROUND((Z277)*(1+'Data-CostAssumptions'!$G$3)^(AD277-'Data-CostAssumptions'!$G$4),-3)</f>
        <v>1013000</v>
      </c>
      <c r="AG277" s="170" t="str">
        <f t="shared" si="14"/>
        <v>No</v>
      </c>
    </row>
    <row r="278" spans="1:33" ht="15" customHeight="1" x14ac:dyDescent="0.2">
      <c r="A278" s="11"/>
      <c r="B278" s="11" t="s">
        <v>1211</v>
      </c>
      <c r="C278" s="13">
        <v>769</v>
      </c>
      <c r="D278" s="13" t="s">
        <v>420</v>
      </c>
      <c r="E278" s="20">
        <v>241</v>
      </c>
      <c r="F278" s="20">
        <v>185</v>
      </c>
      <c r="G278" s="20">
        <v>146</v>
      </c>
      <c r="H278" s="13" t="s">
        <v>2734</v>
      </c>
      <c r="I278" s="13" t="str">
        <f t="shared" si="12"/>
        <v>SR 814/Atlantic Bl (Lyons Rd to State Rd 7/US 441)</v>
      </c>
      <c r="J278" s="13" t="s">
        <v>29</v>
      </c>
      <c r="K278" s="13" t="str">
        <f>VLOOKUP(J278,'Data-ProjectTypes'!A$3:B$13,2,FALSE)</f>
        <v>Program</v>
      </c>
      <c r="L278" s="21" t="s">
        <v>348</v>
      </c>
      <c r="M278" s="13" t="s">
        <v>1754</v>
      </c>
      <c r="N278" s="13" t="s">
        <v>1773</v>
      </c>
      <c r="O278" s="13" t="s">
        <v>270</v>
      </c>
      <c r="P278" s="13" t="s">
        <v>270</v>
      </c>
      <c r="Q278" s="22">
        <v>1.2</v>
      </c>
      <c r="R278" s="23">
        <v>285078</v>
      </c>
      <c r="S278" s="21"/>
      <c r="T278" s="21"/>
      <c r="U278" s="21"/>
      <c r="V278" s="24"/>
      <c r="W278" s="24"/>
      <c r="X278" s="24"/>
      <c r="Y278" s="17"/>
      <c r="Z278" s="18">
        <f>ROUND(R278*'Data-CostAssumptions'!$C$3,-3)</f>
        <v>395000</v>
      </c>
      <c r="AA278" s="11">
        <f t="shared" si="13"/>
        <v>0</v>
      </c>
      <c r="AB278" s="11">
        <v>2041</v>
      </c>
      <c r="AC278" s="11">
        <v>2041</v>
      </c>
      <c r="AD278" s="11">
        <v>2041</v>
      </c>
      <c r="AE278" s="19">
        <f>ROUND((Z278*'Data-CostAssumptions'!$G$5)*(1+'Data-CostAssumptions'!$G$3)^(AB278-'Data-CostAssumptions'!$G$4),-3)</f>
        <v>223000</v>
      </c>
      <c r="AF278" s="19">
        <f>ROUND((Z278)*(1+'Data-CostAssumptions'!$G$3)^(AD278-'Data-CostAssumptions'!$G$4),-3)</f>
        <v>1013000</v>
      </c>
      <c r="AG278" s="170" t="str">
        <f t="shared" si="14"/>
        <v>No</v>
      </c>
    </row>
    <row r="279" spans="1:33" ht="15" customHeight="1" x14ac:dyDescent="0.2">
      <c r="B279" s="11" t="s">
        <v>1211</v>
      </c>
      <c r="D279" s="84" t="s">
        <v>276</v>
      </c>
      <c r="E279" s="104">
        <v>31</v>
      </c>
      <c r="G279" s="20">
        <v>1367</v>
      </c>
      <c r="H279" s="13" t="s">
        <v>2451</v>
      </c>
      <c r="I279" s="13" t="str">
        <f t="shared" si="12"/>
        <v>Miami Rd (SE 17TH ST to SE 12TH ST)</v>
      </c>
      <c r="J279" s="12" t="s">
        <v>29</v>
      </c>
      <c r="K279" s="13" t="str">
        <f>VLOOKUP(J279,'Data-ProjectTypes'!A$3:B$13,2,FALSE)</f>
        <v>Program</v>
      </c>
      <c r="L279" s="12" t="s">
        <v>1254</v>
      </c>
      <c r="M279" s="105" t="s">
        <v>1245</v>
      </c>
      <c r="N279" s="12" t="s">
        <v>1436</v>
      </c>
      <c r="Q279" s="72">
        <v>0.5</v>
      </c>
      <c r="R279" s="23">
        <v>285000</v>
      </c>
      <c r="S279" s="21"/>
      <c r="T279" s="21"/>
      <c r="U279" s="21"/>
      <c r="V279" s="24"/>
      <c r="W279" s="24" t="s">
        <v>696</v>
      </c>
      <c r="X279" s="24"/>
      <c r="Y279" s="17" t="s">
        <v>287</v>
      </c>
      <c r="Z279" s="18">
        <f>ROUND(R279*'Data-CostAssumptions'!$C$3,-3)</f>
        <v>394000</v>
      </c>
      <c r="AA279" s="11">
        <f t="shared" si="13"/>
        <v>1</v>
      </c>
      <c r="AB279" s="11">
        <v>2041</v>
      </c>
      <c r="AC279" s="11">
        <v>2041</v>
      </c>
      <c r="AD279" s="11">
        <v>2041</v>
      </c>
      <c r="AE279" s="19">
        <f>ROUND((Z279*'Data-CostAssumptions'!$G$5)*(1+'Data-CostAssumptions'!$G$3)^(AB279-'Data-CostAssumptions'!$G$4),-3)</f>
        <v>222000</v>
      </c>
      <c r="AF279" s="19">
        <f>ROUND((Z279)*(1+'Data-CostAssumptions'!$G$3)^(AD279-'Data-CostAssumptions'!$G$4),-3)</f>
        <v>1010000</v>
      </c>
      <c r="AG279" s="170" t="str">
        <f t="shared" si="14"/>
        <v>No</v>
      </c>
    </row>
    <row r="280" spans="1:33" ht="15" customHeight="1" x14ac:dyDescent="0.2">
      <c r="B280" s="11" t="s">
        <v>1211</v>
      </c>
      <c r="D280" s="84" t="s">
        <v>276</v>
      </c>
      <c r="E280" s="104">
        <v>32</v>
      </c>
      <c r="G280" s="20">
        <v>1368</v>
      </c>
      <c r="H280" s="13" t="s">
        <v>2451</v>
      </c>
      <c r="I280" s="13" t="str">
        <f t="shared" si="12"/>
        <v>Miami Rd (SE 24TH ST/SR 84 to SE 17TH ST)</v>
      </c>
      <c r="J280" s="12" t="s">
        <v>29</v>
      </c>
      <c r="K280" s="13" t="str">
        <f>VLOOKUP(J280,'Data-ProjectTypes'!A$3:B$13,2,FALSE)</f>
        <v>Program</v>
      </c>
      <c r="L280" s="12" t="s">
        <v>1254</v>
      </c>
      <c r="M280" s="105" t="s">
        <v>1437</v>
      </c>
      <c r="N280" s="12" t="s">
        <v>1245</v>
      </c>
      <c r="Q280" s="72">
        <v>0.5</v>
      </c>
      <c r="R280" s="23">
        <v>285000</v>
      </c>
      <c r="S280" s="21"/>
      <c r="T280" s="21"/>
      <c r="U280" s="21"/>
      <c r="V280" s="24"/>
      <c r="W280" s="24"/>
      <c r="X280" s="24"/>
      <c r="Y280" s="17"/>
      <c r="Z280" s="18">
        <f>ROUND(R280*'Data-CostAssumptions'!$C$3,-3)</f>
        <v>394000</v>
      </c>
      <c r="AA280" s="11">
        <f t="shared" si="13"/>
        <v>0</v>
      </c>
      <c r="AB280" s="11">
        <v>2041</v>
      </c>
      <c r="AC280" s="11">
        <v>2041</v>
      </c>
      <c r="AD280" s="11">
        <v>2041</v>
      </c>
      <c r="AE280" s="19">
        <f>ROUND((Z280*'Data-CostAssumptions'!$G$5)*(1+'Data-CostAssumptions'!$G$3)^(AB280-'Data-CostAssumptions'!$G$4),-3)</f>
        <v>222000</v>
      </c>
      <c r="AF280" s="19">
        <f>ROUND((Z280)*(1+'Data-CostAssumptions'!$G$3)^(AD280-'Data-CostAssumptions'!$G$4),-3)</f>
        <v>1010000</v>
      </c>
      <c r="AG280" s="170" t="str">
        <f t="shared" si="14"/>
        <v>No</v>
      </c>
    </row>
    <row r="281" spans="1:33" ht="15" customHeight="1" x14ac:dyDescent="0.2">
      <c r="B281" s="11" t="s">
        <v>1211</v>
      </c>
      <c r="D281" s="84" t="s">
        <v>276</v>
      </c>
      <c r="E281" s="104">
        <v>19</v>
      </c>
      <c r="G281" s="20">
        <v>1346</v>
      </c>
      <c r="H281" s="13" t="s">
        <v>1816</v>
      </c>
      <c r="I281" s="13" t="str">
        <f t="shared" si="12"/>
        <v>Davie Bl (I-95 to SW 31ST Av)</v>
      </c>
      <c r="J281" s="12" t="s">
        <v>29</v>
      </c>
      <c r="K281" s="13" t="str">
        <f>VLOOKUP(J281,'Data-ProjectTypes'!A$3:B$13,2,FALSE)</f>
        <v>Program</v>
      </c>
      <c r="L281" s="12" t="s">
        <v>1282</v>
      </c>
      <c r="M281" s="105" t="s">
        <v>41</v>
      </c>
      <c r="N281" s="12" t="s">
        <v>2191</v>
      </c>
      <c r="Q281" s="72">
        <v>1.1000000000000001</v>
      </c>
      <c r="R281" s="23">
        <v>393000</v>
      </c>
      <c r="S281" s="21" t="s">
        <v>24</v>
      </c>
      <c r="T281" s="21" t="s">
        <v>684</v>
      </c>
      <c r="U281" s="21" t="s">
        <v>684</v>
      </c>
      <c r="V281" s="24"/>
      <c r="W281" s="24"/>
      <c r="X281" s="24"/>
      <c r="Y281" s="17" t="s">
        <v>685</v>
      </c>
      <c r="Z281" s="18">
        <f>ROUND(R281*'Data-CostAssumptions'!$C$8,-3)</f>
        <v>393000</v>
      </c>
      <c r="AA281" s="11">
        <f t="shared" si="13"/>
        <v>0</v>
      </c>
      <c r="AB281" s="11">
        <v>2041</v>
      </c>
      <c r="AC281" s="11">
        <v>2041</v>
      </c>
      <c r="AD281" s="11">
        <v>2041</v>
      </c>
      <c r="AE281" s="19">
        <f>ROUND((Z281*'Data-CostAssumptions'!$G$5)*(1+'Data-CostAssumptions'!$G$3)^(AB281-'Data-CostAssumptions'!$G$4),-3)</f>
        <v>222000</v>
      </c>
      <c r="AF281" s="19">
        <f>ROUND((Z281)*(1+'Data-CostAssumptions'!$G$3)^(AD281-'Data-CostAssumptions'!$G$4),-3)</f>
        <v>1008000</v>
      </c>
      <c r="AG281" s="170" t="str">
        <f t="shared" si="14"/>
        <v>No</v>
      </c>
    </row>
    <row r="282" spans="1:33" ht="15" customHeight="1" x14ac:dyDescent="0.2">
      <c r="A282" s="11"/>
      <c r="B282" s="11" t="s">
        <v>1211</v>
      </c>
      <c r="C282" s="11">
        <v>12289</v>
      </c>
      <c r="D282" s="84" t="s">
        <v>282</v>
      </c>
      <c r="E282" s="14"/>
      <c r="F282" s="14"/>
      <c r="G282" s="20">
        <v>1761</v>
      </c>
      <c r="H282" s="13" t="s">
        <v>1855</v>
      </c>
      <c r="I282" s="13" t="str">
        <f t="shared" si="12"/>
        <v>N. Park Rd (Hollywood Bl to Johnson St)</v>
      </c>
      <c r="J282" s="11" t="s">
        <v>29</v>
      </c>
      <c r="K282" s="13" t="str">
        <f>VLOOKUP(J282,'Data-ProjectTypes'!A$3:B$13,2,FALSE)</f>
        <v>Program</v>
      </c>
      <c r="L282" s="142" t="s">
        <v>627</v>
      </c>
      <c r="M282" s="11" t="s">
        <v>1820</v>
      </c>
      <c r="N282" s="11" t="s">
        <v>1880</v>
      </c>
      <c r="O282" s="11"/>
      <c r="P282" s="11"/>
      <c r="Q282" s="79">
        <v>0.5</v>
      </c>
      <c r="R282" s="143">
        <f>ROUND(Q282*'Data-CostAssumptions'!$C$25,-3)+200000</f>
        <v>284000</v>
      </c>
      <c r="S282" s="21"/>
      <c r="T282" s="21"/>
      <c r="U282" s="21"/>
      <c r="V282" s="24"/>
      <c r="W282" s="24"/>
      <c r="X282" s="24"/>
      <c r="Y282" s="17"/>
      <c r="Z282" s="18">
        <f>ROUND(R282*'Data-CostAssumptions'!$C$3,-3)</f>
        <v>393000</v>
      </c>
      <c r="AA282" s="11">
        <f t="shared" si="13"/>
        <v>0</v>
      </c>
      <c r="AB282" s="11">
        <v>2041</v>
      </c>
      <c r="AC282" s="11">
        <v>2041</v>
      </c>
      <c r="AD282" s="11">
        <v>2041</v>
      </c>
      <c r="AE282" s="19">
        <f>ROUND((Z282*'Data-CostAssumptions'!$G$5)*(1+'Data-CostAssumptions'!$G$3)^(AB282-'Data-CostAssumptions'!$G$4),-3)</f>
        <v>222000</v>
      </c>
      <c r="AF282" s="19">
        <f>ROUND((Z282)*(1+'Data-CostAssumptions'!$G$3)^(AD282-'Data-CostAssumptions'!$G$4),-3)</f>
        <v>1008000</v>
      </c>
      <c r="AG282" s="170" t="str">
        <f t="shared" si="14"/>
        <v>No</v>
      </c>
    </row>
    <row r="283" spans="1:33" ht="15" customHeight="1" x14ac:dyDescent="0.2">
      <c r="A283" s="11"/>
      <c r="B283" s="11" t="s">
        <v>1211</v>
      </c>
      <c r="C283" s="13">
        <v>785</v>
      </c>
      <c r="D283" s="13" t="s">
        <v>420</v>
      </c>
      <c r="E283" s="20">
        <v>4</v>
      </c>
      <c r="F283" s="20">
        <v>186</v>
      </c>
      <c r="G283" s="20">
        <v>162</v>
      </c>
      <c r="H283" s="13" t="s">
        <v>2793</v>
      </c>
      <c r="I283" s="13" t="str">
        <f t="shared" si="12"/>
        <v>SR 834/Sample Rd (NW 110th Av to NW 124th Av)</v>
      </c>
      <c r="J283" s="13" t="s">
        <v>29</v>
      </c>
      <c r="K283" s="13" t="str">
        <f>VLOOKUP(J283,'Data-ProjectTypes'!A$3:B$13,2,FALSE)</f>
        <v>Program</v>
      </c>
      <c r="L283" s="21" t="s">
        <v>348</v>
      </c>
      <c r="M283" s="13" t="s">
        <v>2375</v>
      </c>
      <c r="N283" s="13" t="s">
        <v>2259</v>
      </c>
      <c r="O283" s="13" t="s">
        <v>273</v>
      </c>
      <c r="P283" s="13" t="s">
        <v>273</v>
      </c>
      <c r="Q283" s="22">
        <v>1.2</v>
      </c>
      <c r="R283" s="23">
        <v>280464</v>
      </c>
      <c r="S283" s="21"/>
      <c r="T283" s="21"/>
      <c r="U283" s="21"/>
      <c r="V283" s="24"/>
      <c r="W283" s="24"/>
      <c r="X283" s="28"/>
      <c r="Y283" s="17"/>
      <c r="Z283" s="18">
        <f>ROUND(R283*'Data-CostAssumptions'!$C$3,-3)</f>
        <v>388000</v>
      </c>
      <c r="AA283" s="11">
        <f t="shared" si="13"/>
        <v>0</v>
      </c>
      <c r="AB283" s="11">
        <v>2041</v>
      </c>
      <c r="AC283" s="11">
        <v>2041</v>
      </c>
      <c r="AD283" s="11">
        <v>2041</v>
      </c>
      <c r="AE283" s="19">
        <f>ROUND((Z283*'Data-CostAssumptions'!$G$5)*(1+'Data-CostAssumptions'!$G$3)^(AB283-'Data-CostAssumptions'!$G$4),-3)</f>
        <v>219000</v>
      </c>
      <c r="AF283" s="19">
        <f>ROUND((Z283)*(1+'Data-CostAssumptions'!$G$3)^(AD283-'Data-CostAssumptions'!$G$4),-3)</f>
        <v>995000</v>
      </c>
      <c r="AG283" s="170" t="str">
        <f t="shared" si="14"/>
        <v>No</v>
      </c>
    </row>
    <row r="284" spans="1:33" ht="15" customHeight="1" x14ac:dyDescent="0.2">
      <c r="B284" s="11" t="s">
        <v>1211</v>
      </c>
      <c r="D284" s="84" t="s">
        <v>276</v>
      </c>
      <c r="E284" s="104" t="s">
        <v>1484</v>
      </c>
      <c r="G284" s="20">
        <v>1336</v>
      </c>
      <c r="H284" s="13" t="s">
        <v>2832</v>
      </c>
      <c r="I284" s="13" t="str">
        <f t="shared" si="12"/>
        <v>Birch State Park Loop (BIRCH STATE PARK N ENTRANCE to BIRCH STATE PARK LOOP)</v>
      </c>
      <c r="J284" s="12" t="s">
        <v>29</v>
      </c>
      <c r="K284" s="13" t="str">
        <f>VLOOKUP(J284,'Data-ProjectTypes'!A$3:B$13,2,FALSE)</f>
        <v>Program</v>
      </c>
      <c r="L284" s="12" t="s">
        <v>1667</v>
      </c>
      <c r="M284" s="105" t="s">
        <v>1693</v>
      </c>
      <c r="N284" s="12" t="s">
        <v>1585</v>
      </c>
      <c r="Q284" s="72">
        <v>2.2999999999999998</v>
      </c>
      <c r="R284" s="23">
        <f>ROUND(Q284*'Data-CostAssumptions'!$C$25,-1)</f>
        <v>387320</v>
      </c>
      <c r="S284" s="21" t="s">
        <v>24</v>
      </c>
      <c r="T284" s="21"/>
      <c r="U284" s="21"/>
      <c r="V284" s="24"/>
      <c r="W284" s="24" t="s">
        <v>586</v>
      </c>
      <c r="X284" s="24"/>
      <c r="Y284" s="17" t="s">
        <v>538</v>
      </c>
      <c r="Z284" s="18">
        <f>ROUND(R284*'Data-CostAssumptions'!$C$8,-3)</f>
        <v>387000</v>
      </c>
      <c r="AA284" s="11">
        <f t="shared" si="13"/>
        <v>1</v>
      </c>
      <c r="AB284" s="11">
        <v>2041</v>
      </c>
      <c r="AC284" s="11">
        <v>2041</v>
      </c>
      <c r="AD284" s="11">
        <v>2041</v>
      </c>
      <c r="AE284" s="19">
        <f>ROUND((Z284*'Data-CostAssumptions'!$G$5)*(1+'Data-CostAssumptions'!$G$3)^(AB284-'Data-CostAssumptions'!$G$4),-3)</f>
        <v>218000</v>
      </c>
      <c r="AF284" s="19">
        <f>ROUND((Z284)*(1+'Data-CostAssumptions'!$G$3)^(AD284-'Data-CostAssumptions'!$G$4),-3)</f>
        <v>992000</v>
      </c>
      <c r="AG284" s="170" t="str">
        <f t="shared" si="14"/>
        <v>No</v>
      </c>
    </row>
    <row r="285" spans="1:33" ht="15" customHeight="1" x14ac:dyDescent="0.2">
      <c r="A285" s="11"/>
      <c r="B285" s="11" t="s">
        <v>1211</v>
      </c>
      <c r="C285" s="13">
        <v>840</v>
      </c>
      <c r="D285" s="13" t="s">
        <v>420</v>
      </c>
      <c r="E285" s="20">
        <v>30</v>
      </c>
      <c r="F285" s="20">
        <v>189</v>
      </c>
      <c r="G285" s="20">
        <v>216</v>
      </c>
      <c r="H285" s="13" t="s">
        <v>2100</v>
      </c>
      <c r="I285" s="13" t="str">
        <f t="shared" si="12"/>
        <v>SW 11th Way/NE 3rd Av (48th St to 10th St)</v>
      </c>
      <c r="J285" s="13" t="s">
        <v>29</v>
      </c>
      <c r="K285" s="13" t="str">
        <f>VLOOKUP(J285,'Data-ProjectTypes'!A$3:B$13,2,FALSE)</f>
        <v>Program</v>
      </c>
      <c r="L285" s="21" t="s">
        <v>348</v>
      </c>
      <c r="M285" s="13" t="s">
        <v>2512</v>
      </c>
      <c r="N285" s="13" t="s">
        <v>1870</v>
      </c>
      <c r="O285" s="13" t="s">
        <v>289</v>
      </c>
      <c r="P285" s="13" t="s">
        <v>289</v>
      </c>
      <c r="Q285" s="22">
        <v>1.2</v>
      </c>
      <c r="R285" s="23">
        <v>274361</v>
      </c>
      <c r="S285" s="21" t="s">
        <v>24</v>
      </c>
      <c r="T285" s="21" t="s">
        <v>684</v>
      </c>
      <c r="U285" s="21" t="s">
        <v>684</v>
      </c>
      <c r="V285" s="24"/>
      <c r="W285" s="24" t="s">
        <v>818</v>
      </c>
      <c r="X285" s="24" t="s">
        <v>813</v>
      </c>
      <c r="Y285" s="17" t="s">
        <v>806</v>
      </c>
      <c r="Z285" s="18">
        <f>ROUND(R285*'Data-CostAssumptions'!$C$3,-3)</f>
        <v>380000</v>
      </c>
      <c r="AA285" s="11">
        <f t="shared" si="13"/>
        <v>1</v>
      </c>
      <c r="AB285" s="11">
        <v>2041</v>
      </c>
      <c r="AC285" s="11">
        <v>2041</v>
      </c>
      <c r="AD285" s="11">
        <v>2041</v>
      </c>
      <c r="AE285" s="19">
        <f>ROUND((Z285*'Data-CostAssumptions'!$G$5)*(1+'Data-CostAssumptions'!$G$3)^(AB285-'Data-CostAssumptions'!$G$4),-3)</f>
        <v>214000</v>
      </c>
      <c r="AF285" s="19">
        <f>ROUND((Z285)*(1+'Data-CostAssumptions'!$G$3)^(AD285-'Data-CostAssumptions'!$G$4),-3)</f>
        <v>974000</v>
      </c>
      <c r="AG285" s="170" t="str">
        <f t="shared" si="14"/>
        <v>No</v>
      </c>
    </row>
    <row r="286" spans="1:33" ht="15" customHeight="1" x14ac:dyDescent="0.2">
      <c r="B286" s="11" t="s">
        <v>1211</v>
      </c>
      <c r="D286" s="84" t="s">
        <v>276</v>
      </c>
      <c r="E286" s="104">
        <v>42</v>
      </c>
      <c r="G286" s="20">
        <v>1392</v>
      </c>
      <c r="H286" s="13" t="s">
        <v>2153</v>
      </c>
      <c r="I286" s="13" t="str">
        <f t="shared" si="12"/>
        <v>NE 3RD/4TH Av (NE 6TH ST/SISTRUNK Bl to SR 838/SUNRISE Bl)</v>
      </c>
      <c r="J286" s="12" t="s">
        <v>29</v>
      </c>
      <c r="K286" s="13" t="str">
        <f>VLOOKUP(J286,'Data-ProjectTypes'!A$3:B$13,2,FALSE)</f>
        <v>Program</v>
      </c>
      <c r="L286" s="12" t="s">
        <v>1304</v>
      </c>
      <c r="M286" s="105" t="s">
        <v>2291</v>
      </c>
      <c r="N286" s="12" t="s">
        <v>2302</v>
      </c>
      <c r="Q286" s="72">
        <v>0.5</v>
      </c>
      <c r="R286" s="23">
        <v>273600</v>
      </c>
      <c r="S286" s="21" t="s">
        <v>24</v>
      </c>
      <c r="T286" s="21" t="s">
        <v>684</v>
      </c>
      <c r="U286" s="21" t="s">
        <v>684</v>
      </c>
      <c r="V286" s="24"/>
      <c r="W286" s="24"/>
      <c r="X286" s="24"/>
      <c r="Y286" s="17" t="s">
        <v>685</v>
      </c>
      <c r="Z286" s="18">
        <f>ROUND(R286*'Data-CostAssumptions'!$C$3,-3)</f>
        <v>379000</v>
      </c>
      <c r="AA286" s="11">
        <f t="shared" si="13"/>
        <v>0</v>
      </c>
      <c r="AB286" s="11">
        <v>2041</v>
      </c>
      <c r="AC286" s="11">
        <v>2041</v>
      </c>
      <c r="AD286" s="11">
        <v>2041</v>
      </c>
      <c r="AE286" s="19">
        <f>ROUND((Z286*'Data-CostAssumptions'!$G$5)*(1+'Data-CostAssumptions'!$G$3)^(AB286-'Data-CostAssumptions'!$G$4),-3)</f>
        <v>214000</v>
      </c>
      <c r="AF286" s="19">
        <f>ROUND((Z286)*(1+'Data-CostAssumptions'!$G$3)^(AD286-'Data-CostAssumptions'!$G$4),-3)</f>
        <v>972000</v>
      </c>
      <c r="AG286" s="170" t="str">
        <f t="shared" si="14"/>
        <v>No</v>
      </c>
    </row>
    <row r="287" spans="1:33" ht="15" customHeight="1" x14ac:dyDescent="0.2">
      <c r="B287" s="11" t="s">
        <v>1211</v>
      </c>
      <c r="D287" s="84" t="s">
        <v>276</v>
      </c>
      <c r="E287" s="104">
        <v>67</v>
      </c>
      <c r="G287" s="20">
        <v>1431</v>
      </c>
      <c r="H287" s="13" t="s">
        <v>1983</v>
      </c>
      <c r="I287" s="13" t="str">
        <f t="shared" si="12"/>
        <v>NW 9th Av (BROWARD Bl to NW 6TH ST)</v>
      </c>
      <c r="J287" s="12" t="s">
        <v>29</v>
      </c>
      <c r="K287" s="13" t="str">
        <f>VLOOKUP(J287,'Data-ProjectTypes'!A$3:B$13,2,FALSE)</f>
        <v>Program</v>
      </c>
      <c r="L287" s="12" t="s">
        <v>1340</v>
      </c>
      <c r="M287" s="105" t="s">
        <v>1988</v>
      </c>
      <c r="N287" s="12" t="s">
        <v>1238</v>
      </c>
      <c r="Q287" s="72">
        <v>0.5</v>
      </c>
      <c r="R287" s="23">
        <v>273600</v>
      </c>
      <c r="S287" s="21" t="s">
        <v>24</v>
      </c>
      <c r="T287" s="21" t="s">
        <v>25</v>
      </c>
      <c r="U287" s="21" t="s">
        <v>684</v>
      </c>
      <c r="V287" s="24"/>
      <c r="W287" s="24"/>
      <c r="X287" s="24"/>
      <c r="Y287" s="17" t="s">
        <v>685</v>
      </c>
      <c r="Z287" s="18">
        <f>ROUND(R287*'Data-CostAssumptions'!$C$3,-3)</f>
        <v>379000</v>
      </c>
      <c r="AA287" s="11">
        <f t="shared" si="13"/>
        <v>0</v>
      </c>
      <c r="AB287" s="11">
        <v>2041</v>
      </c>
      <c r="AC287" s="11">
        <v>2041</v>
      </c>
      <c r="AD287" s="11">
        <v>2041</v>
      </c>
      <c r="AE287" s="19">
        <f>ROUND((Z287*'Data-CostAssumptions'!$G$5)*(1+'Data-CostAssumptions'!$G$3)^(AB287-'Data-CostAssumptions'!$G$4),-3)</f>
        <v>214000</v>
      </c>
      <c r="AF287" s="19">
        <f>ROUND((Z287)*(1+'Data-CostAssumptions'!$G$3)^(AD287-'Data-CostAssumptions'!$G$4),-3)</f>
        <v>972000</v>
      </c>
      <c r="AG287" s="170" t="str">
        <f t="shared" si="14"/>
        <v>No</v>
      </c>
    </row>
    <row r="288" spans="1:33" ht="15" customHeight="1" x14ac:dyDescent="0.2">
      <c r="B288" s="11" t="s">
        <v>1211</v>
      </c>
      <c r="D288" s="84" t="s">
        <v>276</v>
      </c>
      <c r="E288" s="104">
        <v>68</v>
      </c>
      <c r="G288" s="20">
        <v>1432</v>
      </c>
      <c r="H288" s="13" t="s">
        <v>1983</v>
      </c>
      <c r="I288" s="13" t="str">
        <f t="shared" si="12"/>
        <v>NW 9th Av (NW 6TH ST to SUNRISE Bl)</v>
      </c>
      <c r="J288" s="12" t="s">
        <v>29</v>
      </c>
      <c r="K288" s="13" t="str">
        <f>VLOOKUP(J288,'Data-ProjectTypes'!A$3:B$13,2,FALSE)</f>
        <v>Program</v>
      </c>
      <c r="L288" s="12" t="s">
        <v>1340</v>
      </c>
      <c r="M288" s="105" t="s">
        <v>1238</v>
      </c>
      <c r="N288" s="12" t="s">
        <v>2002</v>
      </c>
      <c r="Q288" s="72">
        <v>0.5</v>
      </c>
      <c r="R288" s="23">
        <v>273600</v>
      </c>
      <c r="S288" s="21" t="s">
        <v>24</v>
      </c>
      <c r="T288" s="21" t="s">
        <v>25</v>
      </c>
      <c r="U288" s="21" t="s">
        <v>684</v>
      </c>
      <c r="V288" s="24"/>
      <c r="W288" s="24"/>
      <c r="X288" s="24"/>
      <c r="Y288" s="17" t="s">
        <v>685</v>
      </c>
      <c r="Z288" s="18">
        <f>ROUND(R288*'Data-CostAssumptions'!$C$3,-3)</f>
        <v>379000</v>
      </c>
      <c r="AA288" s="11">
        <f t="shared" si="13"/>
        <v>0</v>
      </c>
      <c r="AB288" s="11">
        <v>2041</v>
      </c>
      <c r="AC288" s="11">
        <v>2041</v>
      </c>
      <c r="AD288" s="11">
        <v>2041</v>
      </c>
      <c r="AE288" s="19">
        <f>ROUND((Z288*'Data-CostAssumptions'!$G$5)*(1+'Data-CostAssumptions'!$G$3)^(AB288-'Data-CostAssumptions'!$G$4),-3)</f>
        <v>214000</v>
      </c>
      <c r="AF288" s="19">
        <f>ROUND((Z288)*(1+'Data-CostAssumptions'!$G$3)^(AD288-'Data-CostAssumptions'!$G$4),-3)</f>
        <v>972000</v>
      </c>
      <c r="AG288" s="170" t="str">
        <f t="shared" si="14"/>
        <v>No</v>
      </c>
    </row>
    <row r="289" spans="1:33" ht="15" customHeight="1" x14ac:dyDescent="0.2">
      <c r="A289" s="11"/>
      <c r="B289" s="11" t="s">
        <v>1211</v>
      </c>
      <c r="C289" s="13">
        <v>705</v>
      </c>
      <c r="D289" s="13" t="s">
        <v>420</v>
      </c>
      <c r="E289" s="20">
        <v>156</v>
      </c>
      <c r="F289" s="20">
        <v>181</v>
      </c>
      <c r="G289" s="20">
        <v>83</v>
      </c>
      <c r="H289" s="13" t="s">
        <v>2728</v>
      </c>
      <c r="I289" s="13" t="str">
        <f t="shared" si="12"/>
        <v>SR 838/Sunrise Bl (Eastern Florida's Turnpike ramp to NW 65th Av)</v>
      </c>
      <c r="J289" s="13" t="s">
        <v>29</v>
      </c>
      <c r="K289" s="13" t="str">
        <f>VLOOKUP(J289,'Data-ProjectTypes'!A$3:B$13,2,FALSE)</f>
        <v>Program</v>
      </c>
      <c r="L289" s="21" t="s">
        <v>348</v>
      </c>
      <c r="M289" s="13" t="s">
        <v>89</v>
      </c>
      <c r="N289" s="13" t="s">
        <v>2245</v>
      </c>
      <c r="O289" s="13" t="s">
        <v>270</v>
      </c>
      <c r="P289" s="13" t="s">
        <v>270</v>
      </c>
      <c r="Q289" s="22">
        <v>1.2</v>
      </c>
      <c r="R289" s="23">
        <v>273052</v>
      </c>
      <c r="S289" s="21" t="s">
        <v>24</v>
      </c>
      <c r="T289" s="21"/>
      <c r="U289" s="21"/>
      <c r="V289" s="24"/>
      <c r="W289" s="24"/>
      <c r="X289" s="24"/>
      <c r="Y289" s="17" t="s">
        <v>460</v>
      </c>
      <c r="Z289" s="18">
        <f>ROUND(R289*'Data-CostAssumptions'!$C$3,-3)</f>
        <v>378000</v>
      </c>
      <c r="AA289" s="11">
        <f t="shared" si="13"/>
        <v>0</v>
      </c>
      <c r="AB289" s="11">
        <v>2041</v>
      </c>
      <c r="AC289" s="11">
        <v>2041</v>
      </c>
      <c r="AD289" s="11">
        <v>2041</v>
      </c>
      <c r="AE289" s="19">
        <f>ROUND((Z289*'Data-CostAssumptions'!$G$5)*(1+'Data-CostAssumptions'!$G$3)^(AB289-'Data-CostAssumptions'!$G$4),-3)</f>
        <v>213000</v>
      </c>
      <c r="AF289" s="19">
        <f>ROUND((Z289)*(1+'Data-CostAssumptions'!$G$3)^(AD289-'Data-CostAssumptions'!$G$4),-3)</f>
        <v>969000</v>
      </c>
      <c r="AG289" s="170" t="str">
        <f t="shared" si="14"/>
        <v>No</v>
      </c>
    </row>
    <row r="290" spans="1:33" ht="15" customHeight="1" x14ac:dyDescent="0.2">
      <c r="A290" s="11"/>
      <c r="B290" s="11" t="s">
        <v>1211</v>
      </c>
      <c r="C290" s="11">
        <v>12001</v>
      </c>
      <c r="D290" s="84" t="s">
        <v>292</v>
      </c>
      <c r="E290" s="14"/>
      <c r="F290" s="14"/>
      <c r="G290" s="20">
        <v>1084</v>
      </c>
      <c r="H290" s="13" t="s">
        <v>1785</v>
      </c>
      <c r="I290" s="13" t="str">
        <f t="shared" si="12"/>
        <v>Coral Hills Dr (Wiles Rd to Sample Rd)</v>
      </c>
      <c r="J290" s="11" t="s">
        <v>29</v>
      </c>
      <c r="K290" s="13" t="str">
        <f>VLOOKUP(J290,'Data-ProjectTypes'!A$3:B$13,2,FALSE)</f>
        <v>Program</v>
      </c>
      <c r="L290" s="11" t="s">
        <v>426</v>
      </c>
      <c r="M290" s="11" t="s">
        <v>1780</v>
      </c>
      <c r="N290" s="11" t="s">
        <v>1864</v>
      </c>
      <c r="O290" s="11"/>
      <c r="P290" s="11"/>
      <c r="Q290" s="15">
        <v>1.07</v>
      </c>
      <c r="R290" s="16">
        <v>272492.21109399927</v>
      </c>
      <c r="S290" s="21"/>
      <c r="T290" s="21"/>
      <c r="U290" s="21"/>
      <c r="V290" s="24"/>
      <c r="W290" s="24" t="s">
        <v>491</v>
      </c>
      <c r="X290" s="28"/>
      <c r="Y290" s="17" t="s">
        <v>492</v>
      </c>
      <c r="Z290" s="18">
        <f>ROUND(R290*'Data-CostAssumptions'!$C$3,-3)</f>
        <v>377000</v>
      </c>
      <c r="AA290" s="11">
        <f t="shared" si="13"/>
        <v>1</v>
      </c>
      <c r="AB290" s="11">
        <v>2041</v>
      </c>
      <c r="AC290" s="11">
        <v>2041</v>
      </c>
      <c r="AD290" s="11">
        <v>2041</v>
      </c>
      <c r="AE290" s="19">
        <f>ROUND((Z290*'Data-CostAssumptions'!$G$5)*(1+'Data-CostAssumptions'!$G$3)^(AB290-'Data-CostAssumptions'!$G$4),-3)</f>
        <v>213000</v>
      </c>
      <c r="AF290" s="19">
        <f>ROUND((Z290)*(1+'Data-CostAssumptions'!$G$3)^(AD290-'Data-CostAssumptions'!$G$4),-3)</f>
        <v>967000</v>
      </c>
      <c r="AG290" s="170" t="str">
        <f t="shared" si="14"/>
        <v>No</v>
      </c>
    </row>
    <row r="291" spans="1:33" ht="15" customHeight="1" x14ac:dyDescent="0.2">
      <c r="B291" s="11" t="s">
        <v>1211</v>
      </c>
      <c r="D291" s="84" t="s">
        <v>276</v>
      </c>
      <c r="E291" s="104">
        <v>20</v>
      </c>
      <c r="G291" s="20">
        <v>1348</v>
      </c>
      <c r="H291" s="13" t="s">
        <v>1816</v>
      </c>
      <c r="I291" s="13" t="str">
        <f t="shared" si="12"/>
        <v>Davie Bl (SW 4TH Av to I-95)</v>
      </c>
      <c r="J291" s="12" t="s">
        <v>29</v>
      </c>
      <c r="K291" s="13" t="str">
        <f>VLOOKUP(J291,'Data-ProjectTypes'!A$3:B$13,2,FALSE)</f>
        <v>Program</v>
      </c>
      <c r="L291" s="12" t="s">
        <v>1280</v>
      </c>
      <c r="M291" s="105" t="s">
        <v>2194</v>
      </c>
      <c r="N291" s="12" t="s">
        <v>41</v>
      </c>
      <c r="Q291" s="72">
        <v>1.3</v>
      </c>
      <c r="R291" s="23">
        <v>376000</v>
      </c>
      <c r="S291" s="21"/>
      <c r="T291" s="21"/>
      <c r="U291" s="21"/>
      <c r="V291" s="24"/>
      <c r="W291" s="24"/>
      <c r="X291" s="24"/>
      <c r="Y291" s="17"/>
      <c r="Z291" s="18">
        <f>ROUND(R291*'Data-CostAssumptions'!$C$8,-3)</f>
        <v>376000</v>
      </c>
      <c r="AA291" s="11">
        <f t="shared" si="13"/>
        <v>0</v>
      </c>
      <c r="AB291" s="11">
        <v>2041</v>
      </c>
      <c r="AC291" s="11">
        <v>2041</v>
      </c>
      <c r="AD291" s="11">
        <v>2041</v>
      </c>
      <c r="AE291" s="19">
        <f>ROUND((Z291*'Data-CostAssumptions'!$G$5)*(1+'Data-CostAssumptions'!$G$3)^(AB291-'Data-CostAssumptions'!$G$4),-3)</f>
        <v>212000</v>
      </c>
      <c r="AF291" s="19">
        <f>ROUND((Z291)*(1+'Data-CostAssumptions'!$G$3)^(AD291-'Data-CostAssumptions'!$G$4),-3)</f>
        <v>964000</v>
      </c>
      <c r="AG291" s="170" t="str">
        <f t="shared" si="14"/>
        <v>No</v>
      </c>
    </row>
    <row r="292" spans="1:33" ht="15" customHeight="1" x14ac:dyDescent="0.2">
      <c r="A292" s="11"/>
      <c r="B292" s="11" t="s">
        <v>1211</v>
      </c>
      <c r="C292" s="13">
        <v>695</v>
      </c>
      <c r="D292" s="13" t="s">
        <v>420</v>
      </c>
      <c r="E292" s="20">
        <v>81</v>
      </c>
      <c r="F292" s="20">
        <v>181</v>
      </c>
      <c r="G292" s="20">
        <v>73</v>
      </c>
      <c r="H292" s="13" t="s">
        <v>2803</v>
      </c>
      <c r="I292" s="13" t="str">
        <f t="shared" si="12"/>
        <v>SR 870/Commercial Bl (NE 19th Av to Dixie Hwy)</v>
      </c>
      <c r="J292" s="13" t="s">
        <v>29</v>
      </c>
      <c r="K292" s="13" t="str">
        <f>VLOOKUP(J292,'Data-ProjectTypes'!A$3:B$13,2,FALSE)</f>
        <v>Program</v>
      </c>
      <c r="L292" s="21" t="s">
        <v>348</v>
      </c>
      <c r="M292" s="13" t="s">
        <v>2339</v>
      </c>
      <c r="N292" s="13" t="s">
        <v>728</v>
      </c>
      <c r="O292" s="13" t="s">
        <v>270</v>
      </c>
      <c r="P292" s="13" t="s">
        <v>270</v>
      </c>
      <c r="Q292" s="22">
        <v>1.2</v>
      </c>
      <c r="R292" s="23">
        <v>269584</v>
      </c>
      <c r="S292" s="12" t="s">
        <v>24</v>
      </c>
      <c r="T292" s="21" t="s">
        <v>25</v>
      </c>
      <c r="U292" s="21" t="s">
        <v>24</v>
      </c>
      <c r="V292" s="24" t="s">
        <v>561</v>
      </c>
      <c r="W292" s="24"/>
      <c r="X292" s="24"/>
      <c r="Y292" s="17" t="s">
        <v>538</v>
      </c>
      <c r="Z292" s="18">
        <f>ROUND(R292*'Data-CostAssumptions'!$C$3,-3)</f>
        <v>373000</v>
      </c>
      <c r="AA292" s="11">
        <f t="shared" si="13"/>
        <v>1</v>
      </c>
      <c r="AB292" s="11">
        <v>2041</v>
      </c>
      <c r="AC292" s="11">
        <v>2041</v>
      </c>
      <c r="AD292" s="11">
        <v>2041</v>
      </c>
      <c r="AE292" s="19">
        <f>ROUND((Z292*'Data-CostAssumptions'!$G$5)*(1+'Data-CostAssumptions'!$G$3)^(AB292-'Data-CostAssumptions'!$G$4),-3)</f>
        <v>210000</v>
      </c>
      <c r="AF292" s="19">
        <f>ROUND((Z292)*(1+'Data-CostAssumptions'!$G$3)^(AD292-'Data-CostAssumptions'!$G$4),-3)</f>
        <v>956000</v>
      </c>
      <c r="AG292" s="170" t="str">
        <f t="shared" si="14"/>
        <v>No</v>
      </c>
    </row>
    <row r="293" spans="1:33" ht="15" customHeight="1" x14ac:dyDescent="0.2">
      <c r="B293" s="11" t="s">
        <v>1211</v>
      </c>
      <c r="D293" s="84" t="s">
        <v>276</v>
      </c>
      <c r="E293" s="104" t="s">
        <v>1544</v>
      </c>
      <c r="G293" s="20">
        <v>1370</v>
      </c>
      <c r="H293" s="13" t="s">
        <v>1610</v>
      </c>
      <c r="I293" s="13" t="str">
        <f t="shared" si="12"/>
        <v>MILL POND PARK  (N DIXIE HWY to MILL POND PARK )</v>
      </c>
      <c r="J293" s="12" t="s">
        <v>29</v>
      </c>
      <c r="K293" s="13" t="str">
        <f>VLOOKUP(J293,'Data-ProjectTypes'!A$3:B$13,2,FALSE)</f>
        <v>Program</v>
      </c>
      <c r="L293" s="12" t="s">
        <v>1667</v>
      </c>
      <c r="M293" s="105" t="s">
        <v>1719</v>
      </c>
      <c r="N293" s="12" t="s">
        <v>1610</v>
      </c>
      <c r="Q293" s="72">
        <v>1.6</v>
      </c>
      <c r="R293" s="23">
        <f>ROUND(Q293*'Data-CostAssumptions'!$C$25,-1)</f>
        <v>269440</v>
      </c>
      <c r="S293" s="21"/>
      <c r="T293" s="21"/>
      <c r="U293" s="21"/>
      <c r="V293" s="24"/>
      <c r="W293" s="24"/>
      <c r="X293" s="24"/>
      <c r="Y293" s="17"/>
      <c r="Z293" s="18">
        <f>ROUND(R293*'Data-CostAssumptions'!$C$3,-3)</f>
        <v>373000</v>
      </c>
      <c r="AA293" s="11">
        <f t="shared" si="13"/>
        <v>0</v>
      </c>
      <c r="AB293" s="11">
        <v>2041</v>
      </c>
      <c r="AC293" s="11">
        <v>2041</v>
      </c>
      <c r="AD293" s="11">
        <v>2041</v>
      </c>
      <c r="AE293" s="19">
        <f>ROUND((Z293*'Data-CostAssumptions'!$G$5)*(1+'Data-CostAssumptions'!$G$3)^(AB293-'Data-CostAssumptions'!$G$4),-3)</f>
        <v>210000</v>
      </c>
      <c r="AF293" s="19">
        <f>ROUND((Z293)*(1+'Data-CostAssumptions'!$G$3)^(AD293-'Data-CostAssumptions'!$G$4),-3)</f>
        <v>956000</v>
      </c>
      <c r="AG293" s="170" t="str">
        <f t="shared" si="14"/>
        <v>No</v>
      </c>
    </row>
    <row r="294" spans="1:33" ht="15" customHeight="1" x14ac:dyDescent="0.2">
      <c r="B294" s="11" t="s">
        <v>1211</v>
      </c>
      <c r="D294" s="84" t="s">
        <v>276</v>
      </c>
      <c r="E294" s="104" t="s">
        <v>1497</v>
      </c>
      <c r="G294" s="20">
        <v>1460</v>
      </c>
      <c r="H294" s="13" t="s">
        <v>1590</v>
      </c>
      <c r="I294" s="13" t="str">
        <f t="shared" si="12"/>
        <v>SOUTH BEACH BOARDWALK (LAS OLA Bl  to FORT LAUDERDALE BEACH PARK ENTRANCE )</v>
      </c>
      <c r="J294" s="12" t="s">
        <v>29</v>
      </c>
      <c r="K294" s="13" t="str">
        <f>VLOOKUP(J294,'Data-ProjectTypes'!A$3:B$13,2,FALSE)</f>
        <v>Program</v>
      </c>
      <c r="L294" s="12" t="s">
        <v>1667</v>
      </c>
      <c r="M294" s="105" t="s">
        <v>2319</v>
      </c>
      <c r="N294" s="12" t="s">
        <v>1700</v>
      </c>
      <c r="Q294" s="72">
        <v>1.6</v>
      </c>
      <c r="R294" s="23">
        <f>ROUND(Q294*'Data-CostAssumptions'!$C$25,-1)</f>
        <v>269440</v>
      </c>
      <c r="S294" s="21"/>
      <c r="T294" s="21"/>
      <c r="U294" s="21"/>
      <c r="V294" s="24"/>
      <c r="W294" s="24"/>
      <c r="X294" s="24"/>
      <c r="Y294" s="17"/>
      <c r="Z294" s="18">
        <f>ROUND(R294*'Data-CostAssumptions'!$C$3,-3)</f>
        <v>373000</v>
      </c>
      <c r="AA294" s="11">
        <f t="shared" si="13"/>
        <v>0</v>
      </c>
      <c r="AB294" s="11">
        <v>2041</v>
      </c>
      <c r="AC294" s="11">
        <v>2041</v>
      </c>
      <c r="AD294" s="11">
        <v>2041</v>
      </c>
      <c r="AE294" s="19">
        <f>ROUND((Z294*'Data-CostAssumptions'!$G$5)*(1+'Data-CostAssumptions'!$G$3)^(AB294-'Data-CostAssumptions'!$G$4),-3)</f>
        <v>210000</v>
      </c>
      <c r="AF294" s="19">
        <f>ROUND((Z294)*(1+'Data-CostAssumptions'!$G$3)^(AD294-'Data-CostAssumptions'!$G$4),-3)</f>
        <v>956000</v>
      </c>
      <c r="AG294" s="170" t="str">
        <f t="shared" si="14"/>
        <v>No</v>
      </c>
    </row>
    <row r="295" spans="1:33" ht="15" customHeight="1" x14ac:dyDescent="0.2">
      <c r="A295" s="11"/>
      <c r="B295" s="11" t="s">
        <v>1211</v>
      </c>
      <c r="C295" s="11">
        <v>12003</v>
      </c>
      <c r="D295" s="84" t="s">
        <v>292</v>
      </c>
      <c r="E295" s="14"/>
      <c r="F295" s="14"/>
      <c r="G295" s="20">
        <v>1086</v>
      </c>
      <c r="H295" s="13" t="s">
        <v>1918</v>
      </c>
      <c r="I295" s="13" t="str">
        <f t="shared" si="12"/>
        <v>NW 39 St (NW 110 Av to NW 126 Av)</v>
      </c>
      <c r="J295" s="11" t="s">
        <v>29</v>
      </c>
      <c r="K295" s="13" t="str">
        <f>VLOOKUP(J295,'Data-ProjectTypes'!A$3:B$13,2,FALSE)</f>
        <v>Program</v>
      </c>
      <c r="L295" s="11" t="s">
        <v>426</v>
      </c>
      <c r="M295" s="11" t="s">
        <v>2258</v>
      </c>
      <c r="N295" s="11" t="s">
        <v>2242</v>
      </c>
      <c r="O295" s="11"/>
      <c r="P295" s="11"/>
      <c r="Q295" s="15">
        <v>1.05</v>
      </c>
      <c r="R295" s="16">
        <v>267398.89873710205</v>
      </c>
      <c r="S295" s="21"/>
      <c r="T295" s="21"/>
      <c r="U295" s="21"/>
      <c r="V295" s="24"/>
      <c r="W295" s="24"/>
      <c r="X295" s="24"/>
      <c r="Y295" s="17"/>
      <c r="Z295" s="18">
        <f>ROUND(R295*'Data-CostAssumptions'!$C$3,-3)</f>
        <v>370000</v>
      </c>
      <c r="AA295" s="11">
        <f t="shared" si="13"/>
        <v>0</v>
      </c>
      <c r="AB295" s="11">
        <v>2041</v>
      </c>
      <c r="AC295" s="11">
        <v>2041</v>
      </c>
      <c r="AD295" s="11">
        <v>2041</v>
      </c>
      <c r="AE295" s="19">
        <f>ROUND((Z295*'Data-CostAssumptions'!$G$5)*(1+'Data-CostAssumptions'!$G$3)^(AB295-'Data-CostAssumptions'!$G$4),-3)</f>
        <v>209000</v>
      </c>
      <c r="AF295" s="19">
        <f>ROUND((Z295)*(1+'Data-CostAssumptions'!$G$3)^(AD295-'Data-CostAssumptions'!$G$4),-3)</f>
        <v>949000</v>
      </c>
      <c r="AG295" s="170" t="str">
        <f t="shared" si="14"/>
        <v>No</v>
      </c>
    </row>
    <row r="296" spans="1:33" ht="15" customHeight="1" x14ac:dyDescent="0.2">
      <c r="A296" s="11"/>
      <c r="B296" s="11" t="s">
        <v>1211</v>
      </c>
      <c r="C296" s="13">
        <v>733</v>
      </c>
      <c r="D296" s="13" t="s">
        <v>420</v>
      </c>
      <c r="E296" s="20">
        <v>332</v>
      </c>
      <c r="F296" s="20">
        <v>183</v>
      </c>
      <c r="G296" s="20">
        <v>111</v>
      </c>
      <c r="H296" s="13" t="s">
        <v>2102</v>
      </c>
      <c r="I296" s="13" t="str">
        <f t="shared" si="12"/>
        <v>SW 136th Av (SW 14th St to State Rd 84 (west bound))</v>
      </c>
      <c r="J296" s="13" t="s">
        <v>29</v>
      </c>
      <c r="K296" s="13" t="str">
        <f>VLOOKUP(J296,'Data-ProjectTypes'!A$3:B$13,2,FALSE)</f>
        <v>Program</v>
      </c>
      <c r="L296" s="21" t="s">
        <v>348</v>
      </c>
      <c r="M296" s="13" t="s">
        <v>2560</v>
      </c>
      <c r="N296" s="13" t="s">
        <v>2458</v>
      </c>
      <c r="O296" s="13" t="s">
        <v>272</v>
      </c>
      <c r="P296" s="13" t="s">
        <v>272</v>
      </c>
      <c r="Q296" s="22">
        <v>1.1000000000000001</v>
      </c>
      <c r="R296" s="23">
        <v>266576</v>
      </c>
      <c r="S296" s="21"/>
      <c r="T296" s="21"/>
      <c r="U296" s="21"/>
      <c r="V296" s="24"/>
      <c r="W296" s="24"/>
      <c r="X296" s="24"/>
      <c r="Y296" s="17"/>
      <c r="Z296" s="18">
        <f>ROUND(R296*'Data-CostAssumptions'!$C$3,-3)</f>
        <v>369000</v>
      </c>
      <c r="AA296" s="11">
        <f t="shared" si="13"/>
        <v>0</v>
      </c>
      <c r="AB296" s="11">
        <v>2041</v>
      </c>
      <c r="AC296" s="11">
        <v>2041</v>
      </c>
      <c r="AD296" s="11">
        <v>2041</v>
      </c>
      <c r="AE296" s="19">
        <f>ROUND((Z296*'Data-CostAssumptions'!$G$5)*(1+'Data-CostAssumptions'!$G$3)^(AB296-'Data-CostAssumptions'!$G$4),-3)</f>
        <v>208000</v>
      </c>
      <c r="AF296" s="19">
        <f>ROUND((Z296)*(1+'Data-CostAssumptions'!$G$3)^(AD296-'Data-CostAssumptions'!$G$4),-3)</f>
        <v>946000</v>
      </c>
      <c r="AG296" s="170" t="str">
        <f t="shared" si="14"/>
        <v>No</v>
      </c>
    </row>
    <row r="297" spans="1:33" ht="15" customHeight="1" x14ac:dyDescent="0.2">
      <c r="A297" s="11"/>
      <c r="B297" s="11" t="s">
        <v>1211</v>
      </c>
      <c r="C297" s="13">
        <v>847</v>
      </c>
      <c r="D297" s="13" t="s">
        <v>420</v>
      </c>
      <c r="E297" s="20">
        <v>63</v>
      </c>
      <c r="F297" s="20">
        <v>189</v>
      </c>
      <c r="G297" s="20">
        <v>223</v>
      </c>
      <c r="H297" s="13" t="s">
        <v>2803</v>
      </c>
      <c r="I297" s="13" t="str">
        <f t="shared" si="12"/>
        <v>SR 870/Commercial Bl (A1A/Ocean Bl to US 1/Federal Hwy)</v>
      </c>
      <c r="J297" s="13" t="s">
        <v>29</v>
      </c>
      <c r="K297" s="13" t="str">
        <f>VLOOKUP(J297,'Data-ProjectTypes'!A$3:B$13,2,FALSE)</f>
        <v>Program</v>
      </c>
      <c r="L297" s="21" t="s">
        <v>348</v>
      </c>
      <c r="M297" s="13" t="s">
        <v>1808</v>
      </c>
      <c r="N297" s="13" t="s">
        <v>2594</v>
      </c>
      <c r="O297" s="13" t="s">
        <v>270</v>
      </c>
      <c r="P297" s="13" t="s">
        <v>270</v>
      </c>
      <c r="Q297" s="22">
        <v>1.1000000000000001</v>
      </c>
      <c r="R297" s="23">
        <v>265466</v>
      </c>
      <c r="S297" s="21"/>
      <c r="T297" s="21"/>
      <c r="U297" s="21" t="s">
        <v>24</v>
      </c>
      <c r="V297" s="24"/>
      <c r="W297" s="24" t="s">
        <v>848</v>
      </c>
      <c r="X297" s="24"/>
      <c r="Y297" s="17" t="s">
        <v>844</v>
      </c>
      <c r="Z297" s="18">
        <f>ROUND(R297*'Data-CostAssumptions'!$C$3,-3)</f>
        <v>367000</v>
      </c>
      <c r="AA297" s="11">
        <f t="shared" si="13"/>
        <v>1</v>
      </c>
      <c r="AB297" s="11">
        <v>2041</v>
      </c>
      <c r="AC297" s="11">
        <v>2041</v>
      </c>
      <c r="AD297" s="11">
        <v>2041</v>
      </c>
      <c r="AE297" s="19">
        <f>ROUND((Z297*'Data-CostAssumptions'!$G$5)*(1+'Data-CostAssumptions'!$G$3)^(AB297-'Data-CostAssumptions'!$G$4),-3)</f>
        <v>207000</v>
      </c>
      <c r="AF297" s="19">
        <f>ROUND((Z297)*(1+'Data-CostAssumptions'!$G$3)^(AD297-'Data-CostAssumptions'!$G$4),-3)</f>
        <v>941000</v>
      </c>
      <c r="AG297" s="170" t="str">
        <f t="shared" si="14"/>
        <v>No</v>
      </c>
    </row>
    <row r="298" spans="1:33" ht="15" customHeight="1" x14ac:dyDescent="0.2">
      <c r="B298" s="11" t="s">
        <v>1211</v>
      </c>
      <c r="D298" s="84" t="s">
        <v>276</v>
      </c>
      <c r="E298" s="104">
        <v>55</v>
      </c>
      <c r="G298" s="20">
        <v>1416</v>
      </c>
      <c r="H298" s="13" t="s">
        <v>2164</v>
      </c>
      <c r="I298" s="13" t="str">
        <f t="shared" si="12"/>
        <v>NW 21ST Av (W CYPRESS CREEK RD to W MCNAB RD)</v>
      </c>
      <c r="J298" s="12" t="s">
        <v>29</v>
      </c>
      <c r="K298" s="13" t="str">
        <f>VLOOKUP(J298,'Data-ProjectTypes'!A$3:B$13,2,FALSE)</f>
        <v>Program</v>
      </c>
      <c r="L298" s="12" t="s">
        <v>1350</v>
      </c>
      <c r="M298" s="105" t="s">
        <v>1447</v>
      </c>
      <c r="N298" s="12" t="s">
        <v>1446</v>
      </c>
      <c r="Q298" s="72">
        <v>0.5</v>
      </c>
      <c r="R298" s="23">
        <v>263250</v>
      </c>
      <c r="S298" s="21"/>
      <c r="T298" s="21"/>
      <c r="U298" s="21"/>
      <c r="V298" s="24"/>
      <c r="W298" s="24"/>
      <c r="X298" s="24"/>
      <c r="Y298" s="17"/>
      <c r="Z298" s="18">
        <f>ROUND(R298*'Data-CostAssumptions'!$C$3,-3)</f>
        <v>364000</v>
      </c>
      <c r="AA298" s="11">
        <f t="shared" si="13"/>
        <v>0</v>
      </c>
      <c r="AB298" s="11">
        <v>2041</v>
      </c>
      <c r="AC298" s="11">
        <v>2041</v>
      </c>
      <c r="AD298" s="11">
        <v>2041</v>
      </c>
      <c r="AE298" s="19">
        <f>ROUND((Z298*'Data-CostAssumptions'!$G$5)*(1+'Data-CostAssumptions'!$G$3)^(AB298-'Data-CostAssumptions'!$G$4),-3)</f>
        <v>205000</v>
      </c>
      <c r="AF298" s="19">
        <f>ROUND((Z298)*(1+'Data-CostAssumptions'!$G$3)^(AD298-'Data-CostAssumptions'!$G$4),-3)</f>
        <v>933000</v>
      </c>
      <c r="AG298" s="170" t="str">
        <f t="shared" si="14"/>
        <v>No</v>
      </c>
    </row>
    <row r="299" spans="1:33" ht="15" customHeight="1" x14ac:dyDescent="0.2">
      <c r="A299" s="11"/>
      <c r="B299" s="11" t="s">
        <v>1211</v>
      </c>
      <c r="C299" s="13">
        <v>712</v>
      </c>
      <c r="D299" s="13" t="s">
        <v>420</v>
      </c>
      <c r="E299" s="20">
        <v>183</v>
      </c>
      <c r="F299" s="20">
        <v>182</v>
      </c>
      <c r="G299" s="20">
        <v>90</v>
      </c>
      <c r="H299" s="13" t="s">
        <v>2038</v>
      </c>
      <c r="I299" s="13" t="str">
        <f t="shared" si="12"/>
        <v>North 14th Av (Johnson St to Sheridan St)</v>
      </c>
      <c r="J299" s="13" t="s">
        <v>29</v>
      </c>
      <c r="K299" s="13" t="str">
        <f>VLOOKUP(J299,'Data-ProjectTypes'!A$3:B$13,2,FALSE)</f>
        <v>Program</v>
      </c>
      <c r="L299" s="21" t="s">
        <v>562</v>
      </c>
      <c r="M299" s="13" t="s">
        <v>1880</v>
      </c>
      <c r="N299" s="13" t="s">
        <v>1951</v>
      </c>
      <c r="O299" s="13" t="s">
        <v>272</v>
      </c>
      <c r="P299" s="13" t="s">
        <v>272</v>
      </c>
      <c r="Q299" s="22">
        <v>1.1000000000000001</v>
      </c>
      <c r="R299" s="23">
        <v>261493</v>
      </c>
      <c r="S299" s="21" t="s">
        <v>24</v>
      </c>
      <c r="T299" s="21"/>
      <c r="U299" s="21"/>
      <c r="V299" s="24"/>
      <c r="W299" s="24"/>
      <c r="X299" s="28"/>
      <c r="Y299" s="17" t="s">
        <v>460</v>
      </c>
      <c r="Z299" s="18">
        <f>ROUND(R299*'Data-CostAssumptions'!$C$3,-3)</f>
        <v>362000</v>
      </c>
      <c r="AA299" s="11">
        <f t="shared" si="13"/>
        <v>0</v>
      </c>
      <c r="AB299" s="11">
        <v>2041</v>
      </c>
      <c r="AC299" s="11">
        <v>2041</v>
      </c>
      <c r="AD299" s="11">
        <v>2041</v>
      </c>
      <c r="AE299" s="19">
        <f>ROUND((Z299*'Data-CostAssumptions'!$G$5)*(1+'Data-CostAssumptions'!$G$3)^(AB299-'Data-CostAssumptions'!$G$4),-3)</f>
        <v>204000</v>
      </c>
      <c r="AF299" s="19">
        <f>ROUND((Z299)*(1+'Data-CostAssumptions'!$G$3)^(AD299-'Data-CostAssumptions'!$G$4),-3)</f>
        <v>928000</v>
      </c>
      <c r="AG299" s="170" t="str">
        <f t="shared" si="14"/>
        <v>No</v>
      </c>
    </row>
    <row r="300" spans="1:33" ht="15" customHeight="1" x14ac:dyDescent="0.2">
      <c r="A300" s="11"/>
      <c r="B300" s="11" t="s">
        <v>1211</v>
      </c>
      <c r="C300" s="13">
        <v>662</v>
      </c>
      <c r="D300" s="13" t="s">
        <v>420</v>
      </c>
      <c r="E300" s="20">
        <v>119</v>
      </c>
      <c r="F300" s="20">
        <v>179</v>
      </c>
      <c r="G300" s="20">
        <v>43</v>
      </c>
      <c r="H300" s="13" t="s">
        <v>2124</v>
      </c>
      <c r="I300" s="13" t="str">
        <f t="shared" si="12"/>
        <v>SW 40th Av (Stirling Rd to Griffin Rd)</v>
      </c>
      <c r="J300" s="13" t="s">
        <v>29</v>
      </c>
      <c r="K300" s="13" t="str">
        <f>VLOOKUP(J300,'Data-ProjectTypes'!A$3:B$13,2,FALSE)</f>
        <v>Program</v>
      </c>
      <c r="L300" s="21" t="s">
        <v>562</v>
      </c>
      <c r="M300" s="13" t="s">
        <v>177</v>
      </c>
      <c r="N300" s="13" t="s">
        <v>1750</v>
      </c>
      <c r="O300" s="13" t="s">
        <v>272</v>
      </c>
      <c r="P300" s="13" t="s">
        <v>272</v>
      </c>
      <c r="Q300" s="22">
        <v>1.1000000000000001</v>
      </c>
      <c r="R300" s="23">
        <v>258269</v>
      </c>
      <c r="S300" s="21" t="s">
        <v>24</v>
      </c>
      <c r="T300" s="21"/>
      <c r="U300" s="21"/>
      <c r="V300" s="24"/>
      <c r="W300" s="24"/>
      <c r="X300" s="24"/>
      <c r="Y300" s="17" t="s">
        <v>460</v>
      </c>
      <c r="Z300" s="18">
        <f>ROUND(R300*'Data-CostAssumptions'!$C$3,-3)</f>
        <v>357000</v>
      </c>
      <c r="AA300" s="11">
        <f t="shared" si="13"/>
        <v>0</v>
      </c>
      <c r="AB300" s="11">
        <v>2041</v>
      </c>
      <c r="AC300" s="11">
        <v>2041</v>
      </c>
      <c r="AD300" s="11">
        <v>2041</v>
      </c>
      <c r="AE300" s="19">
        <f>ROUND((Z300*'Data-CostAssumptions'!$G$5)*(1+'Data-CostAssumptions'!$G$3)^(AB300-'Data-CostAssumptions'!$G$4),-3)</f>
        <v>201000</v>
      </c>
      <c r="AF300" s="19">
        <f>ROUND((Z300)*(1+'Data-CostAssumptions'!$G$3)^(AD300-'Data-CostAssumptions'!$G$4),-3)</f>
        <v>915000</v>
      </c>
      <c r="AG300" s="170" t="str">
        <f t="shared" si="14"/>
        <v>No</v>
      </c>
    </row>
    <row r="301" spans="1:33" ht="15" customHeight="1" x14ac:dyDescent="0.2">
      <c r="B301" s="11" t="s">
        <v>1211</v>
      </c>
      <c r="D301" s="84" t="s">
        <v>276</v>
      </c>
      <c r="E301" s="104" t="s">
        <v>1485</v>
      </c>
      <c r="G301" s="20">
        <v>1338</v>
      </c>
      <c r="H301" s="13" t="s">
        <v>2833</v>
      </c>
      <c r="I301" s="13" t="str">
        <f t="shared" si="12"/>
        <v>Central Beach Boardwalk (BIRCH STATE PARK S ENTRANCE to NE 14TH CT )</v>
      </c>
      <c r="J301" s="12" t="s">
        <v>29</v>
      </c>
      <c r="K301" s="13" t="str">
        <f>VLOOKUP(J301,'Data-ProjectTypes'!A$3:B$13,2,FALSE)</f>
        <v>Program</v>
      </c>
      <c r="L301" s="12" t="s">
        <v>1667</v>
      </c>
      <c r="M301" s="105" t="s">
        <v>1695</v>
      </c>
      <c r="N301" s="12" t="s">
        <v>1694</v>
      </c>
      <c r="Q301" s="72">
        <v>2.1</v>
      </c>
      <c r="R301" s="23">
        <f>ROUND(Q301*'Data-CostAssumptions'!$C$25,-1)</f>
        <v>353640</v>
      </c>
      <c r="S301" s="21"/>
      <c r="T301" s="21"/>
      <c r="U301" s="21"/>
      <c r="V301" s="24"/>
      <c r="W301" s="24"/>
      <c r="X301" s="24"/>
      <c r="Y301" s="17"/>
      <c r="Z301" s="18">
        <f>ROUND(R301*'Data-CostAssumptions'!$C$8,-3)</f>
        <v>354000</v>
      </c>
      <c r="AA301" s="11">
        <f t="shared" si="13"/>
        <v>0</v>
      </c>
      <c r="AB301" s="11">
        <v>2041</v>
      </c>
      <c r="AC301" s="11">
        <v>2041</v>
      </c>
      <c r="AD301" s="11">
        <v>2041</v>
      </c>
      <c r="AE301" s="19">
        <f>ROUND((Z301*'Data-CostAssumptions'!$G$5)*(1+'Data-CostAssumptions'!$G$3)^(AB301-'Data-CostAssumptions'!$G$4),-3)</f>
        <v>200000</v>
      </c>
      <c r="AF301" s="19">
        <f>ROUND((Z301)*(1+'Data-CostAssumptions'!$G$3)^(AD301-'Data-CostAssumptions'!$G$4),-3)</f>
        <v>908000</v>
      </c>
      <c r="AG301" s="170" t="str">
        <f t="shared" si="14"/>
        <v>No</v>
      </c>
    </row>
    <row r="302" spans="1:33" ht="15" customHeight="1" x14ac:dyDescent="0.2">
      <c r="A302" s="11"/>
      <c r="B302" s="11" t="s">
        <v>1211</v>
      </c>
      <c r="C302" s="13">
        <v>627</v>
      </c>
      <c r="D302" s="13" t="s">
        <v>420</v>
      </c>
      <c r="E302" s="20">
        <v>59</v>
      </c>
      <c r="F302" s="20">
        <v>177</v>
      </c>
      <c r="G302" s="20">
        <v>8</v>
      </c>
      <c r="H302" s="13" t="s">
        <v>1977</v>
      </c>
      <c r="I302" s="13" t="str">
        <f t="shared" si="12"/>
        <v>Miramar Pkwy (Palm Av to Hiatus Rd)</v>
      </c>
      <c r="J302" s="13" t="s">
        <v>29</v>
      </c>
      <c r="K302" s="13" t="str">
        <f>VLOOKUP(J302,'Data-ProjectTypes'!A$3:B$13,2,FALSE)</f>
        <v>Program</v>
      </c>
      <c r="L302" s="21" t="s">
        <v>348</v>
      </c>
      <c r="M302" s="13" t="s">
        <v>2083</v>
      </c>
      <c r="N302" s="13" t="s">
        <v>1752</v>
      </c>
      <c r="O302" s="13" t="s">
        <v>274</v>
      </c>
      <c r="P302" s="13" t="s">
        <v>274</v>
      </c>
      <c r="Q302" s="22">
        <v>1.1000000000000001</v>
      </c>
      <c r="R302" s="23">
        <v>254935</v>
      </c>
      <c r="S302" s="21"/>
      <c r="T302" s="21"/>
      <c r="U302" s="21"/>
      <c r="V302" s="24"/>
      <c r="W302" s="24" t="s">
        <v>702</v>
      </c>
      <c r="X302" s="29" t="s">
        <v>703</v>
      </c>
      <c r="Y302" s="17" t="s">
        <v>287</v>
      </c>
      <c r="Z302" s="18">
        <f>ROUND(R302*'Data-CostAssumptions'!$C$3,-3)</f>
        <v>353000</v>
      </c>
      <c r="AA302" s="11">
        <f t="shared" si="13"/>
        <v>1</v>
      </c>
      <c r="AB302" s="11">
        <v>2041</v>
      </c>
      <c r="AC302" s="11">
        <v>2041</v>
      </c>
      <c r="AD302" s="11">
        <v>2041</v>
      </c>
      <c r="AE302" s="19">
        <f>ROUND((Z302*'Data-CostAssumptions'!$G$5)*(1+'Data-CostAssumptions'!$G$3)^(AB302-'Data-CostAssumptions'!$G$4),-3)</f>
        <v>199000</v>
      </c>
      <c r="AF302" s="19">
        <f>ROUND((Z302)*(1+'Data-CostAssumptions'!$G$3)^(AD302-'Data-CostAssumptions'!$G$4),-3)</f>
        <v>905000</v>
      </c>
      <c r="AG302" s="170" t="str">
        <f t="shared" si="14"/>
        <v>No</v>
      </c>
    </row>
    <row r="303" spans="1:33" ht="15" customHeight="1" x14ac:dyDescent="0.2">
      <c r="A303" s="11"/>
      <c r="B303" s="11" t="s">
        <v>1211</v>
      </c>
      <c r="C303" s="13">
        <v>664</v>
      </c>
      <c r="D303" s="13" t="s">
        <v>420</v>
      </c>
      <c r="E303" s="20">
        <v>130</v>
      </c>
      <c r="F303" s="20">
        <v>179</v>
      </c>
      <c r="G303" s="20">
        <v>45</v>
      </c>
      <c r="H303" s="13" t="s">
        <v>2034</v>
      </c>
      <c r="I303" s="13" t="str">
        <f t="shared" si="12"/>
        <v>NE 4th Av (Sunrise Bl to NE 20th St)</v>
      </c>
      <c r="J303" s="13" t="s">
        <v>29</v>
      </c>
      <c r="K303" s="13" t="str">
        <f>VLOOKUP(J303,'Data-ProjectTypes'!A$3:B$13,2,FALSE)</f>
        <v>Program</v>
      </c>
      <c r="L303" s="26" t="s">
        <v>847</v>
      </c>
      <c r="M303" s="13" t="s">
        <v>1830</v>
      </c>
      <c r="N303" s="13" t="s">
        <v>2514</v>
      </c>
      <c r="O303" s="13" t="s">
        <v>270</v>
      </c>
      <c r="P303" s="13" t="s">
        <v>270</v>
      </c>
      <c r="Q303" s="22">
        <v>1.1000000000000001</v>
      </c>
      <c r="R303" s="23">
        <v>254880</v>
      </c>
      <c r="S303" s="21" t="s">
        <v>24</v>
      </c>
      <c r="T303" s="21"/>
      <c r="U303" s="21"/>
      <c r="V303" s="24"/>
      <c r="W303" s="24"/>
      <c r="X303" s="24"/>
      <c r="Y303" s="17" t="s">
        <v>460</v>
      </c>
      <c r="Z303" s="18">
        <f>ROUND(R303*'Data-CostAssumptions'!$C$3,-3)</f>
        <v>353000</v>
      </c>
      <c r="AA303" s="11">
        <f t="shared" si="13"/>
        <v>0</v>
      </c>
      <c r="AB303" s="11">
        <v>2041</v>
      </c>
      <c r="AC303" s="11">
        <v>2041</v>
      </c>
      <c r="AD303" s="11">
        <v>2041</v>
      </c>
      <c r="AE303" s="19">
        <f>ROUND((Z303*'Data-CostAssumptions'!$G$5)*(1+'Data-CostAssumptions'!$G$3)^(AB303-'Data-CostAssumptions'!$G$4),-3)</f>
        <v>199000</v>
      </c>
      <c r="AF303" s="19">
        <f>ROUND((Z303)*(1+'Data-CostAssumptions'!$G$3)^(AD303-'Data-CostAssumptions'!$G$4),-3)</f>
        <v>905000</v>
      </c>
      <c r="AG303" s="170" t="str">
        <f t="shared" si="14"/>
        <v>No</v>
      </c>
    </row>
    <row r="304" spans="1:33" ht="15" customHeight="1" x14ac:dyDescent="0.2">
      <c r="A304" s="11"/>
      <c r="B304" s="11" t="s">
        <v>1211</v>
      </c>
      <c r="C304" s="13">
        <v>702</v>
      </c>
      <c r="D304" s="13" t="s">
        <v>420</v>
      </c>
      <c r="E304" s="20">
        <v>129</v>
      </c>
      <c r="F304" s="20">
        <v>181</v>
      </c>
      <c r="G304" s="20">
        <v>80</v>
      </c>
      <c r="H304" s="13" t="s">
        <v>2127</v>
      </c>
      <c r="I304" s="13" t="str">
        <f t="shared" si="12"/>
        <v>SW 4th Av (Davie Bl to Broward Bl)</v>
      </c>
      <c r="J304" s="13" t="s">
        <v>29</v>
      </c>
      <c r="K304" s="13" t="str">
        <f>VLOOKUP(J304,'Data-ProjectTypes'!A$3:B$13,2,FALSE)</f>
        <v>Program</v>
      </c>
      <c r="L304" s="21" t="s">
        <v>348</v>
      </c>
      <c r="M304" s="13" t="s">
        <v>1816</v>
      </c>
      <c r="N304" s="13" t="s">
        <v>1811</v>
      </c>
      <c r="O304" s="13" t="s">
        <v>273</v>
      </c>
      <c r="P304" s="13" t="s">
        <v>273</v>
      </c>
      <c r="Q304" s="22">
        <v>1.1000000000000001</v>
      </c>
      <c r="R304" s="23">
        <v>254758</v>
      </c>
      <c r="S304" s="12" t="s">
        <v>24</v>
      </c>
      <c r="T304" s="21"/>
      <c r="U304" s="21"/>
      <c r="V304" s="24"/>
      <c r="W304" s="24" t="s">
        <v>561</v>
      </c>
      <c r="X304" s="24"/>
      <c r="Y304" s="17" t="s">
        <v>538</v>
      </c>
      <c r="Z304" s="18">
        <f>ROUND(R304*'Data-CostAssumptions'!$C$3,-3)</f>
        <v>353000</v>
      </c>
      <c r="AA304" s="11">
        <f t="shared" si="13"/>
        <v>1</v>
      </c>
      <c r="AB304" s="11">
        <v>2041</v>
      </c>
      <c r="AC304" s="11">
        <v>2041</v>
      </c>
      <c r="AD304" s="11">
        <v>2041</v>
      </c>
      <c r="AE304" s="19">
        <f>ROUND((Z304*'Data-CostAssumptions'!$G$5)*(1+'Data-CostAssumptions'!$G$3)^(AB304-'Data-CostAssumptions'!$G$4),-3)</f>
        <v>199000</v>
      </c>
      <c r="AF304" s="19">
        <f>ROUND((Z304)*(1+'Data-CostAssumptions'!$G$3)^(AD304-'Data-CostAssumptions'!$G$4),-3)</f>
        <v>905000</v>
      </c>
      <c r="AG304" s="170" t="str">
        <f t="shared" si="14"/>
        <v>No</v>
      </c>
    </row>
    <row r="305" spans="1:33" ht="15" customHeight="1" x14ac:dyDescent="0.2">
      <c r="A305" s="11"/>
      <c r="B305" s="11" t="s">
        <v>1211</v>
      </c>
      <c r="C305" s="13">
        <v>889</v>
      </c>
      <c r="D305" s="13" t="s">
        <v>420</v>
      </c>
      <c r="E305" s="20">
        <v>33</v>
      </c>
      <c r="F305" s="20">
        <v>192</v>
      </c>
      <c r="G305" s="20">
        <v>266</v>
      </c>
      <c r="H305" s="13" t="s">
        <v>2815</v>
      </c>
      <c r="I305" s="13" t="str">
        <f t="shared" si="12"/>
        <v>SR 820/Hillsboro Bl (Natura Bl to Military Trail)</v>
      </c>
      <c r="J305" s="13" t="s">
        <v>29</v>
      </c>
      <c r="K305" s="13" t="str">
        <f>VLOOKUP(J305,'Data-ProjectTypes'!A$3:B$13,2,FALSE)</f>
        <v>Program</v>
      </c>
      <c r="L305" s="21" t="s">
        <v>348</v>
      </c>
      <c r="M305" s="13" t="s">
        <v>1824</v>
      </c>
      <c r="N305" s="13" t="s">
        <v>113</v>
      </c>
      <c r="O305" s="13" t="s">
        <v>270</v>
      </c>
      <c r="P305" s="13" t="s">
        <v>270</v>
      </c>
      <c r="Q305" s="22">
        <v>1.1000000000000001</v>
      </c>
      <c r="R305" s="23">
        <v>254189</v>
      </c>
      <c r="S305" s="21"/>
      <c r="T305" s="21"/>
      <c r="U305" s="21"/>
      <c r="V305" s="24"/>
      <c r="W305" s="24"/>
      <c r="X305" s="24"/>
      <c r="Y305" s="17"/>
      <c r="Z305" s="18">
        <f>ROUND(R305*'Data-CostAssumptions'!$C$3,-3)</f>
        <v>352000</v>
      </c>
      <c r="AA305" s="11">
        <f t="shared" si="13"/>
        <v>0</v>
      </c>
      <c r="AB305" s="11">
        <v>2041</v>
      </c>
      <c r="AC305" s="11">
        <v>2041</v>
      </c>
      <c r="AD305" s="11">
        <v>2041</v>
      </c>
      <c r="AE305" s="19">
        <f>ROUND((Z305*'Data-CostAssumptions'!$G$5)*(1+'Data-CostAssumptions'!$G$3)^(AB305-'Data-CostAssumptions'!$G$4),-3)</f>
        <v>199000</v>
      </c>
      <c r="AF305" s="19">
        <f>ROUND((Z305)*(1+'Data-CostAssumptions'!$G$3)^(AD305-'Data-CostAssumptions'!$G$4),-3)</f>
        <v>903000</v>
      </c>
      <c r="AG305" s="170" t="str">
        <f t="shared" si="14"/>
        <v>No</v>
      </c>
    </row>
    <row r="306" spans="1:33" ht="15" customHeight="1" x14ac:dyDescent="0.2">
      <c r="A306" s="11"/>
      <c r="B306" s="11" t="s">
        <v>1211</v>
      </c>
      <c r="C306" s="11">
        <v>12007</v>
      </c>
      <c r="D306" s="84" t="s">
        <v>292</v>
      </c>
      <c r="E306" s="14"/>
      <c r="F306" s="14"/>
      <c r="G306" s="20">
        <v>1090</v>
      </c>
      <c r="H306" s="13" t="s">
        <v>1802</v>
      </c>
      <c r="I306" s="13" t="str">
        <f t="shared" si="12"/>
        <v>Sportsplex Dr (Sample Rd to Royal Palm Bl)</v>
      </c>
      <c r="J306" s="11" t="s">
        <v>29</v>
      </c>
      <c r="K306" s="13" t="str">
        <f>VLOOKUP(J306,'Data-ProjectTypes'!A$3:B$13,2,FALSE)</f>
        <v>Program</v>
      </c>
      <c r="L306" s="11" t="s">
        <v>426</v>
      </c>
      <c r="M306" s="11" t="s">
        <v>1864</v>
      </c>
      <c r="N306" s="11" t="s">
        <v>1827</v>
      </c>
      <c r="O306" s="11"/>
      <c r="P306" s="11"/>
      <c r="Q306" s="15">
        <v>1</v>
      </c>
      <c r="R306" s="16">
        <v>254665.61784485908</v>
      </c>
      <c r="S306" s="21"/>
      <c r="T306" s="21"/>
      <c r="U306" s="21"/>
      <c r="V306" s="24"/>
      <c r="W306" s="24"/>
      <c r="X306" s="24"/>
      <c r="Y306" s="17"/>
      <c r="Z306" s="18">
        <f>ROUND(R306*'Data-CostAssumptions'!$C$3,-3)</f>
        <v>352000</v>
      </c>
      <c r="AA306" s="11">
        <f t="shared" si="13"/>
        <v>0</v>
      </c>
      <c r="AB306" s="11">
        <v>2041</v>
      </c>
      <c r="AC306" s="11">
        <v>2041</v>
      </c>
      <c r="AD306" s="11">
        <v>2041</v>
      </c>
      <c r="AE306" s="19">
        <f>ROUND((Z306*'Data-CostAssumptions'!$G$5)*(1+'Data-CostAssumptions'!$G$3)^(AB306-'Data-CostAssumptions'!$G$4),-3)</f>
        <v>199000</v>
      </c>
      <c r="AF306" s="19">
        <f>ROUND((Z306)*(1+'Data-CostAssumptions'!$G$3)^(AD306-'Data-CostAssumptions'!$G$4),-3)</f>
        <v>903000</v>
      </c>
      <c r="AG306" s="170" t="str">
        <f t="shared" si="14"/>
        <v>No</v>
      </c>
    </row>
    <row r="307" spans="1:33" ht="15" customHeight="1" x14ac:dyDescent="0.2">
      <c r="A307" s="11"/>
      <c r="B307" s="11" t="s">
        <v>1211</v>
      </c>
      <c r="C307" s="13">
        <v>944</v>
      </c>
      <c r="D307" s="13" t="s">
        <v>420</v>
      </c>
      <c r="E307" s="20">
        <v>283</v>
      </c>
      <c r="F307" s="20">
        <v>195</v>
      </c>
      <c r="G307" s="20">
        <v>320</v>
      </c>
      <c r="H307" s="13" t="s">
        <v>184</v>
      </c>
      <c r="I307" s="13" t="str">
        <f t="shared" si="12"/>
        <v>Orange Dr (Nob Hill Rd to Hiatus Rd)</v>
      </c>
      <c r="J307" s="13" t="s">
        <v>29</v>
      </c>
      <c r="K307" s="13" t="str">
        <f>VLOOKUP(J307,'Data-ProjectTypes'!A$3:B$13,2,FALSE)</f>
        <v>Program</v>
      </c>
      <c r="L307" s="21" t="s">
        <v>348</v>
      </c>
      <c r="M307" s="13" t="s">
        <v>1755</v>
      </c>
      <c r="N307" s="13" t="s">
        <v>1752</v>
      </c>
      <c r="O307" s="13" t="s">
        <v>279</v>
      </c>
      <c r="P307" s="13" t="s">
        <v>279</v>
      </c>
      <c r="Q307" s="22">
        <v>1.1000000000000001</v>
      </c>
      <c r="R307" s="23">
        <v>252540</v>
      </c>
      <c r="S307" s="21"/>
      <c r="T307" s="21"/>
      <c r="U307" s="21"/>
      <c r="V307" s="24"/>
      <c r="W307" s="24"/>
      <c r="X307" s="24"/>
      <c r="Y307" s="17"/>
      <c r="Z307" s="18">
        <f>ROUND(R307*'Data-CostAssumptions'!$C$3,-3)</f>
        <v>350000</v>
      </c>
      <c r="AA307" s="11">
        <f t="shared" si="13"/>
        <v>0</v>
      </c>
      <c r="AB307" s="11">
        <v>2041</v>
      </c>
      <c r="AC307" s="11">
        <v>2041</v>
      </c>
      <c r="AD307" s="11">
        <v>2041</v>
      </c>
      <c r="AE307" s="19">
        <f>ROUND((Z307*'Data-CostAssumptions'!$G$5)*(1+'Data-CostAssumptions'!$G$3)^(AB307-'Data-CostAssumptions'!$G$4),-3)</f>
        <v>197000</v>
      </c>
      <c r="AF307" s="19">
        <f>ROUND((Z307)*(1+'Data-CostAssumptions'!$G$3)^(AD307-'Data-CostAssumptions'!$G$4),-3)</f>
        <v>897000</v>
      </c>
      <c r="AG307" s="170" t="str">
        <f t="shared" si="14"/>
        <v>No</v>
      </c>
    </row>
    <row r="308" spans="1:33" ht="15" customHeight="1" x14ac:dyDescent="0.2">
      <c r="B308" s="11" t="s">
        <v>1211</v>
      </c>
      <c r="D308" s="84" t="s">
        <v>276</v>
      </c>
      <c r="E308" s="104" t="s">
        <v>1553</v>
      </c>
      <c r="G308" s="20">
        <v>1446</v>
      </c>
      <c r="H308" s="13" t="s">
        <v>2174</v>
      </c>
      <c r="I308" s="13" t="str">
        <f t="shared" si="12"/>
        <v>S NEW RIVER PATH &amp; SW 7TH Av  (E LAS OLAS Bl to SW 9TH ST )</v>
      </c>
      <c r="J308" s="12" t="s">
        <v>29</v>
      </c>
      <c r="K308" s="13" t="str">
        <f>VLOOKUP(J308,'Data-ProjectTypes'!A$3:B$13,2,FALSE)</f>
        <v>Program</v>
      </c>
      <c r="L308" s="12" t="s">
        <v>1667</v>
      </c>
      <c r="M308" s="105" t="s">
        <v>1992</v>
      </c>
      <c r="N308" s="12" t="s">
        <v>1724</v>
      </c>
      <c r="Q308" s="72">
        <v>1.5</v>
      </c>
      <c r="R308" s="23">
        <f>ROUND(Q308*'Data-CostAssumptions'!$C$25,-1)</f>
        <v>252600</v>
      </c>
      <c r="S308" s="21"/>
      <c r="T308" s="21"/>
      <c r="U308" s="21"/>
      <c r="V308" s="24"/>
      <c r="W308" s="24"/>
      <c r="X308" s="24"/>
      <c r="Y308" s="17"/>
      <c r="Z308" s="18">
        <f>ROUND(R308*'Data-CostAssumptions'!$C$3,-3)</f>
        <v>350000</v>
      </c>
      <c r="AA308" s="11">
        <f t="shared" si="13"/>
        <v>0</v>
      </c>
      <c r="AB308" s="11">
        <v>2041</v>
      </c>
      <c r="AC308" s="11">
        <v>2041</v>
      </c>
      <c r="AD308" s="11">
        <v>2041</v>
      </c>
      <c r="AE308" s="19">
        <f>ROUND((Z308*'Data-CostAssumptions'!$G$5)*(1+'Data-CostAssumptions'!$G$3)^(AB308-'Data-CostAssumptions'!$G$4),-3)</f>
        <v>197000</v>
      </c>
      <c r="AF308" s="19">
        <f>ROUND((Z308)*(1+'Data-CostAssumptions'!$G$3)^(AD308-'Data-CostAssumptions'!$G$4),-3)</f>
        <v>897000</v>
      </c>
      <c r="AG308" s="170" t="str">
        <f t="shared" si="14"/>
        <v>No</v>
      </c>
    </row>
    <row r="309" spans="1:33" ht="15" customHeight="1" x14ac:dyDescent="0.2">
      <c r="B309" s="11" t="s">
        <v>1211</v>
      </c>
      <c r="D309" s="84" t="s">
        <v>276</v>
      </c>
      <c r="E309" s="104">
        <v>81</v>
      </c>
      <c r="G309" s="20">
        <v>1454</v>
      </c>
      <c r="H309" s="13" t="s">
        <v>2179</v>
      </c>
      <c r="I309" s="13" t="str">
        <f t="shared" si="12"/>
        <v>SE 3RD Av (SE 17TH ST to DAVIE Bl)</v>
      </c>
      <c r="J309" s="12" t="s">
        <v>29</v>
      </c>
      <c r="K309" s="13" t="str">
        <f>VLOOKUP(J309,'Data-ProjectTypes'!A$3:B$13,2,FALSE)</f>
        <v>Program</v>
      </c>
      <c r="L309" s="12" t="s">
        <v>1372</v>
      </c>
      <c r="M309" s="105" t="s">
        <v>1245</v>
      </c>
      <c r="N309" s="12" t="s">
        <v>1991</v>
      </c>
      <c r="Q309" s="72">
        <v>0.5</v>
      </c>
      <c r="R309" s="23">
        <v>252900</v>
      </c>
      <c r="S309" s="21"/>
      <c r="T309" s="21"/>
      <c r="U309" s="21"/>
      <c r="V309" s="24"/>
      <c r="W309" s="24"/>
      <c r="X309" s="24"/>
      <c r="Y309" s="17"/>
      <c r="Z309" s="18">
        <f>ROUND(R309*'Data-CostAssumptions'!$C$3,-3)</f>
        <v>350000</v>
      </c>
      <c r="AA309" s="11">
        <f t="shared" si="13"/>
        <v>0</v>
      </c>
      <c r="AB309" s="11">
        <v>2041</v>
      </c>
      <c r="AC309" s="11">
        <v>2041</v>
      </c>
      <c r="AD309" s="11">
        <v>2041</v>
      </c>
      <c r="AE309" s="19">
        <f>ROUND((Z309*'Data-CostAssumptions'!$G$5)*(1+'Data-CostAssumptions'!$G$3)^(AB309-'Data-CostAssumptions'!$G$4),-3)</f>
        <v>197000</v>
      </c>
      <c r="AF309" s="19">
        <f>ROUND((Z309)*(1+'Data-CostAssumptions'!$G$3)^(AD309-'Data-CostAssumptions'!$G$4),-3)</f>
        <v>897000</v>
      </c>
      <c r="AG309" s="170" t="str">
        <f t="shared" si="14"/>
        <v>No</v>
      </c>
    </row>
    <row r="310" spans="1:33" ht="15" customHeight="1" x14ac:dyDescent="0.2">
      <c r="A310" s="11"/>
      <c r="B310" s="11" t="s">
        <v>1211</v>
      </c>
      <c r="C310" s="11">
        <v>12263</v>
      </c>
      <c r="D310" s="84" t="s">
        <v>282</v>
      </c>
      <c r="E310" s="14"/>
      <c r="F310" s="14"/>
      <c r="G310" s="20">
        <v>1746</v>
      </c>
      <c r="H310" s="13" t="s">
        <v>2020</v>
      </c>
      <c r="I310" s="13" t="str">
        <f t="shared" si="12"/>
        <v>N 64th Av (Hollywood Bl to N of Sheridan St)</v>
      </c>
      <c r="J310" s="11" t="s">
        <v>29</v>
      </c>
      <c r="K310" s="13" t="str">
        <f>VLOOKUP(J310,'Data-ProjectTypes'!A$3:B$13,2,FALSE)</f>
        <v>Program</v>
      </c>
      <c r="L310" s="142" t="s">
        <v>602</v>
      </c>
      <c r="M310" s="11" t="s">
        <v>1820</v>
      </c>
      <c r="N310" s="11" t="s">
        <v>2502</v>
      </c>
      <c r="O310" s="11"/>
      <c r="P310" s="11"/>
      <c r="Q310" s="79">
        <v>1.5</v>
      </c>
      <c r="R310" s="143">
        <f>ROUND(Q310*'Data-CostAssumptions'!$C$25,-3)</f>
        <v>253000</v>
      </c>
      <c r="S310" s="21"/>
      <c r="T310" s="21"/>
      <c r="U310" s="21"/>
      <c r="V310" s="24"/>
      <c r="W310" s="24"/>
      <c r="X310" s="24"/>
      <c r="Y310" s="17"/>
      <c r="Z310" s="18">
        <f>ROUND(R310*'Data-CostAssumptions'!$C$3,-3)</f>
        <v>350000</v>
      </c>
      <c r="AA310" s="11">
        <f t="shared" si="13"/>
        <v>0</v>
      </c>
      <c r="AB310" s="11">
        <v>2041</v>
      </c>
      <c r="AC310" s="11">
        <v>2041</v>
      </c>
      <c r="AD310" s="11">
        <v>2041</v>
      </c>
      <c r="AE310" s="19">
        <f>ROUND((Z310*'Data-CostAssumptions'!$G$5)*(1+'Data-CostAssumptions'!$G$3)^(AB310-'Data-CostAssumptions'!$G$4),-3)</f>
        <v>197000</v>
      </c>
      <c r="AF310" s="19">
        <f>ROUND((Z310)*(1+'Data-CostAssumptions'!$G$3)^(AD310-'Data-CostAssumptions'!$G$4),-3)</f>
        <v>897000</v>
      </c>
      <c r="AG310" s="170" t="str">
        <f t="shared" si="14"/>
        <v>No</v>
      </c>
    </row>
    <row r="311" spans="1:33" ht="15" customHeight="1" x14ac:dyDescent="0.2">
      <c r="A311" s="11"/>
      <c r="B311" s="11" t="s">
        <v>1211</v>
      </c>
      <c r="C311" s="13">
        <v>625</v>
      </c>
      <c r="D311" s="13" t="s">
        <v>420</v>
      </c>
      <c r="E311" s="20">
        <v>8</v>
      </c>
      <c r="F311" s="20">
        <v>177</v>
      </c>
      <c r="G311" s="20">
        <v>6</v>
      </c>
      <c r="H311" s="13" t="s">
        <v>1780</v>
      </c>
      <c r="I311" s="13" t="str">
        <f t="shared" si="12"/>
        <v>Wiles Rd (State Rd 7 to Rock Island Rd)</v>
      </c>
      <c r="J311" s="13" t="s">
        <v>29</v>
      </c>
      <c r="K311" s="13" t="str">
        <f>VLOOKUP(J311,'Data-ProjectTypes'!A$3:B$13,2,FALSE)</f>
        <v>Program</v>
      </c>
      <c r="L311" s="21" t="s">
        <v>348</v>
      </c>
      <c r="M311" s="13" t="s">
        <v>1772</v>
      </c>
      <c r="N311" s="13" t="s">
        <v>1768</v>
      </c>
      <c r="O311" s="13" t="s">
        <v>273</v>
      </c>
      <c r="P311" s="13" t="s">
        <v>273</v>
      </c>
      <c r="Q311" s="22">
        <v>1.1000000000000001</v>
      </c>
      <c r="R311" s="23">
        <v>249968</v>
      </c>
      <c r="S311" s="21"/>
      <c r="T311" s="21"/>
      <c r="U311" s="21"/>
      <c r="V311" s="24"/>
      <c r="W311" s="24"/>
      <c r="X311" s="24" t="s">
        <v>493</v>
      </c>
      <c r="Y311" s="17" t="s">
        <v>492</v>
      </c>
      <c r="Z311" s="18">
        <f>ROUND(R311*'Data-CostAssumptions'!$C$3,-3)</f>
        <v>346000</v>
      </c>
      <c r="AA311" s="11">
        <f t="shared" si="13"/>
        <v>0</v>
      </c>
      <c r="AB311" s="11">
        <v>2041</v>
      </c>
      <c r="AC311" s="11">
        <v>2041</v>
      </c>
      <c r="AD311" s="11">
        <v>2041</v>
      </c>
      <c r="AE311" s="19">
        <f>ROUND((Z311*'Data-CostAssumptions'!$G$5)*(1+'Data-CostAssumptions'!$G$3)^(AB311-'Data-CostAssumptions'!$G$4),-3)</f>
        <v>195000</v>
      </c>
      <c r="AF311" s="19">
        <f>ROUND((Z311)*(1+'Data-CostAssumptions'!$G$3)^(AD311-'Data-CostAssumptions'!$G$4),-3)</f>
        <v>887000</v>
      </c>
      <c r="AG311" s="170" t="str">
        <f t="shared" si="14"/>
        <v>No</v>
      </c>
    </row>
    <row r="312" spans="1:33" ht="15" customHeight="1" x14ac:dyDescent="0.2">
      <c r="A312" s="11"/>
      <c r="B312" s="11" t="s">
        <v>1211</v>
      </c>
      <c r="C312" s="13">
        <v>713</v>
      </c>
      <c r="D312" s="13" t="s">
        <v>420</v>
      </c>
      <c r="E312" s="20">
        <v>184</v>
      </c>
      <c r="F312" s="20">
        <v>182</v>
      </c>
      <c r="G312" s="20">
        <v>91</v>
      </c>
      <c r="H312" s="13" t="s">
        <v>2038</v>
      </c>
      <c r="I312" s="13" t="str">
        <f t="shared" si="12"/>
        <v>North 14th Av (Washington St to Johnson St)</v>
      </c>
      <c r="J312" s="13" t="s">
        <v>29</v>
      </c>
      <c r="K312" s="13" t="str">
        <f>VLOOKUP(J312,'Data-ProjectTypes'!A$3:B$13,2,FALSE)</f>
        <v>Program</v>
      </c>
      <c r="L312" s="21" t="s">
        <v>562</v>
      </c>
      <c r="M312" s="13" t="s">
        <v>1971</v>
      </c>
      <c r="N312" s="13" t="s">
        <v>1880</v>
      </c>
      <c r="O312" s="13" t="s">
        <v>282</v>
      </c>
      <c r="P312" s="13" t="s">
        <v>282</v>
      </c>
      <c r="Q312" s="22">
        <v>1.1000000000000001</v>
      </c>
      <c r="R312" s="23">
        <v>249939</v>
      </c>
      <c r="S312" s="21"/>
      <c r="T312" s="21"/>
      <c r="U312" s="21"/>
      <c r="V312" s="24"/>
      <c r="W312" s="24"/>
      <c r="X312" s="24"/>
      <c r="Y312" s="17"/>
      <c r="Z312" s="18">
        <f>ROUND(R312*'Data-CostAssumptions'!$C$3,-3)</f>
        <v>346000</v>
      </c>
      <c r="AA312" s="11">
        <f t="shared" si="13"/>
        <v>0</v>
      </c>
      <c r="AB312" s="11">
        <v>2041</v>
      </c>
      <c r="AC312" s="11">
        <v>2041</v>
      </c>
      <c r="AD312" s="11">
        <v>2041</v>
      </c>
      <c r="AE312" s="19">
        <f>ROUND((Z312*'Data-CostAssumptions'!$G$5)*(1+'Data-CostAssumptions'!$G$3)^(AB312-'Data-CostAssumptions'!$G$4),-3)</f>
        <v>195000</v>
      </c>
      <c r="AF312" s="19">
        <f>ROUND((Z312)*(1+'Data-CostAssumptions'!$G$3)^(AD312-'Data-CostAssumptions'!$G$4),-3)</f>
        <v>887000</v>
      </c>
      <c r="AG312" s="170" t="str">
        <f t="shared" si="14"/>
        <v>No</v>
      </c>
    </row>
    <row r="313" spans="1:33" ht="15" customHeight="1" x14ac:dyDescent="0.2">
      <c r="B313" s="11" t="s">
        <v>1211</v>
      </c>
      <c r="D313" s="84" t="s">
        <v>276</v>
      </c>
      <c r="E313" s="104">
        <v>21</v>
      </c>
      <c r="G313" s="20">
        <v>1349</v>
      </c>
      <c r="H313" s="13" t="s">
        <v>1816</v>
      </c>
      <c r="I313" s="13" t="str">
        <f t="shared" si="12"/>
        <v>Davie Bl (US 1/SR 5/FEDERAL HWY to SW 4TH Av)</v>
      </c>
      <c r="J313" s="12" t="s">
        <v>29</v>
      </c>
      <c r="K313" s="13" t="str">
        <f>VLOOKUP(J313,'Data-ProjectTypes'!A$3:B$13,2,FALSE)</f>
        <v>Program</v>
      </c>
      <c r="L313" s="12" t="s">
        <v>1278</v>
      </c>
      <c r="M313" s="105" t="s">
        <v>1425</v>
      </c>
      <c r="N313" s="12" t="s">
        <v>2194</v>
      </c>
      <c r="Q313" s="72">
        <v>0.6</v>
      </c>
      <c r="R313" s="23">
        <v>346000</v>
      </c>
      <c r="S313" s="21" t="s">
        <v>24</v>
      </c>
      <c r="T313" s="21" t="s">
        <v>25</v>
      </c>
      <c r="U313" s="21"/>
      <c r="V313" s="24"/>
      <c r="W313" s="24" t="s">
        <v>586</v>
      </c>
      <c r="X313" s="24"/>
      <c r="Y313" s="17" t="s">
        <v>547</v>
      </c>
      <c r="Z313" s="18">
        <f>ROUND(R313*'Data-CostAssumptions'!$C$8,-3)</f>
        <v>346000</v>
      </c>
      <c r="AA313" s="11">
        <f t="shared" si="13"/>
        <v>1</v>
      </c>
      <c r="AB313" s="11">
        <v>2041</v>
      </c>
      <c r="AC313" s="11">
        <v>2041</v>
      </c>
      <c r="AD313" s="11">
        <v>2041</v>
      </c>
      <c r="AE313" s="19">
        <f>ROUND((Z313*'Data-CostAssumptions'!$G$5)*(1+'Data-CostAssumptions'!$G$3)^(AB313-'Data-CostAssumptions'!$G$4),-3)</f>
        <v>195000</v>
      </c>
      <c r="AF313" s="19">
        <f>ROUND((Z313)*(1+'Data-CostAssumptions'!$G$3)^(AD313-'Data-CostAssumptions'!$G$4),-3)</f>
        <v>887000</v>
      </c>
      <c r="AG313" s="170" t="str">
        <f t="shared" si="14"/>
        <v>No</v>
      </c>
    </row>
    <row r="314" spans="1:33" ht="15" customHeight="1" x14ac:dyDescent="0.2">
      <c r="A314" s="11"/>
      <c r="B314" s="11" t="s">
        <v>1211</v>
      </c>
      <c r="C314" s="13">
        <v>723</v>
      </c>
      <c r="D314" s="13" t="s">
        <v>420</v>
      </c>
      <c r="E314" s="20">
        <v>208</v>
      </c>
      <c r="F314" s="20">
        <v>182</v>
      </c>
      <c r="G314" s="20">
        <v>101</v>
      </c>
      <c r="H314" s="13" t="s">
        <v>1857</v>
      </c>
      <c r="I314" s="13" t="str">
        <f t="shared" si="12"/>
        <v>Park Rd (Pembroke Rd to Hollywood Dr)</v>
      </c>
      <c r="J314" s="13" t="s">
        <v>29</v>
      </c>
      <c r="K314" s="13" t="str">
        <f>VLOOKUP(J314,'Data-ProjectTypes'!A$3:B$13,2,FALSE)</f>
        <v>Program</v>
      </c>
      <c r="L314" s="21" t="s">
        <v>562</v>
      </c>
      <c r="M314" s="13" t="s">
        <v>1760</v>
      </c>
      <c r="N314" s="13" t="s">
        <v>2669</v>
      </c>
      <c r="O314" s="13" t="s">
        <v>272</v>
      </c>
      <c r="P314" s="13" t="s">
        <v>272</v>
      </c>
      <c r="Q314" s="22">
        <v>1.1000000000000001</v>
      </c>
      <c r="R314" s="23">
        <v>248172</v>
      </c>
      <c r="S314" s="21" t="s">
        <v>24</v>
      </c>
      <c r="T314" s="21" t="s">
        <v>24</v>
      </c>
      <c r="U314" s="21" t="s">
        <v>24</v>
      </c>
      <c r="V314" s="24" t="s">
        <v>699</v>
      </c>
      <c r="W314" s="24"/>
      <c r="X314" s="29" t="s">
        <v>705</v>
      </c>
      <c r="Y314" s="17" t="s">
        <v>287</v>
      </c>
      <c r="Z314" s="18">
        <f>ROUND(R314*'Data-CostAssumptions'!$C$3,-3)</f>
        <v>343000</v>
      </c>
      <c r="AA314" s="11">
        <f t="shared" si="13"/>
        <v>1</v>
      </c>
      <c r="AB314" s="11">
        <v>2041</v>
      </c>
      <c r="AC314" s="11">
        <v>2041</v>
      </c>
      <c r="AD314" s="11">
        <v>2041</v>
      </c>
      <c r="AE314" s="19">
        <f>ROUND((Z314*'Data-CostAssumptions'!$G$5)*(1+'Data-CostAssumptions'!$G$3)^(AB314-'Data-CostAssumptions'!$G$4),-3)</f>
        <v>193000</v>
      </c>
      <c r="AF314" s="19">
        <f>ROUND((Z314)*(1+'Data-CostAssumptions'!$G$3)^(AD314-'Data-CostAssumptions'!$G$4),-3)</f>
        <v>879000</v>
      </c>
      <c r="AG314" s="170" t="str">
        <f t="shared" si="14"/>
        <v>No</v>
      </c>
    </row>
    <row r="315" spans="1:33" ht="15" customHeight="1" x14ac:dyDescent="0.2">
      <c r="A315" s="11"/>
      <c r="B315" s="11" t="s">
        <v>1211</v>
      </c>
      <c r="C315" s="13">
        <v>940</v>
      </c>
      <c r="D315" s="13" t="s">
        <v>420</v>
      </c>
      <c r="E315" s="20">
        <v>262</v>
      </c>
      <c r="F315" s="20">
        <v>194</v>
      </c>
      <c r="G315" s="20">
        <v>316</v>
      </c>
      <c r="H315" s="13" t="s">
        <v>1752</v>
      </c>
      <c r="I315" s="13" t="str">
        <f t="shared" si="12"/>
        <v>Hiatus Rd (NW 44th St to Commercial Bl)</v>
      </c>
      <c r="J315" s="13" t="s">
        <v>29</v>
      </c>
      <c r="K315" s="13" t="str">
        <f>VLOOKUP(J315,'Data-ProjectTypes'!A$3:B$13,2,FALSE)</f>
        <v>Program</v>
      </c>
      <c r="L315" s="21" t="s">
        <v>817</v>
      </c>
      <c r="M315" s="13" t="s">
        <v>1189</v>
      </c>
      <c r="N315" s="13" t="s">
        <v>1813</v>
      </c>
      <c r="O315" s="13" t="s">
        <v>278</v>
      </c>
      <c r="P315" s="13" t="s">
        <v>278</v>
      </c>
      <c r="Q315" s="22">
        <v>1.1000000000000001</v>
      </c>
      <c r="R315" s="23">
        <v>248052</v>
      </c>
      <c r="S315" s="29" t="s">
        <v>835</v>
      </c>
      <c r="T315" s="21"/>
      <c r="U315" s="21"/>
      <c r="V315" s="24"/>
      <c r="W315" s="24"/>
      <c r="X315" s="24"/>
      <c r="Y315" s="17" t="s">
        <v>841</v>
      </c>
      <c r="Z315" s="18">
        <f>ROUND(R315*'Data-CostAssumptions'!$C$3,-3)</f>
        <v>343000</v>
      </c>
      <c r="AA315" s="11">
        <f t="shared" si="13"/>
        <v>0</v>
      </c>
      <c r="AB315" s="11">
        <v>2041</v>
      </c>
      <c r="AC315" s="11">
        <v>2041</v>
      </c>
      <c r="AD315" s="11">
        <v>2041</v>
      </c>
      <c r="AE315" s="19">
        <f>ROUND((Z315*'Data-CostAssumptions'!$G$5)*(1+'Data-CostAssumptions'!$G$3)^(AB315-'Data-CostAssumptions'!$G$4),-3)</f>
        <v>193000</v>
      </c>
      <c r="AF315" s="19">
        <f>ROUND((Z315)*(1+'Data-CostAssumptions'!$G$3)^(AD315-'Data-CostAssumptions'!$G$4),-3)</f>
        <v>879000</v>
      </c>
      <c r="AG315" s="170" t="str">
        <f t="shared" si="14"/>
        <v>No</v>
      </c>
    </row>
    <row r="316" spans="1:33" ht="15" customHeight="1" x14ac:dyDescent="0.2">
      <c r="A316" s="11"/>
      <c r="B316" s="11" t="s">
        <v>1211</v>
      </c>
      <c r="C316" s="13">
        <v>655</v>
      </c>
      <c r="D316" s="13" t="s">
        <v>420</v>
      </c>
      <c r="E316" s="20">
        <v>101</v>
      </c>
      <c r="F316" s="20">
        <v>178</v>
      </c>
      <c r="G316" s="20">
        <v>36</v>
      </c>
      <c r="H316" s="13" t="s">
        <v>1424</v>
      </c>
      <c r="I316" s="13" t="str">
        <f t="shared" si="12"/>
        <v>SR 5/US 1 (Broward BL to Sunrise BL)</v>
      </c>
      <c r="J316" s="13" t="s">
        <v>29</v>
      </c>
      <c r="K316" s="13" t="str">
        <f>VLOOKUP(J316,'Data-ProjectTypes'!A$3:B$13,2,FALSE)</f>
        <v>Program</v>
      </c>
      <c r="L316" s="21" t="s">
        <v>348</v>
      </c>
      <c r="M316" s="13" t="s">
        <v>58</v>
      </c>
      <c r="N316" s="13" t="s">
        <v>214</v>
      </c>
      <c r="O316" s="13" t="s">
        <v>270</v>
      </c>
      <c r="P316" s="13" t="s">
        <v>270</v>
      </c>
      <c r="Q316" s="22">
        <v>1.1000000000000001</v>
      </c>
      <c r="R316" s="23">
        <v>246241</v>
      </c>
      <c r="S316" s="21" t="s">
        <v>24</v>
      </c>
      <c r="T316" s="21"/>
      <c r="U316" s="21"/>
      <c r="V316" s="24"/>
      <c r="W316" s="24" t="s">
        <v>561</v>
      </c>
      <c r="X316" s="24"/>
      <c r="Y316" s="17" t="s">
        <v>538</v>
      </c>
      <c r="Z316" s="18">
        <f>ROUND(R316*'Data-CostAssumptions'!$C$3,-3)</f>
        <v>341000</v>
      </c>
      <c r="AA316" s="11">
        <f t="shared" si="13"/>
        <v>1</v>
      </c>
      <c r="AB316" s="11">
        <v>2041</v>
      </c>
      <c r="AC316" s="11">
        <v>2041</v>
      </c>
      <c r="AD316" s="11">
        <v>2041</v>
      </c>
      <c r="AE316" s="19">
        <f>ROUND((Z316*'Data-CostAssumptions'!$G$5)*(1+'Data-CostAssumptions'!$G$3)^(AB316-'Data-CostAssumptions'!$G$4),-3)</f>
        <v>192000</v>
      </c>
      <c r="AF316" s="19">
        <f>ROUND((Z316)*(1+'Data-CostAssumptions'!$G$3)^(AD316-'Data-CostAssumptions'!$G$4),-3)</f>
        <v>874000</v>
      </c>
      <c r="AG316" s="170" t="str">
        <f t="shared" si="14"/>
        <v>No</v>
      </c>
    </row>
    <row r="317" spans="1:33" ht="15" customHeight="1" x14ac:dyDescent="0.2">
      <c r="A317" s="11"/>
      <c r="B317" s="11" t="s">
        <v>1211</v>
      </c>
      <c r="C317" s="13">
        <v>854</v>
      </c>
      <c r="D317" s="13" t="s">
        <v>420</v>
      </c>
      <c r="E317" s="20">
        <v>88</v>
      </c>
      <c r="F317" s="20">
        <v>190</v>
      </c>
      <c r="G317" s="20">
        <v>231</v>
      </c>
      <c r="H317" s="13" t="s">
        <v>1917</v>
      </c>
      <c r="I317" s="13" t="str">
        <f t="shared" si="12"/>
        <v>NW 38th St (Powerline Rd to NW 21st St)</v>
      </c>
      <c r="J317" s="13" t="s">
        <v>29</v>
      </c>
      <c r="K317" s="13" t="str">
        <f>VLOOKUP(J317,'Data-ProjectTypes'!A$3:B$13,2,FALSE)</f>
        <v>Program</v>
      </c>
      <c r="L317" s="21" t="s">
        <v>709</v>
      </c>
      <c r="M317" s="13" t="s">
        <v>1858</v>
      </c>
      <c r="N317" s="13" t="s">
        <v>2543</v>
      </c>
      <c r="O317" s="13" t="s">
        <v>287</v>
      </c>
      <c r="P317" s="13" t="s">
        <v>287</v>
      </c>
      <c r="Q317" s="22">
        <v>1.1000000000000001</v>
      </c>
      <c r="R317" s="23">
        <v>245751</v>
      </c>
      <c r="S317" s="21" t="s">
        <v>24</v>
      </c>
      <c r="T317" s="21" t="s">
        <v>684</v>
      </c>
      <c r="U317" s="21" t="s">
        <v>684</v>
      </c>
      <c r="V317" s="24"/>
      <c r="W317" s="24" t="s">
        <v>780</v>
      </c>
      <c r="X317" s="24"/>
      <c r="Y317" s="17" t="s">
        <v>783</v>
      </c>
      <c r="Z317" s="18">
        <f>ROUND(R317*'Data-CostAssumptions'!$C$3,-3)</f>
        <v>340000</v>
      </c>
      <c r="AA317" s="11">
        <f t="shared" si="13"/>
        <v>1</v>
      </c>
      <c r="AB317" s="11">
        <v>2041</v>
      </c>
      <c r="AC317" s="11">
        <v>2041</v>
      </c>
      <c r="AD317" s="11">
        <v>2041</v>
      </c>
      <c r="AE317" s="19">
        <f>ROUND((Z317*'Data-CostAssumptions'!$G$5)*(1+'Data-CostAssumptions'!$G$3)^(AB317-'Data-CostAssumptions'!$G$4),-3)</f>
        <v>192000</v>
      </c>
      <c r="AF317" s="19">
        <f>ROUND((Z317)*(1+'Data-CostAssumptions'!$G$3)^(AD317-'Data-CostAssumptions'!$G$4),-3)</f>
        <v>872000</v>
      </c>
      <c r="AG317" s="170" t="str">
        <f t="shared" si="14"/>
        <v>No</v>
      </c>
    </row>
    <row r="318" spans="1:33" ht="15" customHeight="1" x14ac:dyDescent="0.2">
      <c r="A318" s="11"/>
      <c r="B318" s="11" t="s">
        <v>1211</v>
      </c>
      <c r="C318" s="13">
        <v>751</v>
      </c>
      <c r="D318" s="13" t="s">
        <v>420</v>
      </c>
      <c r="E318" s="20">
        <v>100</v>
      </c>
      <c r="F318" s="20">
        <v>184</v>
      </c>
      <c r="G318" s="20">
        <v>128</v>
      </c>
      <c r="H318" s="13" t="s">
        <v>1868</v>
      </c>
      <c r="I318" s="13" t="str">
        <f t="shared" si="12"/>
        <v>Victoria Park Rd (Broward Bl to Sunrise Bl)</v>
      </c>
      <c r="J318" s="13" t="s">
        <v>29</v>
      </c>
      <c r="K318" s="13" t="str">
        <f>VLOOKUP(J318,'Data-ProjectTypes'!A$3:B$13,2,FALSE)</f>
        <v>Program</v>
      </c>
      <c r="L318" s="21" t="s">
        <v>348</v>
      </c>
      <c r="M318" s="13" t="s">
        <v>1811</v>
      </c>
      <c r="N318" s="13" t="s">
        <v>1830</v>
      </c>
      <c r="O318" s="13" t="s">
        <v>276</v>
      </c>
      <c r="P318" s="13" t="s">
        <v>276</v>
      </c>
      <c r="Q318" s="22">
        <v>1.1000000000000001</v>
      </c>
      <c r="R318" s="23">
        <v>244972</v>
      </c>
      <c r="S318" s="21"/>
      <c r="T318" s="21"/>
      <c r="U318" s="21"/>
      <c r="V318" s="24"/>
      <c r="W318" s="24"/>
      <c r="X318" s="24"/>
      <c r="Y318" s="17"/>
      <c r="Z318" s="18">
        <f>ROUND(R318*'Data-CostAssumptions'!$C$3,-3)</f>
        <v>339000</v>
      </c>
      <c r="AA318" s="11">
        <f t="shared" si="13"/>
        <v>0</v>
      </c>
      <c r="AB318" s="11">
        <v>2041</v>
      </c>
      <c r="AC318" s="11">
        <v>2041</v>
      </c>
      <c r="AD318" s="11">
        <v>2041</v>
      </c>
      <c r="AE318" s="19">
        <f>ROUND((Z318*'Data-CostAssumptions'!$G$5)*(1+'Data-CostAssumptions'!$G$3)^(AB318-'Data-CostAssumptions'!$G$4),-3)</f>
        <v>191000</v>
      </c>
      <c r="AF318" s="19">
        <f>ROUND((Z318)*(1+'Data-CostAssumptions'!$G$3)^(AD318-'Data-CostAssumptions'!$G$4),-3)</f>
        <v>869000</v>
      </c>
      <c r="AG318" s="170" t="str">
        <f t="shared" si="14"/>
        <v>No</v>
      </c>
    </row>
    <row r="319" spans="1:33" ht="15" customHeight="1" x14ac:dyDescent="0.2">
      <c r="A319" s="11"/>
      <c r="B319" s="11" t="s">
        <v>1211</v>
      </c>
      <c r="C319" s="13">
        <v>862</v>
      </c>
      <c r="D319" s="13" t="s">
        <v>420</v>
      </c>
      <c r="E319" s="20">
        <v>154</v>
      </c>
      <c r="F319" s="20">
        <v>190</v>
      </c>
      <c r="G319" s="20">
        <v>239</v>
      </c>
      <c r="H319" s="13" t="s">
        <v>2117</v>
      </c>
      <c r="I319" s="13" t="str">
        <f t="shared" si="12"/>
        <v>SW 27th Av (Davie Bl to Broward Bl)</v>
      </c>
      <c r="J319" s="13" t="s">
        <v>29</v>
      </c>
      <c r="K319" s="13" t="str">
        <f>VLOOKUP(J319,'Data-ProjectTypes'!A$3:B$13,2,FALSE)</f>
        <v>Program</v>
      </c>
      <c r="L319" s="21" t="s">
        <v>348</v>
      </c>
      <c r="M319" s="13" t="s">
        <v>1816</v>
      </c>
      <c r="N319" s="13" t="s">
        <v>1811</v>
      </c>
      <c r="O319" s="13" t="s">
        <v>273</v>
      </c>
      <c r="P319" s="13" t="s">
        <v>273</v>
      </c>
      <c r="Q319" s="22">
        <v>1</v>
      </c>
      <c r="R319" s="23">
        <v>241911</v>
      </c>
      <c r="S319" s="21"/>
      <c r="T319" s="21"/>
      <c r="U319" s="21"/>
      <c r="V319" s="24"/>
      <c r="W319" s="24"/>
      <c r="X319" s="28"/>
      <c r="Y319" s="17"/>
      <c r="Z319" s="18">
        <f>ROUND(R319*'Data-CostAssumptions'!$C$3,-3)</f>
        <v>335000</v>
      </c>
      <c r="AA319" s="11">
        <f t="shared" si="13"/>
        <v>0</v>
      </c>
      <c r="AB319" s="11">
        <v>2041</v>
      </c>
      <c r="AC319" s="11">
        <v>2041</v>
      </c>
      <c r="AD319" s="11">
        <v>2041</v>
      </c>
      <c r="AE319" s="19">
        <f>ROUND((Z319*'Data-CostAssumptions'!$G$5)*(1+'Data-CostAssumptions'!$G$3)^(AB319-'Data-CostAssumptions'!$G$4),-3)</f>
        <v>189000</v>
      </c>
      <c r="AF319" s="19">
        <f>ROUND((Z319)*(1+'Data-CostAssumptions'!$G$3)^(AD319-'Data-CostAssumptions'!$G$4),-3)</f>
        <v>859000</v>
      </c>
      <c r="AG319" s="170" t="str">
        <f t="shared" si="14"/>
        <v>No</v>
      </c>
    </row>
    <row r="320" spans="1:33" ht="15" customHeight="1" x14ac:dyDescent="0.2">
      <c r="A320" s="11"/>
      <c r="B320" s="11" t="s">
        <v>1211</v>
      </c>
      <c r="C320" s="11">
        <v>12266</v>
      </c>
      <c r="D320" s="84" t="s">
        <v>282</v>
      </c>
      <c r="E320" s="14"/>
      <c r="F320" s="14"/>
      <c r="G320" s="20">
        <v>1747</v>
      </c>
      <c r="H320" s="13" t="s">
        <v>1971</v>
      </c>
      <c r="I320" s="13" t="str">
        <f t="shared" si="12"/>
        <v>Washington St (S 62nd Av to SR 7)</v>
      </c>
      <c r="J320" s="11" t="s">
        <v>29</v>
      </c>
      <c r="K320" s="13" t="str">
        <f>VLOOKUP(J320,'Data-ProjectTypes'!A$3:B$13,2,FALSE)</f>
        <v>Program</v>
      </c>
      <c r="L320" s="142" t="s">
        <v>605</v>
      </c>
      <c r="M320" s="11" t="s">
        <v>2399</v>
      </c>
      <c r="N320" s="11" t="s">
        <v>53</v>
      </c>
      <c r="O320" s="11"/>
      <c r="P320" s="11"/>
      <c r="Q320" s="79">
        <v>0.25</v>
      </c>
      <c r="R320" s="143">
        <f>ROUND(Q320*'Data-CostAssumptions'!$C$25,-3)+200000</f>
        <v>242000</v>
      </c>
      <c r="S320" s="21"/>
      <c r="T320" s="21"/>
      <c r="U320" s="21"/>
      <c r="V320" s="24"/>
      <c r="W320" s="24"/>
      <c r="X320" s="24"/>
      <c r="Y320" s="17"/>
      <c r="Z320" s="18">
        <f>ROUND(R320*'Data-CostAssumptions'!$C$3,-3)</f>
        <v>335000</v>
      </c>
      <c r="AA320" s="11">
        <f t="shared" si="13"/>
        <v>0</v>
      </c>
      <c r="AB320" s="11">
        <v>2041</v>
      </c>
      <c r="AC320" s="11">
        <v>2041</v>
      </c>
      <c r="AD320" s="11">
        <v>2041</v>
      </c>
      <c r="AE320" s="19">
        <f>ROUND((Z320*'Data-CostAssumptions'!$G$5)*(1+'Data-CostAssumptions'!$G$3)^(AB320-'Data-CostAssumptions'!$G$4),-3)</f>
        <v>189000</v>
      </c>
      <c r="AF320" s="19">
        <f>ROUND((Z320)*(1+'Data-CostAssumptions'!$G$3)^(AD320-'Data-CostAssumptions'!$G$4),-3)</f>
        <v>859000</v>
      </c>
      <c r="AG320" s="170" t="str">
        <f t="shared" si="14"/>
        <v>No</v>
      </c>
    </row>
    <row r="321" spans="1:33" ht="15" customHeight="1" x14ac:dyDescent="0.2">
      <c r="A321" s="11"/>
      <c r="B321" s="11" t="s">
        <v>1211</v>
      </c>
      <c r="C321" s="13">
        <v>781</v>
      </c>
      <c r="D321" s="13" t="s">
        <v>420</v>
      </c>
      <c r="E321" s="20">
        <v>320</v>
      </c>
      <c r="F321" s="20">
        <v>185</v>
      </c>
      <c r="G321" s="20">
        <v>158</v>
      </c>
      <c r="H321" s="13" t="s">
        <v>182</v>
      </c>
      <c r="I321" s="13" t="str">
        <f t="shared" si="12"/>
        <v>SE 17th St (US 1/Federal Hwy to SW 9th Av)</v>
      </c>
      <c r="J321" s="13" t="s">
        <v>29</v>
      </c>
      <c r="K321" s="13" t="str">
        <f>VLOOKUP(J321,'Data-ProjectTypes'!A$3:B$13,2,FALSE)</f>
        <v>Program</v>
      </c>
      <c r="L321" s="21" t="s">
        <v>348</v>
      </c>
      <c r="M321" s="13" t="s">
        <v>2594</v>
      </c>
      <c r="N321" s="13" t="s">
        <v>2137</v>
      </c>
      <c r="O321" s="13" t="s">
        <v>276</v>
      </c>
      <c r="P321" s="13" t="s">
        <v>276</v>
      </c>
      <c r="Q321" s="22">
        <v>1</v>
      </c>
      <c r="R321" s="23">
        <v>240978</v>
      </c>
      <c r="S321" s="21" t="s">
        <v>24</v>
      </c>
      <c r="T321" s="21" t="s">
        <v>24</v>
      </c>
      <c r="U321" s="21" t="s">
        <v>24</v>
      </c>
      <c r="V321" s="24" t="s">
        <v>816</v>
      </c>
      <c r="W321" s="24"/>
      <c r="X321" s="24"/>
      <c r="Y321" s="17" t="s">
        <v>806</v>
      </c>
      <c r="Z321" s="18">
        <f>ROUND(R321*'Data-CostAssumptions'!$C$3,-3)</f>
        <v>334000</v>
      </c>
      <c r="AA321" s="11">
        <f t="shared" si="13"/>
        <v>1</v>
      </c>
      <c r="AB321" s="11">
        <v>2041</v>
      </c>
      <c r="AC321" s="11">
        <v>2041</v>
      </c>
      <c r="AD321" s="11">
        <v>2041</v>
      </c>
      <c r="AE321" s="19">
        <f>ROUND((Z321*'Data-CostAssumptions'!$G$5)*(1+'Data-CostAssumptions'!$G$3)^(AB321-'Data-CostAssumptions'!$G$4),-3)</f>
        <v>188000</v>
      </c>
      <c r="AF321" s="19">
        <f>ROUND((Z321)*(1+'Data-CostAssumptions'!$G$3)^(AD321-'Data-CostAssumptions'!$G$4),-3)</f>
        <v>856000</v>
      </c>
      <c r="AG321" s="170" t="str">
        <f t="shared" si="14"/>
        <v>No</v>
      </c>
    </row>
    <row r="322" spans="1:33" ht="15" customHeight="1" x14ac:dyDescent="0.2">
      <c r="A322" s="11"/>
      <c r="B322" s="11" t="s">
        <v>1211</v>
      </c>
      <c r="C322" s="13">
        <v>858</v>
      </c>
      <c r="D322" s="13" t="s">
        <v>420</v>
      </c>
      <c r="E322" s="20">
        <v>112</v>
      </c>
      <c r="F322" s="20">
        <v>190</v>
      </c>
      <c r="G322" s="20">
        <v>235</v>
      </c>
      <c r="H322" s="13" t="s">
        <v>2037</v>
      </c>
      <c r="I322" s="13" t="str">
        <f t="shared" ref="I322:I385" si="15">IF(M322="@",H322&amp;" ("&amp;M322&amp;"  "&amp;N322&amp;")",H322&amp;" ("&amp;M322&amp;" to "&amp;N322&amp;")")</f>
        <v>NE 7th Av (Taylor Rd to Eller Dr)</v>
      </c>
      <c r="J322" s="13" t="s">
        <v>29</v>
      </c>
      <c r="K322" s="13" t="str">
        <f>VLOOKUP(J322,'Data-ProjectTypes'!A$3:B$13,2,FALSE)</f>
        <v>Program</v>
      </c>
      <c r="L322" s="21" t="s">
        <v>348</v>
      </c>
      <c r="M322" s="13" t="s">
        <v>1866</v>
      </c>
      <c r="N322" s="13" t="s">
        <v>1789</v>
      </c>
      <c r="O322" s="13" t="s">
        <v>286</v>
      </c>
      <c r="P322" s="13" t="s">
        <v>286</v>
      </c>
      <c r="Q322" s="22">
        <v>1</v>
      </c>
      <c r="R322" s="23">
        <v>238859</v>
      </c>
      <c r="S322" s="21"/>
      <c r="T322" s="21"/>
      <c r="U322" s="21"/>
      <c r="V322" s="24"/>
      <c r="W322" s="24"/>
      <c r="X322" s="24"/>
      <c r="Y322" s="17"/>
      <c r="Z322" s="18">
        <f>ROUND(R322*'Data-CostAssumptions'!$C$3,-3)</f>
        <v>331000</v>
      </c>
      <c r="AA322" s="11">
        <f t="shared" ref="AA322:AA385" si="16">IF(V322="",IF(W322="",0,1),1)</f>
        <v>0</v>
      </c>
      <c r="AB322" s="11">
        <v>2041</v>
      </c>
      <c r="AC322" s="11">
        <v>2041</v>
      </c>
      <c r="AD322" s="11">
        <v>2041</v>
      </c>
      <c r="AE322" s="19">
        <f>ROUND((Z322*'Data-CostAssumptions'!$G$5)*(1+'Data-CostAssumptions'!$G$3)^(AB322-'Data-CostAssumptions'!$G$4),-3)</f>
        <v>187000</v>
      </c>
      <c r="AF322" s="19">
        <f>ROUND((Z322)*(1+'Data-CostAssumptions'!$G$3)^(AD322-'Data-CostAssumptions'!$G$4),-3)</f>
        <v>849000</v>
      </c>
      <c r="AG322" s="170" t="str">
        <f t="shared" ref="AG322:AG385" si="17">IF(MIN(AC322:AD322)&lt;2041,"Yes","No")</f>
        <v>No</v>
      </c>
    </row>
    <row r="323" spans="1:33" ht="15" customHeight="1" x14ac:dyDescent="0.2">
      <c r="A323" s="11"/>
      <c r="B323" s="11" t="s">
        <v>1211</v>
      </c>
      <c r="C323" s="13">
        <v>668</v>
      </c>
      <c r="D323" s="13" t="s">
        <v>420</v>
      </c>
      <c r="E323" s="20">
        <v>148</v>
      </c>
      <c r="F323" s="20">
        <v>179</v>
      </c>
      <c r="G323" s="20">
        <v>49</v>
      </c>
      <c r="H323" s="13" t="s">
        <v>2062</v>
      </c>
      <c r="I323" s="13" t="str">
        <f t="shared" si="15"/>
        <v>NW 31st Av (Broward Bl to Sunrise Bl)</v>
      </c>
      <c r="J323" s="13" t="s">
        <v>29</v>
      </c>
      <c r="K323" s="13" t="str">
        <f>VLOOKUP(J323,'Data-ProjectTypes'!A$3:B$13,2,FALSE)</f>
        <v>Program</v>
      </c>
      <c r="L323" s="21" t="s">
        <v>348</v>
      </c>
      <c r="M323" s="13" t="s">
        <v>1811</v>
      </c>
      <c r="N323" s="13" t="s">
        <v>1830</v>
      </c>
      <c r="O323" s="13" t="s">
        <v>273</v>
      </c>
      <c r="P323" s="13" t="s">
        <v>273</v>
      </c>
      <c r="Q323" s="22">
        <v>1</v>
      </c>
      <c r="R323" s="23">
        <v>237960</v>
      </c>
      <c r="S323" s="21"/>
      <c r="T323" s="21"/>
      <c r="U323" s="21"/>
      <c r="V323" s="24"/>
      <c r="W323" s="24"/>
      <c r="X323" s="24"/>
      <c r="Y323" s="17"/>
      <c r="Z323" s="18">
        <f>ROUND(R323*'Data-CostAssumptions'!$C$3,-3)</f>
        <v>329000</v>
      </c>
      <c r="AA323" s="11">
        <f t="shared" si="16"/>
        <v>0</v>
      </c>
      <c r="AB323" s="11">
        <v>2041</v>
      </c>
      <c r="AC323" s="11">
        <v>2041</v>
      </c>
      <c r="AD323" s="11">
        <v>2041</v>
      </c>
      <c r="AE323" s="19">
        <f>ROUND((Z323*'Data-CostAssumptions'!$G$5)*(1+'Data-CostAssumptions'!$G$3)^(AB323-'Data-CostAssumptions'!$G$4),-3)</f>
        <v>186000</v>
      </c>
      <c r="AF323" s="19">
        <f>ROUND((Z323)*(1+'Data-CostAssumptions'!$G$3)^(AD323-'Data-CostAssumptions'!$G$4),-3)</f>
        <v>844000</v>
      </c>
      <c r="AG323" s="170" t="str">
        <f t="shared" si="17"/>
        <v>No</v>
      </c>
    </row>
    <row r="324" spans="1:33" ht="15" customHeight="1" x14ac:dyDescent="0.2">
      <c r="A324" s="11"/>
      <c r="B324" s="11" t="s">
        <v>1211</v>
      </c>
      <c r="C324" s="13">
        <v>757</v>
      </c>
      <c r="D324" s="13" t="s">
        <v>420</v>
      </c>
      <c r="E324" s="20">
        <v>153</v>
      </c>
      <c r="F324" s="20">
        <v>184</v>
      </c>
      <c r="G324" s="20">
        <v>134</v>
      </c>
      <c r="H324" s="13" t="s">
        <v>2060</v>
      </c>
      <c r="I324" s="13" t="str">
        <f t="shared" si="15"/>
        <v>NW 27th Av (Broward Bl to Sunrise Bl)</v>
      </c>
      <c r="J324" s="13" t="s">
        <v>29</v>
      </c>
      <c r="K324" s="13" t="str">
        <f>VLOOKUP(J324,'Data-ProjectTypes'!A$3:B$13,2,FALSE)</f>
        <v>Program</v>
      </c>
      <c r="L324" s="21" t="s">
        <v>348</v>
      </c>
      <c r="M324" s="13" t="s">
        <v>1811</v>
      </c>
      <c r="N324" s="13" t="s">
        <v>1830</v>
      </c>
      <c r="O324" s="13" t="s">
        <v>273</v>
      </c>
      <c r="P324" s="13" t="s">
        <v>273</v>
      </c>
      <c r="Q324" s="22">
        <v>1</v>
      </c>
      <c r="R324" s="23">
        <v>237967</v>
      </c>
      <c r="S324" s="21"/>
      <c r="T324" s="21"/>
      <c r="U324" s="21"/>
      <c r="V324" s="24"/>
      <c r="W324" s="24"/>
      <c r="X324" s="24"/>
      <c r="Y324" s="17"/>
      <c r="Z324" s="18">
        <f>ROUND(R324*'Data-CostAssumptions'!$C$3,-3)</f>
        <v>329000</v>
      </c>
      <c r="AA324" s="11">
        <f t="shared" si="16"/>
        <v>0</v>
      </c>
      <c r="AB324" s="11">
        <v>2041</v>
      </c>
      <c r="AC324" s="11">
        <v>2041</v>
      </c>
      <c r="AD324" s="11">
        <v>2041</v>
      </c>
      <c r="AE324" s="19">
        <f>ROUND((Z324*'Data-CostAssumptions'!$G$5)*(1+'Data-CostAssumptions'!$G$3)^(AB324-'Data-CostAssumptions'!$G$4),-3)</f>
        <v>186000</v>
      </c>
      <c r="AF324" s="19">
        <f>ROUND((Z324)*(1+'Data-CostAssumptions'!$G$3)^(AD324-'Data-CostAssumptions'!$G$4),-3)</f>
        <v>844000</v>
      </c>
      <c r="AG324" s="170" t="str">
        <f t="shared" si="17"/>
        <v>No</v>
      </c>
    </row>
    <row r="325" spans="1:33" ht="15" customHeight="1" x14ac:dyDescent="0.2">
      <c r="A325" s="11"/>
      <c r="B325" s="11" t="s">
        <v>1211</v>
      </c>
      <c r="C325" s="13">
        <v>744</v>
      </c>
      <c r="D325" s="13" t="s">
        <v>420</v>
      </c>
      <c r="E325" s="20">
        <v>61</v>
      </c>
      <c r="F325" s="20">
        <v>183</v>
      </c>
      <c r="G325" s="20">
        <v>121</v>
      </c>
      <c r="H325" s="13" t="s">
        <v>2710</v>
      </c>
      <c r="I325" s="13" t="str">
        <f t="shared" si="15"/>
        <v>SR 816/Oakland Park Bl (A1A/Ocean Bl to US 1/Federal Hwy)</v>
      </c>
      <c r="J325" s="13" t="s">
        <v>29</v>
      </c>
      <c r="K325" s="13" t="str">
        <f>VLOOKUP(J325,'Data-ProjectTypes'!A$3:B$13,2,FALSE)</f>
        <v>Program</v>
      </c>
      <c r="L325" s="21" t="s">
        <v>348</v>
      </c>
      <c r="M325" s="13" t="s">
        <v>1808</v>
      </c>
      <c r="N325" s="13" t="s">
        <v>2594</v>
      </c>
      <c r="O325" s="13" t="s">
        <v>270</v>
      </c>
      <c r="P325" s="13" t="s">
        <v>270</v>
      </c>
      <c r="Q325" s="22">
        <v>1</v>
      </c>
      <c r="R325" s="23">
        <v>236654</v>
      </c>
      <c r="S325" s="21"/>
      <c r="T325" s="21" t="s">
        <v>24</v>
      </c>
      <c r="U325" s="21" t="s">
        <v>25</v>
      </c>
      <c r="V325" s="24" t="s">
        <v>24</v>
      </c>
      <c r="W325" s="24" t="s">
        <v>561</v>
      </c>
      <c r="X325" s="24"/>
      <c r="Y325" s="17" t="s">
        <v>538</v>
      </c>
      <c r="Z325" s="18">
        <f>ROUND(R325*'Data-CostAssumptions'!$C$3,-3)</f>
        <v>328000</v>
      </c>
      <c r="AA325" s="11">
        <f t="shared" si="16"/>
        <v>1</v>
      </c>
      <c r="AB325" s="11">
        <v>2041</v>
      </c>
      <c r="AC325" s="11">
        <v>2041</v>
      </c>
      <c r="AD325" s="11">
        <v>2041</v>
      </c>
      <c r="AE325" s="19">
        <f>ROUND((Z325*'Data-CostAssumptions'!$G$5)*(1+'Data-CostAssumptions'!$G$3)^(AB325-'Data-CostAssumptions'!$G$4),-3)</f>
        <v>185000</v>
      </c>
      <c r="AF325" s="19">
        <f>ROUND((Z325)*(1+'Data-CostAssumptions'!$G$3)^(AD325-'Data-CostAssumptions'!$G$4),-3)</f>
        <v>841000</v>
      </c>
      <c r="AG325" s="170" t="str">
        <f t="shared" si="17"/>
        <v>No</v>
      </c>
    </row>
    <row r="326" spans="1:33" ht="15" customHeight="1" x14ac:dyDescent="0.2">
      <c r="A326" s="11"/>
      <c r="B326" s="11" t="s">
        <v>1211</v>
      </c>
      <c r="C326" s="13">
        <v>780</v>
      </c>
      <c r="D326" s="13" t="s">
        <v>420</v>
      </c>
      <c r="E326" s="20">
        <v>319</v>
      </c>
      <c r="F326" s="20">
        <v>185</v>
      </c>
      <c r="G326" s="20">
        <v>157</v>
      </c>
      <c r="H326" s="13" t="s">
        <v>2137</v>
      </c>
      <c r="I326" s="13" t="str">
        <f t="shared" si="15"/>
        <v>SW 9th Av (State Rd 84 to Davie Bl)</v>
      </c>
      <c r="J326" s="13" t="s">
        <v>29</v>
      </c>
      <c r="K326" s="13" t="str">
        <f>VLOOKUP(J326,'Data-ProjectTypes'!A$3:B$13,2,FALSE)</f>
        <v>Program</v>
      </c>
      <c r="L326" s="21" t="s">
        <v>348</v>
      </c>
      <c r="M326" s="13" t="s">
        <v>1774</v>
      </c>
      <c r="N326" s="13" t="s">
        <v>1816</v>
      </c>
      <c r="O326" s="13" t="s">
        <v>276</v>
      </c>
      <c r="P326" s="13" t="s">
        <v>276</v>
      </c>
      <c r="Q326" s="22">
        <v>1</v>
      </c>
      <c r="R326" s="23">
        <v>237084</v>
      </c>
      <c r="S326" s="21"/>
      <c r="T326" s="21"/>
      <c r="U326" s="21"/>
      <c r="V326" s="24"/>
      <c r="W326" s="24"/>
      <c r="X326" s="24"/>
      <c r="Y326" s="17"/>
      <c r="Z326" s="18">
        <f>ROUND(R326*'Data-CostAssumptions'!$C$3,-3)</f>
        <v>328000</v>
      </c>
      <c r="AA326" s="11">
        <f t="shared" si="16"/>
        <v>0</v>
      </c>
      <c r="AB326" s="11">
        <v>2041</v>
      </c>
      <c r="AC326" s="11">
        <v>2041</v>
      </c>
      <c r="AD326" s="11">
        <v>2041</v>
      </c>
      <c r="AE326" s="19">
        <f>ROUND((Z326*'Data-CostAssumptions'!$G$5)*(1+'Data-CostAssumptions'!$G$3)^(AB326-'Data-CostAssumptions'!$G$4),-3)</f>
        <v>185000</v>
      </c>
      <c r="AF326" s="19">
        <f>ROUND((Z326)*(1+'Data-CostAssumptions'!$G$3)^(AD326-'Data-CostAssumptions'!$G$4),-3)</f>
        <v>841000</v>
      </c>
      <c r="AG326" s="170" t="str">
        <f t="shared" si="17"/>
        <v>No</v>
      </c>
    </row>
    <row r="327" spans="1:33" ht="15" customHeight="1" x14ac:dyDescent="0.2">
      <c r="A327" s="11"/>
      <c r="B327" s="11" t="s">
        <v>1211</v>
      </c>
      <c r="C327" s="13">
        <v>870</v>
      </c>
      <c r="D327" s="13" t="s">
        <v>420</v>
      </c>
      <c r="E327" s="20">
        <v>230</v>
      </c>
      <c r="F327" s="20">
        <v>191</v>
      </c>
      <c r="G327" s="20">
        <v>247</v>
      </c>
      <c r="H327" s="13" t="s">
        <v>2799</v>
      </c>
      <c r="I327" s="13" t="str">
        <f t="shared" si="15"/>
        <v>SR 845/Powerline Rd (Oakland Park Bl to Prospect Rd)</v>
      </c>
      <c r="J327" s="13" t="s">
        <v>29</v>
      </c>
      <c r="K327" s="13" t="str">
        <f>VLOOKUP(J327,'Data-ProjectTypes'!A$3:B$13,2,FALSE)</f>
        <v>Program</v>
      </c>
      <c r="L327" s="26" t="s">
        <v>847</v>
      </c>
      <c r="M327" s="13" t="s">
        <v>1825</v>
      </c>
      <c r="N327" s="13" t="s">
        <v>1859</v>
      </c>
      <c r="O327" s="13" t="s">
        <v>270</v>
      </c>
      <c r="P327" s="13" t="s">
        <v>270</v>
      </c>
      <c r="Q327" s="22">
        <v>1</v>
      </c>
      <c r="R327" s="23">
        <v>236792</v>
      </c>
      <c r="S327" s="21"/>
      <c r="T327" s="21"/>
      <c r="U327" s="21"/>
      <c r="V327" s="24"/>
      <c r="W327" s="24"/>
      <c r="X327" s="32"/>
      <c r="Y327" s="17"/>
      <c r="Z327" s="18">
        <f>ROUND(R327*'Data-CostAssumptions'!$C$3,-3)</f>
        <v>328000</v>
      </c>
      <c r="AA327" s="11">
        <f t="shared" si="16"/>
        <v>0</v>
      </c>
      <c r="AB327" s="11">
        <v>2041</v>
      </c>
      <c r="AC327" s="11">
        <v>2041</v>
      </c>
      <c r="AD327" s="11">
        <v>2041</v>
      </c>
      <c r="AE327" s="19">
        <f>ROUND((Z327*'Data-CostAssumptions'!$G$5)*(1+'Data-CostAssumptions'!$G$3)^(AB327-'Data-CostAssumptions'!$G$4),-3)</f>
        <v>185000</v>
      </c>
      <c r="AF327" s="19">
        <f>ROUND((Z327)*(1+'Data-CostAssumptions'!$G$3)^(AD327-'Data-CostAssumptions'!$G$4),-3)</f>
        <v>841000</v>
      </c>
      <c r="AG327" s="170" t="str">
        <f t="shared" si="17"/>
        <v>No</v>
      </c>
    </row>
    <row r="328" spans="1:33" ht="15" customHeight="1" x14ac:dyDescent="0.2">
      <c r="A328" s="11"/>
      <c r="B328" s="11" t="s">
        <v>1211</v>
      </c>
      <c r="C328" s="13">
        <v>632</v>
      </c>
      <c r="D328" s="13" t="s">
        <v>420</v>
      </c>
      <c r="E328" s="20">
        <v>103</v>
      </c>
      <c r="F328" s="20">
        <v>177</v>
      </c>
      <c r="G328" s="20">
        <v>13</v>
      </c>
      <c r="H328" s="13" t="s">
        <v>2209</v>
      </c>
      <c r="I328" s="13" t="str">
        <f t="shared" si="15"/>
        <v>SR 5/ US 1 (SE 12th ST/ Davie BL to Broward BL)</v>
      </c>
      <c r="J328" s="13" t="s">
        <v>29</v>
      </c>
      <c r="K328" s="13" t="str">
        <f>VLOOKUP(J328,'Data-ProjectTypes'!A$3:B$13,2,FALSE)</f>
        <v>Program</v>
      </c>
      <c r="L328" s="21" t="s">
        <v>348</v>
      </c>
      <c r="M328" s="13" t="s">
        <v>213</v>
      </c>
      <c r="N328" s="13" t="s">
        <v>58</v>
      </c>
      <c r="O328" s="13" t="s">
        <v>270</v>
      </c>
      <c r="P328" s="13" t="s">
        <v>270</v>
      </c>
      <c r="Q328" s="22">
        <v>1</v>
      </c>
      <c r="R328" s="23">
        <v>236571</v>
      </c>
      <c r="S328" s="21"/>
      <c r="T328" s="21"/>
      <c r="U328" s="21"/>
      <c r="V328" s="24"/>
      <c r="W328" s="24"/>
      <c r="X328" s="24"/>
      <c r="Y328" s="17"/>
      <c r="Z328" s="18">
        <f>ROUND(R328*'Data-CostAssumptions'!$C$3,-3)</f>
        <v>327000</v>
      </c>
      <c r="AA328" s="11">
        <f t="shared" si="16"/>
        <v>0</v>
      </c>
      <c r="AB328" s="11">
        <v>2041</v>
      </c>
      <c r="AC328" s="11">
        <v>2041</v>
      </c>
      <c r="AD328" s="11">
        <v>2041</v>
      </c>
      <c r="AE328" s="19">
        <f>ROUND((Z328*'Data-CostAssumptions'!$G$5)*(1+'Data-CostAssumptions'!$G$3)^(AB328-'Data-CostAssumptions'!$G$4),-3)</f>
        <v>184000</v>
      </c>
      <c r="AF328" s="19">
        <f>ROUND((Z328)*(1+'Data-CostAssumptions'!$G$3)^(AD328-'Data-CostAssumptions'!$G$4),-3)</f>
        <v>838000</v>
      </c>
      <c r="AG328" s="170" t="str">
        <f t="shared" si="17"/>
        <v>No</v>
      </c>
    </row>
    <row r="329" spans="1:33" ht="15" customHeight="1" x14ac:dyDescent="0.2">
      <c r="A329" s="11"/>
      <c r="B329" s="11" t="s">
        <v>1211</v>
      </c>
      <c r="C329" s="13">
        <v>701</v>
      </c>
      <c r="D329" s="13" t="s">
        <v>420</v>
      </c>
      <c r="E329" s="20">
        <v>125</v>
      </c>
      <c r="F329" s="20">
        <v>181</v>
      </c>
      <c r="G329" s="20">
        <v>79</v>
      </c>
      <c r="H329" s="13" t="s">
        <v>2036</v>
      </c>
      <c r="I329" s="13" t="str">
        <f t="shared" si="15"/>
        <v>NE 6th Av (Oakland Park Bl to Prospect Rd)</v>
      </c>
      <c r="J329" s="13" t="s">
        <v>29</v>
      </c>
      <c r="K329" s="13" t="str">
        <f>VLOOKUP(J329,'Data-ProjectTypes'!A$3:B$13,2,FALSE)</f>
        <v>Program</v>
      </c>
      <c r="L329" s="26" t="s">
        <v>847</v>
      </c>
      <c r="M329" s="13" t="s">
        <v>1825</v>
      </c>
      <c r="N329" s="13" t="s">
        <v>1859</v>
      </c>
      <c r="O329" s="13" t="s">
        <v>273</v>
      </c>
      <c r="P329" s="13" t="s">
        <v>273</v>
      </c>
      <c r="Q329" s="22">
        <v>1</v>
      </c>
      <c r="R329" s="23">
        <v>236073</v>
      </c>
      <c r="S329" s="12" t="s">
        <v>24</v>
      </c>
      <c r="T329" s="21"/>
      <c r="U329" s="21"/>
      <c r="V329" s="24"/>
      <c r="W329" s="24" t="s">
        <v>561</v>
      </c>
      <c r="X329" s="24"/>
      <c r="Y329" s="17" t="s">
        <v>538</v>
      </c>
      <c r="Z329" s="18">
        <f>ROUND(R329*'Data-CostAssumptions'!$C$3,-3)</f>
        <v>327000</v>
      </c>
      <c r="AA329" s="11">
        <f t="shared" si="16"/>
        <v>1</v>
      </c>
      <c r="AB329" s="11">
        <v>2041</v>
      </c>
      <c r="AC329" s="11">
        <v>2041</v>
      </c>
      <c r="AD329" s="11">
        <v>2041</v>
      </c>
      <c r="AE329" s="19">
        <f>ROUND((Z329*'Data-CostAssumptions'!$G$5)*(1+'Data-CostAssumptions'!$G$3)^(AB329-'Data-CostAssumptions'!$G$4),-3)</f>
        <v>184000</v>
      </c>
      <c r="AF329" s="19">
        <f>ROUND((Z329)*(1+'Data-CostAssumptions'!$G$3)^(AD329-'Data-CostAssumptions'!$G$4),-3)</f>
        <v>838000</v>
      </c>
      <c r="AG329" s="170" t="str">
        <f t="shared" si="17"/>
        <v>No</v>
      </c>
    </row>
    <row r="330" spans="1:33" ht="15" customHeight="1" x14ac:dyDescent="0.2">
      <c r="A330" s="11"/>
      <c r="B330" s="11" t="s">
        <v>1211</v>
      </c>
      <c r="C330" s="11">
        <v>12269</v>
      </c>
      <c r="D330" s="84" t="s">
        <v>282</v>
      </c>
      <c r="E330" s="14"/>
      <c r="F330" s="14"/>
      <c r="G330" s="20">
        <v>1749</v>
      </c>
      <c r="H330" s="13" t="s">
        <v>1971</v>
      </c>
      <c r="I330" s="13" t="str">
        <f t="shared" si="15"/>
        <v>Washington St (56th Av to Park Rd)</v>
      </c>
      <c r="J330" s="11" t="s">
        <v>29</v>
      </c>
      <c r="K330" s="13" t="str">
        <f>VLOOKUP(J330,'Data-ProjectTypes'!A$3:B$13,2,FALSE)</f>
        <v>Program</v>
      </c>
      <c r="L330" s="142" t="s">
        <v>608</v>
      </c>
      <c r="M330" s="11" t="s">
        <v>2011</v>
      </c>
      <c r="N330" s="11" t="s">
        <v>1857</v>
      </c>
      <c r="O330" s="11"/>
      <c r="P330" s="11"/>
      <c r="Q330" s="79">
        <v>1.4</v>
      </c>
      <c r="R330" s="143">
        <f>ROUND(Q330*'Data-CostAssumptions'!$C$25,-3)</f>
        <v>236000</v>
      </c>
      <c r="S330" s="21"/>
      <c r="T330" s="21"/>
      <c r="U330" s="21"/>
      <c r="V330" s="24"/>
      <c r="W330" s="24"/>
      <c r="X330" s="24"/>
      <c r="Y330" s="17"/>
      <c r="Z330" s="18">
        <f>ROUND(R330*'Data-CostAssumptions'!$C$3,-3)</f>
        <v>327000</v>
      </c>
      <c r="AA330" s="11">
        <f t="shared" si="16"/>
        <v>0</v>
      </c>
      <c r="AB330" s="11">
        <v>2041</v>
      </c>
      <c r="AC330" s="11">
        <v>2041</v>
      </c>
      <c r="AD330" s="11">
        <v>2041</v>
      </c>
      <c r="AE330" s="19">
        <f>ROUND((Z330*'Data-CostAssumptions'!$G$5)*(1+'Data-CostAssumptions'!$G$3)^(AB330-'Data-CostAssumptions'!$G$4),-3)</f>
        <v>184000</v>
      </c>
      <c r="AF330" s="19">
        <f>ROUND((Z330)*(1+'Data-CostAssumptions'!$G$3)^(AD330-'Data-CostAssumptions'!$G$4),-3)</f>
        <v>838000</v>
      </c>
      <c r="AG330" s="170" t="str">
        <f t="shared" si="17"/>
        <v>No</v>
      </c>
    </row>
    <row r="331" spans="1:33" ht="15" customHeight="1" x14ac:dyDescent="0.2">
      <c r="A331" s="11"/>
      <c r="B331" s="11" t="s">
        <v>1211</v>
      </c>
      <c r="C331" s="13">
        <v>848</v>
      </c>
      <c r="D331" s="13" t="s">
        <v>420</v>
      </c>
      <c r="E331" s="20">
        <v>69</v>
      </c>
      <c r="F331" s="20">
        <v>189</v>
      </c>
      <c r="G331" s="20">
        <v>224</v>
      </c>
      <c r="H331" s="13" t="s">
        <v>1854</v>
      </c>
      <c r="I331" s="13" t="str">
        <f t="shared" si="15"/>
        <v>McNab Rd (US 1/Federal Hwy to Cypress Rd)</v>
      </c>
      <c r="J331" s="13" t="s">
        <v>29</v>
      </c>
      <c r="K331" s="13" t="str">
        <f>VLOOKUP(J331,'Data-ProjectTypes'!A$3:B$13,2,FALSE)</f>
        <v>Program</v>
      </c>
      <c r="L331" s="21" t="s">
        <v>348</v>
      </c>
      <c r="M331" s="13" t="s">
        <v>2594</v>
      </c>
      <c r="N331" s="13" t="s">
        <v>1843</v>
      </c>
      <c r="O331" s="13" t="s">
        <v>275</v>
      </c>
      <c r="P331" s="13" t="s">
        <v>275</v>
      </c>
      <c r="Q331" s="22">
        <v>1</v>
      </c>
      <c r="R331" s="23">
        <v>235680</v>
      </c>
      <c r="S331" s="21"/>
      <c r="T331" s="21"/>
      <c r="U331" s="21"/>
      <c r="V331" s="24"/>
      <c r="W331" s="24" t="s">
        <v>696</v>
      </c>
      <c r="X331" s="28"/>
      <c r="Y331" s="17" t="s">
        <v>287</v>
      </c>
      <c r="Z331" s="18">
        <f>ROUND(R331*'Data-CostAssumptions'!$C$3,-3)</f>
        <v>326000</v>
      </c>
      <c r="AA331" s="11">
        <f t="shared" si="16"/>
        <v>1</v>
      </c>
      <c r="AB331" s="11">
        <v>2041</v>
      </c>
      <c r="AC331" s="11">
        <v>2041</v>
      </c>
      <c r="AD331" s="11">
        <v>2041</v>
      </c>
      <c r="AE331" s="19">
        <f>ROUND((Z331*'Data-CostAssumptions'!$G$5)*(1+'Data-CostAssumptions'!$G$3)^(AB331-'Data-CostAssumptions'!$G$4),-3)</f>
        <v>184000</v>
      </c>
      <c r="AF331" s="19">
        <f>ROUND((Z331)*(1+'Data-CostAssumptions'!$G$3)^(AD331-'Data-CostAssumptions'!$G$4),-3)</f>
        <v>836000</v>
      </c>
      <c r="AG331" s="170" t="str">
        <f t="shared" si="17"/>
        <v>No</v>
      </c>
    </row>
    <row r="332" spans="1:33" ht="15" customHeight="1" x14ac:dyDescent="0.2">
      <c r="A332" s="11"/>
      <c r="B332" s="11" t="s">
        <v>1211</v>
      </c>
      <c r="C332" s="13">
        <v>894</v>
      </c>
      <c r="D332" s="13" t="s">
        <v>420</v>
      </c>
      <c r="E332" s="20">
        <v>91</v>
      </c>
      <c r="F332" s="20">
        <v>192</v>
      </c>
      <c r="G332" s="20">
        <v>271</v>
      </c>
      <c r="H332" s="13" t="s">
        <v>2710</v>
      </c>
      <c r="I332" s="13" t="str">
        <f t="shared" si="15"/>
        <v>SR 816/Oakland Park Bl (NW 9th Av/Powerline Rd to NW 21st Av)</v>
      </c>
      <c r="J332" s="13" t="s">
        <v>29</v>
      </c>
      <c r="K332" s="13" t="str">
        <f>VLOOKUP(J332,'Data-ProjectTypes'!A$3:B$13,2,FALSE)</f>
        <v>Program</v>
      </c>
      <c r="L332" s="26" t="s">
        <v>847</v>
      </c>
      <c r="M332" s="13" t="s">
        <v>2439</v>
      </c>
      <c r="N332" s="13" t="s">
        <v>2057</v>
      </c>
      <c r="O332" s="13" t="s">
        <v>270</v>
      </c>
      <c r="P332" s="13" t="s">
        <v>270</v>
      </c>
      <c r="Q332" s="22">
        <v>1</v>
      </c>
      <c r="R332" s="23">
        <v>235569</v>
      </c>
      <c r="S332" s="21"/>
      <c r="T332" s="21"/>
      <c r="U332" s="21"/>
      <c r="V332" s="24"/>
      <c r="W332" s="24"/>
      <c r="X332" s="24"/>
      <c r="Y332" s="17"/>
      <c r="Z332" s="18">
        <f>ROUND(R332*'Data-CostAssumptions'!$C$3,-3)</f>
        <v>326000</v>
      </c>
      <c r="AA332" s="11">
        <f t="shared" si="16"/>
        <v>0</v>
      </c>
      <c r="AB332" s="11">
        <v>2041</v>
      </c>
      <c r="AC332" s="11">
        <v>2041</v>
      </c>
      <c r="AD332" s="11">
        <v>2041</v>
      </c>
      <c r="AE332" s="19">
        <f>ROUND((Z332*'Data-CostAssumptions'!$G$5)*(1+'Data-CostAssumptions'!$G$3)^(AB332-'Data-CostAssumptions'!$G$4),-3)</f>
        <v>184000</v>
      </c>
      <c r="AF332" s="19">
        <f>ROUND((Z332)*(1+'Data-CostAssumptions'!$G$3)^(AD332-'Data-CostAssumptions'!$G$4),-3)</f>
        <v>836000</v>
      </c>
      <c r="AG332" s="170" t="str">
        <f t="shared" si="17"/>
        <v>No</v>
      </c>
    </row>
    <row r="333" spans="1:33" ht="15" customHeight="1" x14ac:dyDescent="0.2">
      <c r="B333" s="11" t="s">
        <v>1211</v>
      </c>
      <c r="D333" s="84" t="s">
        <v>276</v>
      </c>
      <c r="E333" s="104" t="s">
        <v>1551</v>
      </c>
      <c r="G333" s="20">
        <v>1371</v>
      </c>
      <c r="H333" s="13" t="s">
        <v>1613</v>
      </c>
      <c r="I333" s="13" t="str">
        <f t="shared" si="15"/>
        <v>N NEW RIVER PATH  (SE 17TH Av to SW 7TH Av )</v>
      </c>
      <c r="J333" s="12" t="s">
        <v>29</v>
      </c>
      <c r="K333" s="13" t="str">
        <f>VLOOKUP(J333,'Data-ProjectTypes'!A$3:B$13,2,FALSE)</f>
        <v>Program</v>
      </c>
      <c r="L333" s="12" t="s">
        <v>1667</v>
      </c>
      <c r="M333" s="105" t="s">
        <v>2613</v>
      </c>
      <c r="N333" s="12" t="s">
        <v>2612</v>
      </c>
      <c r="Q333" s="72">
        <v>1.4</v>
      </c>
      <c r="R333" s="23">
        <f>ROUND(Q333*'Data-CostAssumptions'!$C$25,-1)</f>
        <v>235760</v>
      </c>
      <c r="S333" s="21"/>
      <c r="T333" s="21"/>
      <c r="U333" s="21"/>
      <c r="V333" s="24"/>
      <c r="W333" s="24" t="s">
        <v>696</v>
      </c>
      <c r="X333" s="24"/>
      <c r="Y333" s="17" t="s">
        <v>287</v>
      </c>
      <c r="Z333" s="18">
        <f>ROUND(R333*'Data-CostAssumptions'!$C$3,-3)</f>
        <v>326000</v>
      </c>
      <c r="AA333" s="11">
        <f t="shared" si="16"/>
        <v>1</v>
      </c>
      <c r="AB333" s="11">
        <v>2041</v>
      </c>
      <c r="AC333" s="11">
        <v>2041</v>
      </c>
      <c r="AD333" s="11">
        <v>2041</v>
      </c>
      <c r="AE333" s="19">
        <f>ROUND((Z333*'Data-CostAssumptions'!$G$5)*(1+'Data-CostAssumptions'!$G$3)^(AB333-'Data-CostAssumptions'!$G$4),-3)</f>
        <v>184000</v>
      </c>
      <c r="AF333" s="19">
        <f>ROUND((Z333)*(1+'Data-CostAssumptions'!$G$3)^(AD333-'Data-CostAssumptions'!$G$4),-3)</f>
        <v>836000</v>
      </c>
      <c r="AG333" s="170" t="str">
        <f t="shared" si="17"/>
        <v>No</v>
      </c>
    </row>
    <row r="334" spans="1:33" ht="15" customHeight="1" x14ac:dyDescent="0.2">
      <c r="B334" s="11" t="s">
        <v>1211</v>
      </c>
      <c r="D334" s="84" t="s">
        <v>276</v>
      </c>
      <c r="E334" s="104" t="s">
        <v>1501</v>
      </c>
      <c r="G334" s="20">
        <v>1510</v>
      </c>
      <c r="H334" s="13" t="s">
        <v>2198</v>
      </c>
      <c r="I334" s="13" t="str">
        <f t="shared" si="15"/>
        <v>SW FLAGLER Av  (US 1 to NE 2ND ST )</v>
      </c>
      <c r="J334" s="12" t="s">
        <v>29</v>
      </c>
      <c r="K334" s="13" t="str">
        <f>VLOOKUP(J334,'Data-ProjectTypes'!A$3:B$13,2,FALSE)</f>
        <v>Program</v>
      </c>
      <c r="L334" s="12" t="s">
        <v>1667</v>
      </c>
      <c r="M334" s="105" t="s">
        <v>98</v>
      </c>
      <c r="N334" s="12" t="s">
        <v>1702</v>
      </c>
      <c r="Q334" s="72">
        <v>1.4</v>
      </c>
      <c r="R334" s="23">
        <f>ROUND(Q334*'Data-CostAssumptions'!$C$25,-1)</f>
        <v>235760</v>
      </c>
      <c r="S334" s="21"/>
      <c r="T334" s="21"/>
      <c r="U334" s="21"/>
      <c r="V334" s="24"/>
      <c r="W334" s="24" t="s">
        <v>491</v>
      </c>
      <c r="X334" s="24"/>
      <c r="Y334" s="17" t="s">
        <v>492</v>
      </c>
      <c r="Z334" s="18">
        <f>ROUND(R334*'Data-CostAssumptions'!$C$3,-3)</f>
        <v>326000</v>
      </c>
      <c r="AA334" s="11">
        <f t="shared" si="16"/>
        <v>1</v>
      </c>
      <c r="AB334" s="11">
        <v>2041</v>
      </c>
      <c r="AC334" s="11">
        <v>2041</v>
      </c>
      <c r="AD334" s="11">
        <v>2041</v>
      </c>
      <c r="AE334" s="19">
        <f>ROUND((Z334*'Data-CostAssumptions'!$G$5)*(1+'Data-CostAssumptions'!$G$3)^(AB334-'Data-CostAssumptions'!$G$4),-3)</f>
        <v>184000</v>
      </c>
      <c r="AF334" s="19">
        <f>ROUND((Z334)*(1+'Data-CostAssumptions'!$G$3)^(AD334-'Data-CostAssumptions'!$G$4),-3)</f>
        <v>836000</v>
      </c>
      <c r="AG334" s="170" t="str">
        <f t="shared" si="17"/>
        <v>No</v>
      </c>
    </row>
    <row r="335" spans="1:33" ht="15" customHeight="1" x14ac:dyDescent="0.2">
      <c r="A335" s="11"/>
      <c r="B335" s="11" t="s">
        <v>1211</v>
      </c>
      <c r="C335" s="13">
        <v>692</v>
      </c>
      <c r="D335" s="13" t="s">
        <v>420</v>
      </c>
      <c r="E335" s="20">
        <v>41</v>
      </c>
      <c r="F335" s="20">
        <v>180</v>
      </c>
      <c r="G335" s="20">
        <v>70</v>
      </c>
      <c r="H335" s="13" t="s">
        <v>2793</v>
      </c>
      <c r="I335" s="13" t="str">
        <f t="shared" si="15"/>
        <v>SR 834/Sample Rd (NE 3rd Av to Andrews Av Extension/Military Trail)</v>
      </c>
      <c r="J335" s="13" t="s">
        <v>29</v>
      </c>
      <c r="K335" s="13" t="str">
        <f>VLOOKUP(J335,'Data-ProjectTypes'!A$3:B$13,2,FALSE)</f>
        <v>Program</v>
      </c>
      <c r="L335" s="21" t="s">
        <v>348</v>
      </c>
      <c r="M335" s="13" t="s">
        <v>2033</v>
      </c>
      <c r="N335" s="13" t="s">
        <v>2260</v>
      </c>
      <c r="O335" s="13" t="s">
        <v>270</v>
      </c>
      <c r="P335" s="13" t="s">
        <v>270</v>
      </c>
      <c r="Q335" s="22">
        <v>1</v>
      </c>
      <c r="R335" s="23">
        <v>235007</v>
      </c>
      <c r="S335" s="12" t="s">
        <v>24</v>
      </c>
      <c r="T335" s="21"/>
      <c r="U335" s="21"/>
      <c r="V335" s="24"/>
      <c r="W335" s="24"/>
      <c r="X335" s="24" t="s">
        <v>568</v>
      </c>
      <c r="Y335" s="17" t="s">
        <v>538</v>
      </c>
      <c r="Z335" s="18">
        <f>ROUND(R335*'Data-CostAssumptions'!$C$3,-3)</f>
        <v>325000</v>
      </c>
      <c r="AA335" s="11">
        <f t="shared" si="16"/>
        <v>0</v>
      </c>
      <c r="AB335" s="11">
        <v>2041</v>
      </c>
      <c r="AC335" s="11">
        <v>2041</v>
      </c>
      <c r="AD335" s="11">
        <v>2041</v>
      </c>
      <c r="AE335" s="19">
        <f>ROUND((Z335*'Data-CostAssumptions'!$G$5)*(1+'Data-CostAssumptions'!$G$3)^(AB335-'Data-CostAssumptions'!$G$4),-3)</f>
        <v>183000</v>
      </c>
      <c r="AF335" s="19">
        <f>ROUND((Z335)*(1+'Data-CostAssumptions'!$G$3)^(AD335-'Data-CostAssumptions'!$G$4),-3)</f>
        <v>833000</v>
      </c>
      <c r="AG335" s="170" t="str">
        <f t="shared" si="17"/>
        <v>No</v>
      </c>
    </row>
    <row r="336" spans="1:33" ht="15" customHeight="1" x14ac:dyDescent="0.2">
      <c r="A336" s="11"/>
      <c r="B336" s="11" t="s">
        <v>1211</v>
      </c>
      <c r="C336" s="13">
        <v>719</v>
      </c>
      <c r="D336" s="13" t="s">
        <v>420</v>
      </c>
      <c r="E336" s="20">
        <v>198</v>
      </c>
      <c r="F336" s="20">
        <v>182</v>
      </c>
      <c r="G336" s="20">
        <v>97</v>
      </c>
      <c r="H336" s="13" t="s">
        <v>2787</v>
      </c>
      <c r="I336" s="13" t="str">
        <f t="shared" si="15"/>
        <v>SR 822/Sheridan St (US 1/Federal Hwy to North 26th Av/Oakland Bl)</v>
      </c>
      <c r="J336" s="13" t="s">
        <v>29</v>
      </c>
      <c r="K336" s="13" t="str">
        <f>VLOOKUP(J336,'Data-ProjectTypes'!A$3:B$13,2,FALSE)</f>
        <v>Program</v>
      </c>
      <c r="L336" s="21"/>
      <c r="M336" s="13" t="s">
        <v>2594</v>
      </c>
      <c r="N336" s="13" t="s">
        <v>2284</v>
      </c>
      <c r="O336" s="13" t="s">
        <v>270</v>
      </c>
      <c r="P336" s="13" t="s">
        <v>270</v>
      </c>
      <c r="Q336" s="22">
        <v>1</v>
      </c>
      <c r="R336" s="23">
        <v>234507</v>
      </c>
      <c r="S336" s="21" t="s">
        <v>24</v>
      </c>
      <c r="T336" s="21" t="s">
        <v>684</v>
      </c>
      <c r="U336" s="21" t="s">
        <v>684</v>
      </c>
      <c r="V336" s="24"/>
      <c r="W336" s="24"/>
      <c r="X336" s="24"/>
      <c r="Y336" s="17" t="s">
        <v>685</v>
      </c>
      <c r="Z336" s="18">
        <f>ROUND(R336*'Data-CostAssumptions'!$C$3,-3)</f>
        <v>325000</v>
      </c>
      <c r="AA336" s="11">
        <f t="shared" si="16"/>
        <v>0</v>
      </c>
      <c r="AB336" s="11">
        <v>2041</v>
      </c>
      <c r="AC336" s="11">
        <v>2041</v>
      </c>
      <c r="AD336" s="11">
        <v>2041</v>
      </c>
      <c r="AE336" s="19">
        <f>ROUND((Z336*'Data-CostAssumptions'!$G$5)*(1+'Data-CostAssumptions'!$G$3)^(AB336-'Data-CostAssumptions'!$G$4),-3)</f>
        <v>183000</v>
      </c>
      <c r="AF336" s="19">
        <f>ROUND((Z336)*(1+'Data-CostAssumptions'!$G$3)^(AD336-'Data-CostAssumptions'!$G$4),-3)</f>
        <v>833000</v>
      </c>
      <c r="AG336" s="170" t="str">
        <f t="shared" si="17"/>
        <v>No</v>
      </c>
    </row>
    <row r="337" spans="1:33" ht="15" customHeight="1" x14ac:dyDescent="0.2">
      <c r="A337" s="11"/>
      <c r="B337" s="11" t="s">
        <v>1211</v>
      </c>
      <c r="C337" s="13">
        <v>796</v>
      </c>
      <c r="D337" s="13" t="s">
        <v>420</v>
      </c>
      <c r="E337" s="20">
        <v>73</v>
      </c>
      <c r="F337" s="20">
        <v>186</v>
      </c>
      <c r="G337" s="20">
        <v>172</v>
      </c>
      <c r="H337" s="13" t="s">
        <v>2799</v>
      </c>
      <c r="I337" s="13" t="str">
        <f t="shared" si="15"/>
        <v>SR 845/Powerline Rd (Commercial Bl to NW 62nd St/Cypress Creek Rd)</v>
      </c>
      <c r="J337" s="13" t="s">
        <v>29</v>
      </c>
      <c r="K337" s="13" t="str">
        <f>VLOOKUP(J337,'Data-ProjectTypes'!A$3:B$13,2,FALSE)</f>
        <v>Program</v>
      </c>
      <c r="L337" s="21" t="s">
        <v>348</v>
      </c>
      <c r="M337" s="13" t="s">
        <v>1813</v>
      </c>
      <c r="N337" s="13" t="s">
        <v>1928</v>
      </c>
      <c r="O337" s="13" t="s">
        <v>270</v>
      </c>
      <c r="P337" s="13" t="s">
        <v>270</v>
      </c>
      <c r="Q337" s="22">
        <v>1</v>
      </c>
      <c r="R337" s="23">
        <v>235052</v>
      </c>
      <c r="S337" s="21" t="s">
        <v>24</v>
      </c>
      <c r="T337" s="21" t="s">
        <v>684</v>
      </c>
      <c r="U337" s="21" t="s">
        <v>684</v>
      </c>
      <c r="V337" s="24"/>
      <c r="W337" s="24" t="s">
        <v>1108</v>
      </c>
      <c r="X337" s="24"/>
      <c r="Y337" s="17" t="s">
        <v>1110</v>
      </c>
      <c r="Z337" s="18">
        <f>ROUND(R337*'Data-CostAssumptions'!$C$3,-3)</f>
        <v>325000</v>
      </c>
      <c r="AA337" s="11">
        <f t="shared" si="16"/>
        <v>1</v>
      </c>
      <c r="AB337" s="11">
        <v>2041</v>
      </c>
      <c r="AC337" s="11">
        <v>2041</v>
      </c>
      <c r="AD337" s="11">
        <v>2041</v>
      </c>
      <c r="AE337" s="19">
        <f>ROUND((Z337*'Data-CostAssumptions'!$G$5)*(1+'Data-CostAssumptions'!$G$3)^(AB337-'Data-CostAssumptions'!$G$4),-3)</f>
        <v>183000</v>
      </c>
      <c r="AF337" s="19">
        <f>ROUND((Z337)*(1+'Data-CostAssumptions'!$G$3)^(AD337-'Data-CostAssumptions'!$G$4),-3)</f>
        <v>833000</v>
      </c>
      <c r="AG337" s="170" t="str">
        <f t="shared" si="17"/>
        <v>No</v>
      </c>
    </row>
    <row r="338" spans="1:33" ht="15" customHeight="1" x14ac:dyDescent="0.2">
      <c r="A338" s="11"/>
      <c r="B338" s="11" t="s">
        <v>1211</v>
      </c>
      <c r="C338" s="13">
        <v>855</v>
      </c>
      <c r="D338" s="13" t="s">
        <v>420</v>
      </c>
      <c r="E338" s="20">
        <v>89</v>
      </c>
      <c r="F338" s="20">
        <v>190</v>
      </c>
      <c r="G338" s="20">
        <v>232</v>
      </c>
      <c r="H338" s="13" t="s">
        <v>1189</v>
      </c>
      <c r="I338" s="13" t="str">
        <f t="shared" si="15"/>
        <v>NW 44th St (NW 21st Av to NW 31st Av)</v>
      </c>
      <c r="J338" s="13" t="s">
        <v>29</v>
      </c>
      <c r="K338" s="13" t="str">
        <f>VLOOKUP(J338,'Data-ProjectTypes'!A$3:B$13,2,FALSE)</f>
        <v>Program</v>
      </c>
      <c r="L338" s="21" t="s">
        <v>710</v>
      </c>
      <c r="M338" s="13" t="s">
        <v>2057</v>
      </c>
      <c r="N338" s="13" t="s">
        <v>2062</v>
      </c>
      <c r="O338" s="13" t="s">
        <v>272</v>
      </c>
      <c r="P338" s="13" t="s">
        <v>272</v>
      </c>
      <c r="Q338" s="22">
        <v>1</v>
      </c>
      <c r="R338" s="23">
        <v>235135</v>
      </c>
      <c r="S338" s="21" t="s">
        <v>24</v>
      </c>
      <c r="T338" s="21" t="s">
        <v>25</v>
      </c>
      <c r="U338" s="21" t="s">
        <v>25</v>
      </c>
      <c r="V338" s="24"/>
      <c r="W338" s="24"/>
      <c r="X338" s="24"/>
      <c r="Y338" s="17" t="s">
        <v>685</v>
      </c>
      <c r="Z338" s="18">
        <f>ROUND(R338*'Data-CostAssumptions'!$C$3,-3)</f>
        <v>325000</v>
      </c>
      <c r="AA338" s="11">
        <f t="shared" si="16"/>
        <v>0</v>
      </c>
      <c r="AB338" s="11">
        <v>2041</v>
      </c>
      <c r="AC338" s="11">
        <v>2041</v>
      </c>
      <c r="AD338" s="11">
        <v>2041</v>
      </c>
      <c r="AE338" s="19">
        <f>ROUND((Z338*'Data-CostAssumptions'!$G$5)*(1+'Data-CostAssumptions'!$G$3)^(AB338-'Data-CostAssumptions'!$G$4),-3)</f>
        <v>183000</v>
      </c>
      <c r="AF338" s="19">
        <f>ROUND((Z338)*(1+'Data-CostAssumptions'!$G$3)^(AD338-'Data-CostAssumptions'!$G$4),-3)</f>
        <v>833000</v>
      </c>
      <c r="AG338" s="170" t="str">
        <f t="shared" si="17"/>
        <v>No</v>
      </c>
    </row>
    <row r="339" spans="1:33" ht="15" customHeight="1" x14ac:dyDescent="0.2">
      <c r="A339" s="11"/>
      <c r="B339" s="11" t="s">
        <v>1211</v>
      </c>
      <c r="C339" s="13">
        <v>955</v>
      </c>
      <c r="D339" s="13" t="s">
        <v>420</v>
      </c>
      <c r="E339" s="20">
        <v>287</v>
      </c>
      <c r="F339" s="20">
        <v>195</v>
      </c>
      <c r="G339" s="20">
        <v>330</v>
      </c>
      <c r="H339" s="13" t="s">
        <v>1810</v>
      </c>
      <c r="I339" s="13" t="str">
        <f t="shared" si="15"/>
        <v>Bonaventure Bl (Saddle Club Rd to State Rd 84)</v>
      </c>
      <c r="J339" s="13" t="s">
        <v>29</v>
      </c>
      <c r="K339" s="13" t="str">
        <f>VLOOKUP(J339,'Data-ProjectTypes'!A$3:B$13,2,FALSE)</f>
        <v>Program</v>
      </c>
      <c r="L339" s="21" t="s">
        <v>837</v>
      </c>
      <c r="M339" s="13" t="s">
        <v>1863</v>
      </c>
      <c r="N339" s="13" t="s">
        <v>1774</v>
      </c>
      <c r="O339" s="13" t="s">
        <v>277</v>
      </c>
      <c r="P339" s="13" t="s">
        <v>277</v>
      </c>
      <c r="Q339" s="22">
        <v>1</v>
      </c>
      <c r="R339" s="23">
        <v>234628</v>
      </c>
      <c r="S339" s="21"/>
      <c r="T339" s="21"/>
      <c r="U339" s="21" t="s">
        <v>24</v>
      </c>
      <c r="V339" s="24"/>
      <c r="W339" s="24" t="s">
        <v>850</v>
      </c>
      <c r="X339" s="24"/>
      <c r="Y339" s="17" t="s">
        <v>849</v>
      </c>
      <c r="Z339" s="18">
        <f>ROUND(R339*'Data-CostAssumptions'!$C$3,-3)</f>
        <v>325000</v>
      </c>
      <c r="AA339" s="11">
        <f t="shared" si="16"/>
        <v>1</v>
      </c>
      <c r="AB339" s="11">
        <v>2041</v>
      </c>
      <c r="AC339" s="11">
        <v>2041</v>
      </c>
      <c r="AD339" s="11">
        <v>2041</v>
      </c>
      <c r="AE339" s="19">
        <f>ROUND((Z339*'Data-CostAssumptions'!$G$5)*(1+'Data-CostAssumptions'!$G$3)^(AB339-'Data-CostAssumptions'!$G$4),-3)</f>
        <v>183000</v>
      </c>
      <c r="AF339" s="19">
        <f>ROUND((Z339)*(1+'Data-CostAssumptions'!$G$3)^(AD339-'Data-CostAssumptions'!$G$4),-3)</f>
        <v>833000</v>
      </c>
      <c r="AG339" s="170" t="str">
        <f t="shared" si="17"/>
        <v>No</v>
      </c>
    </row>
    <row r="340" spans="1:33" ht="15" customHeight="1" x14ac:dyDescent="0.2">
      <c r="A340" s="11"/>
      <c r="B340" s="11" t="s">
        <v>1211</v>
      </c>
      <c r="C340" s="13">
        <v>879</v>
      </c>
      <c r="D340" s="13" t="s">
        <v>420</v>
      </c>
      <c r="E340" s="20">
        <v>296</v>
      </c>
      <c r="F340" s="20">
        <v>191</v>
      </c>
      <c r="G340" s="20">
        <v>256</v>
      </c>
      <c r="H340" s="13" t="s">
        <v>1911</v>
      </c>
      <c r="I340" s="13" t="str">
        <f t="shared" si="15"/>
        <v>NW 19th St (Powerline Rd to NW 21st Av/NW 23rd Av)</v>
      </c>
      <c r="J340" s="13" t="s">
        <v>29</v>
      </c>
      <c r="K340" s="13" t="str">
        <f>VLOOKUP(J340,'Data-ProjectTypes'!A$3:B$13,2,FALSE)</f>
        <v>Program</v>
      </c>
      <c r="L340" s="21" t="s">
        <v>348</v>
      </c>
      <c r="M340" s="13" t="s">
        <v>1858</v>
      </c>
      <c r="N340" s="13" t="s">
        <v>2058</v>
      </c>
      <c r="O340" s="13" t="s">
        <v>273</v>
      </c>
      <c r="P340" s="13" t="s">
        <v>273</v>
      </c>
      <c r="Q340" s="22">
        <v>1</v>
      </c>
      <c r="R340" s="23">
        <v>234348</v>
      </c>
      <c r="S340" s="21" t="s">
        <v>1122</v>
      </c>
      <c r="T340" s="29" t="s">
        <v>1123</v>
      </c>
      <c r="U340" s="21" t="s">
        <v>1122</v>
      </c>
      <c r="V340" s="24" t="s">
        <v>1121</v>
      </c>
      <c r="W340" s="24"/>
      <c r="X340" s="24" t="s">
        <v>1117</v>
      </c>
      <c r="Y340" s="17" t="s">
        <v>1120</v>
      </c>
      <c r="Z340" s="18">
        <f>ROUND(R340*'Data-CostAssumptions'!$C$3,-3)</f>
        <v>324000</v>
      </c>
      <c r="AA340" s="11">
        <f t="shared" si="16"/>
        <v>1</v>
      </c>
      <c r="AB340" s="11">
        <v>2041</v>
      </c>
      <c r="AC340" s="11">
        <v>2041</v>
      </c>
      <c r="AD340" s="11">
        <v>2041</v>
      </c>
      <c r="AE340" s="19">
        <f>ROUND((Z340*'Data-CostAssumptions'!$G$5)*(1+'Data-CostAssumptions'!$G$3)^(AB340-'Data-CostAssumptions'!$G$4),-3)</f>
        <v>183000</v>
      </c>
      <c r="AF340" s="19">
        <f>ROUND((Z340)*(1+'Data-CostAssumptions'!$G$3)^(AD340-'Data-CostAssumptions'!$G$4),-3)</f>
        <v>831000</v>
      </c>
      <c r="AG340" s="170" t="str">
        <f t="shared" si="17"/>
        <v>No</v>
      </c>
    </row>
    <row r="341" spans="1:33" ht="15" customHeight="1" x14ac:dyDescent="0.2">
      <c r="A341" s="11"/>
      <c r="B341" s="11" t="s">
        <v>1211</v>
      </c>
      <c r="C341" s="13">
        <v>690</v>
      </c>
      <c r="D341" s="13" t="s">
        <v>420</v>
      </c>
      <c r="E341" s="20">
        <v>29</v>
      </c>
      <c r="F341" s="20">
        <v>180</v>
      </c>
      <c r="G341" s="20">
        <v>69</v>
      </c>
      <c r="H341" s="13" t="s">
        <v>2033</v>
      </c>
      <c r="I341" s="13" t="str">
        <f t="shared" si="15"/>
        <v>NE 3rd Av (Sample Rd to 48th St)</v>
      </c>
      <c r="J341" s="13" t="s">
        <v>29</v>
      </c>
      <c r="K341" s="13" t="str">
        <f>VLOOKUP(J341,'Data-ProjectTypes'!A$3:B$13,2,FALSE)</f>
        <v>Program</v>
      </c>
      <c r="L341" s="21" t="s">
        <v>511</v>
      </c>
      <c r="M341" s="13" t="s">
        <v>1864</v>
      </c>
      <c r="N341" s="13" t="s">
        <v>2512</v>
      </c>
      <c r="O341" s="13" t="s">
        <v>289</v>
      </c>
      <c r="P341" s="13" t="s">
        <v>289</v>
      </c>
      <c r="Q341" s="22">
        <v>1</v>
      </c>
      <c r="R341" s="23">
        <v>234455</v>
      </c>
      <c r="S341" s="12" t="s">
        <v>24</v>
      </c>
      <c r="T341" s="21" t="s">
        <v>25</v>
      </c>
      <c r="U341" s="21" t="s">
        <v>24</v>
      </c>
      <c r="V341" s="24" t="s">
        <v>561</v>
      </c>
      <c r="W341" s="24"/>
      <c r="X341" s="24"/>
      <c r="Y341" s="17" t="s">
        <v>538</v>
      </c>
      <c r="Z341" s="18">
        <f>ROUND(R341*'Data-CostAssumptions'!$C$3,-3)</f>
        <v>324000</v>
      </c>
      <c r="AA341" s="11">
        <f t="shared" si="16"/>
        <v>1</v>
      </c>
      <c r="AB341" s="11">
        <v>2041</v>
      </c>
      <c r="AC341" s="11">
        <v>2041</v>
      </c>
      <c r="AD341" s="11">
        <v>2041</v>
      </c>
      <c r="AE341" s="19">
        <f>ROUND((Z341*'Data-CostAssumptions'!$G$5)*(1+'Data-CostAssumptions'!$G$3)^(AB341-'Data-CostAssumptions'!$G$4),-3)</f>
        <v>183000</v>
      </c>
      <c r="AF341" s="19">
        <f>ROUND((Z341)*(1+'Data-CostAssumptions'!$G$3)^(AD341-'Data-CostAssumptions'!$G$4),-3)</f>
        <v>831000</v>
      </c>
      <c r="AG341" s="170" t="str">
        <f t="shared" si="17"/>
        <v>No</v>
      </c>
    </row>
    <row r="342" spans="1:33" ht="15" customHeight="1" x14ac:dyDescent="0.2">
      <c r="A342" s="11"/>
      <c r="B342" s="11" t="s">
        <v>1211</v>
      </c>
      <c r="C342" s="13">
        <v>843</v>
      </c>
      <c r="D342" s="13" t="s">
        <v>420</v>
      </c>
      <c r="E342" s="20">
        <v>40</v>
      </c>
      <c r="F342" s="20">
        <v>189</v>
      </c>
      <c r="G342" s="20">
        <v>219</v>
      </c>
      <c r="H342" s="13" t="s">
        <v>2024</v>
      </c>
      <c r="I342" s="13" t="str">
        <f t="shared" si="15"/>
        <v>NE 15th Av (Sample Rd to NE 48th St)</v>
      </c>
      <c r="J342" s="13" t="s">
        <v>29</v>
      </c>
      <c r="K342" s="13" t="str">
        <f>VLOOKUP(J342,'Data-ProjectTypes'!A$3:B$13,2,FALSE)</f>
        <v>Program</v>
      </c>
      <c r="L342" s="21" t="s">
        <v>348</v>
      </c>
      <c r="M342" s="13" t="s">
        <v>1864</v>
      </c>
      <c r="N342" s="13" t="s">
        <v>1895</v>
      </c>
      <c r="O342" s="13" t="s">
        <v>275</v>
      </c>
      <c r="P342" s="13" t="s">
        <v>275</v>
      </c>
      <c r="Q342" s="22">
        <v>1</v>
      </c>
      <c r="R342" s="23">
        <v>233797</v>
      </c>
      <c r="S342" s="21" t="s">
        <v>24</v>
      </c>
      <c r="T342" s="21" t="s">
        <v>25</v>
      </c>
      <c r="U342" s="21" t="s">
        <v>24</v>
      </c>
      <c r="V342" s="24" t="s">
        <v>561</v>
      </c>
      <c r="W342" s="24"/>
      <c r="X342" s="24"/>
      <c r="Y342" s="17" t="s">
        <v>538</v>
      </c>
      <c r="Z342" s="18">
        <f>ROUND(R342*'Data-CostAssumptions'!$C$3,-3)</f>
        <v>324000</v>
      </c>
      <c r="AA342" s="11">
        <f t="shared" si="16"/>
        <v>1</v>
      </c>
      <c r="AB342" s="11">
        <v>2041</v>
      </c>
      <c r="AC342" s="11">
        <v>2041</v>
      </c>
      <c r="AD342" s="11">
        <v>2041</v>
      </c>
      <c r="AE342" s="19">
        <f>ROUND((Z342*'Data-CostAssumptions'!$G$5)*(1+'Data-CostAssumptions'!$G$3)^(AB342-'Data-CostAssumptions'!$G$4),-3)</f>
        <v>183000</v>
      </c>
      <c r="AF342" s="19">
        <f>ROUND((Z342)*(1+'Data-CostAssumptions'!$G$3)^(AD342-'Data-CostAssumptions'!$G$4),-3)</f>
        <v>831000</v>
      </c>
      <c r="AG342" s="170" t="str">
        <f t="shared" si="17"/>
        <v>No</v>
      </c>
    </row>
    <row r="343" spans="1:33" ht="15" customHeight="1" x14ac:dyDescent="0.2">
      <c r="A343" s="11"/>
      <c r="B343" s="11" t="s">
        <v>1211</v>
      </c>
      <c r="C343" s="13">
        <v>763</v>
      </c>
      <c r="D343" s="13" t="s">
        <v>420</v>
      </c>
      <c r="E343" s="20">
        <v>200</v>
      </c>
      <c r="F343" s="20">
        <v>184</v>
      </c>
      <c r="G343" s="20">
        <v>140</v>
      </c>
      <c r="H343" s="13" t="s">
        <v>1880</v>
      </c>
      <c r="I343" s="13" t="str">
        <f t="shared" si="15"/>
        <v>Johnson St (US 1/Federal Hwy to North 26th Av)</v>
      </c>
      <c r="J343" s="13" t="s">
        <v>29</v>
      </c>
      <c r="K343" s="13" t="str">
        <f>VLOOKUP(J343,'Data-ProjectTypes'!A$3:B$13,2,FALSE)</f>
        <v>Program</v>
      </c>
      <c r="L343" s="21" t="s">
        <v>572</v>
      </c>
      <c r="M343" s="13" t="s">
        <v>2594</v>
      </c>
      <c r="N343" s="13" t="s">
        <v>2039</v>
      </c>
      <c r="O343" s="13" t="s">
        <v>282</v>
      </c>
      <c r="P343" s="13" t="s">
        <v>282</v>
      </c>
      <c r="Q343" s="22">
        <v>1</v>
      </c>
      <c r="R343" s="23">
        <v>234092</v>
      </c>
      <c r="S343" s="21" t="s">
        <v>24</v>
      </c>
      <c r="T343" s="21"/>
      <c r="U343" s="21"/>
      <c r="V343" s="24"/>
      <c r="W343" s="24"/>
      <c r="X343" s="24"/>
      <c r="Y343" s="17" t="s">
        <v>460</v>
      </c>
      <c r="Z343" s="18">
        <f>ROUND(R343*'Data-CostAssumptions'!$C$3,-3)</f>
        <v>324000</v>
      </c>
      <c r="AA343" s="11">
        <f t="shared" si="16"/>
        <v>0</v>
      </c>
      <c r="AB343" s="11">
        <v>2041</v>
      </c>
      <c r="AC343" s="11">
        <v>2041</v>
      </c>
      <c r="AD343" s="11">
        <v>2041</v>
      </c>
      <c r="AE343" s="19">
        <f>ROUND((Z343*'Data-CostAssumptions'!$G$5)*(1+'Data-CostAssumptions'!$G$3)^(AB343-'Data-CostAssumptions'!$G$4),-3)</f>
        <v>183000</v>
      </c>
      <c r="AF343" s="19">
        <f>ROUND((Z343)*(1+'Data-CostAssumptions'!$G$3)^(AD343-'Data-CostAssumptions'!$G$4),-3)</f>
        <v>831000</v>
      </c>
      <c r="AG343" s="170" t="str">
        <f t="shared" si="17"/>
        <v>No</v>
      </c>
    </row>
    <row r="344" spans="1:33" ht="15" customHeight="1" x14ac:dyDescent="0.2">
      <c r="A344" s="11"/>
      <c r="B344" s="11" t="s">
        <v>1211</v>
      </c>
      <c r="C344" s="13">
        <v>936</v>
      </c>
      <c r="D344" s="13" t="s">
        <v>420</v>
      </c>
      <c r="E344" s="20">
        <v>188</v>
      </c>
      <c r="F344" s="20">
        <v>194</v>
      </c>
      <c r="G344" s="20">
        <v>312</v>
      </c>
      <c r="H344" s="13" t="s">
        <v>1857</v>
      </c>
      <c r="I344" s="13" t="str">
        <f t="shared" si="15"/>
        <v>Park Rd (Sheridan St to Stirling Rd)</v>
      </c>
      <c r="J344" s="13" t="s">
        <v>29</v>
      </c>
      <c r="K344" s="13" t="str">
        <f>VLOOKUP(J344,'Data-ProjectTypes'!A$3:B$13,2,FALSE)</f>
        <v>Program</v>
      </c>
      <c r="L344" s="21" t="s">
        <v>562</v>
      </c>
      <c r="M344" s="13" t="s">
        <v>1951</v>
      </c>
      <c r="N344" s="13" t="s">
        <v>177</v>
      </c>
      <c r="O344" s="13" t="s">
        <v>282</v>
      </c>
      <c r="P344" s="13" t="s">
        <v>282</v>
      </c>
      <c r="Q344" s="22">
        <v>1</v>
      </c>
      <c r="R344" s="23">
        <v>234226</v>
      </c>
      <c r="S344" s="21"/>
      <c r="T344" s="21"/>
      <c r="U344" s="21"/>
      <c r="V344" s="24"/>
      <c r="W344" s="24" t="s">
        <v>491</v>
      </c>
      <c r="X344" s="24"/>
      <c r="Y344" s="17" t="s">
        <v>492</v>
      </c>
      <c r="Z344" s="18">
        <f>ROUND(R344*'Data-CostAssumptions'!$C$3,-3)</f>
        <v>324000</v>
      </c>
      <c r="AA344" s="11">
        <f t="shared" si="16"/>
        <v>1</v>
      </c>
      <c r="AB344" s="11">
        <v>2041</v>
      </c>
      <c r="AC344" s="11">
        <v>2041</v>
      </c>
      <c r="AD344" s="11">
        <v>2041</v>
      </c>
      <c r="AE344" s="19">
        <f>ROUND((Z344*'Data-CostAssumptions'!$G$5)*(1+'Data-CostAssumptions'!$G$3)^(AB344-'Data-CostAssumptions'!$G$4),-3)</f>
        <v>183000</v>
      </c>
      <c r="AF344" s="19">
        <f>ROUND((Z344)*(1+'Data-CostAssumptions'!$G$3)^(AD344-'Data-CostAssumptions'!$G$4),-3)</f>
        <v>831000</v>
      </c>
      <c r="AG344" s="170" t="str">
        <f t="shared" si="17"/>
        <v>No</v>
      </c>
    </row>
    <row r="345" spans="1:33" ht="15" customHeight="1" x14ac:dyDescent="0.2">
      <c r="A345" s="11"/>
      <c r="B345" s="11" t="s">
        <v>1211</v>
      </c>
      <c r="C345" s="13">
        <v>803</v>
      </c>
      <c r="D345" s="13" t="s">
        <v>420</v>
      </c>
      <c r="E345" s="20">
        <v>124</v>
      </c>
      <c r="F345" s="20">
        <v>187</v>
      </c>
      <c r="G345" s="20">
        <v>179</v>
      </c>
      <c r="H345" s="13" t="s">
        <v>2710</v>
      </c>
      <c r="I345" s="13" t="str">
        <f t="shared" si="15"/>
        <v>SR 816/Oakland Park Bl (NE 6th Av to NW 9th Av/Powerline Rd)</v>
      </c>
      <c r="J345" s="13" t="s">
        <v>29</v>
      </c>
      <c r="K345" s="13" t="str">
        <f>VLOOKUP(J345,'Data-ProjectTypes'!A$3:B$13,2,FALSE)</f>
        <v>Program</v>
      </c>
      <c r="L345" s="26" t="s">
        <v>847</v>
      </c>
      <c r="M345" s="13" t="s">
        <v>2036</v>
      </c>
      <c r="N345" s="13" t="s">
        <v>2439</v>
      </c>
      <c r="O345" s="13" t="s">
        <v>270</v>
      </c>
      <c r="P345" s="13" t="s">
        <v>270</v>
      </c>
      <c r="Q345" s="22">
        <v>1</v>
      </c>
      <c r="R345" s="23">
        <v>233388</v>
      </c>
      <c r="S345" s="21" t="s">
        <v>24</v>
      </c>
      <c r="T345" s="21"/>
      <c r="U345" s="21"/>
      <c r="V345" s="24"/>
      <c r="W345" s="24"/>
      <c r="X345" s="24"/>
      <c r="Y345" s="17" t="s">
        <v>469</v>
      </c>
      <c r="Z345" s="18">
        <f>ROUND(R345*'Data-CostAssumptions'!$C$3,-3)</f>
        <v>323000</v>
      </c>
      <c r="AA345" s="11">
        <f t="shared" si="16"/>
        <v>0</v>
      </c>
      <c r="AB345" s="11">
        <v>2041</v>
      </c>
      <c r="AC345" s="11">
        <v>2041</v>
      </c>
      <c r="AD345" s="11">
        <v>2041</v>
      </c>
      <c r="AE345" s="19">
        <f>ROUND((Z345*'Data-CostAssumptions'!$G$5)*(1+'Data-CostAssumptions'!$G$3)^(AB345-'Data-CostAssumptions'!$G$4),-3)</f>
        <v>182000</v>
      </c>
      <c r="AF345" s="19">
        <f>ROUND((Z345)*(1+'Data-CostAssumptions'!$G$3)^(AD345-'Data-CostAssumptions'!$G$4),-3)</f>
        <v>828000</v>
      </c>
      <c r="AG345" s="170" t="str">
        <f t="shared" si="17"/>
        <v>No</v>
      </c>
    </row>
    <row r="346" spans="1:33" ht="15" customHeight="1" x14ac:dyDescent="0.2">
      <c r="A346" s="11"/>
      <c r="B346" s="11" t="s">
        <v>1211</v>
      </c>
      <c r="C346" s="13">
        <v>849</v>
      </c>
      <c r="D346" s="13" t="s">
        <v>420</v>
      </c>
      <c r="E346" s="20">
        <v>74</v>
      </c>
      <c r="F346" s="20">
        <v>189</v>
      </c>
      <c r="G346" s="20">
        <v>225</v>
      </c>
      <c r="H346" s="13" t="s">
        <v>2026</v>
      </c>
      <c r="I346" s="13" t="str">
        <f t="shared" si="15"/>
        <v>NE 18th Av (Commercial Bl to NE 62nd St/Cypress Creek Rd)</v>
      </c>
      <c r="J346" s="13" t="s">
        <v>29</v>
      </c>
      <c r="K346" s="13" t="str">
        <f>VLOOKUP(J346,'Data-ProjectTypes'!A$3:B$13,2,FALSE)</f>
        <v>Program</v>
      </c>
      <c r="L346" s="21" t="s">
        <v>348</v>
      </c>
      <c r="M346" s="13" t="s">
        <v>1813</v>
      </c>
      <c r="N346" s="13" t="s">
        <v>1901</v>
      </c>
      <c r="O346" s="13" t="s">
        <v>276</v>
      </c>
      <c r="P346" s="13" t="s">
        <v>276</v>
      </c>
      <c r="Q346" s="22">
        <v>1</v>
      </c>
      <c r="R346" s="23">
        <v>233388</v>
      </c>
      <c r="S346" s="21"/>
      <c r="T346" s="21"/>
      <c r="U346" s="21"/>
      <c r="V346" s="24"/>
      <c r="W346" s="24"/>
      <c r="X346" s="24"/>
      <c r="Y346" s="17"/>
      <c r="Z346" s="18">
        <f>ROUND(R346*'Data-CostAssumptions'!$C$3,-3)</f>
        <v>323000</v>
      </c>
      <c r="AA346" s="11">
        <f t="shared" si="16"/>
        <v>0</v>
      </c>
      <c r="AB346" s="11">
        <v>2041</v>
      </c>
      <c r="AC346" s="11">
        <v>2041</v>
      </c>
      <c r="AD346" s="11">
        <v>2041</v>
      </c>
      <c r="AE346" s="19">
        <f>ROUND((Z346*'Data-CostAssumptions'!$G$5)*(1+'Data-CostAssumptions'!$G$3)^(AB346-'Data-CostAssumptions'!$G$4),-3)</f>
        <v>182000</v>
      </c>
      <c r="AF346" s="19">
        <f>ROUND((Z346)*(1+'Data-CostAssumptions'!$G$3)^(AD346-'Data-CostAssumptions'!$G$4),-3)</f>
        <v>828000</v>
      </c>
      <c r="AG346" s="170" t="str">
        <f t="shared" si="17"/>
        <v>No</v>
      </c>
    </row>
    <row r="347" spans="1:33" ht="15" customHeight="1" x14ac:dyDescent="0.2">
      <c r="A347" s="11"/>
      <c r="B347" s="11" t="s">
        <v>1211</v>
      </c>
      <c r="C347" s="13">
        <v>941</v>
      </c>
      <c r="D347" s="13" t="s">
        <v>420</v>
      </c>
      <c r="E347" s="20">
        <v>270</v>
      </c>
      <c r="F347" s="20">
        <v>194</v>
      </c>
      <c r="G347" s="20">
        <v>317</v>
      </c>
      <c r="H347" s="13" t="s">
        <v>2107</v>
      </c>
      <c r="I347" s="13" t="str">
        <f t="shared" si="15"/>
        <v>SW 160th Av (Sheridan St to Stirling Rd)</v>
      </c>
      <c r="J347" s="13" t="s">
        <v>29</v>
      </c>
      <c r="K347" s="13" t="str">
        <f>VLOOKUP(J347,'Data-ProjectTypes'!A$3:B$13,2,FALSE)</f>
        <v>Program</v>
      </c>
      <c r="L347" s="21" t="s">
        <v>348</v>
      </c>
      <c r="M347" s="13" t="s">
        <v>1951</v>
      </c>
      <c r="N347" s="13" t="s">
        <v>177</v>
      </c>
      <c r="O347" s="13" t="s">
        <v>272</v>
      </c>
      <c r="P347" s="13" t="s">
        <v>272</v>
      </c>
      <c r="Q347" s="22">
        <v>1</v>
      </c>
      <c r="R347" s="23">
        <v>233220</v>
      </c>
      <c r="S347" s="21"/>
      <c r="T347" s="21"/>
      <c r="U347" s="21"/>
      <c r="V347" s="24"/>
      <c r="W347" s="24"/>
      <c r="X347" s="24"/>
      <c r="Y347" s="17"/>
      <c r="Z347" s="18">
        <f>ROUND(R347*'Data-CostAssumptions'!$C$3,-3)</f>
        <v>323000</v>
      </c>
      <c r="AA347" s="11">
        <f t="shared" si="16"/>
        <v>0</v>
      </c>
      <c r="AB347" s="11">
        <v>2041</v>
      </c>
      <c r="AC347" s="11">
        <v>2041</v>
      </c>
      <c r="AD347" s="11">
        <v>2041</v>
      </c>
      <c r="AE347" s="19">
        <f>ROUND((Z347*'Data-CostAssumptions'!$G$5)*(1+'Data-CostAssumptions'!$G$3)^(AB347-'Data-CostAssumptions'!$G$4),-3)</f>
        <v>182000</v>
      </c>
      <c r="AF347" s="19">
        <f>ROUND((Z347)*(1+'Data-CostAssumptions'!$G$3)^(AD347-'Data-CostAssumptions'!$G$4),-3)</f>
        <v>828000</v>
      </c>
      <c r="AG347" s="170" t="str">
        <f t="shared" si="17"/>
        <v>No</v>
      </c>
    </row>
    <row r="348" spans="1:33" ht="15" customHeight="1" x14ac:dyDescent="0.2">
      <c r="A348" s="11"/>
      <c r="B348" s="11" t="s">
        <v>1211</v>
      </c>
      <c r="C348" s="13">
        <v>720</v>
      </c>
      <c r="D348" s="13" t="s">
        <v>420</v>
      </c>
      <c r="E348" s="20">
        <v>199</v>
      </c>
      <c r="F348" s="20">
        <v>182</v>
      </c>
      <c r="G348" s="20">
        <v>98</v>
      </c>
      <c r="H348" s="13" t="s">
        <v>1968</v>
      </c>
      <c r="I348" s="13" t="str">
        <f t="shared" si="15"/>
        <v>Taft St (US 1/Federal Hwy to North 26th Av)</v>
      </c>
      <c r="J348" s="13" t="s">
        <v>29</v>
      </c>
      <c r="K348" s="13" t="str">
        <f>VLOOKUP(J348,'Data-ProjectTypes'!A$3:B$13,2,FALSE)</f>
        <v>Program</v>
      </c>
      <c r="L348" s="21" t="s">
        <v>562</v>
      </c>
      <c r="M348" s="13" t="s">
        <v>2594</v>
      </c>
      <c r="N348" s="13" t="s">
        <v>2039</v>
      </c>
      <c r="O348" s="13" t="s">
        <v>282</v>
      </c>
      <c r="P348" s="13" t="s">
        <v>282</v>
      </c>
      <c r="Q348" s="22">
        <v>1</v>
      </c>
      <c r="R348" s="23">
        <v>232402</v>
      </c>
      <c r="S348" s="21"/>
      <c r="T348" s="21"/>
      <c r="U348" s="21"/>
      <c r="V348" s="24"/>
      <c r="W348" s="24"/>
      <c r="X348" s="24"/>
      <c r="Y348" s="17"/>
      <c r="Z348" s="18">
        <f>ROUND(R348*'Data-CostAssumptions'!$C$3,-3)</f>
        <v>322000</v>
      </c>
      <c r="AA348" s="11">
        <f t="shared" si="16"/>
        <v>0</v>
      </c>
      <c r="AB348" s="11">
        <v>2041</v>
      </c>
      <c r="AC348" s="11">
        <v>2041</v>
      </c>
      <c r="AD348" s="11">
        <v>2041</v>
      </c>
      <c r="AE348" s="19">
        <f>ROUND((Z348*'Data-CostAssumptions'!$G$5)*(1+'Data-CostAssumptions'!$G$3)^(AB348-'Data-CostAssumptions'!$G$4),-3)</f>
        <v>182000</v>
      </c>
      <c r="AF348" s="19">
        <f>ROUND((Z348)*(1+'Data-CostAssumptions'!$G$3)^(AD348-'Data-CostAssumptions'!$G$4),-3)</f>
        <v>826000</v>
      </c>
      <c r="AG348" s="170" t="str">
        <f t="shared" si="17"/>
        <v>No</v>
      </c>
    </row>
    <row r="349" spans="1:33" ht="15" customHeight="1" x14ac:dyDescent="0.2">
      <c r="A349" s="11"/>
      <c r="B349" s="11" t="s">
        <v>1211</v>
      </c>
      <c r="C349" s="13">
        <v>906</v>
      </c>
      <c r="D349" s="13" t="s">
        <v>420</v>
      </c>
      <c r="E349" s="20">
        <v>250</v>
      </c>
      <c r="F349" s="20">
        <v>193</v>
      </c>
      <c r="G349" s="20">
        <v>283</v>
      </c>
      <c r="H349" s="13" t="s">
        <v>1768</v>
      </c>
      <c r="I349" s="13" t="str">
        <f t="shared" si="15"/>
        <v>Rock Island Rd (Commercial Bl to McNab Rd)</v>
      </c>
      <c r="J349" s="13" t="s">
        <v>29</v>
      </c>
      <c r="K349" s="13" t="str">
        <f>VLOOKUP(J349,'Data-ProjectTypes'!A$3:B$13,2,FALSE)</f>
        <v>Program</v>
      </c>
      <c r="L349" s="21" t="s">
        <v>348</v>
      </c>
      <c r="M349" s="13" t="s">
        <v>1813</v>
      </c>
      <c r="N349" s="13" t="s">
        <v>1854</v>
      </c>
      <c r="O349" s="13" t="s">
        <v>273</v>
      </c>
      <c r="P349" s="13" t="s">
        <v>273</v>
      </c>
      <c r="Q349" s="22">
        <v>1</v>
      </c>
      <c r="R349" s="23">
        <v>232436</v>
      </c>
      <c r="S349" s="21" t="s">
        <v>24</v>
      </c>
      <c r="T349" s="21" t="s">
        <v>25</v>
      </c>
      <c r="U349" s="21"/>
      <c r="V349" s="24"/>
      <c r="W349" s="24"/>
      <c r="X349" s="24"/>
      <c r="Y349" s="17" t="s">
        <v>469</v>
      </c>
      <c r="Z349" s="18">
        <f>ROUND(R349*'Data-CostAssumptions'!$C$3,-3)</f>
        <v>322000</v>
      </c>
      <c r="AA349" s="11">
        <f t="shared" si="16"/>
        <v>0</v>
      </c>
      <c r="AB349" s="11">
        <v>2041</v>
      </c>
      <c r="AC349" s="11">
        <v>2041</v>
      </c>
      <c r="AD349" s="11">
        <v>2041</v>
      </c>
      <c r="AE349" s="19">
        <f>ROUND((Z349*'Data-CostAssumptions'!$G$5)*(1+'Data-CostAssumptions'!$G$3)^(AB349-'Data-CostAssumptions'!$G$4),-3)</f>
        <v>182000</v>
      </c>
      <c r="AF349" s="19">
        <f>ROUND((Z349)*(1+'Data-CostAssumptions'!$G$3)^(AD349-'Data-CostAssumptions'!$G$4),-3)</f>
        <v>826000</v>
      </c>
      <c r="AG349" s="170" t="str">
        <f t="shared" si="17"/>
        <v>No</v>
      </c>
    </row>
    <row r="350" spans="1:33" ht="15" customHeight="1" x14ac:dyDescent="0.2">
      <c r="A350" s="11"/>
      <c r="B350" s="11" t="s">
        <v>1211</v>
      </c>
      <c r="C350" s="13">
        <v>832</v>
      </c>
      <c r="D350" s="13" t="s">
        <v>420</v>
      </c>
      <c r="E350" s="20">
        <v>279</v>
      </c>
      <c r="F350" s="20">
        <v>188</v>
      </c>
      <c r="G350" s="20">
        <v>208</v>
      </c>
      <c r="H350" s="13" t="s">
        <v>2083</v>
      </c>
      <c r="I350" s="13" t="str">
        <f t="shared" si="15"/>
        <v>Palm Av (Pembroke Rd to Pines Bl)</v>
      </c>
      <c r="J350" s="13" t="s">
        <v>29</v>
      </c>
      <c r="K350" s="13" t="str">
        <f>VLOOKUP(J350,'Data-ProjectTypes'!A$3:B$13,2,FALSE)</f>
        <v>Program</v>
      </c>
      <c r="L350" s="21" t="s">
        <v>348</v>
      </c>
      <c r="M350" s="13" t="s">
        <v>1760</v>
      </c>
      <c r="N350" s="13" t="s">
        <v>1826</v>
      </c>
      <c r="O350" s="13" t="s">
        <v>273</v>
      </c>
      <c r="P350" s="13" t="s">
        <v>273</v>
      </c>
      <c r="Q350" s="22">
        <v>1</v>
      </c>
      <c r="R350" s="23">
        <v>232184</v>
      </c>
      <c r="S350" s="21"/>
      <c r="T350" s="21" t="s">
        <v>24</v>
      </c>
      <c r="U350" s="21" t="s">
        <v>24</v>
      </c>
      <c r="V350" s="24" t="s">
        <v>711</v>
      </c>
      <c r="W350" s="24"/>
      <c r="X350" s="29" t="s">
        <v>710</v>
      </c>
      <c r="Y350" s="17" t="s">
        <v>287</v>
      </c>
      <c r="Z350" s="18">
        <f>ROUND(R350*'Data-CostAssumptions'!$C$3,-3)</f>
        <v>321000</v>
      </c>
      <c r="AA350" s="11">
        <f t="shared" si="16"/>
        <v>1</v>
      </c>
      <c r="AB350" s="11">
        <v>2041</v>
      </c>
      <c r="AC350" s="11">
        <v>2041</v>
      </c>
      <c r="AD350" s="11">
        <v>2041</v>
      </c>
      <c r="AE350" s="19">
        <f>ROUND((Z350*'Data-CostAssumptions'!$G$5)*(1+'Data-CostAssumptions'!$G$3)^(AB350-'Data-CostAssumptions'!$G$4),-3)</f>
        <v>181000</v>
      </c>
      <c r="AF350" s="19">
        <f>ROUND((Z350)*(1+'Data-CostAssumptions'!$G$3)^(AD350-'Data-CostAssumptions'!$G$4),-3)</f>
        <v>823000</v>
      </c>
      <c r="AG350" s="170" t="str">
        <f t="shared" si="17"/>
        <v>No</v>
      </c>
    </row>
    <row r="351" spans="1:33" ht="15" customHeight="1" x14ac:dyDescent="0.2">
      <c r="A351" s="11"/>
      <c r="B351" s="11" t="s">
        <v>1211</v>
      </c>
      <c r="C351" s="13">
        <v>912</v>
      </c>
      <c r="D351" s="13" t="s">
        <v>420</v>
      </c>
      <c r="E351" s="20">
        <v>273</v>
      </c>
      <c r="F351" s="20">
        <v>193</v>
      </c>
      <c r="G351" s="20">
        <v>289</v>
      </c>
      <c r="H351" s="13" t="s">
        <v>1752</v>
      </c>
      <c r="I351" s="13" t="str">
        <f t="shared" si="15"/>
        <v>Hiatus Rd (Sheridan St to Stirling Rd)</v>
      </c>
      <c r="J351" s="13" t="s">
        <v>29</v>
      </c>
      <c r="K351" s="13" t="str">
        <f>VLOOKUP(J351,'Data-ProjectTypes'!A$3:B$13,2,FALSE)</f>
        <v>Program</v>
      </c>
      <c r="L351" s="21" t="s">
        <v>348</v>
      </c>
      <c r="M351" s="13" t="s">
        <v>1951</v>
      </c>
      <c r="N351" s="13" t="s">
        <v>177</v>
      </c>
      <c r="O351" s="13" t="s">
        <v>272</v>
      </c>
      <c r="P351" s="13" t="s">
        <v>272</v>
      </c>
      <c r="Q351" s="22">
        <v>1</v>
      </c>
      <c r="R351" s="23">
        <v>231965</v>
      </c>
      <c r="S351" s="21" t="s">
        <v>24</v>
      </c>
      <c r="T351" s="21" t="s">
        <v>25</v>
      </c>
      <c r="U351" s="21" t="s">
        <v>24</v>
      </c>
      <c r="V351" s="24" t="s">
        <v>561</v>
      </c>
      <c r="W351" s="24"/>
      <c r="X351" s="24"/>
      <c r="Y351" s="17" t="s">
        <v>538</v>
      </c>
      <c r="Z351" s="18">
        <f>ROUND(R351*'Data-CostAssumptions'!$C$3,-3)</f>
        <v>321000</v>
      </c>
      <c r="AA351" s="11">
        <f t="shared" si="16"/>
        <v>1</v>
      </c>
      <c r="AB351" s="11">
        <v>2041</v>
      </c>
      <c r="AC351" s="11">
        <v>2041</v>
      </c>
      <c r="AD351" s="11">
        <v>2041</v>
      </c>
      <c r="AE351" s="19">
        <f>ROUND((Z351*'Data-CostAssumptions'!$G$5)*(1+'Data-CostAssumptions'!$G$3)^(AB351-'Data-CostAssumptions'!$G$4),-3)</f>
        <v>181000</v>
      </c>
      <c r="AF351" s="19">
        <f>ROUND((Z351)*(1+'Data-CostAssumptions'!$G$3)^(AD351-'Data-CostAssumptions'!$G$4),-3)</f>
        <v>823000</v>
      </c>
      <c r="AG351" s="170" t="str">
        <f t="shared" si="17"/>
        <v>No</v>
      </c>
    </row>
    <row r="352" spans="1:33" ht="15" customHeight="1" x14ac:dyDescent="0.2">
      <c r="A352" s="11"/>
      <c r="B352" s="11" t="s">
        <v>1211</v>
      </c>
      <c r="C352" s="13">
        <v>895</v>
      </c>
      <c r="D352" s="13" t="s">
        <v>420</v>
      </c>
      <c r="E352" s="20">
        <v>134</v>
      </c>
      <c r="F352" s="20">
        <v>192</v>
      </c>
      <c r="G352" s="20">
        <v>272</v>
      </c>
      <c r="H352" s="13" t="s">
        <v>1859</v>
      </c>
      <c r="I352" s="13" t="str">
        <f t="shared" si="15"/>
        <v>Prospect Rd (NW 31st Av to State Rd 7)</v>
      </c>
      <c r="J352" s="13" t="s">
        <v>29</v>
      </c>
      <c r="K352" s="13" t="str">
        <f>VLOOKUP(J352,'Data-ProjectTypes'!A$3:B$13,2,FALSE)</f>
        <v>Program</v>
      </c>
      <c r="L352" s="21" t="s">
        <v>348</v>
      </c>
      <c r="M352" s="13" t="s">
        <v>2062</v>
      </c>
      <c r="N352" s="13" t="s">
        <v>1772</v>
      </c>
      <c r="O352" s="13" t="s">
        <v>273</v>
      </c>
      <c r="P352" s="13" t="s">
        <v>273</v>
      </c>
      <c r="Q352" s="22">
        <v>1</v>
      </c>
      <c r="R352" s="23">
        <v>231895</v>
      </c>
      <c r="S352" s="21"/>
      <c r="T352" s="21"/>
      <c r="U352" s="21"/>
      <c r="V352" s="24"/>
      <c r="W352" s="24"/>
      <c r="X352" s="24"/>
      <c r="Y352" s="17"/>
      <c r="Z352" s="18">
        <f>ROUND(R352*'Data-CostAssumptions'!$C$3,-3)</f>
        <v>321000</v>
      </c>
      <c r="AA352" s="11">
        <f t="shared" si="16"/>
        <v>0</v>
      </c>
      <c r="AB352" s="11">
        <v>2041</v>
      </c>
      <c r="AC352" s="11">
        <v>2041</v>
      </c>
      <c r="AD352" s="11">
        <v>2041</v>
      </c>
      <c r="AE352" s="19">
        <f>ROUND((Z352*'Data-CostAssumptions'!$G$5)*(1+'Data-CostAssumptions'!$G$3)^(AB352-'Data-CostAssumptions'!$G$4),-3)</f>
        <v>181000</v>
      </c>
      <c r="AF352" s="19">
        <f>ROUND((Z352)*(1+'Data-CostAssumptions'!$G$3)^(AD352-'Data-CostAssumptions'!$G$4),-3)</f>
        <v>823000</v>
      </c>
      <c r="AG352" s="170" t="str">
        <f t="shared" si="17"/>
        <v>No</v>
      </c>
    </row>
    <row r="353" spans="1:33" ht="15" customHeight="1" x14ac:dyDescent="0.2">
      <c r="A353" s="11"/>
      <c r="B353" s="11" t="s">
        <v>1211</v>
      </c>
      <c r="C353" s="13">
        <v>900</v>
      </c>
      <c r="D353" s="13" t="s">
        <v>420</v>
      </c>
      <c r="E353" s="20">
        <v>167</v>
      </c>
      <c r="F353" s="20">
        <v>192</v>
      </c>
      <c r="G353" s="20">
        <v>277</v>
      </c>
      <c r="H353" s="13" t="s">
        <v>1189</v>
      </c>
      <c r="I353" s="13" t="str">
        <f t="shared" si="15"/>
        <v>NW 44th St (University Dr to Pine Island Rd)</v>
      </c>
      <c r="J353" s="13" t="s">
        <v>29</v>
      </c>
      <c r="K353" s="13" t="str">
        <f>VLOOKUP(J353,'Data-ProjectTypes'!A$3:B$13,2,FALSE)</f>
        <v>Program</v>
      </c>
      <c r="L353" s="21" t="s">
        <v>348</v>
      </c>
      <c r="M353" s="13" t="s">
        <v>1804</v>
      </c>
      <c r="N353" s="13" t="s">
        <v>266</v>
      </c>
      <c r="O353" s="13" t="s">
        <v>272</v>
      </c>
      <c r="P353" s="13" t="s">
        <v>272</v>
      </c>
      <c r="Q353" s="22">
        <v>1</v>
      </c>
      <c r="R353" s="23">
        <v>232280</v>
      </c>
      <c r="S353" s="21"/>
      <c r="T353" s="21"/>
      <c r="U353" s="21"/>
      <c r="V353" s="24"/>
      <c r="W353" s="24"/>
      <c r="X353" s="28"/>
      <c r="Y353" s="17"/>
      <c r="Z353" s="18">
        <f>ROUND(R353*'Data-CostAssumptions'!$C$3,-3)</f>
        <v>321000</v>
      </c>
      <c r="AA353" s="11">
        <f t="shared" si="16"/>
        <v>0</v>
      </c>
      <c r="AB353" s="11">
        <v>2041</v>
      </c>
      <c r="AC353" s="11">
        <v>2041</v>
      </c>
      <c r="AD353" s="11">
        <v>2041</v>
      </c>
      <c r="AE353" s="19">
        <f>ROUND((Z353*'Data-CostAssumptions'!$G$5)*(1+'Data-CostAssumptions'!$G$3)^(AB353-'Data-CostAssumptions'!$G$4),-3)</f>
        <v>181000</v>
      </c>
      <c r="AF353" s="19">
        <f>ROUND((Z353)*(1+'Data-CostAssumptions'!$G$3)^(AD353-'Data-CostAssumptions'!$G$4),-3)</f>
        <v>823000</v>
      </c>
      <c r="AG353" s="170" t="str">
        <f t="shared" si="17"/>
        <v>No</v>
      </c>
    </row>
    <row r="354" spans="1:33" ht="15" customHeight="1" x14ac:dyDescent="0.2">
      <c r="A354" s="11"/>
      <c r="B354" s="11" t="s">
        <v>1211</v>
      </c>
      <c r="C354" s="13">
        <v>937</v>
      </c>
      <c r="D354" s="13" t="s">
        <v>420</v>
      </c>
      <c r="E354" s="20">
        <v>258</v>
      </c>
      <c r="F354" s="20">
        <v>194</v>
      </c>
      <c r="G354" s="20">
        <v>313</v>
      </c>
      <c r="H354" s="13" t="s">
        <v>1924</v>
      </c>
      <c r="I354" s="13" t="str">
        <f t="shared" si="15"/>
        <v>NW 50th St (University Dr to Pine Island Rd)</v>
      </c>
      <c r="J354" s="13" t="s">
        <v>29</v>
      </c>
      <c r="K354" s="13" t="str">
        <f>VLOOKUP(J354,'Data-ProjectTypes'!A$3:B$13,2,FALSE)</f>
        <v>Program</v>
      </c>
      <c r="L354" s="21" t="s">
        <v>348</v>
      </c>
      <c r="M354" s="13" t="s">
        <v>1804</v>
      </c>
      <c r="N354" s="13" t="s">
        <v>266</v>
      </c>
      <c r="O354" s="13" t="s">
        <v>281</v>
      </c>
      <c r="P354" s="13" t="s">
        <v>281</v>
      </c>
      <c r="Q354" s="22">
        <v>1</v>
      </c>
      <c r="R354" s="23">
        <v>231973</v>
      </c>
      <c r="S354" s="21" t="s">
        <v>24</v>
      </c>
      <c r="T354" s="21" t="s">
        <v>25</v>
      </c>
      <c r="U354" s="21"/>
      <c r="V354" s="24"/>
      <c r="W354" s="24" t="s">
        <v>582</v>
      </c>
      <c r="X354" s="24"/>
      <c r="Y354" s="17" t="s">
        <v>556</v>
      </c>
      <c r="Z354" s="18">
        <f>ROUND(R354*'Data-CostAssumptions'!$C$3,-3)</f>
        <v>321000</v>
      </c>
      <c r="AA354" s="11">
        <f t="shared" si="16"/>
        <v>1</v>
      </c>
      <c r="AB354" s="11">
        <v>2041</v>
      </c>
      <c r="AC354" s="11">
        <v>2041</v>
      </c>
      <c r="AD354" s="11">
        <v>2041</v>
      </c>
      <c r="AE354" s="19">
        <f>ROUND((Z354*'Data-CostAssumptions'!$G$5)*(1+'Data-CostAssumptions'!$G$3)^(AB354-'Data-CostAssumptions'!$G$4),-3)</f>
        <v>181000</v>
      </c>
      <c r="AF354" s="19">
        <f>ROUND((Z354)*(1+'Data-CostAssumptions'!$G$3)^(AD354-'Data-CostAssumptions'!$G$4),-3)</f>
        <v>823000</v>
      </c>
      <c r="AG354" s="170" t="str">
        <f t="shared" si="17"/>
        <v>No</v>
      </c>
    </row>
    <row r="355" spans="1:33" ht="15" customHeight="1" x14ac:dyDescent="0.2">
      <c r="B355" s="11" t="s">
        <v>1211</v>
      </c>
      <c r="D355" s="84" t="s">
        <v>276</v>
      </c>
      <c r="E355" s="104">
        <v>47</v>
      </c>
      <c r="G355" s="20">
        <v>1396</v>
      </c>
      <c r="H355" s="13" t="s">
        <v>1230</v>
      </c>
      <c r="I355" s="13" t="str">
        <f t="shared" si="15"/>
        <v>NE 6TH ST (US1/SR 5/FEDERAL HWY to NE 14TH Av)</v>
      </c>
      <c r="J355" s="12" t="s">
        <v>29</v>
      </c>
      <c r="K355" s="13" t="str">
        <f>VLOOKUP(J355,'Data-ProjectTypes'!A$3:B$13,2,FALSE)</f>
        <v>Program</v>
      </c>
      <c r="L355" s="12" t="s">
        <v>1309</v>
      </c>
      <c r="M355" s="105" t="s">
        <v>1440</v>
      </c>
      <c r="N355" s="12" t="s">
        <v>2142</v>
      </c>
      <c r="Q355" s="72">
        <v>0.5</v>
      </c>
      <c r="R355" s="23">
        <v>231750</v>
      </c>
      <c r="S355" s="21"/>
      <c r="T355" s="21"/>
      <c r="U355" s="21"/>
      <c r="V355" s="24"/>
      <c r="W355" s="24"/>
      <c r="X355" s="24"/>
      <c r="Y355" s="17"/>
      <c r="Z355" s="18">
        <f>ROUND(R355*'Data-CostAssumptions'!$C$3,-3)</f>
        <v>321000</v>
      </c>
      <c r="AA355" s="11">
        <f t="shared" si="16"/>
        <v>0</v>
      </c>
      <c r="AB355" s="11">
        <v>2041</v>
      </c>
      <c r="AC355" s="11">
        <v>2041</v>
      </c>
      <c r="AD355" s="11">
        <v>2041</v>
      </c>
      <c r="AE355" s="19">
        <f>ROUND((Z355*'Data-CostAssumptions'!$G$5)*(1+'Data-CostAssumptions'!$G$3)^(AB355-'Data-CostAssumptions'!$G$4),-3)</f>
        <v>181000</v>
      </c>
      <c r="AF355" s="19">
        <f>ROUND((Z355)*(1+'Data-CostAssumptions'!$G$3)^(AD355-'Data-CostAssumptions'!$G$4),-3)</f>
        <v>823000</v>
      </c>
      <c r="AG355" s="170" t="str">
        <f t="shared" si="17"/>
        <v>No</v>
      </c>
    </row>
    <row r="356" spans="1:33" ht="15" customHeight="1" x14ac:dyDescent="0.2">
      <c r="A356" s="11"/>
      <c r="B356" s="11" t="s">
        <v>1211</v>
      </c>
      <c r="C356" s="13">
        <v>776</v>
      </c>
      <c r="D356" s="13" t="s">
        <v>420</v>
      </c>
      <c r="E356" s="20">
        <v>280</v>
      </c>
      <c r="F356" s="20">
        <v>185</v>
      </c>
      <c r="G356" s="20">
        <v>153</v>
      </c>
      <c r="H356" s="13" t="s">
        <v>1752</v>
      </c>
      <c r="I356" s="13" t="str">
        <f t="shared" si="15"/>
        <v>Hiatus Rd (Pembroke Rd to Pines Bl)</v>
      </c>
      <c r="J356" s="13" t="s">
        <v>29</v>
      </c>
      <c r="K356" s="13" t="str">
        <f>VLOOKUP(J356,'Data-ProjectTypes'!A$3:B$13,2,FALSE)</f>
        <v>Program</v>
      </c>
      <c r="L356" s="21" t="s">
        <v>348</v>
      </c>
      <c r="M356" s="13" t="s">
        <v>1760</v>
      </c>
      <c r="N356" s="13" t="s">
        <v>1826</v>
      </c>
      <c r="O356" s="13" t="s">
        <v>272</v>
      </c>
      <c r="P356" s="13" t="s">
        <v>272</v>
      </c>
      <c r="Q356" s="22">
        <v>1</v>
      </c>
      <c r="R356" s="23">
        <v>231419</v>
      </c>
      <c r="S356" s="21"/>
      <c r="T356" s="21"/>
      <c r="U356" s="21"/>
      <c r="V356" s="24"/>
      <c r="W356" s="24"/>
      <c r="X356" s="24"/>
      <c r="Y356" s="17"/>
      <c r="Z356" s="18">
        <f>ROUND(R356*'Data-CostAssumptions'!$C$3,-3)</f>
        <v>320000</v>
      </c>
      <c r="AA356" s="11">
        <f t="shared" si="16"/>
        <v>0</v>
      </c>
      <c r="AB356" s="11">
        <v>2041</v>
      </c>
      <c r="AC356" s="11">
        <v>2041</v>
      </c>
      <c r="AD356" s="11">
        <v>2041</v>
      </c>
      <c r="AE356" s="19">
        <f>ROUND((Z356*'Data-CostAssumptions'!$G$5)*(1+'Data-CostAssumptions'!$G$3)^(AB356-'Data-CostAssumptions'!$G$4),-3)</f>
        <v>181000</v>
      </c>
      <c r="AF356" s="19">
        <f>ROUND((Z356)*(1+'Data-CostAssumptions'!$G$3)^(AD356-'Data-CostAssumptions'!$G$4),-3)</f>
        <v>820000</v>
      </c>
      <c r="AG356" s="170" t="str">
        <f t="shared" si="17"/>
        <v>No</v>
      </c>
    </row>
    <row r="357" spans="1:33" ht="15" customHeight="1" x14ac:dyDescent="0.2">
      <c r="A357" s="11"/>
      <c r="B357" s="11" t="s">
        <v>1211</v>
      </c>
      <c r="C357" s="13">
        <v>804</v>
      </c>
      <c r="D357" s="13" t="s">
        <v>420</v>
      </c>
      <c r="E357" s="20">
        <v>128</v>
      </c>
      <c r="F357" s="20">
        <v>187</v>
      </c>
      <c r="G357" s="20">
        <v>180</v>
      </c>
      <c r="H357" s="13" t="s">
        <v>1982</v>
      </c>
      <c r="I357" s="13" t="str">
        <f t="shared" si="15"/>
        <v>NW 7th Av (Broward Bl to Sunrise Bl)</v>
      </c>
      <c r="J357" s="13" t="s">
        <v>29</v>
      </c>
      <c r="K357" s="13" t="str">
        <f>VLOOKUP(J357,'Data-ProjectTypes'!A$3:B$13,2,FALSE)</f>
        <v>Program</v>
      </c>
      <c r="L357" s="21" t="s">
        <v>348</v>
      </c>
      <c r="M357" s="13" t="s">
        <v>1811</v>
      </c>
      <c r="N357" s="13" t="s">
        <v>1830</v>
      </c>
      <c r="O357" s="13" t="s">
        <v>273</v>
      </c>
      <c r="P357" s="13" t="s">
        <v>273</v>
      </c>
      <c r="Q357" s="22">
        <v>1</v>
      </c>
      <c r="R357" s="23">
        <v>230885</v>
      </c>
      <c r="S357" s="21" t="s">
        <v>24</v>
      </c>
      <c r="T357" s="21" t="s">
        <v>25</v>
      </c>
      <c r="U357" s="21"/>
      <c r="V357" s="24"/>
      <c r="W357" s="24"/>
      <c r="X357" s="24"/>
      <c r="Y357" s="17" t="s">
        <v>469</v>
      </c>
      <c r="Z357" s="18">
        <f>ROUND(R357*'Data-CostAssumptions'!$C$3,-3)</f>
        <v>320000</v>
      </c>
      <c r="AA357" s="11">
        <f t="shared" si="16"/>
        <v>0</v>
      </c>
      <c r="AB357" s="11">
        <v>2041</v>
      </c>
      <c r="AC357" s="11">
        <v>2041</v>
      </c>
      <c r="AD357" s="11">
        <v>2041</v>
      </c>
      <c r="AE357" s="19">
        <f>ROUND((Z357*'Data-CostAssumptions'!$G$5)*(1+'Data-CostAssumptions'!$G$3)^(AB357-'Data-CostAssumptions'!$G$4),-3)</f>
        <v>181000</v>
      </c>
      <c r="AF357" s="19">
        <f>ROUND((Z357)*(1+'Data-CostAssumptions'!$G$3)^(AD357-'Data-CostAssumptions'!$G$4),-3)</f>
        <v>820000</v>
      </c>
      <c r="AG357" s="170" t="str">
        <f t="shared" si="17"/>
        <v>No</v>
      </c>
    </row>
    <row r="358" spans="1:33" ht="15" customHeight="1" x14ac:dyDescent="0.2">
      <c r="A358" s="11"/>
      <c r="B358" s="11" t="s">
        <v>1211</v>
      </c>
      <c r="C358" s="13">
        <v>866</v>
      </c>
      <c r="D358" s="13" t="s">
        <v>420</v>
      </c>
      <c r="E358" s="20">
        <v>189</v>
      </c>
      <c r="F358" s="20">
        <v>190</v>
      </c>
      <c r="G358" s="20">
        <v>243</v>
      </c>
      <c r="H358" s="13" t="s">
        <v>2040</v>
      </c>
      <c r="I358" s="13" t="str">
        <f t="shared" si="15"/>
        <v>North 46th Av (Sheridan St to Stirling Rd)</v>
      </c>
      <c r="J358" s="13" t="s">
        <v>29</v>
      </c>
      <c r="K358" s="13" t="str">
        <f>VLOOKUP(J358,'Data-ProjectTypes'!A$3:B$13,2,FALSE)</f>
        <v>Program</v>
      </c>
      <c r="L358" s="21" t="s">
        <v>562</v>
      </c>
      <c r="M358" s="13" t="s">
        <v>1951</v>
      </c>
      <c r="N358" s="13" t="s">
        <v>177</v>
      </c>
      <c r="O358" s="13" t="s">
        <v>282</v>
      </c>
      <c r="P358" s="13" t="s">
        <v>282</v>
      </c>
      <c r="Q358" s="22">
        <v>1</v>
      </c>
      <c r="R358" s="23">
        <v>231316</v>
      </c>
      <c r="S358" s="21"/>
      <c r="T358" s="21"/>
      <c r="U358" s="21"/>
      <c r="V358" s="24"/>
      <c r="W358" s="24" t="s">
        <v>491</v>
      </c>
      <c r="X358" s="24"/>
      <c r="Y358" s="17" t="s">
        <v>492</v>
      </c>
      <c r="Z358" s="18">
        <f>ROUND(R358*'Data-CostAssumptions'!$C$3,-3)</f>
        <v>320000</v>
      </c>
      <c r="AA358" s="11">
        <f t="shared" si="16"/>
        <v>1</v>
      </c>
      <c r="AB358" s="11">
        <v>2041</v>
      </c>
      <c r="AC358" s="11">
        <v>2041</v>
      </c>
      <c r="AD358" s="11">
        <v>2041</v>
      </c>
      <c r="AE358" s="19">
        <f>ROUND((Z358*'Data-CostAssumptions'!$G$5)*(1+'Data-CostAssumptions'!$G$3)^(AB358-'Data-CostAssumptions'!$G$4),-3)</f>
        <v>181000</v>
      </c>
      <c r="AF358" s="19">
        <f>ROUND((Z358)*(1+'Data-CostAssumptions'!$G$3)^(AD358-'Data-CostAssumptions'!$G$4),-3)</f>
        <v>820000</v>
      </c>
      <c r="AG358" s="170" t="str">
        <f t="shared" si="17"/>
        <v>No</v>
      </c>
    </row>
    <row r="359" spans="1:33" ht="15" customHeight="1" x14ac:dyDescent="0.2">
      <c r="A359" s="11"/>
      <c r="B359" s="11" t="s">
        <v>1211</v>
      </c>
      <c r="C359" s="13">
        <v>919</v>
      </c>
      <c r="D359" s="13" t="s">
        <v>420</v>
      </c>
      <c r="E359" s="20">
        <v>299</v>
      </c>
      <c r="F359" s="20">
        <v>193</v>
      </c>
      <c r="G359" s="20">
        <v>295</v>
      </c>
      <c r="H359" s="13" t="s">
        <v>110</v>
      </c>
      <c r="I359" s="13" t="str">
        <f t="shared" si="15"/>
        <v>SR A1A (Just south of NE 20th St to Oakland Park Bl)</v>
      </c>
      <c r="J359" s="13" t="s">
        <v>29</v>
      </c>
      <c r="K359" s="13" t="str">
        <f>VLOOKUP(J359,'Data-ProjectTypes'!A$3:B$13,2,FALSE)</f>
        <v>Program</v>
      </c>
      <c r="L359" s="21" t="s">
        <v>348</v>
      </c>
      <c r="M359" s="13" t="s">
        <v>2474</v>
      </c>
      <c r="N359" s="13" t="s">
        <v>1825</v>
      </c>
      <c r="O359" s="13" t="s">
        <v>270</v>
      </c>
      <c r="P359" s="13" t="s">
        <v>270</v>
      </c>
      <c r="Q359" s="22">
        <v>1</v>
      </c>
      <c r="R359" s="23">
        <v>231367</v>
      </c>
      <c r="S359" s="21"/>
      <c r="T359" s="21"/>
      <c r="U359" s="21"/>
      <c r="V359" s="24"/>
      <c r="W359" s="24"/>
      <c r="X359" s="24"/>
      <c r="Y359" s="17"/>
      <c r="Z359" s="18">
        <f>ROUND(R359*'Data-CostAssumptions'!$C$3,-3)</f>
        <v>320000</v>
      </c>
      <c r="AA359" s="11">
        <f t="shared" si="16"/>
        <v>0</v>
      </c>
      <c r="AB359" s="11">
        <v>2041</v>
      </c>
      <c r="AC359" s="11">
        <v>2041</v>
      </c>
      <c r="AD359" s="11">
        <v>2041</v>
      </c>
      <c r="AE359" s="19">
        <f>ROUND((Z359*'Data-CostAssumptions'!$G$5)*(1+'Data-CostAssumptions'!$G$3)^(AB359-'Data-CostAssumptions'!$G$4),-3)</f>
        <v>181000</v>
      </c>
      <c r="AF359" s="19">
        <f>ROUND((Z359)*(1+'Data-CostAssumptions'!$G$3)^(AD359-'Data-CostAssumptions'!$G$4),-3)</f>
        <v>820000</v>
      </c>
      <c r="AG359" s="170" t="str">
        <f t="shared" si="17"/>
        <v>No</v>
      </c>
    </row>
    <row r="360" spans="1:33" ht="15" customHeight="1" x14ac:dyDescent="0.2">
      <c r="A360" s="11"/>
      <c r="B360" s="11" t="s">
        <v>1211</v>
      </c>
      <c r="C360" s="13">
        <v>630</v>
      </c>
      <c r="D360" s="13" t="s">
        <v>420</v>
      </c>
      <c r="E360" s="20">
        <v>67</v>
      </c>
      <c r="F360" s="20">
        <v>177</v>
      </c>
      <c r="G360" s="20">
        <v>11</v>
      </c>
      <c r="H360" s="13" t="s">
        <v>1962</v>
      </c>
      <c r="I360" s="13" t="str">
        <f t="shared" si="15"/>
        <v>SW 3rd St (Cypress Rd to Andrews Av)</v>
      </c>
      <c r="J360" s="13" t="s">
        <v>29</v>
      </c>
      <c r="K360" s="13" t="str">
        <f>VLOOKUP(J360,'Data-ProjectTypes'!A$3:B$13,2,FALSE)</f>
        <v>Program</v>
      </c>
      <c r="L360" s="21" t="s">
        <v>348</v>
      </c>
      <c r="M360" s="13" t="s">
        <v>1843</v>
      </c>
      <c r="N360" s="13" t="s">
        <v>2014</v>
      </c>
      <c r="O360" s="13" t="s">
        <v>273</v>
      </c>
      <c r="P360" s="13" t="s">
        <v>273</v>
      </c>
      <c r="Q360" s="22">
        <v>1</v>
      </c>
      <c r="R360" s="23">
        <v>230492</v>
      </c>
      <c r="S360" s="21"/>
      <c r="T360" s="21"/>
      <c r="U360" s="21"/>
      <c r="V360" s="24"/>
      <c r="W360" s="24" t="s">
        <v>696</v>
      </c>
      <c r="X360" s="24"/>
      <c r="Y360" s="17" t="s">
        <v>287</v>
      </c>
      <c r="Z360" s="18">
        <f>ROUND(R360*'Data-CostAssumptions'!$C$3,-3)</f>
        <v>319000</v>
      </c>
      <c r="AA360" s="11">
        <f t="shared" si="16"/>
        <v>1</v>
      </c>
      <c r="AB360" s="11">
        <v>2041</v>
      </c>
      <c r="AC360" s="11">
        <v>2041</v>
      </c>
      <c r="AD360" s="11">
        <v>2041</v>
      </c>
      <c r="AE360" s="19">
        <f>ROUND((Z360*'Data-CostAssumptions'!$G$5)*(1+'Data-CostAssumptions'!$G$3)^(AB360-'Data-CostAssumptions'!$G$4),-3)</f>
        <v>180000</v>
      </c>
      <c r="AF360" s="19">
        <f>ROUND((Z360)*(1+'Data-CostAssumptions'!$G$3)^(AD360-'Data-CostAssumptions'!$G$4),-3)</f>
        <v>818000</v>
      </c>
      <c r="AG360" s="170" t="str">
        <f t="shared" si="17"/>
        <v>No</v>
      </c>
    </row>
    <row r="361" spans="1:33" ht="15" customHeight="1" x14ac:dyDescent="0.2">
      <c r="A361" s="11"/>
      <c r="B361" s="11" t="s">
        <v>1211</v>
      </c>
      <c r="C361" s="13">
        <v>907</v>
      </c>
      <c r="D361" s="13" t="s">
        <v>420</v>
      </c>
      <c r="E361" s="20">
        <v>251</v>
      </c>
      <c r="F361" s="20">
        <v>193</v>
      </c>
      <c r="G361" s="20">
        <v>284</v>
      </c>
      <c r="H361" s="13" t="s">
        <v>2135</v>
      </c>
      <c r="I361" s="13" t="str">
        <f t="shared" si="15"/>
        <v>SW 81st Av/NW 64th Av (Commercial Bl to McNab Rd)</v>
      </c>
      <c r="J361" s="13" t="s">
        <v>29</v>
      </c>
      <c r="K361" s="13" t="str">
        <f>VLOOKUP(J361,'Data-ProjectTypes'!A$3:B$13,2,FALSE)</f>
        <v>Program</v>
      </c>
      <c r="L361" s="21" t="s">
        <v>348</v>
      </c>
      <c r="M361" s="13" t="s">
        <v>1813</v>
      </c>
      <c r="N361" s="13" t="s">
        <v>1854</v>
      </c>
      <c r="O361" s="13" t="s">
        <v>272</v>
      </c>
      <c r="P361" s="13" t="s">
        <v>272</v>
      </c>
      <c r="Q361" s="22">
        <v>1</v>
      </c>
      <c r="R361" s="23">
        <v>230214</v>
      </c>
      <c r="S361" s="29" t="s">
        <v>792</v>
      </c>
      <c r="T361" s="21"/>
      <c r="U361" s="21"/>
      <c r="V361" s="24"/>
      <c r="W361" s="24" t="s">
        <v>789</v>
      </c>
      <c r="X361" s="24"/>
      <c r="Y361" s="17" t="s">
        <v>790</v>
      </c>
      <c r="Z361" s="18">
        <f>ROUND(R361*'Data-CostAssumptions'!$C$3,-3)</f>
        <v>319000</v>
      </c>
      <c r="AA361" s="11">
        <f t="shared" si="16"/>
        <v>1</v>
      </c>
      <c r="AB361" s="11">
        <v>2041</v>
      </c>
      <c r="AC361" s="11">
        <v>2041</v>
      </c>
      <c r="AD361" s="11">
        <v>2041</v>
      </c>
      <c r="AE361" s="19">
        <f>ROUND((Z361*'Data-CostAssumptions'!$G$5)*(1+'Data-CostAssumptions'!$G$3)^(AB361-'Data-CostAssumptions'!$G$4),-3)</f>
        <v>180000</v>
      </c>
      <c r="AF361" s="19">
        <f>ROUND((Z361)*(1+'Data-CostAssumptions'!$G$3)^(AD361-'Data-CostAssumptions'!$G$4),-3)</f>
        <v>818000</v>
      </c>
      <c r="AG361" s="170" t="str">
        <f t="shared" si="17"/>
        <v>No</v>
      </c>
    </row>
    <row r="362" spans="1:33" ht="15" customHeight="1" x14ac:dyDescent="0.2">
      <c r="A362" s="11"/>
      <c r="B362" s="11" t="s">
        <v>1211</v>
      </c>
      <c r="C362" s="13">
        <v>942</v>
      </c>
      <c r="D362" s="13" t="s">
        <v>420</v>
      </c>
      <c r="E362" s="20">
        <v>274</v>
      </c>
      <c r="F362" s="20">
        <v>194</v>
      </c>
      <c r="G362" s="20">
        <v>318</v>
      </c>
      <c r="H362" s="13" t="s">
        <v>1951</v>
      </c>
      <c r="I362" s="13" t="str">
        <f t="shared" si="15"/>
        <v>Sheridan St (Douglas Rd to Palm Av)</v>
      </c>
      <c r="J362" s="13" t="s">
        <v>29</v>
      </c>
      <c r="K362" s="13" t="str">
        <f>VLOOKUP(J362,'Data-ProjectTypes'!A$3:B$13,2,FALSE)</f>
        <v>Program</v>
      </c>
      <c r="L362" s="21" t="s">
        <v>348</v>
      </c>
      <c r="M362" s="13" t="s">
        <v>2425</v>
      </c>
      <c r="N362" s="13" t="s">
        <v>2083</v>
      </c>
      <c r="O362" s="13" t="s">
        <v>273</v>
      </c>
      <c r="P362" s="13" t="s">
        <v>273</v>
      </c>
      <c r="Q362" s="22">
        <v>1</v>
      </c>
      <c r="R362" s="23">
        <v>230195</v>
      </c>
      <c r="S362" s="21"/>
      <c r="T362" s="21"/>
      <c r="U362" s="21"/>
      <c r="V362" s="24"/>
      <c r="W362" s="24"/>
      <c r="X362" s="24"/>
      <c r="Y362" s="17"/>
      <c r="Z362" s="18">
        <f>ROUND(R362*'Data-CostAssumptions'!$C$3,-3)</f>
        <v>319000</v>
      </c>
      <c r="AA362" s="11">
        <f t="shared" si="16"/>
        <v>0</v>
      </c>
      <c r="AB362" s="11">
        <v>2041</v>
      </c>
      <c r="AC362" s="11">
        <v>2041</v>
      </c>
      <c r="AD362" s="11">
        <v>2041</v>
      </c>
      <c r="AE362" s="19">
        <f>ROUND((Z362*'Data-CostAssumptions'!$G$5)*(1+'Data-CostAssumptions'!$G$3)^(AB362-'Data-CostAssumptions'!$G$4),-3)</f>
        <v>180000</v>
      </c>
      <c r="AF362" s="19">
        <f>ROUND((Z362)*(1+'Data-CostAssumptions'!$G$3)^(AD362-'Data-CostAssumptions'!$G$4),-3)</f>
        <v>818000</v>
      </c>
      <c r="AG362" s="170" t="str">
        <f t="shared" si="17"/>
        <v>No</v>
      </c>
    </row>
    <row r="363" spans="1:33" ht="15" customHeight="1" x14ac:dyDescent="0.2">
      <c r="B363" s="11" t="s">
        <v>1211</v>
      </c>
      <c r="D363" s="84" t="s">
        <v>276</v>
      </c>
      <c r="E363" s="104">
        <v>35</v>
      </c>
      <c r="G363" s="20">
        <v>1378</v>
      </c>
      <c r="H363" s="13" t="s">
        <v>2143</v>
      </c>
      <c r="I363" s="13" t="str">
        <f t="shared" si="15"/>
        <v>NE 15TH Av (SUNRISE Bl to NE 19TH ST)</v>
      </c>
      <c r="J363" s="12" t="s">
        <v>29</v>
      </c>
      <c r="K363" s="13" t="str">
        <f>VLOOKUP(J363,'Data-ProjectTypes'!A$3:B$13,2,FALSE)</f>
        <v>Program</v>
      </c>
      <c r="L363" s="12" t="s">
        <v>1314</v>
      </c>
      <c r="M363" s="105" t="s">
        <v>2002</v>
      </c>
      <c r="N363" s="12" t="s">
        <v>1439</v>
      </c>
      <c r="Q363" s="72">
        <v>1</v>
      </c>
      <c r="R363" s="23">
        <v>230850</v>
      </c>
      <c r="S363" s="21"/>
      <c r="T363" s="21"/>
      <c r="U363" s="21"/>
      <c r="V363" s="24"/>
      <c r="W363" s="24"/>
      <c r="X363" s="24"/>
      <c r="Y363" s="17"/>
      <c r="Z363" s="18">
        <f>ROUND(R363*'Data-CostAssumptions'!$C$3,-3)</f>
        <v>319000</v>
      </c>
      <c r="AA363" s="11">
        <f t="shared" si="16"/>
        <v>0</v>
      </c>
      <c r="AB363" s="11">
        <v>2041</v>
      </c>
      <c r="AC363" s="11">
        <v>2041</v>
      </c>
      <c r="AD363" s="11">
        <v>2041</v>
      </c>
      <c r="AE363" s="19">
        <f>ROUND((Z363*'Data-CostAssumptions'!$G$5)*(1+'Data-CostAssumptions'!$G$3)^(AB363-'Data-CostAssumptions'!$G$4),-3)</f>
        <v>180000</v>
      </c>
      <c r="AF363" s="19">
        <f>ROUND((Z363)*(1+'Data-CostAssumptions'!$G$3)^(AD363-'Data-CostAssumptions'!$G$4),-3)</f>
        <v>818000</v>
      </c>
      <c r="AG363" s="170" t="str">
        <f t="shared" si="17"/>
        <v>No</v>
      </c>
    </row>
    <row r="364" spans="1:33" ht="15" customHeight="1" x14ac:dyDescent="0.2">
      <c r="A364" s="11"/>
      <c r="B364" s="11" t="s">
        <v>1211</v>
      </c>
      <c r="C364" s="13">
        <v>831</v>
      </c>
      <c r="D364" s="13" t="s">
        <v>420</v>
      </c>
      <c r="E364" s="20">
        <v>278</v>
      </c>
      <c r="F364" s="20">
        <v>188</v>
      </c>
      <c r="G364" s="20">
        <v>207</v>
      </c>
      <c r="H364" s="13" t="s">
        <v>1880</v>
      </c>
      <c r="I364" s="13" t="str">
        <f t="shared" si="15"/>
        <v>Johnson St (Douglas Rd to Palm Av)</v>
      </c>
      <c r="J364" s="13" t="s">
        <v>29</v>
      </c>
      <c r="K364" s="13" t="str">
        <f>VLOOKUP(J364,'Data-ProjectTypes'!A$3:B$13,2,FALSE)</f>
        <v>Program</v>
      </c>
      <c r="L364" s="21" t="s">
        <v>348</v>
      </c>
      <c r="M364" s="13" t="s">
        <v>2425</v>
      </c>
      <c r="N364" s="13" t="s">
        <v>2083</v>
      </c>
      <c r="O364" s="13" t="s">
        <v>271</v>
      </c>
      <c r="P364" s="13" t="s">
        <v>271</v>
      </c>
      <c r="Q364" s="22">
        <v>1</v>
      </c>
      <c r="R364" s="23">
        <v>229304</v>
      </c>
      <c r="S364" s="21"/>
      <c r="T364" s="21" t="s">
        <v>24</v>
      </c>
      <c r="U364" s="21" t="s">
        <v>24</v>
      </c>
      <c r="V364" s="24" t="s">
        <v>707</v>
      </c>
      <c r="W364" s="24"/>
      <c r="X364" s="35" t="s">
        <v>709</v>
      </c>
      <c r="Y364" s="17" t="s">
        <v>287</v>
      </c>
      <c r="Z364" s="18">
        <f>ROUND(R364*'Data-CostAssumptions'!$C$3,-3)</f>
        <v>317000</v>
      </c>
      <c r="AA364" s="11">
        <f t="shared" si="16"/>
        <v>1</v>
      </c>
      <c r="AB364" s="11">
        <v>2041</v>
      </c>
      <c r="AC364" s="11">
        <v>2041</v>
      </c>
      <c r="AD364" s="11">
        <v>2041</v>
      </c>
      <c r="AE364" s="19">
        <f>ROUND((Z364*'Data-CostAssumptions'!$G$5)*(1+'Data-CostAssumptions'!$G$3)^(AB364-'Data-CostAssumptions'!$G$4),-3)</f>
        <v>179000</v>
      </c>
      <c r="AF364" s="19">
        <f>ROUND((Z364)*(1+'Data-CostAssumptions'!$G$3)^(AD364-'Data-CostAssumptions'!$G$4),-3)</f>
        <v>813000</v>
      </c>
      <c r="AG364" s="170" t="str">
        <f t="shared" si="17"/>
        <v>No</v>
      </c>
    </row>
    <row r="365" spans="1:33" ht="15" customHeight="1" x14ac:dyDescent="0.2">
      <c r="A365" s="11"/>
      <c r="B365" s="11" t="s">
        <v>1211</v>
      </c>
      <c r="C365" s="13">
        <v>648</v>
      </c>
      <c r="D365" s="13" t="s">
        <v>420</v>
      </c>
      <c r="E365" s="20">
        <v>28</v>
      </c>
      <c r="F365" s="20">
        <v>178</v>
      </c>
      <c r="G365" s="20">
        <v>29</v>
      </c>
      <c r="H365" s="13" t="s">
        <v>2033</v>
      </c>
      <c r="I365" s="13" t="str">
        <f t="shared" si="15"/>
        <v>NE 3rd Av (Copans Rd to Sample Rd)</v>
      </c>
      <c r="J365" s="13" t="s">
        <v>29</v>
      </c>
      <c r="K365" s="13" t="str">
        <f>VLOOKUP(J365,'Data-ProjectTypes'!A$3:B$13,2,FALSE)</f>
        <v>Program</v>
      </c>
      <c r="L365" s="21" t="s">
        <v>348</v>
      </c>
      <c r="M365" s="13" t="s">
        <v>1836</v>
      </c>
      <c r="N365" s="13" t="s">
        <v>1864</v>
      </c>
      <c r="O365" s="13" t="s">
        <v>272</v>
      </c>
      <c r="P365" s="13" t="s">
        <v>272</v>
      </c>
      <c r="Q365" s="22">
        <v>1</v>
      </c>
      <c r="R365" s="23">
        <v>229171</v>
      </c>
      <c r="S365" s="21"/>
      <c r="T365" s="21"/>
      <c r="U365" s="21"/>
      <c r="V365" s="24"/>
      <c r="W365" s="24"/>
      <c r="X365" s="24"/>
      <c r="Y365" s="17"/>
      <c r="Z365" s="18">
        <f>ROUND(R365*'Data-CostAssumptions'!$C$3,-3)</f>
        <v>317000</v>
      </c>
      <c r="AA365" s="11">
        <f t="shared" si="16"/>
        <v>0</v>
      </c>
      <c r="AB365" s="11">
        <v>2041</v>
      </c>
      <c r="AC365" s="11">
        <v>2041</v>
      </c>
      <c r="AD365" s="11">
        <v>2041</v>
      </c>
      <c r="AE365" s="19">
        <f>ROUND((Z365*'Data-CostAssumptions'!$G$5)*(1+'Data-CostAssumptions'!$G$3)^(AB365-'Data-CostAssumptions'!$G$4),-3)</f>
        <v>179000</v>
      </c>
      <c r="AF365" s="19">
        <f>ROUND((Z365)*(1+'Data-CostAssumptions'!$G$3)^(AD365-'Data-CostAssumptions'!$G$4),-3)</f>
        <v>813000</v>
      </c>
      <c r="AG365" s="170" t="str">
        <f t="shared" si="17"/>
        <v>No</v>
      </c>
    </row>
    <row r="366" spans="1:33" ht="15" customHeight="1" x14ac:dyDescent="0.2">
      <c r="A366" s="11"/>
      <c r="B366" s="11" t="s">
        <v>1211</v>
      </c>
      <c r="C366" s="13">
        <v>747</v>
      </c>
      <c r="D366" s="13" t="s">
        <v>420</v>
      </c>
      <c r="E366" s="20">
        <v>76</v>
      </c>
      <c r="F366" s="20">
        <v>184</v>
      </c>
      <c r="G366" s="20">
        <v>124</v>
      </c>
      <c r="H366" s="13" t="s">
        <v>1847</v>
      </c>
      <c r="I366" s="13" t="str">
        <f t="shared" si="15"/>
        <v>Floranada Rd (SR 5/US 1 to Dixie Hwy)</v>
      </c>
      <c r="J366" s="13" t="s">
        <v>29</v>
      </c>
      <c r="K366" s="13" t="str">
        <f>VLOOKUP(J366,'Data-ProjectTypes'!A$3:B$13,2,FALSE)</f>
        <v>Program</v>
      </c>
      <c r="L366" s="21" t="s">
        <v>705</v>
      </c>
      <c r="M366" s="13" t="s">
        <v>1424</v>
      </c>
      <c r="N366" s="13" t="s">
        <v>728</v>
      </c>
      <c r="O366" s="13" t="s">
        <v>272</v>
      </c>
      <c r="P366" s="13" t="s">
        <v>272</v>
      </c>
      <c r="Q366" s="22">
        <v>1</v>
      </c>
      <c r="R366" s="23">
        <v>229062</v>
      </c>
      <c r="S366" s="21"/>
      <c r="T366" s="21"/>
      <c r="U366" s="21"/>
      <c r="V366" s="24"/>
      <c r="W366" s="24"/>
      <c r="X366" s="24"/>
      <c r="Y366" s="17"/>
      <c r="Z366" s="18">
        <f>ROUND(R366*'Data-CostAssumptions'!$C$3,-3)</f>
        <v>317000</v>
      </c>
      <c r="AA366" s="11">
        <f t="shared" si="16"/>
        <v>0</v>
      </c>
      <c r="AB366" s="11">
        <v>2041</v>
      </c>
      <c r="AC366" s="11">
        <v>2041</v>
      </c>
      <c r="AD366" s="11">
        <v>2041</v>
      </c>
      <c r="AE366" s="19">
        <f>ROUND((Z366*'Data-CostAssumptions'!$G$5)*(1+'Data-CostAssumptions'!$G$3)^(AB366-'Data-CostAssumptions'!$G$4),-3)</f>
        <v>179000</v>
      </c>
      <c r="AF366" s="19">
        <f>ROUND((Z366)*(1+'Data-CostAssumptions'!$G$3)^(AD366-'Data-CostAssumptions'!$G$4),-3)</f>
        <v>813000</v>
      </c>
      <c r="AG366" s="170" t="str">
        <f t="shared" si="17"/>
        <v>No</v>
      </c>
    </row>
    <row r="367" spans="1:33" ht="15" customHeight="1" x14ac:dyDescent="0.2">
      <c r="A367" s="11"/>
      <c r="B367" s="11" t="s">
        <v>1211</v>
      </c>
      <c r="C367" s="13">
        <v>913</v>
      </c>
      <c r="D367" s="13" t="s">
        <v>420</v>
      </c>
      <c r="E367" s="20">
        <v>275</v>
      </c>
      <c r="F367" s="20">
        <v>193</v>
      </c>
      <c r="G367" s="20">
        <v>290</v>
      </c>
      <c r="H367" s="13" t="s">
        <v>1968</v>
      </c>
      <c r="I367" s="13" t="str">
        <f t="shared" si="15"/>
        <v>Taft St (Douglas Rd to Palm Av)</v>
      </c>
      <c r="J367" s="13" t="s">
        <v>29</v>
      </c>
      <c r="K367" s="13" t="str">
        <f>VLOOKUP(J367,'Data-ProjectTypes'!A$3:B$13,2,FALSE)</f>
        <v>Program</v>
      </c>
      <c r="L367" s="21" t="s">
        <v>348</v>
      </c>
      <c r="M367" s="13" t="s">
        <v>2425</v>
      </c>
      <c r="N367" s="13" t="s">
        <v>2083</v>
      </c>
      <c r="O367" s="13" t="s">
        <v>271</v>
      </c>
      <c r="P367" s="13" t="s">
        <v>271</v>
      </c>
      <c r="Q367" s="22">
        <v>1</v>
      </c>
      <c r="R367" s="23">
        <v>229347</v>
      </c>
      <c r="S367" s="21"/>
      <c r="T367" s="21"/>
      <c r="U367" s="21"/>
      <c r="V367" s="24"/>
      <c r="W367" s="24"/>
      <c r="X367" s="24"/>
      <c r="Y367" s="17"/>
      <c r="Z367" s="18">
        <f>ROUND(R367*'Data-CostAssumptions'!$C$3,-3)</f>
        <v>317000</v>
      </c>
      <c r="AA367" s="11">
        <f t="shared" si="16"/>
        <v>0</v>
      </c>
      <c r="AB367" s="11">
        <v>2041</v>
      </c>
      <c r="AC367" s="11">
        <v>2041</v>
      </c>
      <c r="AD367" s="11">
        <v>2041</v>
      </c>
      <c r="AE367" s="19">
        <f>ROUND((Z367*'Data-CostAssumptions'!$G$5)*(1+'Data-CostAssumptions'!$G$3)^(AB367-'Data-CostAssumptions'!$G$4),-3)</f>
        <v>179000</v>
      </c>
      <c r="AF367" s="19">
        <f>ROUND((Z367)*(1+'Data-CostAssumptions'!$G$3)^(AD367-'Data-CostAssumptions'!$G$4),-3)</f>
        <v>813000</v>
      </c>
      <c r="AG367" s="170" t="str">
        <f t="shared" si="17"/>
        <v>No</v>
      </c>
    </row>
    <row r="368" spans="1:33" ht="15" customHeight="1" x14ac:dyDescent="0.2">
      <c r="A368" s="11"/>
      <c r="B368" s="11" t="s">
        <v>1211</v>
      </c>
      <c r="C368" s="11"/>
      <c r="D368" s="84" t="s">
        <v>276</v>
      </c>
      <c r="E368" s="14">
        <v>112</v>
      </c>
      <c r="F368" s="14"/>
      <c r="G368" s="20">
        <v>1481</v>
      </c>
      <c r="H368" s="13" t="s">
        <v>2798</v>
      </c>
      <c r="I368" s="13" t="str">
        <f t="shared" si="15"/>
        <v>SR 842/Broward Bl (VICTORIA PARK RD to NE/SE 15TH Av)</v>
      </c>
      <c r="J368" s="11" t="s">
        <v>29</v>
      </c>
      <c r="K368" s="13" t="str">
        <f>VLOOKUP(J368,'Data-ProjectTypes'!A$3:B$13,2,FALSE)</f>
        <v>Program</v>
      </c>
      <c r="L368" s="11" t="s">
        <v>1254</v>
      </c>
      <c r="M368" s="106" t="s">
        <v>1252</v>
      </c>
      <c r="N368" s="84" t="s">
        <v>2600</v>
      </c>
      <c r="O368" s="11"/>
      <c r="P368" s="11"/>
      <c r="Q368" s="107">
        <v>0.2</v>
      </c>
      <c r="R368" s="23">
        <v>228000</v>
      </c>
      <c r="S368" s="21"/>
      <c r="T368" s="21"/>
      <c r="U368" s="21"/>
      <c r="V368" s="24"/>
      <c r="W368" s="24"/>
      <c r="X368" s="24"/>
      <c r="Y368" s="17"/>
      <c r="Z368" s="18">
        <f>ROUND(R368*'Data-CostAssumptions'!$C$3,-3)</f>
        <v>316000</v>
      </c>
      <c r="AA368" s="11">
        <f t="shared" si="16"/>
        <v>0</v>
      </c>
      <c r="AB368" s="11">
        <v>2041</v>
      </c>
      <c r="AC368" s="11">
        <v>2041</v>
      </c>
      <c r="AD368" s="11">
        <v>2041</v>
      </c>
      <c r="AE368" s="19">
        <f>ROUND((Z368*'Data-CostAssumptions'!$G$5)*(1+'Data-CostAssumptions'!$G$3)^(AB368-'Data-CostAssumptions'!$G$4),-3)</f>
        <v>178000</v>
      </c>
      <c r="AF368" s="19">
        <f>ROUND((Z368)*(1+'Data-CostAssumptions'!$G$3)^(AD368-'Data-CostAssumptions'!$G$4),-3)</f>
        <v>810000</v>
      </c>
      <c r="AG368" s="170" t="str">
        <f t="shared" si="17"/>
        <v>No</v>
      </c>
    </row>
    <row r="369" spans="1:33" ht="15" customHeight="1" x14ac:dyDescent="0.2">
      <c r="A369" s="11"/>
      <c r="B369" s="11" t="s">
        <v>1211</v>
      </c>
      <c r="C369" s="13">
        <v>920</v>
      </c>
      <c r="D369" s="13" t="s">
        <v>420</v>
      </c>
      <c r="E369" s="20">
        <v>303</v>
      </c>
      <c r="F369" s="20">
        <v>193</v>
      </c>
      <c r="G369" s="20">
        <v>296</v>
      </c>
      <c r="H369" s="13" t="s">
        <v>1850</v>
      </c>
      <c r="I369" s="13" t="str">
        <f t="shared" si="15"/>
        <v>Johnson Rd (Lyons Rd to State Rd 7)</v>
      </c>
      <c r="J369" s="13" t="s">
        <v>29</v>
      </c>
      <c r="K369" s="13" t="str">
        <f>VLOOKUP(J369,'Data-ProjectTypes'!A$3:B$13,2,FALSE)</f>
        <v>Program</v>
      </c>
      <c r="L369" s="21" t="s">
        <v>348</v>
      </c>
      <c r="M369" s="13" t="s">
        <v>1754</v>
      </c>
      <c r="N369" s="13" t="s">
        <v>1772</v>
      </c>
      <c r="O369" s="13" t="s">
        <v>283</v>
      </c>
      <c r="P369" s="13" t="s">
        <v>283</v>
      </c>
      <c r="Q369" s="22">
        <v>1</v>
      </c>
      <c r="R369" s="23">
        <v>227023</v>
      </c>
      <c r="S369" s="21"/>
      <c r="T369" s="21"/>
      <c r="U369" s="21"/>
      <c r="V369" s="24"/>
      <c r="W369" s="24"/>
      <c r="X369" s="24"/>
      <c r="Y369" s="17"/>
      <c r="Z369" s="18">
        <f>ROUND(R369*'Data-CostAssumptions'!$C$3,-3)</f>
        <v>314000</v>
      </c>
      <c r="AA369" s="11">
        <f t="shared" si="16"/>
        <v>0</v>
      </c>
      <c r="AB369" s="11">
        <v>2041</v>
      </c>
      <c r="AC369" s="11">
        <v>2041</v>
      </c>
      <c r="AD369" s="11">
        <v>2041</v>
      </c>
      <c r="AE369" s="19">
        <f>ROUND((Z369*'Data-CostAssumptions'!$G$5)*(1+'Data-CostAssumptions'!$G$3)^(AB369-'Data-CostAssumptions'!$G$4),-3)</f>
        <v>177000</v>
      </c>
      <c r="AF369" s="19">
        <f>ROUND((Z369)*(1+'Data-CostAssumptions'!$G$3)^(AD369-'Data-CostAssumptions'!$G$4),-3)</f>
        <v>805000</v>
      </c>
      <c r="AG369" s="170" t="str">
        <f t="shared" si="17"/>
        <v>No</v>
      </c>
    </row>
    <row r="370" spans="1:33" ht="15" customHeight="1" x14ac:dyDescent="0.2">
      <c r="A370" s="11"/>
      <c r="B370" s="11" t="s">
        <v>1211</v>
      </c>
      <c r="C370" s="13">
        <v>708</v>
      </c>
      <c r="D370" s="13" t="s">
        <v>420</v>
      </c>
      <c r="E370" s="20">
        <v>173</v>
      </c>
      <c r="F370" s="20">
        <v>181</v>
      </c>
      <c r="G370" s="20">
        <v>86</v>
      </c>
      <c r="H370" s="13" t="s">
        <v>2120</v>
      </c>
      <c r="I370" s="13" t="str">
        <f t="shared" si="15"/>
        <v>SW 31st Av (Riverland Rd to Jackson Bl)</v>
      </c>
      <c r="J370" s="13" t="s">
        <v>29</v>
      </c>
      <c r="K370" s="13" t="str">
        <f>VLOOKUP(J370,'Data-ProjectTypes'!A$3:B$13,2,FALSE)</f>
        <v>Program</v>
      </c>
      <c r="L370" s="21" t="s">
        <v>348</v>
      </c>
      <c r="M370" s="13" t="s">
        <v>1767</v>
      </c>
      <c r="N370" s="13" t="s">
        <v>2289</v>
      </c>
      <c r="O370" s="13" t="s">
        <v>276</v>
      </c>
      <c r="P370" s="13" t="s">
        <v>276</v>
      </c>
      <c r="Q370" s="22">
        <v>1</v>
      </c>
      <c r="R370" s="23">
        <v>225839</v>
      </c>
      <c r="S370" s="21"/>
      <c r="T370" s="21"/>
      <c r="U370" s="21"/>
      <c r="V370" s="24"/>
      <c r="W370" s="24"/>
      <c r="X370" s="24"/>
      <c r="Y370" s="17"/>
      <c r="Z370" s="18">
        <f>ROUND(R370*'Data-CostAssumptions'!$C$3,-3)</f>
        <v>313000</v>
      </c>
      <c r="AA370" s="11">
        <f t="shared" si="16"/>
        <v>0</v>
      </c>
      <c r="AB370" s="11">
        <v>2041</v>
      </c>
      <c r="AC370" s="11">
        <v>2041</v>
      </c>
      <c r="AD370" s="11">
        <v>2041</v>
      </c>
      <c r="AE370" s="19">
        <f>ROUND((Z370*'Data-CostAssumptions'!$G$5)*(1+'Data-CostAssumptions'!$G$3)^(AB370-'Data-CostAssumptions'!$G$4),-3)</f>
        <v>177000</v>
      </c>
      <c r="AF370" s="19">
        <f>ROUND((Z370)*(1+'Data-CostAssumptions'!$G$3)^(AD370-'Data-CostAssumptions'!$G$4),-3)</f>
        <v>803000</v>
      </c>
      <c r="AG370" s="170" t="str">
        <f t="shared" si="17"/>
        <v>No</v>
      </c>
    </row>
    <row r="371" spans="1:33" ht="15" customHeight="1" x14ac:dyDescent="0.2">
      <c r="A371" s="11"/>
      <c r="B371" s="11" t="s">
        <v>1211</v>
      </c>
      <c r="C371" s="13">
        <v>930</v>
      </c>
      <c r="D371" s="13" t="s">
        <v>420</v>
      </c>
      <c r="E371" s="20">
        <v>50</v>
      </c>
      <c r="F371" s="20">
        <v>194</v>
      </c>
      <c r="G371" s="20">
        <v>306</v>
      </c>
      <c r="H371" s="13" t="s">
        <v>184</v>
      </c>
      <c r="I371" s="13" t="str">
        <f t="shared" si="15"/>
        <v>Orange Dr (Hiatus Rd to Flamingo Rd)</v>
      </c>
      <c r="J371" s="13" t="s">
        <v>29</v>
      </c>
      <c r="K371" s="13" t="str">
        <f>VLOOKUP(J371,'Data-ProjectTypes'!A$3:B$13,2,FALSE)</f>
        <v>Program</v>
      </c>
      <c r="L371" s="21" t="s">
        <v>348</v>
      </c>
      <c r="M371" s="13" t="s">
        <v>1752</v>
      </c>
      <c r="N371" s="13" t="s">
        <v>159</v>
      </c>
      <c r="O371" s="13" t="s">
        <v>279</v>
      </c>
      <c r="P371" s="13" t="s">
        <v>279</v>
      </c>
      <c r="Q371" s="22">
        <v>1</v>
      </c>
      <c r="R371" s="23">
        <v>225511</v>
      </c>
      <c r="S371" s="21" t="s">
        <v>24</v>
      </c>
      <c r="T371" s="21" t="s">
        <v>25</v>
      </c>
      <c r="U371" s="21" t="s">
        <v>24</v>
      </c>
      <c r="V371" s="24" t="s">
        <v>836</v>
      </c>
      <c r="W371" s="24"/>
      <c r="X371" s="24"/>
      <c r="Y371" s="17" t="s">
        <v>831</v>
      </c>
      <c r="Z371" s="18">
        <f>ROUND(R371*'Data-CostAssumptions'!$C$3,-3)</f>
        <v>312000</v>
      </c>
      <c r="AA371" s="11">
        <f t="shared" si="16"/>
        <v>1</v>
      </c>
      <c r="AB371" s="11">
        <v>2041</v>
      </c>
      <c r="AC371" s="11">
        <v>2041</v>
      </c>
      <c r="AD371" s="11">
        <v>2041</v>
      </c>
      <c r="AE371" s="19">
        <f>ROUND((Z371*'Data-CostAssumptions'!$G$5)*(1+'Data-CostAssumptions'!$G$3)^(AB371-'Data-CostAssumptions'!$G$4),-3)</f>
        <v>176000</v>
      </c>
      <c r="AF371" s="19">
        <f>ROUND((Z371)*(1+'Data-CostAssumptions'!$G$3)^(AD371-'Data-CostAssumptions'!$G$4),-3)</f>
        <v>800000</v>
      </c>
      <c r="AG371" s="170" t="str">
        <f t="shared" si="17"/>
        <v>No</v>
      </c>
    </row>
    <row r="372" spans="1:33" ht="15" customHeight="1" x14ac:dyDescent="0.2">
      <c r="A372" s="11"/>
      <c r="B372" s="11" t="s">
        <v>1211</v>
      </c>
      <c r="C372" s="13">
        <v>837</v>
      </c>
      <c r="D372" s="13" t="s">
        <v>420</v>
      </c>
      <c r="E372" s="20">
        <v>312</v>
      </c>
      <c r="F372" s="20">
        <v>189</v>
      </c>
      <c r="G372" s="20">
        <v>213</v>
      </c>
      <c r="H372" s="13" t="s">
        <v>2062</v>
      </c>
      <c r="I372" s="13" t="str">
        <f t="shared" si="15"/>
        <v>NW 31st Av (Atlantic Bl to Hammondville Rd)</v>
      </c>
      <c r="J372" s="13" t="s">
        <v>29</v>
      </c>
      <c r="K372" s="13" t="str">
        <f>VLOOKUP(J372,'Data-ProjectTypes'!A$3:B$13,2,FALSE)</f>
        <v>Program</v>
      </c>
      <c r="L372" s="21" t="s">
        <v>348</v>
      </c>
      <c r="M372" s="13" t="s">
        <v>1809</v>
      </c>
      <c r="N372" s="13" t="s">
        <v>1751</v>
      </c>
      <c r="O372" s="13" t="s">
        <v>270</v>
      </c>
      <c r="P372" s="13" t="s">
        <v>270</v>
      </c>
      <c r="Q372" s="22">
        <v>1</v>
      </c>
      <c r="R372" s="23">
        <v>223350</v>
      </c>
      <c r="S372" s="21"/>
      <c r="T372" s="21"/>
      <c r="U372" s="21"/>
      <c r="V372" s="24"/>
      <c r="W372" s="24"/>
      <c r="X372" s="28"/>
      <c r="Y372" s="17"/>
      <c r="Z372" s="18">
        <f>ROUND(R372*'Data-CostAssumptions'!$C$3,-3)</f>
        <v>309000</v>
      </c>
      <c r="AA372" s="11">
        <f t="shared" si="16"/>
        <v>0</v>
      </c>
      <c r="AB372" s="11">
        <v>2041</v>
      </c>
      <c r="AC372" s="11">
        <v>2041</v>
      </c>
      <c r="AD372" s="11">
        <v>2041</v>
      </c>
      <c r="AE372" s="19">
        <f>ROUND((Z372*'Data-CostAssumptions'!$G$5)*(1+'Data-CostAssumptions'!$G$3)^(AB372-'Data-CostAssumptions'!$G$4),-3)</f>
        <v>174000</v>
      </c>
      <c r="AF372" s="19">
        <f>ROUND((Z372)*(1+'Data-CostAssumptions'!$G$3)^(AD372-'Data-CostAssumptions'!$G$4),-3)</f>
        <v>792000</v>
      </c>
      <c r="AG372" s="170" t="str">
        <f t="shared" si="17"/>
        <v>No</v>
      </c>
    </row>
    <row r="373" spans="1:33" ht="15" customHeight="1" x14ac:dyDescent="0.2">
      <c r="A373" s="11"/>
      <c r="B373" s="11" t="s">
        <v>1211</v>
      </c>
      <c r="C373" s="13">
        <v>684</v>
      </c>
      <c r="D373" s="13" t="s">
        <v>420</v>
      </c>
      <c r="E373" s="20">
        <v>328</v>
      </c>
      <c r="F373" s="20">
        <v>180</v>
      </c>
      <c r="G373" s="20">
        <v>63</v>
      </c>
      <c r="H373" s="13" t="s">
        <v>2199</v>
      </c>
      <c r="I373" s="13" t="str">
        <f t="shared" si="15"/>
        <v>College Av-SR 84 Connector (Davie Rd to Nova Dr)</v>
      </c>
      <c r="J373" s="13" t="s">
        <v>29</v>
      </c>
      <c r="K373" s="13" t="str">
        <f>VLOOKUP(J373,'Data-ProjectTypes'!A$3:B$13,2,FALSE)</f>
        <v>Program</v>
      </c>
      <c r="L373" s="21" t="s">
        <v>348</v>
      </c>
      <c r="M373" s="13" t="s">
        <v>1845</v>
      </c>
      <c r="N373" s="13" t="s">
        <v>487</v>
      </c>
      <c r="O373" s="13" t="s">
        <v>279</v>
      </c>
      <c r="P373" s="13" t="s">
        <v>279</v>
      </c>
      <c r="Q373" s="22">
        <v>1</v>
      </c>
      <c r="R373" s="23">
        <v>222405</v>
      </c>
      <c r="S373" s="21"/>
      <c r="T373" s="21"/>
      <c r="U373" s="21"/>
      <c r="V373" s="24"/>
      <c r="W373" s="24"/>
      <c r="X373" s="24"/>
      <c r="Y373" s="17"/>
      <c r="Z373" s="18">
        <f>ROUND(R373*'Data-CostAssumptions'!$C$3,-3)</f>
        <v>308000</v>
      </c>
      <c r="AA373" s="11">
        <f t="shared" si="16"/>
        <v>0</v>
      </c>
      <c r="AB373" s="11">
        <v>2041</v>
      </c>
      <c r="AC373" s="11">
        <v>2041</v>
      </c>
      <c r="AD373" s="11">
        <v>2041</v>
      </c>
      <c r="AE373" s="19">
        <f>ROUND((Z373*'Data-CostAssumptions'!$G$5)*(1+'Data-CostAssumptions'!$G$3)^(AB373-'Data-CostAssumptions'!$G$4),-3)</f>
        <v>174000</v>
      </c>
      <c r="AF373" s="19">
        <f>ROUND((Z373)*(1+'Data-CostAssumptions'!$G$3)^(AD373-'Data-CostAssumptions'!$G$4),-3)</f>
        <v>790000</v>
      </c>
      <c r="AG373" s="170" t="str">
        <f t="shared" si="17"/>
        <v>No</v>
      </c>
    </row>
    <row r="374" spans="1:33" ht="15" customHeight="1" x14ac:dyDescent="0.2">
      <c r="A374" s="11"/>
      <c r="B374" s="11" t="s">
        <v>1211</v>
      </c>
      <c r="C374" s="13">
        <v>834</v>
      </c>
      <c r="D374" s="13" t="s">
        <v>420</v>
      </c>
      <c r="E374" s="20">
        <v>294</v>
      </c>
      <c r="F374" s="20">
        <v>188</v>
      </c>
      <c r="G374" s="20">
        <v>210</v>
      </c>
      <c r="H374" s="13" t="s">
        <v>1755</v>
      </c>
      <c r="I374" s="13" t="str">
        <f t="shared" si="15"/>
        <v>Nob Hill Rd (Just north of State Rd 84 to Broward Bl)</v>
      </c>
      <c r="J374" s="13" t="s">
        <v>29</v>
      </c>
      <c r="K374" s="13" t="str">
        <f>VLOOKUP(J374,'Data-ProjectTypes'!A$3:B$13,2,FALSE)</f>
        <v>Program</v>
      </c>
      <c r="L374" s="21" t="s">
        <v>348</v>
      </c>
      <c r="M374" s="13" t="s">
        <v>2429</v>
      </c>
      <c r="N374" s="13" t="s">
        <v>1811</v>
      </c>
      <c r="O374" s="13" t="s">
        <v>273</v>
      </c>
      <c r="P374" s="13" t="s">
        <v>273</v>
      </c>
      <c r="Q374" s="22">
        <v>0.9</v>
      </c>
      <c r="R374" s="23">
        <v>220214</v>
      </c>
      <c r="S374" s="21"/>
      <c r="T374" s="21"/>
      <c r="U374" s="21"/>
      <c r="V374" s="24"/>
      <c r="W374" s="24"/>
      <c r="X374" s="24"/>
      <c r="Y374" s="17"/>
      <c r="Z374" s="18">
        <f>ROUND(R374*'Data-CostAssumptions'!$C$3,-3)</f>
        <v>305000</v>
      </c>
      <c r="AA374" s="11">
        <f t="shared" si="16"/>
        <v>0</v>
      </c>
      <c r="AB374" s="11">
        <v>2041</v>
      </c>
      <c r="AC374" s="11">
        <v>2041</v>
      </c>
      <c r="AD374" s="11">
        <v>2041</v>
      </c>
      <c r="AE374" s="19">
        <f>ROUND((Z374*'Data-CostAssumptions'!$G$5)*(1+'Data-CostAssumptions'!$G$3)^(AB374-'Data-CostAssumptions'!$G$4),-3)</f>
        <v>172000</v>
      </c>
      <c r="AF374" s="19">
        <f>ROUND((Z374)*(1+'Data-CostAssumptions'!$G$3)^(AD374-'Data-CostAssumptions'!$G$4),-3)</f>
        <v>782000</v>
      </c>
      <c r="AG374" s="170" t="str">
        <f t="shared" si="17"/>
        <v>No</v>
      </c>
    </row>
    <row r="375" spans="1:33" ht="15" customHeight="1" x14ac:dyDescent="0.2">
      <c r="A375" s="11"/>
      <c r="B375" s="11" t="s">
        <v>1211</v>
      </c>
      <c r="C375" s="11">
        <v>12700</v>
      </c>
      <c r="D375" s="84" t="s">
        <v>278</v>
      </c>
      <c r="E375" s="14"/>
      <c r="F375" s="14"/>
      <c r="G375" s="20">
        <v>1839</v>
      </c>
      <c r="H375" s="13" t="s">
        <v>1980</v>
      </c>
      <c r="I375" s="13" t="str">
        <f t="shared" si="15"/>
        <v>Sawgrass Corporate Pkwy (Sunrise Bl to International Dr)</v>
      </c>
      <c r="J375" s="11" t="s">
        <v>29</v>
      </c>
      <c r="K375" s="13" t="str">
        <f>VLOOKUP(J375,'Data-ProjectTypes'!A$3:B$13,2,FALSE)</f>
        <v>Program</v>
      </c>
      <c r="L375" s="11" t="s">
        <v>817</v>
      </c>
      <c r="M375" s="11" t="s">
        <v>1830</v>
      </c>
      <c r="N375" s="11" t="s">
        <v>1792</v>
      </c>
      <c r="O375" s="11"/>
      <c r="P375" s="11"/>
      <c r="Q375" s="15">
        <v>0.5</v>
      </c>
      <c r="R375" s="16">
        <v>220000</v>
      </c>
      <c r="S375" s="21"/>
      <c r="T375" s="21"/>
      <c r="U375" s="21"/>
      <c r="V375" s="24"/>
      <c r="W375" s="24"/>
      <c r="X375" s="24"/>
      <c r="Y375" s="17"/>
      <c r="Z375" s="18">
        <f>ROUND(R375*'Data-CostAssumptions'!$C$3,-3)</f>
        <v>304000</v>
      </c>
      <c r="AA375" s="11">
        <f t="shared" si="16"/>
        <v>0</v>
      </c>
      <c r="AB375" s="11">
        <v>2041</v>
      </c>
      <c r="AC375" s="11">
        <v>2041</v>
      </c>
      <c r="AD375" s="11">
        <v>2041</v>
      </c>
      <c r="AE375" s="19">
        <f>ROUND((Z375*'Data-CostAssumptions'!$G$5)*(1+'Data-CostAssumptions'!$G$3)^(AB375-'Data-CostAssumptions'!$G$4),-3)</f>
        <v>171000</v>
      </c>
      <c r="AF375" s="19">
        <f>ROUND((Z375)*(1+'Data-CostAssumptions'!$G$3)^(AD375-'Data-CostAssumptions'!$G$4),-3)</f>
        <v>779000</v>
      </c>
      <c r="AG375" s="170" t="str">
        <f t="shared" si="17"/>
        <v>No</v>
      </c>
    </row>
    <row r="376" spans="1:33" ht="15" customHeight="1" x14ac:dyDescent="0.2">
      <c r="A376" s="11"/>
      <c r="B376" s="11" t="s">
        <v>1211</v>
      </c>
      <c r="C376" s="13">
        <v>676</v>
      </c>
      <c r="D376" s="13" t="s">
        <v>420</v>
      </c>
      <c r="E376" s="20">
        <v>193</v>
      </c>
      <c r="F376" s="20">
        <v>179</v>
      </c>
      <c r="G376" s="20">
        <v>57</v>
      </c>
      <c r="H376" s="13" t="s">
        <v>2095</v>
      </c>
      <c r="I376" s="13" t="str">
        <f t="shared" si="15"/>
        <v>South 26th Av (Pembroke Rd to Hollywood Bl)</v>
      </c>
      <c r="J376" s="13" t="s">
        <v>29</v>
      </c>
      <c r="K376" s="13" t="str">
        <f>VLOOKUP(J376,'Data-ProjectTypes'!A$3:B$13,2,FALSE)</f>
        <v>Program</v>
      </c>
      <c r="L376" s="21" t="s">
        <v>563</v>
      </c>
      <c r="M376" s="13" t="s">
        <v>1760</v>
      </c>
      <c r="N376" s="13" t="s">
        <v>1820</v>
      </c>
      <c r="O376" s="13" t="s">
        <v>282</v>
      </c>
      <c r="P376" s="13" t="s">
        <v>282</v>
      </c>
      <c r="Q376" s="22">
        <v>0.9</v>
      </c>
      <c r="R376" s="23">
        <v>218750</v>
      </c>
      <c r="S376" s="21"/>
      <c r="T376" s="21"/>
      <c r="U376" s="21"/>
      <c r="V376" s="24"/>
      <c r="W376" s="24"/>
      <c r="X376" s="28"/>
      <c r="Y376" s="17"/>
      <c r="Z376" s="18">
        <f>ROUND(R376*'Data-CostAssumptions'!$C$3,-3)</f>
        <v>303000</v>
      </c>
      <c r="AA376" s="11">
        <f t="shared" si="16"/>
        <v>0</v>
      </c>
      <c r="AB376" s="11">
        <v>2041</v>
      </c>
      <c r="AC376" s="11">
        <v>2041</v>
      </c>
      <c r="AD376" s="11">
        <v>2041</v>
      </c>
      <c r="AE376" s="19">
        <f>ROUND((Z376*'Data-CostAssumptions'!$G$5)*(1+'Data-CostAssumptions'!$G$3)^(AB376-'Data-CostAssumptions'!$G$4),-3)</f>
        <v>171000</v>
      </c>
      <c r="AF376" s="19">
        <f>ROUND((Z376)*(1+'Data-CostAssumptions'!$G$3)^(AD376-'Data-CostAssumptions'!$G$4),-3)</f>
        <v>777000</v>
      </c>
      <c r="AG376" s="170" t="str">
        <f t="shared" si="17"/>
        <v>No</v>
      </c>
    </row>
    <row r="377" spans="1:33" ht="15" customHeight="1" x14ac:dyDescent="0.2">
      <c r="B377" s="11" t="s">
        <v>1211</v>
      </c>
      <c r="D377" s="84" t="s">
        <v>276</v>
      </c>
      <c r="E377" s="104" t="s">
        <v>1476</v>
      </c>
      <c r="G377" s="20">
        <v>1386</v>
      </c>
      <c r="H377" s="13" t="s">
        <v>2148</v>
      </c>
      <c r="I377" s="13" t="str">
        <f t="shared" si="15"/>
        <v>NE 22ND Av &amp; NE 32ND ST  (OAKLAND PARK Bl/SR 816 to US 1)</v>
      </c>
      <c r="J377" s="12" t="s">
        <v>29</v>
      </c>
      <c r="K377" s="13" t="str">
        <f>VLOOKUP(J377,'Data-ProjectTypes'!A$3:B$13,2,FALSE)</f>
        <v>Program</v>
      </c>
      <c r="L377" s="12" t="s">
        <v>1667</v>
      </c>
      <c r="M377" s="105" t="s">
        <v>2293</v>
      </c>
      <c r="N377" s="12" t="s">
        <v>98</v>
      </c>
      <c r="Q377" s="72">
        <v>1.3</v>
      </c>
      <c r="R377" s="23">
        <f>ROUND(Q377*'Data-CostAssumptions'!$C$25,-1)</f>
        <v>218920</v>
      </c>
      <c r="S377" s="21"/>
      <c r="T377" s="21"/>
      <c r="U377" s="21"/>
      <c r="V377" s="24"/>
      <c r="W377" s="24"/>
      <c r="X377" s="24" t="s">
        <v>697</v>
      </c>
      <c r="Y377" s="17" t="s">
        <v>287</v>
      </c>
      <c r="Z377" s="18">
        <f>ROUND(R377*'Data-CostAssumptions'!$C$3,-3)</f>
        <v>303000</v>
      </c>
      <c r="AA377" s="11">
        <f t="shared" si="16"/>
        <v>0</v>
      </c>
      <c r="AB377" s="11">
        <v>2041</v>
      </c>
      <c r="AC377" s="11">
        <v>2041</v>
      </c>
      <c r="AD377" s="11">
        <v>2041</v>
      </c>
      <c r="AE377" s="19">
        <f>ROUND((Z377*'Data-CostAssumptions'!$G$5)*(1+'Data-CostAssumptions'!$G$3)^(AB377-'Data-CostAssumptions'!$G$4),-3)</f>
        <v>171000</v>
      </c>
      <c r="AF377" s="19">
        <f>ROUND((Z377)*(1+'Data-CostAssumptions'!$G$3)^(AD377-'Data-CostAssumptions'!$G$4),-3)</f>
        <v>777000</v>
      </c>
      <c r="AG377" s="170" t="str">
        <f t="shared" si="17"/>
        <v>No</v>
      </c>
    </row>
    <row r="378" spans="1:33" ht="15" customHeight="1" x14ac:dyDescent="0.2">
      <c r="B378" s="11" t="s">
        <v>1211</v>
      </c>
      <c r="D378" s="84" t="s">
        <v>276</v>
      </c>
      <c r="E378" s="104" t="s">
        <v>1504</v>
      </c>
      <c r="G378" s="20">
        <v>1455</v>
      </c>
      <c r="H378" s="13" t="s">
        <v>2180</v>
      </c>
      <c r="I378" s="13" t="str">
        <f t="shared" si="15"/>
        <v>SE 4TH Av  (SE 17TH ST  to SE 17TH ST )</v>
      </c>
      <c r="J378" s="12" t="s">
        <v>29</v>
      </c>
      <c r="K378" s="13" t="str">
        <f>VLOOKUP(J378,'Data-ProjectTypes'!A$3:B$13,2,FALSE)</f>
        <v>Program</v>
      </c>
      <c r="L378" s="12" t="s">
        <v>1667</v>
      </c>
      <c r="M378" s="105" t="s">
        <v>1704</v>
      </c>
      <c r="N378" s="12" t="s">
        <v>1704</v>
      </c>
      <c r="Q378" s="72">
        <v>1.3</v>
      </c>
      <c r="R378" s="23">
        <f>ROUND(Q378*'Data-CostAssumptions'!$C$25,-1)</f>
        <v>218920</v>
      </c>
      <c r="S378" s="21" t="s">
        <v>24</v>
      </c>
      <c r="T378" s="21"/>
      <c r="U378" s="21"/>
      <c r="V378" s="24"/>
      <c r="W378" s="24" t="s">
        <v>546</v>
      </c>
      <c r="X378" s="24"/>
      <c r="Y378" s="17" t="s">
        <v>547</v>
      </c>
      <c r="Z378" s="18">
        <f>ROUND(R378*'Data-CostAssumptions'!$C$3,-3)</f>
        <v>303000</v>
      </c>
      <c r="AA378" s="11">
        <f t="shared" si="16"/>
        <v>1</v>
      </c>
      <c r="AB378" s="11">
        <v>2041</v>
      </c>
      <c r="AC378" s="11">
        <v>2041</v>
      </c>
      <c r="AD378" s="11">
        <v>2041</v>
      </c>
      <c r="AE378" s="19">
        <f>ROUND((Z378*'Data-CostAssumptions'!$G$5)*(1+'Data-CostAssumptions'!$G$3)^(AB378-'Data-CostAssumptions'!$G$4),-3)</f>
        <v>171000</v>
      </c>
      <c r="AF378" s="19">
        <f>ROUND((Z378)*(1+'Data-CostAssumptions'!$G$3)^(AD378-'Data-CostAssumptions'!$G$4),-3)</f>
        <v>777000</v>
      </c>
      <c r="AG378" s="170" t="str">
        <f t="shared" si="17"/>
        <v>No</v>
      </c>
    </row>
    <row r="379" spans="1:33" ht="15" customHeight="1" x14ac:dyDescent="0.2">
      <c r="B379" s="11" t="s">
        <v>1211</v>
      </c>
      <c r="D379" s="84" t="s">
        <v>276</v>
      </c>
      <c r="E379" s="104" t="s">
        <v>1556</v>
      </c>
      <c r="G379" s="20">
        <v>1489</v>
      </c>
      <c r="H379" s="13" t="s">
        <v>2184</v>
      </c>
      <c r="I379" s="13" t="str">
        <f t="shared" si="15"/>
        <v>SW 17TH Av LOOP (SW 6TH ST  to DAVIE Bl )</v>
      </c>
      <c r="J379" s="12" t="s">
        <v>29</v>
      </c>
      <c r="K379" s="13" t="str">
        <f>VLOOKUP(J379,'Data-ProjectTypes'!A$3:B$13,2,FALSE)</f>
        <v>Program</v>
      </c>
      <c r="L379" s="12" t="s">
        <v>1667</v>
      </c>
      <c r="M379" s="105" t="s">
        <v>1726</v>
      </c>
      <c r="N379" s="12" t="s">
        <v>2296</v>
      </c>
      <c r="Q379" s="72">
        <v>1.3</v>
      </c>
      <c r="R379" s="23">
        <f>ROUND(Q379*'Data-CostAssumptions'!$C$25,-1)</f>
        <v>218920</v>
      </c>
      <c r="S379" s="21"/>
      <c r="T379" s="21"/>
      <c r="U379" s="21"/>
      <c r="V379" s="24"/>
      <c r="W379" s="24"/>
      <c r="X379" s="24" t="s">
        <v>764</v>
      </c>
      <c r="Y379" s="17" t="s">
        <v>765</v>
      </c>
      <c r="Z379" s="18">
        <f>ROUND(R379*'Data-CostAssumptions'!$C$3,-3)</f>
        <v>303000</v>
      </c>
      <c r="AA379" s="11">
        <f t="shared" si="16"/>
        <v>0</v>
      </c>
      <c r="AB379" s="11">
        <v>2041</v>
      </c>
      <c r="AC379" s="11">
        <v>2041</v>
      </c>
      <c r="AD379" s="11">
        <v>2041</v>
      </c>
      <c r="AE379" s="19">
        <f>ROUND((Z379*'Data-CostAssumptions'!$G$5)*(1+'Data-CostAssumptions'!$G$3)^(AB379-'Data-CostAssumptions'!$G$4),-3)</f>
        <v>171000</v>
      </c>
      <c r="AF379" s="19">
        <f>ROUND((Z379)*(1+'Data-CostAssumptions'!$G$3)^(AD379-'Data-CostAssumptions'!$G$4),-3)</f>
        <v>777000</v>
      </c>
      <c r="AG379" s="170" t="str">
        <f t="shared" si="17"/>
        <v>No</v>
      </c>
    </row>
    <row r="380" spans="1:33" ht="15" customHeight="1" x14ac:dyDescent="0.2">
      <c r="B380" s="11" t="s">
        <v>1211</v>
      </c>
      <c r="D380" s="84" t="s">
        <v>276</v>
      </c>
      <c r="E380" s="104" t="s">
        <v>1525</v>
      </c>
      <c r="G380" s="20">
        <v>1509</v>
      </c>
      <c r="H380" s="13" t="s">
        <v>2197</v>
      </c>
      <c r="I380" s="13" t="str">
        <f t="shared" si="15"/>
        <v>SW 9TH Av &amp; SW 10TH Av  (SW 11TH Av  to W BROWARD Bl )</v>
      </c>
      <c r="J380" s="12" t="s">
        <v>29</v>
      </c>
      <c r="K380" s="13" t="str">
        <f>VLOOKUP(J380,'Data-ProjectTypes'!A$3:B$13,2,FALSE)</f>
        <v>Program</v>
      </c>
      <c r="L380" s="12" t="s">
        <v>1667</v>
      </c>
      <c r="M380" s="105" t="s">
        <v>2641</v>
      </c>
      <c r="N380" s="12" t="s">
        <v>2310</v>
      </c>
      <c r="Q380" s="72">
        <v>1.3</v>
      </c>
      <c r="R380" s="23">
        <f>ROUND(Q380*'Data-CostAssumptions'!$C$25,-1)</f>
        <v>218920</v>
      </c>
      <c r="S380" s="21" t="s">
        <v>24</v>
      </c>
      <c r="T380" s="21" t="s">
        <v>25</v>
      </c>
      <c r="U380" s="21"/>
      <c r="V380" s="24"/>
      <c r="W380" s="24"/>
      <c r="X380" s="24"/>
      <c r="Y380" s="17" t="s">
        <v>492</v>
      </c>
      <c r="Z380" s="18">
        <f>ROUND(R380*'Data-CostAssumptions'!$C$3,-3)</f>
        <v>303000</v>
      </c>
      <c r="AA380" s="11">
        <f t="shared" si="16"/>
        <v>0</v>
      </c>
      <c r="AB380" s="11">
        <v>2041</v>
      </c>
      <c r="AC380" s="11">
        <v>2041</v>
      </c>
      <c r="AD380" s="11">
        <v>2041</v>
      </c>
      <c r="AE380" s="19">
        <f>ROUND((Z380*'Data-CostAssumptions'!$G$5)*(1+'Data-CostAssumptions'!$G$3)^(AB380-'Data-CostAssumptions'!$G$4),-3)</f>
        <v>171000</v>
      </c>
      <c r="AF380" s="19">
        <f>ROUND((Z380)*(1+'Data-CostAssumptions'!$G$3)^(AD380-'Data-CostAssumptions'!$G$4),-3)</f>
        <v>777000</v>
      </c>
      <c r="AG380" s="170" t="str">
        <f t="shared" si="17"/>
        <v>No</v>
      </c>
    </row>
    <row r="381" spans="1:33" ht="15" customHeight="1" x14ac:dyDescent="0.2">
      <c r="A381" s="11"/>
      <c r="B381" s="11" t="s">
        <v>1211</v>
      </c>
      <c r="C381" s="13">
        <v>932</v>
      </c>
      <c r="D381" s="13" t="s">
        <v>420</v>
      </c>
      <c r="E381" s="20">
        <v>62</v>
      </c>
      <c r="F381" s="20">
        <v>194</v>
      </c>
      <c r="G381" s="20">
        <v>308</v>
      </c>
      <c r="H381" s="13" t="s">
        <v>2702</v>
      </c>
      <c r="I381" s="13" t="str">
        <f t="shared" si="15"/>
        <v>SR A1A/Ocean Bl (NE 40th St to Commercial Bl)</v>
      </c>
      <c r="J381" s="13" t="s">
        <v>29</v>
      </c>
      <c r="K381" s="13" t="str">
        <f>VLOOKUP(J381,'Data-ProjectTypes'!A$3:B$13,2,FALSE)</f>
        <v>Program</v>
      </c>
      <c r="L381" s="21" t="s">
        <v>348</v>
      </c>
      <c r="M381" s="13" t="s">
        <v>1893</v>
      </c>
      <c r="N381" s="13" t="s">
        <v>1813</v>
      </c>
      <c r="O381" s="13" t="s">
        <v>270</v>
      </c>
      <c r="P381" s="13" t="s">
        <v>270</v>
      </c>
      <c r="Q381" s="22">
        <v>0.9</v>
      </c>
      <c r="R381" s="23">
        <v>217523</v>
      </c>
      <c r="S381" s="21" t="s">
        <v>24</v>
      </c>
      <c r="T381" s="21" t="s">
        <v>684</v>
      </c>
      <c r="U381" s="21" t="s">
        <v>684</v>
      </c>
      <c r="V381" s="24"/>
      <c r="W381" s="24" t="s">
        <v>1107</v>
      </c>
      <c r="X381" s="24" t="s">
        <v>1126</v>
      </c>
      <c r="Y381" s="12" t="s">
        <v>1113</v>
      </c>
      <c r="Z381" s="18">
        <f>ROUND(R381*'Data-CostAssumptions'!$C$3,-3)</f>
        <v>301000</v>
      </c>
      <c r="AA381" s="11">
        <f t="shared" si="16"/>
        <v>1</v>
      </c>
      <c r="AB381" s="11">
        <v>2041</v>
      </c>
      <c r="AC381" s="11">
        <v>2041</v>
      </c>
      <c r="AD381" s="11">
        <v>2041</v>
      </c>
      <c r="AE381" s="19">
        <f>ROUND((Z381*'Data-CostAssumptions'!$G$5)*(1+'Data-CostAssumptions'!$G$3)^(AB381-'Data-CostAssumptions'!$G$4),-3)</f>
        <v>170000</v>
      </c>
      <c r="AF381" s="19">
        <f>ROUND((Z381)*(1+'Data-CostAssumptions'!$G$3)^(AD381-'Data-CostAssumptions'!$G$4),-3)</f>
        <v>772000</v>
      </c>
      <c r="AG381" s="170" t="str">
        <f t="shared" si="17"/>
        <v>No</v>
      </c>
    </row>
    <row r="382" spans="1:33" ht="15" customHeight="1" x14ac:dyDescent="0.2">
      <c r="A382" s="11"/>
      <c r="B382" s="11" t="s">
        <v>1211</v>
      </c>
      <c r="C382" s="13">
        <v>871</v>
      </c>
      <c r="D382" s="13" t="s">
        <v>420</v>
      </c>
      <c r="E382" s="20">
        <v>231</v>
      </c>
      <c r="F382" s="20">
        <v>191</v>
      </c>
      <c r="G382" s="20">
        <v>248</v>
      </c>
      <c r="H382" s="13" t="s">
        <v>1891</v>
      </c>
      <c r="I382" s="13" t="str">
        <f t="shared" si="15"/>
        <v>NE 38th St (Dixie Hwy to Andrews Av)</v>
      </c>
      <c r="J382" s="13" t="s">
        <v>29</v>
      </c>
      <c r="K382" s="13" t="str">
        <f>VLOOKUP(J382,'Data-ProjectTypes'!A$3:B$13,2,FALSE)</f>
        <v>Program</v>
      </c>
      <c r="L382" s="21" t="s">
        <v>348</v>
      </c>
      <c r="M382" s="13" t="s">
        <v>728</v>
      </c>
      <c r="N382" s="13" t="s">
        <v>2014</v>
      </c>
      <c r="O382" s="13" t="s">
        <v>287</v>
      </c>
      <c r="P382" s="13" t="s">
        <v>287</v>
      </c>
      <c r="Q382" s="22">
        <v>0.9</v>
      </c>
      <c r="R382" s="23">
        <v>216493</v>
      </c>
      <c r="S382" s="21"/>
      <c r="T382" s="21"/>
      <c r="U382" s="21" t="s">
        <v>24</v>
      </c>
      <c r="V382" s="24"/>
      <c r="W382" s="24" t="s">
        <v>848</v>
      </c>
      <c r="X382" s="24"/>
      <c r="Y382" s="17" t="s">
        <v>844</v>
      </c>
      <c r="Z382" s="18">
        <f>ROUND(R382*'Data-CostAssumptions'!$C$3,-3)</f>
        <v>300000</v>
      </c>
      <c r="AA382" s="11">
        <f t="shared" si="16"/>
        <v>1</v>
      </c>
      <c r="AB382" s="11">
        <v>2041</v>
      </c>
      <c r="AC382" s="11">
        <v>2041</v>
      </c>
      <c r="AD382" s="11">
        <v>2041</v>
      </c>
      <c r="AE382" s="19">
        <f>ROUND((Z382*'Data-CostAssumptions'!$G$5)*(1+'Data-CostAssumptions'!$G$3)^(AB382-'Data-CostAssumptions'!$G$4),-3)</f>
        <v>169000</v>
      </c>
      <c r="AF382" s="19">
        <f>ROUND((Z382)*(1+'Data-CostAssumptions'!$G$3)^(AD382-'Data-CostAssumptions'!$G$4),-3)</f>
        <v>769000</v>
      </c>
      <c r="AG382" s="170" t="str">
        <f t="shared" si="17"/>
        <v>No</v>
      </c>
    </row>
    <row r="383" spans="1:33" ht="15" customHeight="1" x14ac:dyDescent="0.2">
      <c r="A383" s="11"/>
      <c r="B383" s="11" t="s">
        <v>1211</v>
      </c>
      <c r="C383" s="13">
        <v>872</v>
      </c>
      <c r="D383" s="13" t="s">
        <v>420</v>
      </c>
      <c r="E383" s="20">
        <v>240</v>
      </c>
      <c r="F383" s="20">
        <v>191</v>
      </c>
      <c r="G383" s="20">
        <v>249</v>
      </c>
      <c r="H383" s="13" t="s">
        <v>1972</v>
      </c>
      <c r="I383" s="13" t="str">
        <f t="shared" si="15"/>
        <v>Coconut Creek Pkwy (Lyons Rd to State Rd 7/US 441)</v>
      </c>
      <c r="J383" s="13" t="s">
        <v>29</v>
      </c>
      <c r="K383" s="13" t="str">
        <f>VLOOKUP(J383,'Data-ProjectTypes'!A$3:B$13,2,FALSE)</f>
        <v>Program</v>
      </c>
      <c r="L383" s="21" t="s">
        <v>348</v>
      </c>
      <c r="M383" s="13" t="s">
        <v>1754</v>
      </c>
      <c r="N383" s="13" t="s">
        <v>1773</v>
      </c>
      <c r="O383" s="13" t="s">
        <v>273</v>
      </c>
      <c r="P383" s="13" t="s">
        <v>273</v>
      </c>
      <c r="Q383" s="22">
        <v>0.9</v>
      </c>
      <c r="R383" s="23">
        <v>216515</v>
      </c>
      <c r="S383" s="21"/>
      <c r="T383" s="21"/>
      <c r="U383" s="21"/>
      <c r="V383" s="24"/>
      <c r="W383" s="24"/>
      <c r="X383" s="24"/>
      <c r="Y383" s="17"/>
      <c r="Z383" s="18">
        <f>ROUND(R383*'Data-CostAssumptions'!$C$3,-3)</f>
        <v>300000</v>
      </c>
      <c r="AA383" s="11">
        <f t="shared" si="16"/>
        <v>0</v>
      </c>
      <c r="AB383" s="11">
        <v>2041</v>
      </c>
      <c r="AC383" s="11">
        <v>2041</v>
      </c>
      <c r="AD383" s="11">
        <v>2041</v>
      </c>
      <c r="AE383" s="19">
        <f>ROUND((Z383*'Data-CostAssumptions'!$G$5)*(1+'Data-CostAssumptions'!$G$3)^(AB383-'Data-CostAssumptions'!$G$4),-3)</f>
        <v>169000</v>
      </c>
      <c r="AF383" s="19">
        <f>ROUND((Z383)*(1+'Data-CostAssumptions'!$G$3)^(AD383-'Data-CostAssumptions'!$G$4),-3)</f>
        <v>769000</v>
      </c>
      <c r="AG383" s="170" t="str">
        <f t="shared" si="17"/>
        <v>No</v>
      </c>
    </row>
    <row r="384" spans="1:33" ht="15" customHeight="1" x14ac:dyDescent="0.2">
      <c r="A384" s="11"/>
      <c r="B384" s="11" t="s">
        <v>1211</v>
      </c>
      <c r="C384" s="13">
        <v>637</v>
      </c>
      <c r="D384" s="13" t="s">
        <v>420</v>
      </c>
      <c r="E384" s="20">
        <v>132</v>
      </c>
      <c r="F384" s="20">
        <v>177</v>
      </c>
      <c r="G384" s="20">
        <v>18</v>
      </c>
      <c r="H384" s="13" t="s">
        <v>1823</v>
      </c>
      <c r="I384" s="13" t="str">
        <f t="shared" si="15"/>
        <v>Las Olas Bl (SE 15th Av to Andrews Av)</v>
      </c>
      <c r="J384" s="13" t="s">
        <v>29</v>
      </c>
      <c r="K384" s="13" t="str">
        <f>VLOOKUP(J384,'Data-ProjectTypes'!A$3:B$13,2,FALSE)</f>
        <v>Program</v>
      </c>
      <c r="L384" s="21" t="s">
        <v>348</v>
      </c>
      <c r="M384" s="13" t="s">
        <v>2360</v>
      </c>
      <c r="N384" s="13" t="s">
        <v>2014</v>
      </c>
      <c r="O384" s="13" t="s">
        <v>276</v>
      </c>
      <c r="P384" s="13" t="s">
        <v>276</v>
      </c>
      <c r="Q384" s="22">
        <v>0.9</v>
      </c>
      <c r="R384" s="23">
        <v>215412</v>
      </c>
      <c r="S384" s="21"/>
      <c r="T384" s="21"/>
      <c r="U384" s="21"/>
      <c r="V384" s="24"/>
      <c r="W384" s="24"/>
      <c r="X384" s="24"/>
      <c r="Y384" s="17"/>
      <c r="Z384" s="18">
        <f>ROUND(R384*'Data-CostAssumptions'!$C$3,-3)</f>
        <v>298000</v>
      </c>
      <c r="AA384" s="11">
        <f t="shared" si="16"/>
        <v>0</v>
      </c>
      <c r="AB384" s="11">
        <v>2041</v>
      </c>
      <c r="AC384" s="11">
        <v>2041</v>
      </c>
      <c r="AD384" s="11">
        <v>2041</v>
      </c>
      <c r="AE384" s="19">
        <f>ROUND((Z384*'Data-CostAssumptions'!$G$5)*(1+'Data-CostAssumptions'!$G$3)^(AB384-'Data-CostAssumptions'!$G$4),-3)</f>
        <v>168000</v>
      </c>
      <c r="AF384" s="19">
        <f>ROUND((Z384)*(1+'Data-CostAssumptions'!$G$3)^(AD384-'Data-CostAssumptions'!$G$4),-3)</f>
        <v>764000</v>
      </c>
      <c r="AG384" s="170" t="str">
        <f t="shared" si="17"/>
        <v>No</v>
      </c>
    </row>
    <row r="385" spans="1:33" ht="15" customHeight="1" x14ac:dyDescent="0.2">
      <c r="B385" s="11" t="s">
        <v>1211</v>
      </c>
      <c r="D385" s="84" t="s">
        <v>276</v>
      </c>
      <c r="E385" s="104">
        <v>94</v>
      </c>
      <c r="G385" s="20">
        <v>1369</v>
      </c>
      <c r="H385" s="13" t="s">
        <v>2646</v>
      </c>
      <c r="I385" s="13" t="str">
        <f t="shared" si="15"/>
        <v>Middle River Dr (OAKLAND PARK Bl/SR 816 to BAYVIEW DR)</v>
      </c>
      <c r="J385" s="12" t="s">
        <v>29</v>
      </c>
      <c r="K385" s="13" t="str">
        <f>VLOOKUP(J385,'Data-ProjectTypes'!A$3:B$13,2,FALSE)</f>
        <v>Program</v>
      </c>
      <c r="L385" s="12" t="s">
        <v>1254</v>
      </c>
      <c r="M385" s="105" t="s">
        <v>2293</v>
      </c>
      <c r="N385" s="12" t="s">
        <v>1224</v>
      </c>
      <c r="Q385" s="72">
        <v>2</v>
      </c>
      <c r="R385" s="23">
        <v>215000</v>
      </c>
      <c r="S385" s="21"/>
      <c r="T385" s="21"/>
      <c r="U385" s="21"/>
      <c r="V385" s="24"/>
      <c r="W385" s="24"/>
      <c r="X385" s="24"/>
      <c r="Y385" s="17"/>
      <c r="Z385" s="18">
        <f>ROUND(R385*'Data-CostAssumptions'!$C$3,-3)</f>
        <v>298000</v>
      </c>
      <c r="AA385" s="11">
        <f t="shared" si="16"/>
        <v>0</v>
      </c>
      <c r="AB385" s="11">
        <v>2041</v>
      </c>
      <c r="AC385" s="11">
        <v>2041</v>
      </c>
      <c r="AD385" s="11">
        <v>2041</v>
      </c>
      <c r="AE385" s="19">
        <f>ROUND((Z385*'Data-CostAssumptions'!$G$5)*(1+'Data-CostAssumptions'!$G$3)^(AB385-'Data-CostAssumptions'!$G$4),-3)</f>
        <v>168000</v>
      </c>
      <c r="AF385" s="19">
        <f>ROUND((Z385)*(1+'Data-CostAssumptions'!$G$3)^(AD385-'Data-CostAssumptions'!$G$4),-3)</f>
        <v>764000</v>
      </c>
      <c r="AG385" s="170" t="str">
        <f t="shared" si="17"/>
        <v>No</v>
      </c>
    </row>
    <row r="386" spans="1:33" ht="15" customHeight="1" x14ac:dyDescent="0.2">
      <c r="A386" s="11"/>
      <c r="B386" s="11" t="s">
        <v>1211</v>
      </c>
      <c r="C386" s="13">
        <v>759</v>
      </c>
      <c r="D386" s="13" t="s">
        <v>420</v>
      </c>
      <c r="E386" s="20">
        <v>165</v>
      </c>
      <c r="F386" s="20">
        <v>184</v>
      </c>
      <c r="G386" s="20">
        <v>136</v>
      </c>
      <c r="H386" s="13" t="s">
        <v>2709</v>
      </c>
      <c r="I386" s="13" t="str">
        <f t="shared" ref="I386:I449" si="18">IF(M386="@",H386&amp;" ("&amp;M386&amp;"  "&amp;N386&amp;")",H386&amp;" ("&amp;M386&amp;" to "&amp;N386&amp;")")</f>
        <v>SR 817/University Dr (Oakland Park Bl to NW 44th St)</v>
      </c>
      <c r="J386" s="13" t="s">
        <v>29</v>
      </c>
      <c r="K386" s="13" t="str">
        <f>VLOOKUP(J386,'Data-ProjectTypes'!A$3:B$13,2,FALSE)</f>
        <v>Program</v>
      </c>
      <c r="L386" s="21" t="s">
        <v>348</v>
      </c>
      <c r="M386" s="13" t="s">
        <v>1825</v>
      </c>
      <c r="N386" s="13" t="s">
        <v>1189</v>
      </c>
      <c r="O386" s="13" t="s">
        <v>270</v>
      </c>
      <c r="P386" s="13" t="s">
        <v>270</v>
      </c>
      <c r="Q386" s="22">
        <v>0.9</v>
      </c>
      <c r="R386" s="23">
        <v>214327</v>
      </c>
      <c r="S386" s="21" t="s">
        <v>24</v>
      </c>
      <c r="T386" s="21" t="s">
        <v>25</v>
      </c>
      <c r="U386" s="24" t="s">
        <v>24</v>
      </c>
      <c r="V386" s="24" t="s">
        <v>561</v>
      </c>
      <c r="W386" s="24"/>
      <c r="Y386" s="17" t="s">
        <v>538</v>
      </c>
      <c r="Z386" s="18">
        <f>ROUND(R386*'Data-CostAssumptions'!$C$3,-3)</f>
        <v>297000</v>
      </c>
      <c r="AA386" s="11">
        <f t="shared" ref="AA386:AA449" si="19">IF(V386="",IF(W386="",0,1),1)</f>
        <v>1</v>
      </c>
      <c r="AB386" s="11">
        <v>2041</v>
      </c>
      <c r="AC386" s="11">
        <v>2041</v>
      </c>
      <c r="AD386" s="11">
        <v>2041</v>
      </c>
      <c r="AE386" s="19">
        <f>ROUND((Z386*'Data-CostAssumptions'!$G$5)*(1+'Data-CostAssumptions'!$G$3)^(AB386-'Data-CostAssumptions'!$G$4),-3)</f>
        <v>168000</v>
      </c>
      <c r="AF386" s="19">
        <f>ROUND((Z386)*(1+'Data-CostAssumptions'!$G$3)^(AD386-'Data-CostAssumptions'!$G$4),-3)</f>
        <v>761000</v>
      </c>
      <c r="AG386" s="170" t="str">
        <f t="shared" ref="AG386:AG449" si="20">IF(MIN(AC386:AD386)&lt;2041,"Yes","No")</f>
        <v>No</v>
      </c>
    </row>
    <row r="387" spans="1:33" ht="15" customHeight="1" x14ac:dyDescent="0.2">
      <c r="A387" s="11"/>
      <c r="B387" s="11" t="s">
        <v>1211</v>
      </c>
      <c r="C387" s="13">
        <v>651</v>
      </c>
      <c r="D387" s="13" t="s">
        <v>420</v>
      </c>
      <c r="E387" s="20">
        <v>79</v>
      </c>
      <c r="F387" s="20">
        <v>178</v>
      </c>
      <c r="G387" s="20">
        <v>32</v>
      </c>
      <c r="H387" s="13" t="s">
        <v>1898</v>
      </c>
      <c r="I387" s="13" t="str">
        <f t="shared" si="18"/>
        <v>NE 56th St (Dixie Hwy to Andrews Av)</v>
      </c>
      <c r="J387" s="13" t="s">
        <v>29</v>
      </c>
      <c r="K387" s="13" t="str">
        <f>VLOOKUP(J387,'Data-ProjectTypes'!A$3:B$13,2,FALSE)</f>
        <v>Program</v>
      </c>
      <c r="L387" s="21" t="s">
        <v>348</v>
      </c>
      <c r="M387" s="13" t="s">
        <v>728</v>
      </c>
      <c r="N387" s="13" t="s">
        <v>2014</v>
      </c>
      <c r="O387" s="13" t="s">
        <v>287</v>
      </c>
      <c r="P387" s="13" t="s">
        <v>287</v>
      </c>
      <c r="Q387" s="22">
        <v>0.9</v>
      </c>
      <c r="R387" s="23">
        <v>213590</v>
      </c>
      <c r="S387" s="21" t="s">
        <v>24</v>
      </c>
      <c r="T387" s="21" t="s">
        <v>24</v>
      </c>
      <c r="U387" s="21"/>
      <c r="V387" s="24"/>
      <c r="W387" s="24"/>
      <c r="X387" s="28"/>
      <c r="Y387" s="17" t="s">
        <v>469</v>
      </c>
      <c r="Z387" s="18">
        <f>ROUND(R387*'Data-CostAssumptions'!$C$3,-3)</f>
        <v>296000</v>
      </c>
      <c r="AA387" s="11">
        <f t="shared" si="19"/>
        <v>0</v>
      </c>
      <c r="AB387" s="11">
        <v>2041</v>
      </c>
      <c r="AC387" s="11">
        <v>2041</v>
      </c>
      <c r="AD387" s="11">
        <v>2041</v>
      </c>
      <c r="AE387" s="19">
        <f>ROUND((Z387*'Data-CostAssumptions'!$G$5)*(1+'Data-CostAssumptions'!$G$3)^(AB387-'Data-CostAssumptions'!$G$4),-3)</f>
        <v>167000</v>
      </c>
      <c r="AF387" s="19">
        <f>ROUND((Z387)*(1+'Data-CostAssumptions'!$G$3)^(AD387-'Data-CostAssumptions'!$G$4),-3)</f>
        <v>759000</v>
      </c>
      <c r="AG387" s="170" t="str">
        <f t="shared" si="20"/>
        <v>No</v>
      </c>
    </row>
    <row r="388" spans="1:33" ht="15" customHeight="1" x14ac:dyDescent="0.2">
      <c r="A388" s="11"/>
      <c r="B388" s="11" t="s">
        <v>1211</v>
      </c>
      <c r="C388" s="11">
        <v>15001</v>
      </c>
      <c r="D388" s="84" t="s">
        <v>281</v>
      </c>
      <c r="E388" s="14"/>
      <c r="F388" s="14"/>
      <c r="G388" s="20">
        <v>1809</v>
      </c>
      <c r="H388" s="13" t="s">
        <v>1995</v>
      </c>
      <c r="I388" s="13" t="str">
        <f t="shared" si="18"/>
        <v>Environ Bl (Inverrary Bl to Inverrary Bl W)</v>
      </c>
      <c r="J388" s="84" t="s">
        <v>29</v>
      </c>
      <c r="K388" s="13" t="str">
        <f>VLOOKUP(J388,'Data-ProjectTypes'!A$3:B$13,2,FALSE)</f>
        <v>Program</v>
      </c>
      <c r="L388" s="31" t="s">
        <v>817</v>
      </c>
      <c r="M388" s="84" t="s">
        <v>1821</v>
      </c>
      <c r="N388" s="84" t="s">
        <v>1996</v>
      </c>
      <c r="O388" s="84" t="s">
        <v>281</v>
      </c>
      <c r="P388" s="84" t="s">
        <v>281</v>
      </c>
      <c r="Q388" s="15">
        <v>1.25</v>
      </c>
      <c r="R388" s="143">
        <f>ROUND(Q388*'Data-CostAssumptions'!$C$25,-1)</f>
        <v>210500</v>
      </c>
      <c r="S388" s="21"/>
      <c r="T388" s="21"/>
      <c r="U388" s="21"/>
      <c r="V388" s="24"/>
      <c r="W388" s="24"/>
      <c r="X388" s="28" t="s">
        <v>771</v>
      </c>
      <c r="Y388" s="17" t="s">
        <v>765</v>
      </c>
      <c r="Z388" s="18">
        <f>ROUND(R388*'Data-CostAssumptions'!$C$3,-3)</f>
        <v>291000</v>
      </c>
      <c r="AA388" s="11">
        <f t="shared" si="19"/>
        <v>0</v>
      </c>
      <c r="AB388" s="11">
        <v>2041</v>
      </c>
      <c r="AC388" s="11">
        <v>2041</v>
      </c>
      <c r="AD388" s="11">
        <v>2041</v>
      </c>
      <c r="AE388" s="19">
        <f>ROUND((Z388*'Data-CostAssumptions'!$G$5)*(1+'Data-CostAssumptions'!$G$3)^(AB388-'Data-CostAssumptions'!$G$4),-3)</f>
        <v>164000</v>
      </c>
      <c r="AF388" s="19">
        <f>ROUND((Z388)*(1+'Data-CostAssumptions'!$G$3)^(AD388-'Data-CostAssumptions'!$G$4),-3)</f>
        <v>746000</v>
      </c>
      <c r="AG388" s="170" t="str">
        <f t="shared" si="20"/>
        <v>No</v>
      </c>
    </row>
    <row r="389" spans="1:33" ht="15" customHeight="1" x14ac:dyDescent="0.2">
      <c r="A389" s="11"/>
      <c r="B389" s="11" t="s">
        <v>1211</v>
      </c>
      <c r="C389" s="13">
        <v>836</v>
      </c>
      <c r="D389" s="13" t="s">
        <v>420</v>
      </c>
      <c r="E389" s="20">
        <v>310</v>
      </c>
      <c r="F389" s="20">
        <v>189</v>
      </c>
      <c r="G389" s="20">
        <v>212</v>
      </c>
      <c r="H389" s="13" t="s">
        <v>1780</v>
      </c>
      <c r="I389" s="13" t="str">
        <f t="shared" si="18"/>
        <v>Wiles Rd (East end of Wiles Rd to Lyons Rd)</v>
      </c>
      <c r="J389" s="13" t="s">
        <v>29</v>
      </c>
      <c r="K389" s="13" t="str">
        <f>VLOOKUP(J389,'Data-ProjectTypes'!A$3:B$13,2,FALSE)</f>
        <v>Program</v>
      </c>
      <c r="L389" s="21" t="s">
        <v>348</v>
      </c>
      <c r="M389" s="13" t="s">
        <v>2472</v>
      </c>
      <c r="N389" s="13" t="s">
        <v>1754</v>
      </c>
      <c r="O389" s="13" t="s">
        <v>273</v>
      </c>
      <c r="P389" s="13" t="s">
        <v>273</v>
      </c>
      <c r="Q389" s="22">
        <v>0.9</v>
      </c>
      <c r="R389" s="23">
        <v>209532</v>
      </c>
      <c r="S389" s="21"/>
      <c r="T389" s="21"/>
      <c r="U389" s="21"/>
      <c r="V389" s="24"/>
      <c r="W389" s="24"/>
      <c r="X389" s="28"/>
      <c r="Y389" s="17"/>
      <c r="Z389" s="18">
        <f>ROUND(R389*'Data-CostAssumptions'!$C$3,-3)</f>
        <v>290000</v>
      </c>
      <c r="AA389" s="11">
        <f t="shared" si="19"/>
        <v>0</v>
      </c>
      <c r="AB389" s="11">
        <v>2041</v>
      </c>
      <c r="AC389" s="11">
        <v>2041</v>
      </c>
      <c r="AD389" s="11">
        <v>2041</v>
      </c>
      <c r="AE389" s="19">
        <f>ROUND((Z389*'Data-CostAssumptions'!$G$5)*(1+'Data-CostAssumptions'!$G$3)^(AB389-'Data-CostAssumptions'!$G$4),-3)</f>
        <v>164000</v>
      </c>
      <c r="AF389" s="19">
        <f>ROUND((Z389)*(1+'Data-CostAssumptions'!$G$3)^(AD389-'Data-CostAssumptions'!$G$4),-3)</f>
        <v>744000</v>
      </c>
      <c r="AG389" s="170" t="str">
        <f t="shared" si="20"/>
        <v>No</v>
      </c>
    </row>
    <row r="390" spans="1:33" ht="15" customHeight="1" x14ac:dyDescent="0.2">
      <c r="A390" s="11"/>
      <c r="B390" s="11" t="s">
        <v>1211</v>
      </c>
      <c r="C390" s="13">
        <v>864</v>
      </c>
      <c r="D390" s="13" t="s">
        <v>420</v>
      </c>
      <c r="E390" s="20">
        <v>166</v>
      </c>
      <c r="F390" s="20">
        <v>190</v>
      </c>
      <c r="G390" s="20">
        <v>241</v>
      </c>
      <c r="H390" s="13" t="s">
        <v>1821</v>
      </c>
      <c r="I390" s="13" t="str">
        <f t="shared" si="18"/>
        <v>Inverrary Bl (Oakland Park Bl to NW 44th St)</v>
      </c>
      <c r="J390" s="13" t="s">
        <v>29</v>
      </c>
      <c r="K390" s="13" t="str">
        <f>VLOOKUP(J390,'Data-ProjectTypes'!A$3:B$13,2,FALSE)</f>
        <v>Program</v>
      </c>
      <c r="L390" s="21" t="s">
        <v>348</v>
      </c>
      <c r="M390" s="13" t="s">
        <v>1825</v>
      </c>
      <c r="N390" s="13" t="s">
        <v>1189</v>
      </c>
      <c r="O390" s="13" t="s">
        <v>288</v>
      </c>
      <c r="P390" s="13" t="s">
        <v>288</v>
      </c>
      <c r="Q390" s="22">
        <v>0.9</v>
      </c>
      <c r="R390" s="23">
        <v>209786</v>
      </c>
      <c r="S390" s="21" t="s">
        <v>24</v>
      </c>
      <c r="T390" s="21"/>
      <c r="U390" s="21"/>
      <c r="V390" s="24"/>
      <c r="W390" s="24"/>
      <c r="X390" s="24"/>
      <c r="Y390" s="17" t="s">
        <v>460</v>
      </c>
      <c r="Z390" s="18">
        <f>ROUND(R390*'Data-CostAssumptions'!$C$3,-3)</f>
        <v>290000</v>
      </c>
      <c r="AA390" s="11">
        <f t="shared" si="19"/>
        <v>0</v>
      </c>
      <c r="AB390" s="11">
        <v>2041</v>
      </c>
      <c r="AC390" s="11">
        <v>2041</v>
      </c>
      <c r="AD390" s="11">
        <v>2041</v>
      </c>
      <c r="AE390" s="19">
        <f>ROUND((Z390*'Data-CostAssumptions'!$G$5)*(1+'Data-CostAssumptions'!$G$3)^(AB390-'Data-CostAssumptions'!$G$4),-3)</f>
        <v>164000</v>
      </c>
      <c r="AF390" s="19">
        <f>ROUND((Z390)*(1+'Data-CostAssumptions'!$G$3)^(AD390-'Data-CostAssumptions'!$G$4),-3)</f>
        <v>744000</v>
      </c>
      <c r="AG390" s="170" t="str">
        <f t="shared" si="20"/>
        <v>No</v>
      </c>
    </row>
    <row r="391" spans="1:33" ht="15" customHeight="1" x14ac:dyDescent="0.2">
      <c r="A391" s="11"/>
      <c r="B391" s="11" t="s">
        <v>1211</v>
      </c>
      <c r="C391" s="13">
        <v>789</v>
      </c>
      <c r="D391" s="13" t="s">
        <v>420</v>
      </c>
      <c r="E391" s="20">
        <v>24</v>
      </c>
      <c r="F391" s="20">
        <v>186</v>
      </c>
      <c r="G391" s="20">
        <v>166</v>
      </c>
      <c r="H391" s="13" t="s">
        <v>1836</v>
      </c>
      <c r="I391" s="13" t="str">
        <f t="shared" si="18"/>
        <v>Copans Rd (Dixie Hwy to I-95)</v>
      </c>
      <c r="J391" s="13" t="s">
        <v>29</v>
      </c>
      <c r="K391" s="13" t="str">
        <f>VLOOKUP(J391,'Data-ProjectTypes'!A$3:B$13,2,FALSE)</f>
        <v>Program</v>
      </c>
      <c r="L391" s="21" t="s">
        <v>348</v>
      </c>
      <c r="M391" s="13" t="s">
        <v>728</v>
      </c>
      <c r="N391" s="13" t="s">
        <v>41</v>
      </c>
      <c r="O391" s="13" t="s">
        <v>273</v>
      </c>
      <c r="P391" s="13" t="s">
        <v>273</v>
      </c>
      <c r="Q391" s="22">
        <v>0.9</v>
      </c>
      <c r="R391" s="23">
        <v>208315</v>
      </c>
      <c r="S391" s="21" t="s">
        <v>24</v>
      </c>
      <c r="T391" s="21"/>
      <c r="U391" s="21"/>
      <c r="V391" s="24"/>
      <c r="W391" s="24" t="s">
        <v>561</v>
      </c>
      <c r="X391" s="28"/>
      <c r="Y391" s="17" t="s">
        <v>538</v>
      </c>
      <c r="Z391" s="18">
        <f>ROUND(R391*'Data-CostAssumptions'!$C$3,-3)</f>
        <v>288000</v>
      </c>
      <c r="AA391" s="11">
        <f t="shared" si="19"/>
        <v>1</v>
      </c>
      <c r="AB391" s="11">
        <v>2041</v>
      </c>
      <c r="AC391" s="11">
        <v>2041</v>
      </c>
      <c r="AD391" s="11">
        <v>2041</v>
      </c>
      <c r="AE391" s="19">
        <f>ROUND((Z391*'Data-CostAssumptions'!$G$5)*(1+'Data-CostAssumptions'!$G$3)^(AB391-'Data-CostAssumptions'!$G$4),-3)</f>
        <v>162000</v>
      </c>
      <c r="AF391" s="19">
        <f>ROUND((Z391)*(1+'Data-CostAssumptions'!$G$3)^(AD391-'Data-CostAssumptions'!$G$4),-3)</f>
        <v>738000</v>
      </c>
      <c r="AG391" s="170" t="str">
        <f t="shared" si="20"/>
        <v>No</v>
      </c>
    </row>
    <row r="392" spans="1:33" ht="15" customHeight="1" x14ac:dyDescent="0.2">
      <c r="A392" s="11"/>
      <c r="B392" s="11" t="s">
        <v>1211</v>
      </c>
      <c r="C392" s="13">
        <v>714</v>
      </c>
      <c r="D392" s="13" t="s">
        <v>420</v>
      </c>
      <c r="E392" s="20">
        <v>186</v>
      </c>
      <c r="F392" s="20">
        <v>182</v>
      </c>
      <c r="G392" s="20">
        <v>92</v>
      </c>
      <c r="H392" s="13" t="s">
        <v>1971</v>
      </c>
      <c r="I392" s="13" t="str">
        <f t="shared" si="18"/>
        <v>Washington St (South 14th Av to Dixie Hwy)</v>
      </c>
      <c r="J392" s="13" t="s">
        <v>29</v>
      </c>
      <c r="K392" s="13" t="str">
        <f>VLOOKUP(J392,'Data-ProjectTypes'!A$3:B$13,2,FALSE)</f>
        <v>Program</v>
      </c>
      <c r="L392" s="21" t="s">
        <v>562</v>
      </c>
      <c r="M392" s="13" t="s">
        <v>2398</v>
      </c>
      <c r="N392" s="13" t="s">
        <v>728</v>
      </c>
      <c r="O392" s="13" t="s">
        <v>282</v>
      </c>
      <c r="P392" s="13" t="s">
        <v>282</v>
      </c>
      <c r="Q392" s="22">
        <v>0.9</v>
      </c>
      <c r="R392" s="23">
        <v>205532</v>
      </c>
      <c r="S392" s="21"/>
      <c r="T392" s="21"/>
      <c r="U392" s="21"/>
      <c r="V392" s="24"/>
      <c r="W392" s="24"/>
      <c r="X392" s="24"/>
      <c r="Y392" s="17"/>
      <c r="Z392" s="18">
        <f>ROUND(R392*'Data-CostAssumptions'!$C$3,-3)</f>
        <v>284000</v>
      </c>
      <c r="AA392" s="11">
        <f t="shared" si="19"/>
        <v>0</v>
      </c>
      <c r="AB392" s="11">
        <v>2041</v>
      </c>
      <c r="AC392" s="11">
        <v>2041</v>
      </c>
      <c r="AD392" s="11">
        <v>2041</v>
      </c>
      <c r="AE392" s="19">
        <f>ROUND((Z392*'Data-CostAssumptions'!$G$5)*(1+'Data-CostAssumptions'!$G$3)^(AB392-'Data-CostAssumptions'!$G$4),-3)</f>
        <v>160000</v>
      </c>
      <c r="AF392" s="19">
        <f>ROUND((Z392)*(1+'Data-CostAssumptions'!$G$3)^(AD392-'Data-CostAssumptions'!$G$4),-3)</f>
        <v>728000</v>
      </c>
      <c r="AG392" s="170" t="str">
        <f t="shared" si="20"/>
        <v>No</v>
      </c>
    </row>
    <row r="393" spans="1:33" ht="15" customHeight="1" x14ac:dyDescent="0.2">
      <c r="B393" s="11" t="s">
        <v>1211</v>
      </c>
      <c r="D393" s="84" t="s">
        <v>276</v>
      </c>
      <c r="E393" s="104" t="s">
        <v>1547</v>
      </c>
      <c r="G393" s="20">
        <v>1380</v>
      </c>
      <c r="H393" s="13" t="s">
        <v>2144</v>
      </c>
      <c r="I393" s="13" t="str">
        <f t="shared" si="18"/>
        <v>NE 16TH Av  (NW 6TH ST  to NE 9TH ST )</v>
      </c>
      <c r="J393" s="12" t="s">
        <v>29</v>
      </c>
      <c r="K393" s="13" t="str">
        <f>VLOOKUP(J393,'Data-ProjectTypes'!A$3:B$13,2,FALSE)</f>
        <v>Program</v>
      </c>
      <c r="L393" s="12" t="s">
        <v>1667</v>
      </c>
      <c r="M393" s="105" t="s">
        <v>1679</v>
      </c>
      <c r="N393" s="12" t="s">
        <v>1720</v>
      </c>
      <c r="Q393" s="72">
        <v>1.2</v>
      </c>
      <c r="R393" s="23">
        <f>ROUND(Q393*'Data-CostAssumptions'!$C$25,-1)</f>
        <v>202080</v>
      </c>
      <c r="S393" s="21" t="s">
        <v>24</v>
      </c>
      <c r="T393" s="21"/>
      <c r="U393" s="21"/>
      <c r="V393" s="24"/>
      <c r="W393" s="24"/>
      <c r="X393" s="24"/>
      <c r="Y393" s="17" t="s">
        <v>469</v>
      </c>
      <c r="Z393" s="18">
        <f>ROUND(R393*'Data-CostAssumptions'!$C$3,-3)</f>
        <v>280000</v>
      </c>
      <c r="AA393" s="11">
        <f t="shared" si="19"/>
        <v>0</v>
      </c>
      <c r="AB393" s="11">
        <v>2041</v>
      </c>
      <c r="AC393" s="11">
        <v>2041</v>
      </c>
      <c r="AD393" s="11">
        <v>2041</v>
      </c>
      <c r="AE393" s="19">
        <f>ROUND((Z393*'Data-CostAssumptions'!$G$5)*(1+'Data-CostAssumptions'!$G$3)^(AB393-'Data-CostAssumptions'!$G$4),-3)</f>
        <v>158000</v>
      </c>
      <c r="AF393" s="19">
        <f>ROUND((Z393)*(1+'Data-CostAssumptions'!$G$3)^(AD393-'Data-CostAssumptions'!$G$4),-3)</f>
        <v>718000</v>
      </c>
      <c r="AG393" s="170" t="str">
        <f t="shared" si="20"/>
        <v>No</v>
      </c>
    </row>
    <row r="394" spans="1:33" ht="15" customHeight="1" x14ac:dyDescent="0.2">
      <c r="B394" s="11" t="s">
        <v>1211</v>
      </c>
      <c r="D394" s="84" t="s">
        <v>276</v>
      </c>
      <c r="E394" s="104" t="s">
        <v>1482</v>
      </c>
      <c r="G394" s="20">
        <v>1404</v>
      </c>
      <c r="H394" s="13" t="s">
        <v>2871</v>
      </c>
      <c r="I394" s="13" t="str">
        <f t="shared" si="18"/>
        <v>North Beach Boardwalk (NE 19TH CT to NE 19TH ST )</v>
      </c>
      <c r="J394" s="12" t="s">
        <v>29</v>
      </c>
      <c r="K394" s="13" t="str">
        <f>VLOOKUP(J394,'Data-ProjectTypes'!A$3:B$13,2,FALSE)</f>
        <v>Program</v>
      </c>
      <c r="L394" s="12" t="s">
        <v>1667</v>
      </c>
      <c r="M394" s="105" t="s">
        <v>1690</v>
      </c>
      <c r="N394" s="12" t="s">
        <v>1691</v>
      </c>
      <c r="Q394" s="72">
        <v>1.2</v>
      </c>
      <c r="R394" s="23">
        <f>ROUND(Q394*'Data-CostAssumptions'!$C$25,-1)</f>
        <v>202080</v>
      </c>
      <c r="S394" s="21" t="s">
        <v>24</v>
      </c>
      <c r="T394" s="21"/>
      <c r="U394" s="21"/>
      <c r="V394" s="24"/>
      <c r="W394" s="24"/>
      <c r="X394" s="24"/>
      <c r="Y394" s="17" t="s">
        <v>469</v>
      </c>
      <c r="Z394" s="18">
        <f>ROUND(R394*'Data-CostAssumptions'!$C$3,-3)</f>
        <v>280000</v>
      </c>
      <c r="AA394" s="11">
        <f t="shared" si="19"/>
        <v>0</v>
      </c>
      <c r="AB394" s="11">
        <v>2041</v>
      </c>
      <c r="AC394" s="11">
        <v>2041</v>
      </c>
      <c r="AD394" s="11">
        <v>2041</v>
      </c>
      <c r="AE394" s="19">
        <f>ROUND((Z394*'Data-CostAssumptions'!$G$5)*(1+'Data-CostAssumptions'!$G$3)^(AB394-'Data-CostAssumptions'!$G$4),-3)</f>
        <v>158000</v>
      </c>
      <c r="AF394" s="19">
        <f>ROUND((Z394)*(1+'Data-CostAssumptions'!$G$3)^(AD394-'Data-CostAssumptions'!$G$4),-3)</f>
        <v>718000</v>
      </c>
      <c r="AG394" s="170" t="str">
        <f t="shared" si="20"/>
        <v>No</v>
      </c>
    </row>
    <row r="395" spans="1:33" ht="15" customHeight="1" x14ac:dyDescent="0.2">
      <c r="B395" s="11" t="s">
        <v>1211</v>
      </c>
      <c r="D395" s="84" t="s">
        <v>276</v>
      </c>
      <c r="E395" s="104" t="s">
        <v>1557</v>
      </c>
      <c r="G395" s="20">
        <v>1444</v>
      </c>
      <c r="H395" s="13" t="s">
        <v>1616</v>
      </c>
      <c r="I395" s="13" t="str">
        <f t="shared" si="18"/>
        <v>S - NORTH FORK NEW RIVER PATH  (DAVIE Bl  to NW 25 TER (CITY LIMITS) )</v>
      </c>
      <c r="J395" s="12" t="s">
        <v>29</v>
      </c>
      <c r="K395" s="13" t="str">
        <f>VLOOKUP(J395,'Data-ProjectTypes'!A$3:B$13,2,FALSE)</f>
        <v>Program</v>
      </c>
      <c r="L395" s="12" t="s">
        <v>1667</v>
      </c>
      <c r="M395" s="105" t="s">
        <v>2296</v>
      </c>
      <c r="N395" s="12" t="s">
        <v>1727</v>
      </c>
      <c r="Q395" s="72">
        <v>1.2</v>
      </c>
      <c r="R395" s="23">
        <f>ROUND(Q395*'Data-CostAssumptions'!$C$25,-1)</f>
        <v>202080</v>
      </c>
      <c r="S395" s="21"/>
      <c r="T395" s="21"/>
      <c r="U395" s="21"/>
      <c r="V395" s="24"/>
      <c r="W395" s="24"/>
      <c r="X395" s="24" t="s">
        <v>766</v>
      </c>
      <c r="Y395" s="17" t="s">
        <v>765</v>
      </c>
      <c r="Z395" s="18">
        <f>ROUND(R395*'Data-CostAssumptions'!$C$3,-3)</f>
        <v>280000</v>
      </c>
      <c r="AA395" s="11">
        <f t="shared" si="19"/>
        <v>0</v>
      </c>
      <c r="AB395" s="11">
        <v>2041</v>
      </c>
      <c r="AC395" s="11">
        <v>2041</v>
      </c>
      <c r="AD395" s="11">
        <v>2041</v>
      </c>
      <c r="AE395" s="19">
        <f>ROUND((Z395*'Data-CostAssumptions'!$G$5)*(1+'Data-CostAssumptions'!$G$3)^(AB395-'Data-CostAssumptions'!$G$4),-3)</f>
        <v>158000</v>
      </c>
      <c r="AF395" s="19">
        <f>ROUND((Z395)*(1+'Data-CostAssumptions'!$G$3)^(AD395-'Data-CostAssumptions'!$G$4),-3)</f>
        <v>718000</v>
      </c>
      <c r="AG395" s="170" t="str">
        <f t="shared" si="20"/>
        <v>No</v>
      </c>
    </row>
    <row r="396" spans="1:33" ht="15" customHeight="1" x14ac:dyDescent="0.2">
      <c r="B396" s="11" t="s">
        <v>1211</v>
      </c>
      <c r="D396" s="84" t="s">
        <v>276</v>
      </c>
      <c r="E396" s="104" t="s">
        <v>1523</v>
      </c>
      <c r="G396" s="20">
        <v>1491</v>
      </c>
      <c r="H396" s="13" t="s">
        <v>2186</v>
      </c>
      <c r="I396" s="13" t="str">
        <f t="shared" si="18"/>
        <v>SW 18TH Av &amp; SW 16TH Av  (DAVIE Bl  to W BROWARD Bl )</v>
      </c>
      <c r="J396" s="12" t="s">
        <v>29</v>
      </c>
      <c r="K396" s="13" t="str">
        <f>VLOOKUP(J396,'Data-ProjectTypes'!A$3:B$13,2,FALSE)</f>
        <v>Program</v>
      </c>
      <c r="L396" s="12" t="s">
        <v>1667</v>
      </c>
      <c r="M396" s="105" t="s">
        <v>2296</v>
      </c>
      <c r="N396" s="12" t="s">
        <v>2310</v>
      </c>
      <c r="Q396" s="72">
        <v>1.2</v>
      </c>
      <c r="R396" s="23">
        <f>ROUND(Q396*'Data-CostAssumptions'!$C$25,-1)</f>
        <v>202080</v>
      </c>
      <c r="S396" s="21"/>
      <c r="T396" s="21"/>
      <c r="U396" s="21"/>
      <c r="V396" s="24"/>
      <c r="W396" s="24"/>
      <c r="X396" s="24"/>
      <c r="Y396" s="17"/>
      <c r="Z396" s="18">
        <f>ROUND(R396*'Data-CostAssumptions'!$C$3,-3)</f>
        <v>280000</v>
      </c>
      <c r="AA396" s="11">
        <f t="shared" si="19"/>
        <v>0</v>
      </c>
      <c r="AB396" s="11">
        <v>2041</v>
      </c>
      <c r="AC396" s="11">
        <v>2041</v>
      </c>
      <c r="AD396" s="11">
        <v>2041</v>
      </c>
      <c r="AE396" s="19">
        <f>ROUND((Z396*'Data-CostAssumptions'!$G$5)*(1+'Data-CostAssumptions'!$G$3)^(AB396-'Data-CostAssumptions'!$G$4),-3)</f>
        <v>158000</v>
      </c>
      <c r="AF396" s="19">
        <f>ROUND((Z396)*(1+'Data-CostAssumptions'!$G$3)^(AD396-'Data-CostAssumptions'!$G$4),-3)</f>
        <v>718000</v>
      </c>
      <c r="AG396" s="170" t="str">
        <f t="shared" si="20"/>
        <v>No</v>
      </c>
    </row>
    <row r="397" spans="1:33" ht="15" customHeight="1" x14ac:dyDescent="0.2">
      <c r="A397" s="11"/>
      <c r="B397" s="11" t="s">
        <v>1211</v>
      </c>
      <c r="C397" s="13">
        <v>788</v>
      </c>
      <c r="D397" s="13" t="s">
        <v>420</v>
      </c>
      <c r="E397" s="20">
        <v>23</v>
      </c>
      <c r="F397" s="20">
        <v>186</v>
      </c>
      <c r="G397" s="20">
        <v>165</v>
      </c>
      <c r="H397" s="13" t="s">
        <v>2815</v>
      </c>
      <c r="I397" s="13" t="str">
        <f t="shared" si="18"/>
        <v>SR 820/Hillsboro Bl (NE 20th Av/Ocean Bl to US 1/Federal Hwy)</v>
      </c>
      <c r="J397" s="13" t="s">
        <v>29</v>
      </c>
      <c r="K397" s="13" t="str">
        <f>VLOOKUP(J397,'Data-ProjectTypes'!A$3:B$13,2,FALSE)</f>
        <v>Program</v>
      </c>
      <c r="L397" s="21" t="s">
        <v>348</v>
      </c>
      <c r="M397" s="13" t="s">
        <v>2348</v>
      </c>
      <c r="N397" s="13" t="s">
        <v>2594</v>
      </c>
      <c r="O397" s="13" t="s">
        <v>270</v>
      </c>
      <c r="P397" s="13" t="s">
        <v>270</v>
      </c>
      <c r="Q397" s="22">
        <v>0.9</v>
      </c>
      <c r="R397" s="23">
        <v>201672</v>
      </c>
      <c r="S397" s="21" t="s">
        <v>24</v>
      </c>
      <c r="T397" s="21" t="s">
        <v>25</v>
      </c>
      <c r="U397" s="21" t="s">
        <v>24</v>
      </c>
      <c r="V397" s="24" t="s">
        <v>561</v>
      </c>
      <c r="W397" s="24"/>
      <c r="X397" s="24" t="s">
        <v>574</v>
      </c>
      <c r="Y397" s="17" t="s">
        <v>538</v>
      </c>
      <c r="Z397" s="18">
        <f>ROUND(R397*'Data-CostAssumptions'!$C$3,-3)</f>
        <v>279000</v>
      </c>
      <c r="AA397" s="11">
        <f t="shared" si="19"/>
        <v>1</v>
      </c>
      <c r="AB397" s="11">
        <v>2041</v>
      </c>
      <c r="AC397" s="11">
        <v>2041</v>
      </c>
      <c r="AD397" s="11">
        <v>2041</v>
      </c>
      <c r="AE397" s="19">
        <f>ROUND((Z397*'Data-CostAssumptions'!$G$5)*(1+'Data-CostAssumptions'!$G$3)^(AB397-'Data-CostAssumptions'!$G$4),-3)</f>
        <v>157000</v>
      </c>
      <c r="AF397" s="19">
        <f>ROUND((Z397)*(1+'Data-CostAssumptions'!$G$3)^(AD397-'Data-CostAssumptions'!$G$4),-3)</f>
        <v>715000</v>
      </c>
      <c r="AG397" s="170" t="str">
        <f t="shared" si="20"/>
        <v>No</v>
      </c>
    </row>
    <row r="398" spans="1:33" ht="15" customHeight="1" x14ac:dyDescent="0.2">
      <c r="A398" s="11"/>
      <c r="B398" s="11" t="s">
        <v>1211</v>
      </c>
      <c r="C398" s="13">
        <v>928</v>
      </c>
      <c r="D398" s="13" t="s">
        <v>420</v>
      </c>
      <c r="E398" s="20">
        <v>44</v>
      </c>
      <c r="F398" s="20">
        <v>194</v>
      </c>
      <c r="G398" s="20">
        <v>304</v>
      </c>
      <c r="H398" s="13" t="s">
        <v>1752</v>
      </c>
      <c r="I398" s="13" t="str">
        <f t="shared" si="18"/>
        <v>Hiatus Rd (Oakland Park Bl to NW 44th St)</v>
      </c>
      <c r="J398" s="13" t="s">
        <v>29</v>
      </c>
      <c r="K398" s="13" t="str">
        <f>VLOOKUP(J398,'Data-ProjectTypes'!A$3:B$13,2,FALSE)</f>
        <v>Program</v>
      </c>
      <c r="L398" s="21" t="s">
        <v>817</v>
      </c>
      <c r="M398" s="13" t="s">
        <v>1825</v>
      </c>
      <c r="N398" s="13" t="s">
        <v>1189</v>
      </c>
      <c r="O398" s="13" t="s">
        <v>278</v>
      </c>
      <c r="P398" s="13" t="s">
        <v>278</v>
      </c>
      <c r="Q398" s="22">
        <v>0.9</v>
      </c>
      <c r="R398" s="23">
        <v>200422</v>
      </c>
      <c r="S398" s="21" t="s">
        <v>24</v>
      </c>
      <c r="T398" s="21"/>
      <c r="U398" s="21"/>
      <c r="V398" s="24"/>
      <c r="W398" s="24"/>
      <c r="X398" s="24"/>
      <c r="Y398" s="17" t="s">
        <v>460</v>
      </c>
      <c r="Z398" s="18">
        <f>ROUND(R398*'Data-CostAssumptions'!$C$3,-3)</f>
        <v>277000</v>
      </c>
      <c r="AA398" s="11">
        <f t="shared" si="19"/>
        <v>0</v>
      </c>
      <c r="AB398" s="11">
        <v>2041</v>
      </c>
      <c r="AC398" s="11">
        <v>2041</v>
      </c>
      <c r="AD398" s="11">
        <v>2041</v>
      </c>
      <c r="AE398" s="19">
        <f>ROUND((Z398*'Data-CostAssumptions'!$G$5)*(1+'Data-CostAssumptions'!$G$3)^(AB398-'Data-CostAssumptions'!$G$4),-3)</f>
        <v>156000</v>
      </c>
      <c r="AF398" s="19">
        <f>ROUND((Z398)*(1+'Data-CostAssumptions'!$G$3)^(AD398-'Data-CostAssumptions'!$G$4),-3)</f>
        <v>710000</v>
      </c>
      <c r="AG398" s="170" t="str">
        <f t="shared" si="20"/>
        <v>No</v>
      </c>
    </row>
    <row r="399" spans="1:33" ht="15" customHeight="1" x14ac:dyDescent="0.2">
      <c r="B399" s="11" t="s">
        <v>1211</v>
      </c>
      <c r="D399" s="84" t="s">
        <v>276</v>
      </c>
      <c r="E399" s="104">
        <v>63</v>
      </c>
      <c r="G399" s="20">
        <v>1427</v>
      </c>
      <c r="H399" s="13" t="s">
        <v>1238</v>
      </c>
      <c r="I399" s="13" t="str">
        <f t="shared" si="18"/>
        <v>NW 6TH ST (NW 15TH Av to NW 27TH Av)</v>
      </c>
      <c r="J399" s="12" t="s">
        <v>29</v>
      </c>
      <c r="K399" s="13" t="str">
        <f>VLOOKUP(J399,'Data-ProjectTypes'!A$3:B$13,2,FALSE)</f>
        <v>Program</v>
      </c>
      <c r="L399" s="12" t="s">
        <v>1332</v>
      </c>
      <c r="M399" s="105" t="s">
        <v>2160</v>
      </c>
      <c r="N399" s="12" t="s">
        <v>2605</v>
      </c>
      <c r="Q399" s="72">
        <v>1</v>
      </c>
      <c r="R399" s="23">
        <v>200000</v>
      </c>
      <c r="S399" s="21"/>
      <c r="T399" s="21"/>
      <c r="U399" s="21"/>
      <c r="V399" s="24"/>
      <c r="W399" s="24"/>
      <c r="X399" s="24" t="s">
        <v>764</v>
      </c>
      <c r="Y399" s="17" t="s">
        <v>765</v>
      </c>
      <c r="Z399" s="18">
        <f>ROUND(R399*'Data-CostAssumptions'!$C$3,-3)</f>
        <v>277000</v>
      </c>
      <c r="AA399" s="11">
        <f t="shared" si="19"/>
        <v>0</v>
      </c>
      <c r="AB399" s="11">
        <v>2041</v>
      </c>
      <c r="AC399" s="11">
        <v>2041</v>
      </c>
      <c r="AD399" s="11">
        <v>2041</v>
      </c>
      <c r="AE399" s="19">
        <f>ROUND((Z399*'Data-CostAssumptions'!$G$5)*(1+'Data-CostAssumptions'!$G$3)^(AB399-'Data-CostAssumptions'!$G$4),-3)</f>
        <v>156000</v>
      </c>
      <c r="AF399" s="19">
        <f>ROUND((Z399)*(1+'Data-CostAssumptions'!$G$3)^(AD399-'Data-CostAssumptions'!$G$4),-3)</f>
        <v>710000</v>
      </c>
      <c r="AG399" s="170" t="str">
        <f t="shared" si="20"/>
        <v>No</v>
      </c>
    </row>
    <row r="400" spans="1:33" ht="15" customHeight="1" x14ac:dyDescent="0.2">
      <c r="A400" s="11"/>
      <c r="B400" s="11" t="s">
        <v>1211</v>
      </c>
      <c r="C400" s="13">
        <v>799</v>
      </c>
      <c r="D400" s="13" t="s">
        <v>420</v>
      </c>
      <c r="E400" s="20">
        <v>99</v>
      </c>
      <c r="F400" s="20">
        <v>186</v>
      </c>
      <c r="G400" s="20">
        <v>175</v>
      </c>
      <c r="H400" s="13" t="s">
        <v>1903</v>
      </c>
      <c r="I400" s="13" t="str">
        <f t="shared" si="18"/>
        <v>NE 7th St/Sunrise Bl Connector (NE 24th Av to Victoria Park Rd)</v>
      </c>
      <c r="J400" s="13" t="s">
        <v>29</v>
      </c>
      <c r="K400" s="13" t="str">
        <f>VLOOKUP(J400,'Data-ProjectTypes'!A$3:B$13,2,FALSE)</f>
        <v>Program</v>
      </c>
      <c r="L400" s="21" t="s">
        <v>348</v>
      </c>
      <c r="M400" s="13" t="s">
        <v>2364</v>
      </c>
      <c r="N400" s="13" t="s">
        <v>1868</v>
      </c>
      <c r="O400" s="13" t="s">
        <v>276</v>
      </c>
      <c r="P400" s="13" t="s">
        <v>276</v>
      </c>
      <c r="Q400" s="22">
        <v>0.8</v>
      </c>
      <c r="R400" s="23">
        <v>196311</v>
      </c>
      <c r="S400" s="21"/>
      <c r="T400" s="21"/>
      <c r="U400" s="21"/>
      <c r="V400" s="24"/>
      <c r="W400" s="24"/>
      <c r="X400" s="24"/>
      <c r="Y400" s="17"/>
      <c r="Z400" s="18">
        <f>ROUND(R400*'Data-CostAssumptions'!$C$3,-3)</f>
        <v>272000</v>
      </c>
      <c r="AA400" s="11">
        <f t="shared" si="19"/>
        <v>0</v>
      </c>
      <c r="AB400" s="11">
        <v>2041</v>
      </c>
      <c r="AC400" s="11">
        <v>2041</v>
      </c>
      <c r="AD400" s="11">
        <v>2041</v>
      </c>
      <c r="AE400" s="19">
        <f>ROUND((Z400*'Data-CostAssumptions'!$G$5)*(1+'Data-CostAssumptions'!$G$3)^(AB400-'Data-CostAssumptions'!$G$4),-3)</f>
        <v>153000</v>
      </c>
      <c r="AF400" s="19">
        <f>ROUND((Z400)*(1+'Data-CostAssumptions'!$G$3)^(AD400-'Data-CostAssumptions'!$G$4),-3)</f>
        <v>697000</v>
      </c>
      <c r="AG400" s="170" t="str">
        <f t="shared" si="20"/>
        <v>No</v>
      </c>
    </row>
    <row r="401" spans="1:33" ht="15" customHeight="1" x14ac:dyDescent="0.2">
      <c r="A401" s="11"/>
      <c r="B401" s="11" t="s">
        <v>1211</v>
      </c>
      <c r="C401" s="13">
        <v>926</v>
      </c>
      <c r="D401" s="13" t="s">
        <v>420</v>
      </c>
      <c r="E401" s="20">
        <v>35</v>
      </c>
      <c r="F401" s="20">
        <v>194</v>
      </c>
      <c r="G401" s="20">
        <v>302</v>
      </c>
      <c r="H401" s="13" t="s">
        <v>1870</v>
      </c>
      <c r="I401" s="13" t="str">
        <f t="shared" si="18"/>
        <v>10th St (Natura Bl to Military Trail)</v>
      </c>
      <c r="J401" s="13" t="s">
        <v>29</v>
      </c>
      <c r="K401" s="13" t="str">
        <f>VLOOKUP(J401,'Data-ProjectTypes'!A$3:B$13,2,FALSE)</f>
        <v>Program</v>
      </c>
      <c r="L401" s="21" t="s">
        <v>348</v>
      </c>
      <c r="M401" s="13" t="s">
        <v>1824</v>
      </c>
      <c r="N401" s="13" t="s">
        <v>113</v>
      </c>
      <c r="O401" s="13" t="s">
        <v>270</v>
      </c>
      <c r="P401" s="13" t="s">
        <v>270</v>
      </c>
      <c r="Q401" s="22">
        <v>0.8</v>
      </c>
      <c r="R401" s="23">
        <v>196738</v>
      </c>
      <c r="S401" s="21"/>
      <c r="T401" s="21"/>
      <c r="U401" s="21"/>
      <c r="V401" s="24"/>
      <c r="W401" s="24"/>
      <c r="X401" s="24"/>
      <c r="Y401" s="17"/>
      <c r="Z401" s="18">
        <f>ROUND(R401*'Data-CostAssumptions'!$C$3,-3)</f>
        <v>272000</v>
      </c>
      <c r="AA401" s="11">
        <f t="shared" si="19"/>
        <v>0</v>
      </c>
      <c r="AB401" s="11">
        <v>2041</v>
      </c>
      <c r="AC401" s="11">
        <v>2041</v>
      </c>
      <c r="AD401" s="11">
        <v>2041</v>
      </c>
      <c r="AE401" s="19">
        <f>ROUND((Z401*'Data-CostAssumptions'!$G$5)*(1+'Data-CostAssumptions'!$G$3)^(AB401-'Data-CostAssumptions'!$G$4),-3)</f>
        <v>153000</v>
      </c>
      <c r="AF401" s="19">
        <f>ROUND((Z401)*(1+'Data-CostAssumptions'!$G$3)^(AD401-'Data-CostAssumptions'!$G$4),-3)</f>
        <v>697000</v>
      </c>
      <c r="AG401" s="170" t="str">
        <f t="shared" si="20"/>
        <v>No</v>
      </c>
    </row>
    <row r="402" spans="1:33" ht="15" customHeight="1" x14ac:dyDescent="0.2">
      <c r="A402" s="11"/>
      <c r="B402" s="11" t="s">
        <v>1211</v>
      </c>
      <c r="C402" s="13">
        <v>666</v>
      </c>
      <c r="D402" s="13" t="s">
        <v>420</v>
      </c>
      <c r="E402" s="20">
        <v>146</v>
      </c>
      <c r="F402" s="20">
        <v>179</v>
      </c>
      <c r="G402" s="20">
        <v>47</v>
      </c>
      <c r="H402" s="13" t="s">
        <v>57</v>
      </c>
      <c r="I402" s="13" t="str">
        <f t="shared" si="18"/>
        <v>SR 7/US 441 (NW 3rd St to Sunrise Bl)</v>
      </c>
      <c r="J402" s="13" t="s">
        <v>29</v>
      </c>
      <c r="K402" s="13" t="str">
        <f>VLOOKUP(J402,'Data-ProjectTypes'!A$3:B$13,2,FALSE)</f>
        <v>Program</v>
      </c>
      <c r="L402" s="21" t="s">
        <v>348</v>
      </c>
      <c r="M402" s="13" t="s">
        <v>2533</v>
      </c>
      <c r="N402" s="13" t="s">
        <v>1830</v>
      </c>
      <c r="O402" s="13" t="s">
        <v>270</v>
      </c>
      <c r="P402" s="13" t="s">
        <v>270</v>
      </c>
      <c r="Q402" s="22">
        <v>0.8</v>
      </c>
      <c r="R402" s="23">
        <v>195575</v>
      </c>
      <c r="S402" s="21"/>
      <c r="T402" s="21"/>
      <c r="U402" s="21"/>
      <c r="V402" s="24"/>
      <c r="W402" s="24" t="s">
        <v>491</v>
      </c>
      <c r="X402" s="24"/>
      <c r="Y402" s="17" t="s">
        <v>492</v>
      </c>
      <c r="Z402" s="18">
        <f>ROUND(R402*'Data-CostAssumptions'!$C$3,-3)</f>
        <v>271000</v>
      </c>
      <c r="AA402" s="11">
        <f t="shared" si="19"/>
        <v>1</v>
      </c>
      <c r="AB402" s="11">
        <v>2041</v>
      </c>
      <c r="AC402" s="11">
        <v>2041</v>
      </c>
      <c r="AD402" s="11">
        <v>2041</v>
      </c>
      <c r="AE402" s="19">
        <f>ROUND((Z402*'Data-CostAssumptions'!$G$5)*(1+'Data-CostAssumptions'!$G$3)^(AB402-'Data-CostAssumptions'!$G$4),-3)</f>
        <v>153000</v>
      </c>
      <c r="AF402" s="19">
        <f>ROUND((Z402)*(1+'Data-CostAssumptions'!$G$3)^(AD402-'Data-CostAssumptions'!$G$4),-3)</f>
        <v>695000</v>
      </c>
      <c r="AG402" s="170" t="str">
        <f t="shared" si="20"/>
        <v>No</v>
      </c>
    </row>
    <row r="403" spans="1:33" ht="15" customHeight="1" x14ac:dyDescent="0.2">
      <c r="A403" s="11"/>
      <c r="B403" s="11" t="s">
        <v>1211</v>
      </c>
      <c r="C403" s="13">
        <v>660</v>
      </c>
      <c r="D403" s="13" t="s">
        <v>420</v>
      </c>
      <c r="E403" s="20">
        <v>109</v>
      </c>
      <c r="F403" s="20">
        <v>179</v>
      </c>
      <c r="G403" s="20">
        <v>41</v>
      </c>
      <c r="H403" s="13" t="s">
        <v>2127</v>
      </c>
      <c r="I403" s="13" t="str">
        <f t="shared" si="18"/>
        <v>SW 4th Av (Perimeter Rd to SW 23rd St)</v>
      </c>
      <c r="J403" s="13" t="s">
        <v>29</v>
      </c>
      <c r="K403" s="13" t="str">
        <f>VLOOKUP(J403,'Data-ProjectTypes'!A$3:B$13,2,FALSE)</f>
        <v>Program</v>
      </c>
      <c r="L403" s="21" t="s">
        <v>348</v>
      </c>
      <c r="M403" s="13" t="s">
        <v>1761</v>
      </c>
      <c r="N403" s="13" t="s">
        <v>2579</v>
      </c>
      <c r="O403" s="13" t="s">
        <v>276</v>
      </c>
      <c r="P403" s="13" t="s">
        <v>276</v>
      </c>
      <c r="Q403" s="22">
        <v>0.8</v>
      </c>
      <c r="R403" s="23">
        <v>194064</v>
      </c>
      <c r="S403" s="21" t="s">
        <v>24</v>
      </c>
      <c r="T403" s="21"/>
      <c r="U403" s="21"/>
      <c r="V403" s="24"/>
      <c r="W403" s="31" t="s">
        <v>741</v>
      </c>
      <c r="X403" s="31" t="s">
        <v>740</v>
      </c>
      <c r="Y403" s="17" t="s">
        <v>742</v>
      </c>
      <c r="Z403" s="18">
        <f>ROUND(R403*'Data-CostAssumptions'!$C$3,-3)</f>
        <v>269000</v>
      </c>
      <c r="AA403" s="11">
        <f t="shared" si="19"/>
        <v>1</v>
      </c>
      <c r="AB403" s="11">
        <v>2041</v>
      </c>
      <c r="AC403" s="11">
        <v>2041</v>
      </c>
      <c r="AD403" s="11">
        <v>2041</v>
      </c>
      <c r="AE403" s="19">
        <f>ROUND((Z403*'Data-CostAssumptions'!$G$5)*(1+'Data-CostAssumptions'!$G$3)^(AB403-'Data-CostAssumptions'!$G$4),-3)</f>
        <v>152000</v>
      </c>
      <c r="AF403" s="19">
        <f>ROUND((Z403)*(1+'Data-CostAssumptions'!$G$3)^(AD403-'Data-CostAssumptions'!$G$4),-3)</f>
        <v>690000</v>
      </c>
      <c r="AG403" s="170" t="str">
        <f t="shared" si="20"/>
        <v>No</v>
      </c>
    </row>
    <row r="404" spans="1:33" ht="15" customHeight="1" x14ac:dyDescent="0.2">
      <c r="A404" s="11"/>
      <c r="B404" s="11" t="s">
        <v>1211</v>
      </c>
      <c r="C404" s="13">
        <v>798</v>
      </c>
      <c r="D404" s="13" t="s">
        <v>420</v>
      </c>
      <c r="E404" s="20">
        <v>94</v>
      </c>
      <c r="F404" s="20">
        <v>186</v>
      </c>
      <c r="G404" s="20">
        <v>174</v>
      </c>
      <c r="H404" s="13" t="s">
        <v>2025</v>
      </c>
      <c r="I404" s="13" t="str">
        <f t="shared" si="18"/>
        <v>NE 16th Av (NE 21st St to Oakland Park Bl)</v>
      </c>
      <c r="J404" s="13" t="s">
        <v>29</v>
      </c>
      <c r="K404" s="13" t="str">
        <f>VLOOKUP(J404,'Data-ProjectTypes'!A$3:B$13,2,FALSE)</f>
        <v>Program</v>
      </c>
      <c r="L404" s="26" t="s">
        <v>847</v>
      </c>
      <c r="M404" s="13" t="s">
        <v>2506</v>
      </c>
      <c r="N404" s="13" t="s">
        <v>1825</v>
      </c>
      <c r="O404" s="13" t="s">
        <v>272</v>
      </c>
      <c r="P404" s="13" t="s">
        <v>272</v>
      </c>
      <c r="Q404" s="22">
        <v>0.8</v>
      </c>
      <c r="R404" s="23">
        <v>193445</v>
      </c>
      <c r="S404" s="21"/>
      <c r="T404" s="21"/>
      <c r="U404" s="21"/>
      <c r="V404" s="24"/>
      <c r="W404" s="24"/>
      <c r="X404" s="24"/>
      <c r="Y404" s="17"/>
      <c r="Z404" s="18">
        <f>ROUND(R404*'Data-CostAssumptions'!$C$3,-3)</f>
        <v>268000</v>
      </c>
      <c r="AA404" s="11">
        <f t="shared" si="19"/>
        <v>0</v>
      </c>
      <c r="AB404" s="11">
        <v>2041</v>
      </c>
      <c r="AC404" s="11">
        <v>2041</v>
      </c>
      <c r="AD404" s="11">
        <v>2041</v>
      </c>
      <c r="AE404" s="19">
        <f>ROUND((Z404*'Data-CostAssumptions'!$G$5)*(1+'Data-CostAssumptions'!$G$3)^(AB404-'Data-CostAssumptions'!$G$4),-3)</f>
        <v>151000</v>
      </c>
      <c r="AF404" s="19">
        <f>ROUND((Z404)*(1+'Data-CostAssumptions'!$G$3)^(AD404-'Data-CostAssumptions'!$G$4),-3)</f>
        <v>687000</v>
      </c>
      <c r="AG404" s="170" t="str">
        <f t="shared" si="20"/>
        <v>No</v>
      </c>
    </row>
    <row r="405" spans="1:33" ht="15" customHeight="1" x14ac:dyDescent="0.2">
      <c r="A405" s="11"/>
      <c r="B405" s="11" t="s">
        <v>1211</v>
      </c>
      <c r="C405" s="11">
        <v>12004</v>
      </c>
      <c r="D405" s="84" t="s">
        <v>292</v>
      </c>
      <c r="E405" s="14"/>
      <c r="F405" s="14"/>
      <c r="G405" s="20">
        <v>1087</v>
      </c>
      <c r="H405" s="13" t="s">
        <v>1985</v>
      </c>
      <c r="I405" s="13" t="str">
        <f t="shared" si="18"/>
        <v>NW 99th Av (NW 99 Way to Royal Palm Bl)</v>
      </c>
      <c r="J405" s="11" t="s">
        <v>29</v>
      </c>
      <c r="K405" s="13" t="str">
        <f>VLOOKUP(J405,'Data-ProjectTypes'!A$3:B$13,2,FALSE)</f>
        <v>Program</v>
      </c>
      <c r="L405" s="11" t="s">
        <v>426</v>
      </c>
      <c r="M405" s="11" t="s">
        <v>435</v>
      </c>
      <c r="N405" s="11" t="s">
        <v>1827</v>
      </c>
      <c r="O405" s="11"/>
      <c r="P405" s="11"/>
      <c r="Q405" s="15">
        <v>0.75</v>
      </c>
      <c r="R405" s="16">
        <v>190999.21338364432</v>
      </c>
      <c r="S405" s="21"/>
      <c r="T405" s="21"/>
      <c r="U405" s="21"/>
      <c r="V405" s="24"/>
      <c r="W405" s="24"/>
      <c r="X405" s="24"/>
      <c r="Y405" s="17"/>
      <c r="Z405" s="18">
        <f>ROUND(R405*'Data-CostAssumptions'!$C$3,-3)</f>
        <v>264000</v>
      </c>
      <c r="AA405" s="11">
        <f t="shared" si="19"/>
        <v>0</v>
      </c>
      <c r="AB405" s="11">
        <v>2041</v>
      </c>
      <c r="AC405" s="11">
        <v>2041</v>
      </c>
      <c r="AD405" s="11">
        <v>2041</v>
      </c>
      <c r="AE405" s="19">
        <f>ROUND((Z405*'Data-CostAssumptions'!$G$5)*(1+'Data-CostAssumptions'!$G$3)^(AB405-'Data-CostAssumptions'!$G$4),-3)</f>
        <v>149000</v>
      </c>
      <c r="AF405" s="19">
        <f>ROUND((Z405)*(1+'Data-CostAssumptions'!$G$3)^(AD405-'Data-CostAssumptions'!$G$4),-3)</f>
        <v>677000</v>
      </c>
      <c r="AG405" s="170" t="str">
        <f t="shared" si="20"/>
        <v>No</v>
      </c>
    </row>
    <row r="406" spans="1:33" ht="15" customHeight="1" x14ac:dyDescent="0.2">
      <c r="A406" s="11"/>
      <c r="B406" s="11" t="s">
        <v>1211</v>
      </c>
      <c r="C406" s="13">
        <v>821</v>
      </c>
      <c r="D406" s="13" t="s">
        <v>420</v>
      </c>
      <c r="E406" s="20">
        <v>235</v>
      </c>
      <c r="F406" s="20">
        <v>188</v>
      </c>
      <c r="G406" s="20">
        <v>197</v>
      </c>
      <c r="H406" s="13" t="s">
        <v>2734</v>
      </c>
      <c r="I406" s="13" t="str">
        <f t="shared" si="18"/>
        <v>SR 814/Atlantic Bl (Briny Av to US 1/Federal Hwy)</v>
      </c>
      <c r="J406" s="13" t="s">
        <v>29</v>
      </c>
      <c r="K406" s="13" t="str">
        <f>VLOOKUP(J406,'Data-ProjectTypes'!A$3:B$13,2,FALSE)</f>
        <v>Program</v>
      </c>
      <c r="L406" s="21" t="s">
        <v>348</v>
      </c>
      <c r="M406" s="13" t="s">
        <v>2337</v>
      </c>
      <c r="N406" s="13" t="s">
        <v>2594</v>
      </c>
      <c r="O406" s="13" t="s">
        <v>270</v>
      </c>
      <c r="P406" s="13" t="s">
        <v>270</v>
      </c>
      <c r="Q406" s="22">
        <v>0.8</v>
      </c>
      <c r="R406" s="23">
        <v>186614</v>
      </c>
      <c r="S406" s="21" t="s">
        <v>24</v>
      </c>
      <c r="T406" s="21" t="s">
        <v>25</v>
      </c>
      <c r="U406" s="21"/>
      <c r="V406" s="24"/>
      <c r="W406" s="24"/>
      <c r="X406" s="24"/>
      <c r="Y406" s="17" t="s">
        <v>469</v>
      </c>
      <c r="Z406" s="18">
        <f>ROUND(R406*'Data-CostAssumptions'!$C$3,-3)</f>
        <v>258000</v>
      </c>
      <c r="AA406" s="11">
        <f t="shared" si="19"/>
        <v>0</v>
      </c>
      <c r="AB406" s="11">
        <v>2041</v>
      </c>
      <c r="AC406" s="11">
        <v>2041</v>
      </c>
      <c r="AD406" s="11">
        <v>2041</v>
      </c>
      <c r="AE406" s="19">
        <f>ROUND((Z406*'Data-CostAssumptions'!$G$5)*(1+'Data-CostAssumptions'!$G$3)^(AB406-'Data-CostAssumptions'!$G$4),-3)</f>
        <v>146000</v>
      </c>
      <c r="AF406" s="19">
        <f>ROUND((Z406)*(1+'Data-CostAssumptions'!$G$3)^(AD406-'Data-CostAssumptions'!$G$4),-3)</f>
        <v>661000</v>
      </c>
      <c r="AG406" s="170" t="str">
        <f t="shared" si="20"/>
        <v>No</v>
      </c>
    </row>
    <row r="407" spans="1:33" ht="15" customHeight="1" x14ac:dyDescent="0.2">
      <c r="B407" s="11" t="s">
        <v>1211</v>
      </c>
      <c r="D407" s="84" t="s">
        <v>276</v>
      </c>
      <c r="E407" s="104">
        <v>202</v>
      </c>
      <c r="G407" s="20">
        <v>1406</v>
      </c>
      <c r="H407" s="13" t="s">
        <v>2159</v>
      </c>
      <c r="I407" s="13" t="str">
        <f t="shared" si="18"/>
        <v>NW 12TH Av &amp; NW 10TH TER (COMMERCIAL Bl to W CYPRESS CREEK RD)</v>
      </c>
      <c r="J407" s="12" t="s">
        <v>29</v>
      </c>
      <c r="K407" s="13" t="str">
        <f>VLOOKUP(J407,'Data-ProjectTypes'!A$3:B$13,2,FALSE)</f>
        <v>Program</v>
      </c>
      <c r="L407" s="12" t="s">
        <v>1666</v>
      </c>
      <c r="M407" s="105" t="s">
        <v>1990</v>
      </c>
      <c r="N407" s="12" t="s">
        <v>1447</v>
      </c>
      <c r="Q407" s="72">
        <v>1.1000000000000001</v>
      </c>
      <c r="R407" s="23">
        <f>ROUND(Q407*'Data-CostAssumptions'!$C$25,-1)</f>
        <v>185240</v>
      </c>
      <c r="S407" s="21" t="s">
        <v>24</v>
      </c>
      <c r="T407" s="21" t="s">
        <v>24</v>
      </c>
      <c r="U407" s="21" t="s">
        <v>24</v>
      </c>
      <c r="V407" s="24" t="s">
        <v>515</v>
      </c>
      <c r="W407" s="24"/>
      <c r="X407" s="24"/>
      <c r="Y407" s="17" t="s">
        <v>297</v>
      </c>
      <c r="Z407" s="18">
        <f>ROUND(R407*'Data-CostAssumptions'!$C$3,-3)</f>
        <v>256000</v>
      </c>
      <c r="AA407" s="11">
        <f t="shared" si="19"/>
        <v>1</v>
      </c>
      <c r="AB407" s="11">
        <v>2041</v>
      </c>
      <c r="AC407" s="11">
        <v>2041</v>
      </c>
      <c r="AD407" s="11">
        <v>2041</v>
      </c>
      <c r="AE407" s="19">
        <f>ROUND((Z407*'Data-CostAssumptions'!$G$5)*(1+'Data-CostAssumptions'!$G$3)^(AB407-'Data-CostAssumptions'!$G$4),-3)</f>
        <v>144000</v>
      </c>
      <c r="AF407" s="19">
        <f>ROUND((Z407)*(1+'Data-CostAssumptions'!$G$3)^(AD407-'Data-CostAssumptions'!$G$4),-3)</f>
        <v>656000</v>
      </c>
      <c r="AG407" s="170" t="str">
        <f t="shared" si="20"/>
        <v>No</v>
      </c>
    </row>
    <row r="408" spans="1:33" ht="15" customHeight="1" x14ac:dyDescent="0.2">
      <c r="B408" s="11" t="s">
        <v>1211</v>
      </c>
      <c r="D408" s="84" t="s">
        <v>276</v>
      </c>
      <c r="E408" s="104" t="s">
        <v>1537</v>
      </c>
      <c r="G408" s="20">
        <v>1353</v>
      </c>
      <c r="H408" s="13" t="s">
        <v>2869</v>
      </c>
      <c r="I408" s="13" t="str">
        <f t="shared" si="18"/>
        <v>Flagler Dr N (NE 6TH ST  to N ANDREWS Av )</v>
      </c>
      <c r="J408" s="12" t="s">
        <v>29</v>
      </c>
      <c r="K408" s="13" t="str">
        <f>VLOOKUP(J408,'Data-ProjectTypes'!A$3:B$13,2,FALSE)</f>
        <v>Program</v>
      </c>
      <c r="L408" s="12" t="s">
        <v>1667</v>
      </c>
      <c r="M408" s="105" t="s">
        <v>1714</v>
      </c>
      <c r="N408" s="12" t="s">
        <v>2611</v>
      </c>
      <c r="Q408" s="72">
        <v>1.1000000000000001</v>
      </c>
      <c r="R408" s="23">
        <f>ROUND(Q408*'Data-CostAssumptions'!$C$25,-1)</f>
        <v>185240</v>
      </c>
      <c r="S408" s="21"/>
      <c r="T408" s="21"/>
      <c r="U408" s="21"/>
      <c r="V408" s="24"/>
      <c r="W408" s="24"/>
      <c r="X408" s="24"/>
      <c r="Y408" s="17"/>
      <c r="Z408" s="18">
        <f>ROUND(R408*'Data-CostAssumptions'!$C$3,-3)</f>
        <v>256000</v>
      </c>
      <c r="AA408" s="11">
        <f t="shared" si="19"/>
        <v>0</v>
      </c>
      <c r="AB408" s="11">
        <v>2041</v>
      </c>
      <c r="AC408" s="11">
        <v>2041</v>
      </c>
      <c r="AD408" s="11">
        <v>2041</v>
      </c>
      <c r="AE408" s="19">
        <f>ROUND((Z408*'Data-CostAssumptions'!$G$5)*(1+'Data-CostAssumptions'!$G$3)^(AB408-'Data-CostAssumptions'!$G$4),-3)</f>
        <v>144000</v>
      </c>
      <c r="AF408" s="19">
        <f>ROUND((Z408)*(1+'Data-CostAssumptions'!$G$3)^(AD408-'Data-CostAssumptions'!$G$4),-3)</f>
        <v>656000</v>
      </c>
      <c r="AG408" s="170" t="str">
        <f t="shared" si="20"/>
        <v>No</v>
      </c>
    </row>
    <row r="409" spans="1:33" ht="15" customHeight="1" x14ac:dyDescent="0.2">
      <c r="B409" s="11" t="s">
        <v>1211</v>
      </c>
      <c r="D409" s="84" t="s">
        <v>276</v>
      </c>
      <c r="E409" s="104" t="s">
        <v>1480</v>
      </c>
      <c r="G409" s="20">
        <v>1391</v>
      </c>
      <c r="H409" s="13" t="s">
        <v>2151</v>
      </c>
      <c r="I409" s="13" t="str">
        <f t="shared" si="18"/>
        <v>NE 33RD Av  (BEACH to E OAKLAND PARK Bl )</v>
      </c>
      <c r="J409" s="12" t="s">
        <v>29</v>
      </c>
      <c r="K409" s="13" t="str">
        <f>VLOOKUP(J409,'Data-ProjectTypes'!A$3:B$13,2,FALSE)</f>
        <v>Program</v>
      </c>
      <c r="L409" s="12" t="s">
        <v>1667</v>
      </c>
      <c r="M409" s="105" t="s">
        <v>1689</v>
      </c>
      <c r="N409" s="12" t="s">
        <v>2298</v>
      </c>
      <c r="Q409" s="72">
        <v>1.1000000000000001</v>
      </c>
      <c r="R409" s="23">
        <f>ROUND(Q409*'Data-CostAssumptions'!$C$25,-1)</f>
        <v>185240</v>
      </c>
      <c r="S409" s="21"/>
      <c r="T409" s="21"/>
      <c r="U409" s="21"/>
      <c r="V409" s="24"/>
      <c r="W409" s="24"/>
      <c r="X409" s="24"/>
      <c r="Y409" s="17"/>
      <c r="Z409" s="18">
        <f>ROUND(R409*'Data-CostAssumptions'!$C$3,-3)</f>
        <v>256000</v>
      </c>
      <c r="AA409" s="11">
        <f t="shared" si="19"/>
        <v>0</v>
      </c>
      <c r="AB409" s="11">
        <v>2041</v>
      </c>
      <c r="AC409" s="11">
        <v>2041</v>
      </c>
      <c r="AD409" s="11">
        <v>2041</v>
      </c>
      <c r="AE409" s="19">
        <f>ROUND((Z409*'Data-CostAssumptions'!$G$5)*(1+'Data-CostAssumptions'!$G$3)^(AB409-'Data-CostAssumptions'!$G$4),-3)</f>
        <v>144000</v>
      </c>
      <c r="AF409" s="19">
        <f>ROUND((Z409)*(1+'Data-CostAssumptions'!$G$3)^(AD409-'Data-CostAssumptions'!$G$4),-3)</f>
        <v>656000</v>
      </c>
      <c r="AG409" s="170" t="str">
        <f t="shared" si="20"/>
        <v>No</v>
      </c>
    </row>
    <row r="410" spans="1:33" ht="15" customHeight="1" x14ac:dyDescent="0.2">
      <c r="A410" s="11"/>
      <c r="B410" s="11" t="s">
        <v>1211</v>
      </c>
      <c r="C410" s="13">
        <v>800</v>
      </c>
      <c r="D410" s="13" t="s">
        <v>420</v>
      </c>
      <c r="E410" s="20">
        <v>113</v>
      </c>
      <c r="F410" s="20">
        <v>187</v>
      </c>
      <c r="G410" s="20">
        <v>176</v>
      </c>
      <c r="H410" s="13" t="s">
        <v>1866</v>
      </c>
      <c r="I410" s="13" t="str">
        <f t="shared" si="18"/>
        <v>Taylor Rd (NE 7th Av to US 1/Federal Hwy)</v>
      </c>
      <c r="J410" s="13" t="s">
        <v>29</v>
      </c>
      <c r="K410" s="13" t="str">
        <f>VLOOKUP(J410,'Data-ProjectTypes'!A$3:B$13,2,FALSE)</f>
        <v>Program</v>
      </c>
      <c r="L410" s="21" t="s">
        <v>348</v>
      </c>
      <c r="M410" s="13" t="s">
        <v>2037</v>
      </c>
      <c r="N410" s="13" t="s">
        <v>2594</v>
      </c>
      <c r="O410" s="13" t="s">
        <v>273</v>
      </c>
      <c r="P410" s="13" t="s">
        <v>273</v>
      </c>
      <c r="Q410" s="22">
        <v>0.8</v>
      </c>
      <c r="R410" s="23">
        <v>182351</v>
      </c>
      <c r="S410" s="21"/>
      <c r="T410" s="21"/>
      <c r="U410" s="21"/>
      <c r="V410" s="24"/>
      <c r="W410" s="24"/>
      <c r="X410" s="24"/>
      <c r="Y410" s="17"/>
      <c r="Z410" s="18">
        <f>ROUND(R410*'Data-CostAssumptions'!$C$3,-3)</f>
        <v>252000</v>
      </c>
      <c r="AA410" s="11">
        <f t="shared" si="19"/>
        <v>0</v>
      </c>
      <c r="AB410" s="11">
        <v>2041</v>
      </c>
      <c r="AC410" s="11">
        <v>2041</v>
      </c>
      <c r="AD410" s="11">
        <v>2041</v>
      </c>
      <c r="AE410" s="19">
        <f>ROUND((Z410*'Data-CostAssumptions'!$G$5)*(1+'Data-CostAssumptions'!$G$3)^(AB410-'Data-CostAssumptions'!$G$4),-3)</f>
        <v>142000</v>
      </c>
      <c r="AF410" s="19">
        <f>ROUND((Z410)*(1+'Data-CostAssumptions'!$G$3)^(AD410-'Data-CostAssumptions'!$G$4),-3)</f>
        <v>646000</v>
      </c>
      <c r="AG410" s="170" t="str">
        <f t="shared" si="20"/>
        <v>No</v>
      </c>
    </row>
    <row r="411" spans="1:33" ht="15" customHeight="1" x14ac:dyDescent="0.2">
      <c r="A411" s="11"/>
      <c r="B411" s="11" t="s">
        <v>1211</v>
      </c>
      <c r="C411" s="13">
        <v>656</v>
      </c>
      <c r="D411" s="13" t="s">
        <v>420</v>
      </c>
      <c r="E411" s="20">
        <v>102</v>
      </c>
      <c r="F411" s="20">
        <v>178</v>
      </c>
      <c r="G411" s="20">
        <v>37</v>
      </c>
      <c r="H411" s="13" t="s">
        <v>2798</v>
      </c>
      <c r="I411" s="13" t="str">
        <f t="shared" si="18"/>
        <v>SR 842/Broward Bl (Victoria Park Rd to US 1/Federal Hwy)</v>
      </c>
      <c r="J411" s="13" t="s">
        <v>29</v>
      </c>
      <c r="K411" s="13" t="str">
        <f>VLOOKUP(J411,'Data-ProjectTypes'!A$3:B$13,2,FALSE)</f>
        <v>Program</v>
      </c>
      <c r="L411" s="21" t="s">
        <v>348</v>
      </c>
      <c r="M411" s="13" t="s">
        <v>1868</v>
      </c>
      <c r="N411" s="13" t="s">
        <v>2594</v>
      </c>
      <c r="O411" s="13" t="s">
        <v>273</v>
      </c>
      <c r="P411" s="13" t="s">
        <v>273</v>
      </c>
      <c r="Q411" s="22">
        <v>0.8</v>
      </c>
      <c r="R411" s="23">
        <v>179028</v>
      </c>
      <c r="S411" s="21" t="s">
        <v>24</v>
      </c>
      <c r="T411" s="21" t="s">
        <v>25</v>
      </c>
      <c r="U411" s="21" t="s">
        <v>25</v>
      </c>
      <c r="V411" s="24"/>
      <c r="W411" s="24"/>
      <c r="X411" s="24"/>
      <c r="Y411" s="17" t="s">
        <v>685</v>
      </c>
      <c r="Z411" s="18">
        <f>ROUND(R411*'Data-CostAssumptions'!$C$3,-3)</f>
        <v>248000</v>
      </c>
      <c r="AA411" s="11">
        <f t="shared" si="19"/>
        <v>0</v>
      </c>
      <c r="AB411" s="11">
        <v>2041</v>
      </c>
      <c r="AC411" s="11">
        <v>2041</v>
      </c>
      <c r="AD411" s="11">
        <v>2041</v>
      </c>
      <c r="AE411" s="19">
        <f>ROUND((Z411*'Data-CostAssumptions'!$G$5)*(1+'Data-CostAssumptions'!$G$3)^(AB411-'Data-CostAssumptions'!$G$4),-3)</f>
        <v>140000</v>
      </c>
      <c r="AF411" s="19">
        <f>ROUND((Z411)*(1+'Data-CostAssumptions'!$G$3)^(AD411-'Data-CostAssumptions'!$G$4),-3)</f>
        <v>636000</v>
      </c>
      <c r="AG411" s="170" t="str">
        <f t="shared" si="20"/>
        <v>No</v>
      </c>
    </row>
    <row r="412" spans="1:33" ht="15" customHeight="1" x14ac:dyDescent="0.2">
      <c r="A412" s="11"/>
      <c r="B412" s="11" t="s">
        <v>1211</v>
      </c>
      <c r="C412" s="13">
        <v>810</v>
      </c>
      <c r="D412" s="13" t="s">
        <v>420</v>
      </c>
      <c r="E412" s="20">
        <v>192</v>
      </c>
      <c r="F412" s="20">
        <v>187</v>
      </c>
      <c r="G412" s="20">
        <v>186</v>
      </c>
      <c r="H412" s="13" t="s">
        <v>110</v>
      </c>
      <c r="I412" s="13" t="str">
        <f t="shared" si="18"/>
        <v>SR A1A (South County Line to Hallandale Beach Bl)</v>
      </c>
      <c r="J412" s="13" t="s">
        <v>29</v>
      </c>
      <c r="K412" s="13" t="str">
        <f>VLOOKUP(J412,'Data-ProjectTypes'!A$3:B$13,2,FALSE)</f>
        <v>Program</v>
      </c>
      <c r="L412" s="21" t="s">
        <v>348</v>
      </c>
      <c r="M412" s="13" t="s">
        <v>155</v>
      </c>
      <c r="N412" s="13" t="s">
        <v>1818</v>
      </c>
      <c r="O412" s="13" t="s">
        <v>270</v>
      </c>
      <c r="P412" s="13" t="s">
        <v>270</v>
      </c>
      <c r="Q412" s="22">
        <v>0.8</v>
      </c>
      <c r="R412" s="23">
        <v>178529</v>
      </c>
      <c r="S412" s="21" t="s">
        <v>684</v>
      </c>
      <c r="T412" s="21" t="s">
        <v>684</v>
      </c>
      <c r="U412" s="21" t="s">
        <v>684</v>
      </c>
      <c r="V412" s="24"/>
      <c r="W412" s="24"/>
      <c r="X412" s="24"/>
      <c r="Y412" s="17" t="s">
        <v>783</v>
      </c>
      <c r="Z412" s="18">
        <f>ROUND(R412*'Data-CostAssumptions'!$C$3,-3)</f>
        <v>247000</v>
      </c>
      <c r="AA412" s="11">
        <f t="shared" si="19"/>
        <v>0</v>
      </c>
      <c r="AB412" s="11">
        <v>2041</v>
      </c>
      <c r="AC412" s="11">
        <v>2041</v>
      </c>
      <c r="AD412" s="11">
        <v>2041</v>
      </c>
      <c r="AE412" s="19">
        <f>ROUND((Z412*'Data-CostAssumptions'!$G$5)*(1+'Data-CostAssumptions'!$G$3)^(AB412-'Data-CostAssumptions'!$G$4),-3)</f>
        <v>139000</v>
      </c>
      <c r="AF412" s="19">
        <f>ROUND((Z412)*(1+'Data-CostAssumptions'!$G$3)^(AD412-'Data-CostAssumptions'!$G$4),-3)</f>
        <v>633000</v>
      </c>
      <c r="AG412" s="170" t="str">
        <f t="shared" si="20"/>
        <v>No</v>
      </c>
    </row>
    <row r="413" spans="1:33" ht="15" customHeight="1" x14ac:dyDescent="0.2">
      <c r="A413" s="11"/>
      <c r="B413" s="11" t="s">
        <v>1211</v>
      </c>
      <c r="C413" s="13">
        <v>746</v>
      </c>
      <c r="D413" s="13" t="s">
        <v>420</v>
      </c>
      <c r="E413" s="20">
        <v>71</v>
      </c>
      <c r="F413" s="20">
        <v>184</v>
      </c>
      <c r="G413" s="20">
        <v>123</v>
      </c>
      <c r="H413" s="13" t="s">
        <v>1860</v>
      </c>
      <c r="I413" s="13" t="str">
        <f t="shared" si="18"/>
        <v>Race Track Rd/Palmetto Park Place (SW 15th Av to Powerline Rd/SW 26th Av)</v>
      </c>
      <c r="J413" s="13" t="s">
        <v>29</v>
      </c>
      <c r="K413" s="13" t="str">
        <f>VLOOKUP(J413,'Data-ProjectTypes'!A$3:B$13,2,FALSE)</f>
        <v>Program</v>
      </c>
      <c r="L413" s="21" t="s">
        <v>348</v>
      </c>
      <c r="M413" s="13" t="s">
        <v>2106</v>
      </c>
      <c r="N413" s="13" t="s">
        <v>2445</v>
      </c>
      <c r="O413" s="13" t="s">
        <v>273</v>
      </c>
      <c r="P413" s="13" t="s">
        <v>273</v>
      </c>
      <c r="Q413" s="22">
        <v>0.8</v>
      </c>
      <c r="R413" s="23">
        <v>177836</v>
      </c>
      <c r="S413" s="21"/>
      <c r="T413" s="21"/>
      <c r="U413" s="21"/>
      <c r="V413" s="24"/>
      <c r="W413" s="24"/>
      <c r="X413" s="24"/>
      <c r="Y413" s="17"/>
      <c r="Z413" s="18">
        <f>ROUND(R413*'Data-CostAssumptions'!$C$3,-3)</f>
        <v>246000</v>
      </c>
      <c r="AA413" s="11">
        <f t="shared" si="19"/>
        <v>0</v>
      </c>
      <c r="AB413" s="11">
        <v>2041</v>
      </c>
      <c r="AC413" s="11">
        <v>2041</v>
      </c>
      <c r="AD413" s="11">
        <v>2041</v>
      </c>
      <c r="AE413" s="19">
        <f>ROUND((Z413*'Data-CostAssumptions'!$G$5)*(1+'Data-CostAssumptions'!$G$3)^(AB413-'Data-CostAssumptions'!$G$4),-3)</f>
        <v>139000</v>
      </c>
      <c r="AF413" s="19">
        <f>ROUND((Z413)*(1+'Data-CostAssumptions'!$G$3)^(AD413-'Data-CostAssumptions'!$G$4),-3)</f>
        <v>631000</v>
      </c>
      <c r="AG413" s="170" t="str">
        <f t="shared" si="20"/>
        <v>No</v>
      </c>
    </row>
    <row r="414" spans="1:33" ht="15" customHeight="1" x14ac:dyDescent="0.2">
      <c r="A414" s="11"/>
      <c r="B414" s="11" t="s">
        <v>1211</v>
      </c>
      <c r="C414" s="13">
        <v>750</v>
      </c>
      <c r="D414" s="13" t="s">
        <v>420</v>
      </c>
      <c r="E414" s="20">
        <v>92</v>
      </c>
      <c r="F414" s="20">
        <v>184</v>
      </c>
      <c r="G414" s="20">
        <v>127</v>
      </c>
      <c r="H414" s="13" t="s">
        <v>2710</v>
      </c>
      <c r="I414" s="13" t="str">
        <f t="shared" si="18"/>
        <v>SR 816/Oakland Park Bl (NE 16th Av to NE 6th Av)</v>
      </c>
      <c r="J414" s="13" t="s">
        <v>29</v>
      </c>
      <c r="K414" s="13" t="str">
        <f>VLOOKUP(J414,'Data-ProjectTypes'!A$3:B$13,2,FALSE)</f>
        <v>Program</v>
      </c>
      <c r="L414" s="26" t="s">
        <v>847</v>
      </c>
      <c r="M414" s="13" t="s">
        <v>2025</v>
      </c>
      <c r="N414" s="13" t="s">
        <v>2036</v>
      </c>
      <c r="O414" s="13" t="s">
        <v>270</v>
      </c>
      <c r="P414" s="13" t="s">
        <v>270</v>
      </c>
      <c r="Q414" s="22">
        <v>0.8</v>
      </c>
      <c r="R414" s="23">
        <v>177422</v>
      </c>
      <c r="S414" s="21"/>
      <c r="T414" s="21"/>
      <c r="U414" s="21"/>
      <c r="V414" s="24"/>
      <c r="W414" s="24"/>
      <c r="X414" s="24"/>
      <c r="Y414" s="17"/>
      <c r="Z414" s="18">
        <f>ROUND(R414*'Data-CostAssumptions'!$C$3,-3)</f>
        <v>246000</v>
      </c>
      <c r="AA414" s="11">
        <f t="shared" si="19"/>
        <v>0</v>
      </c>
      <c r="AB414" s="11">
        <v>2041</v>
      </c>
      <c r="AC414" s="11">
        <v>2041</v>
      </c>
      <c r="AD414" s="11">
        <v>2041</v>
      </c>
      <c r="AE414" s="19">
        <f>ROUND((Z414*'Data-CostAssumptions'!$G$5)*(1+'Data-CostAssumptions'!$G$3)^(AB414-'Data-CostAssumptions'!$G$4),-3)</f>
        <v>139000</v>
      </c>
      <c r="AF414" s="19">
        <f>ROUND((Z414)*(1+'Data-CostAssumptions'!$G$3)^(AD414-'Data-CostAssumptions'!$G$4),-3)</f>
        <v>631000</v>
      </c>
      <c r="AG414" s="170" t="str">
        <f t="shared" si="20"/>
        <v>No</v>
      </c>
    </row>
    <row r="415" spans="1:33" ht="15" customHeight="1" x14ac:dyDescent="0.2">
      <c r="A415" s="11"/>
      <c r="B415" s="11" t="s">
        <v>1211</v>
      </c>
      <c r="C415" s="13">
        <v>801</v>
      </c>
      <c r="D415" s="13" t="s">
        <v>420</v>
      </c>
      <c r="E415" s="20">
        <v>115</v>
      </c>
      <c r="F415" s="20">
        <v>187</v>
      </c>
      <c r="G415" s="20">
        <v>177</v>
      </c>
      <c r="H415" s="13" t="s">
        <v>1815</v>
      </c>
      <c r="I415" s="13" t="str">
        <f t="shared" si="18"/>
        <v>Dania Beach Bl (Gulfstream Rd to US 1/Federal Hwy)</v>
      </c>
      <c r="J415" s="13" t="s">
        <v>29</v>
      </c>
      <c r="K415" s="13" t="str">
        <f>VLOOKUP(J415,'Data-ProjectTypes'!A$3:B$13,2,FALSE)</f>
        <v>Program</v>
      </c>
      <c r="L415" s="21" t="s">
        <v>348</v>
      </c>
      <c r="M415" s="13" t="s">
        <v>2405</v>
      </c>
      <c r="N415" s="13" t="s">
        <v>2594</v>
      </c>
      <c r="O415" s="13" t="s">
        <v>270</v>
      </c>
      <c r="P415" s="13" t="s">
        <v>270</v>
      </c>
      <c r="Q415" s="22">
        <v>0.8</v>
      </c>
      <c r="R415" s="23">
        <v>177527</v>
      </c>
      <c r="S415" s="21"/>
      <c r="T415" s="21"/>
      <c r="U415" s="21"/>
      <c r="V415" s="24"/>
      <c r="W415" s="24"/>
      <c r="X415" s="24"/>
      <c r="Y415" s="17"/>
      <c r="Z415" s="18">
        <f>ROUND(R415*'Data-CostAssumptions'!$C$3,-3)</f>
        <v>246000</v>
      </c>
      <c r="AA415" s="11">
        <f t="shared" si="19"/>
        <v>0</v>
      </c>
      <c r="AB415" s="11">
        <v>2041</v>
      </c>
      <c r="AC415" s="11">
        <v>2041</v>
      </c>
      <c r="AD415" s="11">
        <v>2041</v>
      </c>
      <c r="AE415" s="19">
        <f>ROUND((Z415*'Data-CostAssumptions'!$G$5)*(1+'Data-CostAssumptions'!$G$3)^(AB415-'Data-CostAssumptions'!$G$4),-3)</f>
        <v>139000</v>
      </c>
      <c r="AF415" s="19">
        <f>ROUND((Z415)*(1+'Data-CostAssumptions'!$G$3)^(AD415-'Data-CostAssumptions'!$G$4),-3)</f>
        <v>631000</v>
      </c>
      <c r="AG415" s="170" t="str">
        <f t="shared" si="20"/>
        <v>No</v>
      </c>
    </row>
    <row r="416" spans="1:33" ht="15" customHeight="1" x14ac:dyDescent="0.2">
      <c r="A416" s="11"/>
      <c r="B416" s="11" t="s">
        <v>1211</v>
      </c>
      <c r="C416" s="13">
        <v>853</v>
      </c>
      <c r="D416" s="13" t="s">
        <v>420</v>
      </c>
      <c r="E416" s="20">
        <v>87</v>
      </c>
      <c r="F416" s="20">
        <v>190</v>
      </c>
      <c r="G416" s="20">
        <v>229</v>
      </c>
      <c r="H416" s="13" t="s">
        <v>1891</v>
      </c>
      <c r="I416" s="13" t="str">
        <f t="shared" si="18"/>
        <v>NE 38th St (US 1/Federal Hwy to Dixie Hwy)</v>
      </c>
      <c r="J416" s="13" t="s">
        <v>29</v>
      </c>
      <c r="K416" s="13" t="str">
        <f>VLOOKUP(J416,'Data-ProjectTypes'!A$3:B$13,2,FALSE)</f>
        <v>Program</v>
      </c>
      <c r="L416" s="21" t="s">
        <v>348</v>
      </c>
      <c r="M416" s="13" t="s">
        <v>2594</v>
      </c>
      <c r="N416" s="13" t="s">
        <v>728</v>
      </c>
      <c r="O416" s="13" t="s">
        <v>272</v>
      </c>
      <c r="P416" s="13" t="s">
        <v>272</v>
      </c>
      <c r="Q416" s="22">
        <v>0.8</v>
      </c>
      <c r="R416" s="23">
        <v>176879</v>
      </c>
      <c r="S416" s="21"/>
      <c r="T416" s="21"/>
      <c r="U416" s="21"/>
      <c r="V416" s="24"/>
      <c r="W416" s="24"/>
      <c r="X416" s="24"/>
      <c r="Y416" s="17"/>
      <c r="Z416" s="18">
        <f>ROUND(R416*'Data-CostAssumptions'!$C$3,-3)</f>
        <v>245000</v>
      </c>
      <c r="AA416" s="11">
        <f t="shared" si="19"/>
        <v>0</v>
      </c>
      <c r="AB416" s="11">
        <v>2041</v>
      </c>
      <c r="AC416" s="11">
        <v>2041</v>
      </c>
      <c r="AD416" s="11">
        <v>2041</v>
      </c>
      <c r="AE416" s="19">
        <f>ROUND((Z416*'Data-CostAssumptions'!$G$5)*(1+'Data-CostAssumptions'!$G$3)^(AB416-'Data-CostAssumptions'!$G$4),-3)</f>
        <v>138000</v>
      </c>
      <c r="AF416" s="19">
        <f>ROUND((Z416)*(1+'Data-CostAssumptions'!$G$3)^(AD416-'Data-CostAssumptions'!$G$4),-3)</f>
        <v>628000</v>
      </c>
      <c r="AG416" s="170" t="str">
        <f t="shared" si="20"/>
        <v>No</v>
      </c>
    </row>
    <row r="417" spans="1:33" ht="15" customHeight="1" x14ac:dyDescent="0.2">
      <c r="A417" s="11"/>
      <c r="B417" s="11" t="s">
        <v>1211</v>
      </c>
      <c r="C417" s="13">
        <v>782</v>
      </c>
      <c r="D417" s="13" t="s">
        <v>420</v>
      </c>
      <c r="E417" s="20">
        <v>322</v>
      </c>
      <c r="F417" s="20">
        <v>185</v>
      </c>
      <c r="G417" s="20">
        <v>159</v>
      </c>
      <c r="H417" s="13" t="s">
        <v>1942</v>
      </c>
      <c r="I417" s="13" t="str">
        <f t="shared" si="18"/>
        <v>SE 24th St/Spangler Bl (Eisenhower Bl to US 1/Federal Hwy)</v>
      </c>
      <c r="J417" s="13" t="s">
        <v>29</v>
      </c>
      <c r="K417" s="13" t="str">
        <f>VLOOKUP(J417,'Data-ProjectTypes'!A$3:B$13,2,FALSE)</f>
        <v>Program</v>
      </c>
      <c r="L417" s="21" t="s">
        <v>562</v>
      </c>
      <c r="M417" s="13" t="s">
        <v>1817</v>
      </c>
      <c r="N417" s="13" t="s">
        <v>2594</v>
      </c>
      <c r="O417" s="13" t="s">
        <v>272</v>
      </c>
      <c r="P417" s="13" t="s">
        <v>272</v>
      </c>
      <c r="Q417" s="22">
        <v>0.8</v>
      </c>
      <c r="R417" s="23">
        <v>176086</v>
      </c>
      <c r="S417" s="21"/>
      <c r="T417" s="21"/>
      <c r="U417" s="21"/>
      <c r="V417" s="24"/>
      <c r="W417" s="24"/>
      <c r="X417" s="24"/>
      <c r="Y417" s="17"/>
      <c r="Z417" s="18">
        <f>ROUND(R417*'Data-CostAssumptions'!$C$3,-3)</f>
        <v>244000</v>
      </c>
      <c r="AA417" s="11">
        <f t="shared" si="19"/>
        <v>0</v>
      </c>
      <c r="AB417" s="11">
        <v>2041</v>
      </c>
      <c r="AC417" s="11">
        <v>2041</v>
      </c>
      <c r="AD417" s="11">
        <v>2041</v>
      </c>
      <c r="AE417" s="19">
        <f>ROUND((Z417*'Data-CostAssumptions'!$G$5)*(1+'Data-CostAssumptions'!$G$3)^(AB417-'Data-CostAssumptions'!$G$4),-3)</f>
        <v>138000</v>
      </c>
      <c r="AF417" s="19">
        <f>ROUND((Z417)*(1+'Data-CostAssumptions'!$G$3)^(AD417-'Data-CostAssumptions'!$G$4),-3)</f>
        <v>626000</v>
      </c>
      <c r="AG417" s="170" t="str">
        <f t="shared" si="20"/>
        <v>No</v>
      </c>
    </row>
    <row r="418" spans="1:33" ht="15" customHeight="1" x14ac:dyDescent="0.2">
      <c r="A418" s="11"/>
      <c r="B418" s="11" t="s">
        <v>1211</v>
      </c>
      <c r="C418" s="13">
        <v>957</v>
      </c>
      <c r="D418" s="13" t="s">
        <v>420</v>
      </c>
      <c r="E418" s="20">
        <v>263</v>
      </c>
      <c r="F418" s="20">
        <v>195</v>
      </c>
      <c r="G418" s="20">
        <v>331</v>
      </c>
      <c r="H418" s="13" t="s">
        <v>2124</v>
      </c>
      <c r="I418" s="13" t="str">
        <f t="shared" si="18"/>
        <v>SW 40th Av (County Line Rd to Hallandale Beach Bl)</v>
      </c>
      <c r="J418" s="13" t="s">
        <v>29</v>
      </c>
      <c r="K418" s="13" t="str">
        <f>VLOOKUP(J418,'Data-ProjectTypes'!A$3:B$13,2,FALSE)</f>
        <v>Program</v>
      </c>
      <c r="L418" s="21" t="s">
        <v>348</v>
      </c>
      <c r="M418" s="13" t="s">
        <v>1839</v>
      </c>
      <c r="N418" s="13" t="s">
        <v>1818</v>
      </c>
      <c r="O418" s="13" t="s">
        <v>272</v>
      </c>
      <c r="P418" s="13" t="s">
        <v>272</v>
      </c>
      <c r="Q418" s="22">
        <v>0.8</v>
      </c>
      <c r="R418" s="23">
        <v>176167</v>
      </c>
      <c r="S418" s="21"/>
      <c r="T418" s="21"/>
      <c r="U418" s="21"/>
      <c r="V418" s="24"/>
      <c r="W418" s="24"/>
      <c r="X418" s="28"/>
      <c r="Y418" s="17"/>
      <c r="Z418" s="18">
        <f>ROUND(R418*'Data-CostAssumptions'!$C$3,-3)</f>
        <v>244000</v>
      </c>
      <c r="AA418" s="11">
        <f t="shared" si="19"/>
        <v>0</v>
      </c>
      <c r="AB418" s="11">
        <v>2041</v>
      </c>
      <c r="AC418" s="11">
        <v>2041</v>
      </c>
      <c r="AD418" s="11">
        <v>2041</v>
      </c>
      <c r="AE418" s="19">
        <f>ROUND((Z418*'Data-CostAssumptions'!$G$5)*(1+'Data-CostAssumptions'!$G$3)^(AB418-'Data-CostAssumptions'!$G$4),-3)</f>
        <v>138000</v>
      </c>
      <c r="AF418" s="19">
        <f>ROUND((Z418)*(1+'Data-CostAssumptions'!$G$3)^(AD418-'Data-CostAssumptions'!$G$4),-3)</f>
        <v>626000</v>
      </c>
      <c r="AG418" s="170" t="str">
        <f t="shared" si="20"/>
        <v>No</v>
      </c>
    </row>
    <row r="419" spans="1:33" ht="15" customHeight="1" x14ac:dyDescent="0.2">
      <c r="A419" s="11"/>
      <c r="B419" s="11" t="s">
        <v>1211</v>
      </c>
      <c r="C419" s="11">
        <v>782</v>
      </c>
      <c r="D419" s="84" t="s">
        <v>276</v>
      </c>
      <c r="E419" s="14">
        <v>322</v>
      </c>
      <c r="F419" s="14">
        <v>185</v>
      </c>
      <c r="G419" s="20">
        <v>1321</v>
      </c>
      <c r="H419" s="13" t="s">
        <v>1942</v>
      </c>
      <c r="I419" s="13" t="str">
        <f t="shared" si="18"/>
        <v>SE 24th St/Spangler Bl (Eisenhower Bl to US 1/Federal Hwy)</v>
      </c>
      <c r="J419" s="11" t="s">
        <v>29</v>
      </c>
      <c r="K419" s="13" t="str">
        <f>VLOOKUP(J419,'Data-ProjectTypes'!A$3:B$13,2,FALSE)</f>
        <v>Program</v>
      </c>
      <c r="L419" s="11" t="s">
        <v>1222</v>
      </c>
      <c r="M419" s="106" t="s">
        <v>1817</v>
      </c>
      <c r="N419" s="84" t="s">
        <v>2594</v>
      </c>
      <c r="O419" s="11" t="s">
        <v>272</v>
      </c>
      <c r="P419" s="11" t="s">
        <v>272</v>
      </c>
      <c r="Q419" s="107">
        <v>0.8</v>
      </c>
      <c r="R419" s="23">
        <v>176086</v>
      </c>
      <c r="S419" s="21"/>
      <c r="T419" s="21"/>
      <c r="U419" s="21"/>
      <c r="V419" s="24"/>
      <c r="W419" s="24"/>
      <c r="X419" s="24"/>
      <c r="Y419" s="17"/>
      <c r="Z419" s="18">
        <f>ROUND(R419*'Data-CostAssumptions'!$C$3,-3)</f>
        <v>244000</v>
      </c>
      <c r="AA419" s="11">
        <f t="shared" si="19"/>
        <v>0</v>
      </c>
      <c r="AB419" s="11">
        <v>2041</v>
      </c>
      <c r="AC419" s="11">
        <v>2041</v>
      </c>
      <c r="AD419" s="11">
        <v>2041</v>
      </c>
      <c r="AE419" s="19">
        <f>ROUND((Z419*'Data-CostAssumptions'!$G$5)*(1+'Data-CostAssumptions'!$G$3)^(AB419-'Data-CostAssumptions'!$G$4),-3)</f>
        <v>138000</v>
      </c>
      <c r="AF419" s="19">
        <f>ROUND((Z419)*(1+'Data-CostAssumptions'!$G$3)^(AD419-'Data-CostAssumptions'!$G$4),-3)</f>
        <v>626000</v>
      </c>
      <c r="AG419" s="170" t="str">
        <f t="shared" si="20"/>
        <v>No</v>
      </c>
    </row>
    <row r="420" spans="1:33" ht="15" customHeight="1" x14ac:dyDescent="0.2">
      <c r="A420" s="11"/>
      <c r="B420" s="11" t="s">
        <v>1211</v>
      </c>
      <c r="C420" s="13">
        <v>839</v>
      </c>
      <c r="D420" s="13" t="s">
        <v>420</v>
      </c>
      <c r="E420" s="20">
        <v>21</v>
      </c>
      <c r="F420" s="20">
        <v>189</v>
      </c>
      <c r="G420" s="20">
        <v>215</v>
      </c>
      <c r="H420" s="13" t="s">
        <v>1885</v>
      </c>
      <c r="I420" s="13" t="str">
        <f t="shared" si="18"/>
        <v>NE 14th St (Ocean Bl to NE 25th Av)</v>
      </c>
      <c r="J420" s="13" t="s">
        <v>29</v>
      </c>
      <c r="K420" s="13" t="str">
        <f>VLOOKUP(J420,'Data-ProjectTypes'!A$3:B$13,2,FALSE)</f>
        <v>Program</v>
      </c>
      <c r="L420" s="21" t="s">
        <v>348</v>
      </c>
      <c r="M420" s="13" t="s">
        <v>2274</v>
      </c>
      <c r="N420" s="13" t="s">
        <v>2233</v>
      </c>
      <c r="O420" s="13" t="s">
        <v>270</v>
      </c>
      <c r="P420" s="13" t="s">
        <v>270</v>
      </c>
      <c r="Q420" s="22">
        <v>0.8</v>
      </c>
      <c r="R420" s="23">
        <v>174510</v>
      </c>
      <c r="S420" s="21"/>
      <c r="T420" s="21"/>
      <c r="U420" s="21"/>
      <c r="V420" s="24"/>
      <c r="W420" s="24"/>
      <c r="X420" s="24"/>
      <c r="Y420" s="17"/>
      <c r="Z420" s="18">
        <f>ROUND(R420*'Data-CostAssumptions'!$C$3,-3)</f>
        <v>242000</v>
      </c>
      <c r="AA420" s="11">
        <f t="shared" si="19"/>
        <v>0</v>
      </c>
      <c r="AB420" s="11">
        <v>2041</v>
      </c>
      <c r="AC420" s="11">
        <v>2041</v>
      </c>
      <c r="AD420" s="11">
        <v>2041</v>
      </c>
      <c r="AE420" s="19">
        <f>ROUND((Z420*'Data-CostAssumptions'!$G$5)*(1+'Data-CostAssumptions'!$G$3)^(AB420-'Data-CostAssumptions'!$G$4),-3)</f>
        <v>137000</v>
      </c>
      <c r="AF420" s="19">
        <f>ROUND((Z420)*(1+'Data-CostAssumptions'!$G$3)^(AD420-'Data-CostAssumptions'!$G$4),-3)</f>
        <v>620000</v>
      </c>
      <c r="AG420" s="170" t="str">
        <f t="shared" si="20"/>
        <v>No</v>
      </c>
    </row>
    <row r="421" spans="1:33" ht="15" customHeight="1" x14ac:dyDescent="0.2">
      <c r="A421" s="11"/>
      <c r="B421" s="11" t="s">
        <v>1211</v>
      </c>
      <c r="C421" s="13">
        <v>874</v>
      </c>
      <c r="D421" s="13" t="s">
        <v>420</v>
      </c>
      <c r="E421" s="20">
        <v>264</v>
      </c>
      <c r="F421" s="20">
        <v>191</v>
      </c>
      <c r="G421" s="20">
        <v>251</v>
      </c>
      <c r="H421" s="13" t="s">
        <v>2045</v>
      </c>
      <c r="I421" s="13" t="str">
        <f t="shared" si="18"/>
        <v>North 72nd Av (Sheridan St to Davie Rd Extension)</v>
      </c>
      <c r="J421" s="13" t="s">
        <v>29</v>
      </c>
      <c r="K421" s="13" t="str">
        <f>VLOOKUP(J421,'Data-ProjectTypes'!A$3:B$13,2,FALSE)</f>
        <v>Program</v>
      </c>
      <c r="L421" s="21" t="s">
        <v>562</v>
      </c>
      <c r="M421" s="13" t="s">
        <v>1951</v>
      </c>
      <c r="N421" s="13" t="s">
        <v>1748</v>
      </c>
      <c r="O421" s="13" t="s">
        <v>282</v>
      </c>
      <c r="P421" s="13" t="s">
        <v>282</v>
      </c>
      <c r="Q421" s="22">
        <v>0.8</v>
      </c>
      <c r="R421" s="23">
        <v>174125</v>
      </c>
      <c r="S421" s="21"/>
      <c r="T421" s="21"/>
      <c r="U421" s="21"/>
      <c r="V421" s="24"/>
      <c r="W421" s="24"/>
      <c r="X421" s="24"/>
      <c r="Y421" s="17"/>
      <c r="Z421" s="18">
        <f>ROUND(R421*'Data-CostAssumptions'!$C$3,-3)</f>
        <v>241000</v>
      </c>
      <c r="AA421" s="11">
        <f t="shared" si="19"/>
        <v>0</v>
      </c>
      <c r="AB421" s="11">
        <v>2041</v>
      </c>
      <c r="AC421" s="11">
        <v>2041</v>
      </c>
      <c r="AD421" s="11">
        <v>2041</v>
      </c>
      <c r="AE421" s="19">
        <f>ROUND((Z421*'Data-CostAssumptions'!$G$5)*(1+'Data-CostAssumptions'!$G$3)^(AB421-'Data-CostAssumptions'!$G$4),-3)</f>
        <v>136000</v>
      </c>
      <c r="AF421" s="19">
        <f>ROUND((Z421)*(1+'Data-CostAssumptions'!$G$3)^(AD421-'Data-CostAssumptions'!$G$4),-3)</f>
        <v>618000</v>
      </c>
      <c r="AG421" s="170" t="str">
        <f t="shared" si="20"/>
        <v>No</v>
      </c>
    </row>
    <row r="422" spans="1:33" ht="15" customHeight="1" x14ac:dyDescent="0.2">
      <c r="A422" s="11"/>
      <c r="B422" s="11" t="s">
        <v>1211</v>
      </c>
      <c r="C422" s="11">
        <v>12010</v>
      </c>
      <c r="D422" s="84" t="s">
        <v>292</v>
      </c>
      <c r="E422" s="14"/>
      <c r="F422" s="14"/>
      <c r="G422" s="20">
        <v>1093</v>
      </c>
      <c r="H422" s="13" t="s">
        <v>1831</v>
      </c>
      <c r="I422" s="13" t="str">
        <f t="shared" si="18"/>
        <v>Turtle Run Bl (Sample Rd to SR 7)</v>
      </c>
      <c r="J422" s="11" t="s">
        <v>29</v>
      </c>
      <c r="K422" s="13" t="str">
        <f>VLOOKUP(J422,'Data-ProjectTypes'!A$3:B$13,2,FALSE)</f>
        <v>Program</v>
      </c>
      <c r="L422" s="11" t="s">
        <v>426</v>
      </c>
      <c r="M422" s="11" t="s">
        <v>1864</v>
      </c>
      <c r="N422" s="11" t="s">
        <v>53</v>
      </c>
      <c r="O422" s="11"/>
      <c r="P422" s="11"/>
      <c r="Q422" s="15">
        <v>0.67</v>
      </c>
      <c r="R422" s="16">
        <v>170625.96395605558</v>
      </c>
      <c r="S422" s="21"/>
      <c r="T422" s="21"/>
      <c r="U422" s="21"/>
      <c r="V422" s="24"/>
      <c r="W422" s="24"/>
      <c r="X422" s="24"/>
      <c r="Y422" s="17"/>
      <c r="Z422" s="18">
        <f>ROUND(R422*'Data-CostAssumptions'!$C$3,-3)</f>
        <v>236000</v>
      </c>
      <c r="AA422" s="11">
        <f t="shared" si="19"/>
        <v>0</v>
      </c>
      <c r="AB422" s="11">
        <v>2041</v>
      </c>
      <c r="AC422" s="11">
        <v>2041</v>
      </c>
      <c r="AD422" s="11">
        <v>2041</v>
      </c>
      <c r="AE422" s="19">
        <f>ROUND((Z422*'Data-CostAssumptions'!$G$5)*(1+'Data-CostAssumptions'!$G$3)^(AB422-'Data-CostAssumptions'!$G$4),-3)</f>
        <v>133000</v>
      </c>
      <c r="AF422" s="19">
        <f>ROUND((Z422)*(1+'Data-CostAssumptions'!$G$3)^(AD422-'Data-CostAssumptions'!$G$4),-3)</f>
        <v>605000</v>
      </c>
      <c r="AG422" s="170" t="str">
        <f t="shared" si="20"/>
        <v>No</v>
      </c>
    </row>
    <row r="423" spans="1:33" ht="15" customHeight="1" x14ac:dyDescent="0.2">
      <c r="A423" s="11"/>
      <c r="B423" s="11" t="s">
        <v>1211</v>
      </c>
      <c r="C423" s="13">
        <v>885</v>
      </c>
      <c r="D423" s="13" t="s">
        <v>420</v>
      </c>
      <c r="E423" s="20">
        <v>333</v>
      </c>
      <c r="F423" s="20">
        <v>191</v>
      </c>
      <c r="G423" s="20">
        <v>262</v>
      </c>
      <c r="H423" s="13" t="s">
        <v>2798</v>
      </c>
      <c r="I423" s="13" t="str">
        <f t="shared" si="18"/>
        <v>SR 842/Broward Bl (Flamingo Rd to Commodore Dr)</v>
      </c>
      <c r="J423" s="13" t="s">
        <v>29</v>
      </c>
      <c r="K423" s="13" t="str">
        <f>VLOOKUP(J423,'Data-ProjectTypes'!A$3:B$13,2,FALSE)</f>
        <v>Program</v>
      </c>
      <c r="L423" s="21" t="s">
        <v>348</v>
      </c>
      <c r="M423" s="13" t="s">
        <v>159</v>
      </c>
      <c r="N423" s="13" t="s">
        <v>1784</v>
      </c>
      <c r="O423" s="13" t="s">
        <v>284</v>
      </c>
      <c r="P423" s="13" t="s">
        <v>284</v>
      </c>
      <c r="Q423" s="22">
        <v>0.7</v>
      </c>
      <c r="R423" s="23">
        <v>169947</v>
      </c>
      <c r="S423" s="21"/>
      <c r="T423" s="21"/>
      <c r="U423" s="21"/>
      <c r="V423" s="24"/>
      <c r="W423" s="24"/>
      <c r="X423" s="24"/>
      <c r="Y423" s="17"/>
      <c r="Z423" s="18">
        <f>ROUND(R423*'Data-CostAssumptions'!$C$3,-3)</f>
        <v>235000</v>
      </c>
      <c r="AA423" s="11">
        <f t="shared" si="19"/>
        <v>0</v>
      </c>
      <c r="AB423" s="11">
        <v>2041</v>
      </c>
      <c r="AC423" s="11">
        <v>2041</v>
      </c>
      <c r="AD423" s="11">
        <v>2041</v>
      </c>
      <c r="AE423" s="19">
        <f>ROUND((Z423*'Data-CostAssumptions'!$G$5)*(1+'Data-CostAssumptions'!$G$3)^(AB423-'Data-CostAssumptions'!$G$4),-3)</f>
        <v>133000</v>
      </c>
      <c r="AF423" s="19">
        <f>ROUND((Z423)*(1+'Data-CostAssumptions'!$G$3)^(AD423-'Data-CostAssumptions'!$G$4),-3)</f>
        <v>603000</v>
      </c>
      <c r="AG423" s="170" t="str">
        <f t="shared" si="20"/>
        <v>No</v>
      </c>
    </row>
    <row r="424" spans="1:33" ht="15" customHeight="1" x14ac:dyDescent="0.2">
      <c r="B424" s="11" t="s">
        <v>1211</v>
      </c>
      <c r="D424" s="84" t="s">
        <v>276</v>
      </c>
      <c r="E424" s="104" t="s">
        <v>1522</v>
      </c>
      <c r="G424" s="20">
        <v>1495</v>
      </c>
      <c r="H424" s="13" t="s">
        <v>2189</v>
      </c>
      <c r="I424" s="13" t="str">
        <f t="shared" si="18"/>
        <v>SW 24TH Av  (SW 24TH Av to W BROWARD Bl )</v>
      </c>
      <c r="J424" s="12" t="s">
        <v>29</v>
      </c>
      <c r="K424" s="13" t="str">
        <f>VLOOKUP(J424,'Data-ProjectTypes'!A$3:B$13,2,FALSE)</f>
        <v>Program</v>
      </c>
      <c r="L424" s="12" t="s">
        <v>1667</v>
      </c>
      <c r="M424" s="105" t="s">
        <v>2637</v>
      </c>
      <c r="N424" s="12" t="s">
        <v>2310</v>
      </c>
      <c r="Q424" s="72">
        <v>1</v>
      </c>
      <c r="R424" s="23">
        <f>ROUND(Q424*'Data-CostAssumptions'!$C$25,-1)</f>
        <v>168400</v>
      </c>
      <c r="S424" s="21" t="s">
        <v>24</v>
      </c>
      <c r="T424" s="21" t="s">
        <v>25</v>
      </c>
      <c r="U424" s="21" t="s">
        <v>24</v>
      </c>
      <c r="V424" s="24" t="s">
        <v>832</v>
      </c>
      <c r="W424" s="24"/>
      <c r="X424" s="28"/>
      <c r="Y424" s="17" t="s">
        <v>831</v>
      </c>
      <c r="Z424" s="18">
        <f>ROUND(R424*'Data-CostAssumptions'!$C$3,-3)</f>
        <v>233000</v>
      </c>
      <c r="AA424" s="11">
        <f t="shared" si="19"/>
        <v>1</v>
      </c>
      <c r="AB424" s="11">
        <v>2041</v>
      </c>
      <c r="AC424" s="11">
        <v>2041</v>
      </c>
      <c r="AD424" s="11">
        <v>2041</v>
      </c>
      <c r="AE424" s="19">
        <f>ROUND((Z424*'Data-CostAssumptions'!$G$5)*(1+'Data-CostAssumptions'!$G$3)^(AB424-'Data-CostAssumptions'!$G$4),-3)</f>
        <v>131000</v>
      </c>
      <c r="AF424" s="19">
        <f>ROUND((Z424)*(1+'Data-CostAssumptions'!$G$3)^(AD424-'Data-CostAssumptions'!$G$4),-3)</f>
        <v>597000</v>
      </c>
      <c r="AG424" s="170" t="str">
        <f t="shared" si="20"/>
        <v>No</v>
      </c>
    </row>
    <row r="425" spans="1:33" ht="15" customHeight="1" x14ac:dyDescent="0.2">
      <c r="A425" s="11"/>
      <c r="B425" s="11" t="s">
        <v>1211</v>
      </c>
      <c r="C425" s="13">
        <v>935</v>
      </c>
      <c r="D425" s="13" t="s">
        <v>420</v>
      </c>
      <c r="E425" s="20">
        <v>164</v>
      </c>
      <c r="F425" s="20">
        <v>194</v>
      </c>
      <c r="G425" s="20">
        <v>311</v>
      </c>
      <c r="H425" s="13" t="s">
        <v>2709</v>
      </c>
      <c r="I425" s="13" t="str">
        <f t="shared" si="18"/>
        <v>SR 817/University Dr (NW 44th St to Commercial Bl)</v>
      </c>
      <c r="J425" s="13" t="s">
        <v>29</v>
      </c>
      <c r="K425" s="13" t="str">
        <f>VLOOKUP(J425,'Data-ProjectTypes'!A$3:B$13,2,FALSE)</f>
        <v>Program</v>
      </c>
      <c r="L425" s="21" t="s">
        <v>348</v>
      </c>
      <c r="M425" s="13" t="s">
        <v>1189</v>
      </c>
      <c r="N425" s="13" t="s">
        <v>1813</v>
      </c>
      <c r="O425" s="13" t="s">
        <v>270</v>
      </c>
      <c r="P425" s="13" t="s">
        <v>270</v>
      </c>
      <c r="Q425" s="22">
        <v>1</v>
      </c>
      <c r="R425" s="23">
        <v>232656</v>
      </c>
      <c r="S425" s="21" t="s">
        <v>24</v>
      </c>
      <c r="T425" s="21"/>
      <c r="U425" s="21"/>
      <c r="V425" s="24"/>
      <c r="W425" s="24" t="s">
        <v>552</v>
      </c>
      <c r="X425" s="24"/>
      <c r="Y425" s="17" t="s">
        <v>538</v>
      </c>
      <c r="Z425" s="18">
        <f>ROUND(R425*'Data-CostAssumptions'!$C$4,-3)</f>
        <v>233000</v>
      </c>
      <c r="AA425" s="11">
        <f t="shared" si="19"/>
        <v>1</v>
      </c>
      <c r="AB425" s="11">
        <v>2041</v>
      </c>
      <c r="AC425" s="11">
        <v>2041</v>
      </c>
      <c r="AD425" s="11">
        <v>2041</v>
      </c>
      <c r="AE425" s="19">
        <f>ROUND((Z425*'Data-CostAssumptions'!$G$5)*(1+'Data-CostAssumptions'!$G$3)^(AB425-'Data-CostAssumptions'!$G$4),-3)</f>
        <v>131000</v>
      </c>
      <c r="AF425" s="19">
        <f>ROUND((Z425)*(1+'Data-CostAssumptions'!$G$3)^(AD425-'Data-CostAssumptions'!$G$4),-3)</f>
        <v>597000</v>
      </c>
      <c r="AG425" s="170" t="str">
        <f t="shared" si="20"/>
        <v>No</v>
      </c>
    </row>
    <row r="426" spans="1:33" ht="15" customHeight="1" x14ac:dyDescent="0.2">
      <c r="B426" s="11" t="s">
        <v>1211</v>
      </c>
      <c r="D426" s="84" t="s">
        <v>276</v>
      </c>
      <c r="E426" s="104" t="s">
        <v>1481</v>
      </c>
      <c r="G426" s="20">
        <v>1329</v>
      </c>
      <c r="H426" s="13" t="s">
        <v>2870</v>
      </c>
      <c r="I426" s="13" t="str">
        <f t="shared" si="18"/>
        <v>Atlantic Bl N (NE 19TH CT to E OAKLAND PARK Bl )</v>
      </c>
      <c r="J426" s="12" t="s">
        <v>29</v>
      </c>
      <c r="K426" s="13" t="str">
        <f>VLOOKUP(J426,'Data-ProjectTypes'!A$3:B$13,2,FALSE)</f>
        <v>Program</v>
      </c>
      <c r="L426" s="12" t="s">
        <v>1667</v>
      </c>
      <c r="M426" s="105" t="s">
        <v>1690</v>
      </c>
      <c r="N426" s="12" t="s">
        <v>2298</v>
      </c>
      <c r="Q426" s="72">
        <v>1</v>
      </c>
      <c r="R426" s="23">
        <f>ROUND(Q426*'Data-CostAssumptions'!$C$25,-1)</f>
        <v>168400</v>
      </c>
      <c r="S426" s="21" t="s">
        <v>24</v>
      </c>
      <c r="T426" s="21"/>
      <c r="U426" s="21"/>
      <c r="V426" s="24"/>
      <c r="W426" s="24"/>
      <c r="X426" s="24"/>
      <c r="Y426" s="17" t="s">
        <v>460</v>
      </c>
      <c r="Z426" s="18">
        <f>ROUND(R426*'Data-CostAssumptions'!$C$3,-3)</f>
        <v>233000</v>
      </c>
      <c r="AA426" s="11">
        <f t="shared" si="19"/>
        <v>0</v>
      </c>
      <c r="AB426" s="11">
        <v>2041</v>
      </c>
      <c r="AC426" s="11">
        <v>2041</v>
      </c>
      <c r="AD426" s="11">
        <v>2041</v>
      </c>
      <c r="AE426" s="19">
        <f>ROUND((Z426*'Data-CostAssumptions'!$G$5)*(1+'Data-CostAssumptions'!$G$3)^(AB426-'Data-CostAssumptions'!$G$4),-3)</f>
        <v>131000</v>
      </c>
      <c r="AF426" s="19">
        <f>ROUND((Z426)*(1+'Data-CostAssumptions'!$G$3)^(AD426-'Data-CostAssumptions'!$G$4),-3)</f>
        <v>597000</v>
      </c>
      <c r="AG426" s="170" t="str">
        <f t="shared" si="20"/>
        <v>No</v>
      </c>
    </row>
    <row r="427" spans="1:33" ht="15" customHeight="1" x14ac:dyDescent="0.2">
      <c r="B427" s="11" t="s">
        <v>1211</v>
      </c>
      <c r="D427" s="84" t="s">
        <v>276</v>
      </c>
      <c r="E427" s="104" t="s">
        <v>1548</v>
      </c>
      <c r="G427" s="20">
        <v>1375</v>
      </c>
      <c r="H427" s="13" t="s">
        <v>2141</v>
      </c>
      <c r="I427" s="13" t="str">
        <f t="shared" si="18"/>
        <v>NE 13TH Av  (BRICKEL DR to E SUNRISE Bl)</v>
      </c>
      <c r="J427" s="12" t="s">
        <v>29</v>
      </c>
      <c r="K427" s="13" t="str">
        <f>VLOOKUP(J427,'Data-ProjectTypes'!A$3:B$13,2,FALSE)</f>
        <v>Program</v>
      </c>
      <c r="L427" s="12" t="s">
        <v>1667</v>
      </c>
      <c r="M427" s="105" t="s">
        <v>1721</v>
      </c>
      <c r="N427" s="12" t="s">
        <v>2300</v>
      </c>
      <c r="Q427" s="72">
        <v>1</v>
      </c>
      <c r="R427" s="23">
        <f>ROUND(Q427*'Data-CostAssumptions'!$C$25,-1)</f>
        <v>168400</v>
      </c>
      <c r="S427" s="21"/>
      <c r="T427" s="21"/>
      <c r="U427" s="21"/>
      <c r="V427" s="24"/>
      <c r="W427" s="24"/>
      <c r="X427" s="24"/>
      <c r="Y427" s="17"/>
      <c r="Z427" s="18">
        <f>ROUND(R427*'Data-CostAssumptions'!$C$3,-3)</f>
        <v>233000</v>
      </c>
      <c r="AA427" s="11">
        <f t="shared" si="19"/>
        <v>0</v>
      </c>
      <c r="AB427" s="11">
        <v>2041</v>
      </c>
      <c r="AC427" s="11">
        <v>2041</v>
      </c>
      <c r="AD427" s="11">
        <v>2041</v>
      </c>
      <c r="AE427" s="19">
        <f>ROUND((Z427*'Data-CostAssumptions'!$G$5)*(1+'Data-CostAssumptions'!$G$3)^(AB427-'Data-CostAssumptions'!$G$4),-3)</f>
        <v>131000</v>
      </c>
      <c r="AF427" s="19">
        <f>ROUND((Z427)*(1+'Data-CostAssumptions'!$G$3)^(AD427-'Data-CostAssumptions'!$G$4),-3)</f>
        <v>597000</v>
      </c>
      <c r="AG427" s="170" t="str">
        <f t="shared" si="20"/>
        <v>No</v>
      </c>
    </row>
    <row r="428" spans="1:33" ht="15" customHeight="1" x14ac:dyDescent="0.2">
      <c r="B428" s="11" t="s">
        <v>1211</v>
      </c>
      <c r="D428" s="84" t="s">
        <v>276</v>
      </c>
      <c r="E428" s="104">
        <v>203</v>
      </c>
      <c r="G428" s="20">
        <v>1376</v>
      </c>
      <c r="H428" s="13" t="s">
        <v>2142</v>
      </c>
      <c r="I428" s="13" t="str">
        <f t="shared" si="18"/>
        <v>NE 14TH Av (NE 15TH Av to W CYPRESS CREEK RD)</v>
      </c>
      <c r="J428" s="12" t="s">
        <v>29</v>
      </c>
      <c r="K428" s="13" t="str">
        <f>VLOOKUP(J428,'Data-ProjectTypes'!A$3:B$13,2,FALSE)</f>
        <v>Program</v>
      </c>
      <c r="L428" s="12" t="s">
        <v>1666</v>
      </c>
      <c r="M428" s="105" t="s">
        <v>2143</v>
      </c>
      <c r="N428" s="12" t="s">
        <v>1447</v>
      </c>
      <c r="Q428" s="72">
        <v>1</v>
      </c>
      <c r="R428" s="23">
        <f>ROUND(Q428*'Data-CostAssumptions'!$C$25,-1)</f>
        <v>168400</v>
      </c>
      <c r="S428" s="21" t="s">
        <v>24</v>
      </c>
      <c r="T428" s="21" t="s">
        <v>684</v>
      </c>
      <c r="U428" s="21" t="s">
        <v>684</v>
      </c>
      <c r="V428" s="24"/>
      <c r="W428" s="24"/>
      <c r="X428" s="24"/>
      <c r="Y428" s="17" t="s">
        <v>685</v>
      </c>
      <c r="Z428" s="18">
        <f>ROUND(R428*'Data-CostAssumptions'!$C$3,-3)</f>
        <v>233000</v>
      </c>
      <c r="AA428" s="11">
        <f t="shared" si="19"/>
        <v>0</v>
      </c>
      <c r="AB428" s="11">
        <v>2041</v>
      </c>
      <c r="AC428" s="11">
        <v>2041</v>
      </c>
      <c r="AD428" s="11">
        <v>2041</v>
      </c>
      <c r="AE428" s="19">
        <f>ROUND((Z428*'Data-CostAssumptions'!$G$5)*(1+'Data-CostAssumptions'!$G$3)^(AB428-'Data-CostAssumptions'!$G$4),-3)</f>
        <v>131000</v>
      </c>
      <c r="AF428" s="19">
        <f>ROUND((Z428)*(1+'Data-CostAssumptions'!$G$3)^(AD428-'Data-CostAssumptions'!$G$4),-3)</f>
        <v>597000</v>
      </c>
      <c r="AG428" s="170" t="str">
        <f t="shared" si="20"/>
        <v>No</v>
      </c>
    </row>
    <row r="429" spans="1:33" ht="15" customHeight="1" x14ac:dyDescent="0.2">
      <c r="B429" s="11" t="s">
        <v>1211</v>
      </c>
      <c r="D429" s="84" t="s">
        <v>276</v>
      </c>
      <c r="E429" s="104" t="s">
        <v>1473</v>
      </c>
      <c r="G429" s="20">
        <v>1379</v>
      </c>
      <c r="H429" s="13" t="s">
        <v>2144</v>
      </c>
      <c r="I429" s="13" t="str">
        <f t="shared" si="18"/>
        <v>NE 16TH Av  (COMMERCIAL Bl to W CYPRESS CREEK RD)</v>
      </c>
      <c r="J429" s="12" t="s">
        <v>29</v>
      </c>
      <c r="K429" s="13" t="str">
        <f>VLOOKUP(J429,'Data-ProjectTypes'!A$3:B$13,2,FALSE)</f>
        <v>Program</v>
      </c>
      <c r="L429" s="12" t="s">
        <v>1667</v>
      </c>
      <c r="M429" s="105" t="s">
        <v>1990</v>
      </c>
      <c r="N429" s="12" t="s">
        <v>1447</v>
      </c>
      <c r="Q429" s="72">
        <v>1</v>
      </c>
      <c r="R429" s="23">
        <f>ROUND(Q429*'Data-CostAssumptions'!$C$25,-1)</f>
        <v>168400</v>
      </c>
      <c r="S429" s="21"/>
      <c r="T429" s="21"/>
      <c r="U429" s="21"/>
      <c r="V429" s="24"/>
      <c r="W429" s="24"/>
      <c r="X429" s="24"/>
      <c r="Y429" s="17"/>
      <c r="Z429" s="18">
        <f>ROUND(R429*'Data-CostAssumptions'!$C$3,-3)</f>
        <v>233000</v>
      </c>
      <c r="AA429" s="11">
        <f t="shared" si="19"/>
        <v>0</v>
      </c>
      <c r="AB429" s="11">
        <v>2041</v>
      </c>
      <c r="AC429" s="11">
        <v>2041</v>
      </c>
      <c r="AD429" s="11">
        <v>2041</v>
      </c>
      <c r="AE429" s="19">
        <f>ROUND((Z429*'Data-CostAssumptions'!$G$5)*(1+'Data-CostAssumptions'!$G$3)^(AB429-'Data-CostAssumptions'!$G$4),-3)</f>
        <v>131000</v>
      </c>
      <c r="AF429" s="19">
        <f>ROUND((Z429)*(1+'Data-CostAssumptions'!$G$3)^(AD429-'Data-CostAssumptions'!$G$4),-3)</f>
        <v>597000</v>
      </c>
      <c r="AG429" s="170" t="str">
        <f t="shared" si="20"/>
        <v>No</v>
      </c>
    </row>
    <row r="430" spans="1:33" ht="15" customHeight="1" x14ac:dyDescent="0.2">
      <c r="B430" s="11" t="s">
        <v>1211</v>
      </c>
      <c r="D430" s="84" t="s">
        <v>276</v>
      </c>
      <c r="E430" s="104">
        <v>56</v>
      </c>
      <c r="G430" s="20">
        <v>1415</v>
      </c>
      <c r="H430" s="13" t="s">
        <v>2164</v>
      </c>
      <c r="I430" s="13" t="str">
        <f t="shared" si="18"/>
        <v>NW 21ST Av (PROSPECT RD to COMMERCIAL Bl)</v>
      </c>
      <c r="J430" s="12" t="s">
        <v>29</v>
      </c>
      <c r="K430" s="13" t="str">
        <f>VLOOKUP(J430,'Data-ProjectTypes'!A$3:B$13,2,FALSE)</f>
        <v>Program</v>
      </c>
      <c r="L430" s="12" t="s">
        <v>1349</v>
      </c>
      <c r="M430" s="105" t="s">
        <v>1242</v>
      </c>
      <c r="N430" s="12" t="s">
        <v>1990</v>
      </c>
      <c r="Q430" s="72">
        <v>0.3</v>
      </c>
      <c r="R430" s="23">
        <v>168300</v>
      </c>
      <c r="S430" s="21" t="s">
        <v>24</v>
      </c>
      <c r="T430" s="21" t="s">
        <v>25</v>
      </c>
      <c r="U430" s="21"/>
      <c r="V430" s="24"/>
      <c r="W430" s="24" t="s">
        <v>512</v>
      </c>
      <c r="X430" s="24"/>
      <c r="Y430" s="17" t="s">
        <v>297</v>
      </c>
      <c r="Z430" s="18">
        <f>ROUND(R430*'Data-CostAssumptions'!$C$3,-3)</f>
        <v>233000</v>
      </c>
      <c r="AA430" s="11">
        <f t="shared" si="19"/>
        <v>1</v>
      </c>
      <c r="AB430" s="11">
        <v>2041</v>
      </c>
      <c r="AC430" s="11">
        <v>2041</v>
      </c>
      <c r="AD430" s="11">
        <v>2041</v>
      </c>
      <c r="AE430" s="19">
        <f>ROUND((Z430*'Data-CostAssumptions'!$G$5)*(1+'Data-CostAssumptions'!$G$3)^(AB430-'Data-CostAssumptions'!$G$4),-3)</f>
        <v>131000</v>
      </c>
      <c r="AF430" s="19">
        <f>ROUND((Z430)*(1+'Data-CostAssumptions'!$G$3)^(AD430-'Data-CostAssumptions'!$G$4),-3)</f>
        <v>597000</v>
      </c>
      <c r="AG430" s="170" t="str">
        <f t="shared" si="20"/>
        <v>No</v>
      </c>
    </row>
    <row r="431" spans="1:33" ht="15" customHeight="1" x14ac:dyDescent="0.2">
      <c r="B431" s="11" t="s">
        <v>1211</v>
      </c>
      <c r="D431" s="84" t="s">
        <v>276</v>
      </c>
      <c r="E431" s="104" t="s">
        <v>1511</v>
      </c>
      <c r="G431" s="20">
        <v>1449</v>
      </c>
      <c r="H431" s="13" t="s">
        <v>2176</v>
      </c>
      <c r="I431" s="13" t="str">
        <f t="shared" si="18"/>
        <v>SE 15TH Av  (SW 32ND CT  to SW 20TH ST )</v>
      </c>
      <c r="J431" s="12" t="s">
        <v>29</v>
      </c>
      <c r="K431" s="13" t="str">
        <f>VLOOKUP(J431,'Data-ProjectTypes'!A$3:B$13,2,FALSE)</f>
        <v>Program</v>
      </c>
      <c r="L431" s="12" t="s">
        <v>1667</v>
      </c>
      <c r="M431" s="105" t="s">
        <v>1709</v>
      </c>
      <c r="N431" s="12" t="s">
        <v>1596</v>
      </c>
      <c r="Q431" s="72">
        <v>1</v>
      </c>
      <c r="R431" s="23">
        <f>ROUND(Q431*'Data-CostAssumptions'!$C$25,-1)</f>
        <v>168400</v>
      </c>
      <c r="S431" s="21"/>
      <c r="T431" s="21"/>
      <c r="U431" s="21"/>
      <c r="V431" s="24"/>
      <c r="W431" s="24"/>
      <c r="X431" s="24"/>
      <c r="Y431" s="17"/>
      <c r="Z431" s="18">
        <f>ROUND(R431*'Data-CostAssumptions'!$C$3,-3)</f>
        <v>233000</v>
      </c>
      <c r="AA431" s="11">
        <f t="shared" si="19"/>
        <v>0</v>
      </c>
      <c r="AB431" s="11">
        <v>2041</v>
      </c>
      <c r="AC431" s="11">
        <v>2041</v>
      </c>
      <c r="AD431" s="11">
        <v>2041</v>
      </c>
      <c r="AE431" s="19">
        <f>ROUND((Z431*'Data-CostAssumptions'!$G$5)*(1+'Data-CostAssumptions'!$G$3)^(AB431-'Data-CostAssumptions'!$G$4),-3)</f>
        <v>131000</v>
      </c>
      <c r="AF431" s="19">
        <f>ROUND((Z431)*(1+'Data-CostAssumptions'!$G$3)^(AD431-'Data-CostAssumptions'!$G$4),-3)</f>
        <v>597000</v>
      </c>
      <c r="AG431" s="170" t="str">
        <f t="shared" si="20"/>
        <v>No</v>
      </c>
    </row>
    <row r="432" spans="1:33" ht="15" customHeight="1" x14ac:dyDescent="0.2">
      <c r="B432" s="11" t="s">
        <v>1211</v>
      </c>
      <c r="D432" s="84" t="s">
        <v>276</v>
      </c>
      <c r="E432" s="104" t="s">
        <v>1515</v>
      </c>
      <c r="G432" s="20">
        <v>1488</v>
      </c>
      <c r="H432" s="13" t="s">
        <v>1597</v>
      </c>
      <c r="I432" s="13" t="str">
        <f t="shared" si="18"/>
        <v>SW 16TH ST  (SW 31ST Av  to SR 7)</v>
      </c>
      <c r="J432" s="12" t="s">
        <v>29</v>
      </c>
      <c r="K432" s="13" t="str">
        <f>VLOOKUP(J432,'Data-ProjectTypes'!A$3:B$13,2,FALSE)</f>
        <v>Program</v>
      </c>
      <c r="L432" s="12" t="s">
        <v>1667</v>
      </c>
      <c r="M432" s="105" t="s">
        <v>2610</v>
      </c>
      <c r="N432" s="12" t="s">
        <v>53</v>
      </c>
      <c r="Q432" s="72">
        <v>1</v>
      </c>
      <c r="R432" s="23">
        <f>ROUND(Q432*'Data-CostAssumptions'!$C$25,-1)</f>
        <v>168400</v>
      </c>
      <c r="S432" s="21"/>
      <c r="T432" s="21"/>
      <c r="U432" s="21"/>
      <c r="V432" s="24"/>
      <c r="W432" s="24"/>
      <c r="X432" s="24"/>
      <c r="Y432" s="17"/>
      <c r="Z432" s="18">
        <f>ROUND(R432*'Data-CostAssumptions'!$C$3,-3)</f>
        <v>233000</v>
      </c>
      <c r="AA432" s="11">
        <f t="shared" si="19"/>
        <v>0</v>
      </c>
      <c r="AB432" s="11">
        <v>2041</v>
      </c>
      <c r="AC432" s="11">
        <v>2041</v>
      </c>
      <c r="AD432" s="11">
        <v>2041</v>
      </c>
      <c r="AE432" s="19">
        <f>ROUND((Z432*'Data-CostAssumptions'!$G$5)*(1+'Data-CostAssumptions'!$G$3)^(AB432-'Data-CostAssumptions'!$G$4),-3)</f>
        <v>131000</v>
      </c>
      <c r="AF432" s="19">
        <f>ROUND((Z432)*(1+'Data-CostAssumptions'!$G$3)^(AD432-'Data-CostAssumptions'!$G$4),-3)</f>
        <v>597000</v>
      </c>
      <c r="AG432" s="170" t="str">
        <f t="shared" si="20"/>
        <v>No</v>
      </c>
    </row>
    <row r="433" spans="1:33" ht="15" customHeight="1" x14ac:dyDescent="0.2">
      <c r="A433" s="11"/>
      <c r="B433" s="11" t="s">
        <v>1211</v>
      </c>
      <c r="C433" s="13">
        <v>715</v>
      </c>
      <c r="D433" s="13" t="s">
        <v>420</v>
      </c>
      <c r="E433" s="20">
        <v>190</v>
      </c>
      <c r="F433" s="20">
        <v>182</v>
      </c>
      <c r="G433" s="20">
        <v>93</v>
      </c>
      <c r="H433" s="13" t="s">
        <v>728</v>
      </c>
      <c r="I433" s="13" t="str">
        <f t="shared" si="18"/>
        <v>Dixie Hwy (Sheridan St to US 1/Federal Hwy)</v>
      </c>
      <c r="J433" s="13" t="s">
        <v>29</v>
      </c>
      <c r="K433" s="13" t="str">
        <f>VLOOKUP(J433,'Data-ProjectTypes'!A$3:B$13,2,FALSE)</f>
        <v>Program</v>
      </c>
      <c r="L433" s="21" t="s">
        <v>348</v>
      </c>
      <c r="M433" s="13" t="s">
        <v>1951</v>
      </c>
      <c r="N433" s="13" t="s">
        <v>2594</v>
      </c>
      <c r="O433" s="13" t="s">
        <v>273</v>
      </c>
      <c r="P433" s="13" t="s">
        <v>273</v>
      </c>
      <c r="Q433" s="22">
        <v>0.7</v>
      </c>
      <c r="R433" s="23">
        <v>165826</v>
      </c>
      <c r="S433" s="21" t="s">
        <v>24</v>
      </c>
      <c r="T433" s="21"/>
      <c r="U433" s="21"/>
      <c r="V433" s="24"/>
      <c r="W433" s="31" t="s">
        <v>746</v>
      </c>
      <c r="X433" s="31" t="s">
        <v>744</v>
      </c>
      <c r="Y433" s="17" t="s">
        <v>742</v>
      </c>
      <c r="Z433" s="18">
        <f>ROUND(R433*'Data-CostAssumptions'!$C$3,-3)</f>
        <v>230000</v>
      </c>
      <c r="AA433" s="11">
        <f t="shared" si="19"/>
        <v>1</v>
      </c>
      <c r="AB433" s="11">
        <v>2041</v>
      </c>
      <c r="AC433" s="11">
        <v>2041</v>
      </c>
      <c r="AD433" s="11">
        <v>2041</v>
      </c>
      <c r="AE433" s="19">
        <f>ROUND((Z433*'Data-CostAssumptions'!$G$5)*(1+'Data-CostAssumptions'!$G$3)^(AB433-'Data-CostAssumptions'!$G$4),-3)</f>
        <v>130000</v>
      </c>
      <c r="AF433" s="19">
        <f>ROUND((Z433)*(1+'Data-CostAssumptions'!$G$3)^(AD433-'Data-CostAssumptions'!$G$4),-3)</f>
        <v>590000</v>
      </c>
      <c r="AG433" s="170" t="str">
        <f t="shared" si="20"/>
        <v>No</v>
      </c>
    </row>
    <row r="434" spans="1:33" ht="15" customHeight="1" x14ac:dyDescent="0.2">
      <c r="A434" s="11"/>
      <c r="B434" s="11" t="s">
        <v>1211</v>
      </c>
      <c r="C434" s="13">
        <v>922</v>
      </c>
      <c r="D434" s="13" t="s">
        <v>420</v>
      </c>
      <c r="E434" s="20">
        <v>305</v>
      </c>
      <c r="F434" s="20">
        <v>193</v>
      </c>
      <c r="G434" s="20">
        <v>298</v>
      </c>
      <c r="H434" s="13" t="s">
        <v>2799</v>
      </c>
      <c r="I434" s="13" t="str">
        <f t="shared" si="18"/>
        <v>SR 845/Powerline Rd (Hillsboro Bl to North County Line Rd)</v>
      </c>
      <c r="J434" s="13" t="s">
        <v>29</v>
      </c>
      <c r="K434" s="13" t="str">
        <f>VLOOKUP(J434,'Data-ProjectTypes'!A$3:B$13,2,FALSE)</f>
        <v>Program</v>
      </c>
      <c r="L434" s="21" t="s">
        <v>348</v>
      </c>
      <c r="M434" s="13" t="s">
        <v>1819</v>
      </c>
      <c r="N434" s="13" t="s">
        <v>2444</v>
      </c>
      <c r="O434" s="13" t="s">
        <v>270</v>
      </c>
      <c r="P434" s="13" t="s">
        <v>270</v>
      </c>
      <c r="Q434" s="22">
        <v>0.7</v>
      </c>
      <c r="R434" s="23">
        <v>166014</v>
      </c>
      <c r="S434" s="21"/>
      <c r="T434" s="21"/>
      <c r="U434" s="21"/>
      <c r="V434" s="24"/>
      <c r="W434" s="24"/>
      <c r="X434" s="24"/>
      <c r="Y434" s="17"/>
      <c r="Z434" s="18">
        <f>ROUND(R434*'Data-CostAssumptions'!$C$3,-3)</f>
        <v>230000</v>
      </c>
      <c r="AA434" s="11">
        <f t="shared" si="19"/>
        <v>0</v>
      </c>
      <c r="AB434" s="11">
        <v>2041</v>
      </c>
      <c r="AC434" s="11">
        <v>2041</v>
      </c>
      <c r="AD434" s="11">
        <v>2041</v>
      </c>
      <c r="AE434" s="19">
        <f>ROUND((Z434*'Data-CostAssumptions'!$G$5)*(1+'Data-CostAssumptions'!$G$3)^(AB434-'Data-CostAssumptions'!$G$4),-3)</f>
        <v>130000</v>
      </c>
      <c r="AF434" s="19">
        <f>ROUND((Z434)*(1+'Data-CostAssumptions'!$G$3)^(AD434-'Data-CostAssumptions'!$G$4),-3)</f>
        <v>590000</v>
      </c>
      <c r="AG434" s="170" t="str">
        <f t="shared" si="20"/>
        <v>No</v>
      </c>
    </row>
    <row r="435" spans="1:33" ht="15" customHeight="1" x14ac:dyDescent="0.2">
      <c r="A435" s="11"/>
      <c r="B435" s="11" t="s">
        <v>1211</v>
      </c>
      <c r="C435" s="13">
        <v>635</v>
      </c>
      <c r="D435" s="13" t="s">
        <v>420</v>
      </c>
      <c r="E435" s="20">
        <v>127</v>
      </c>
      <c r="F435" s="20">
        <v>177</v>
      </c>
      <c r="G435" s="20">
        <v>16</v>
      </c>
      <c r="H435" s="13" t="s">
        <v>2014</v>
      </c>
      <c r="I435" s="13" t="str">
        <f t="shared" si="18"/>
        <v>Andrews Av (Las Olas Bl to NE 6th St)</v>
      </c>
      <c r="J435" s="13" t="s">
        <v>29</v>
      </c>
      <c r="K435" s="13" t="str">
        <f>VLOOKUP(J435,'Data-ProjectTypes'!A$3:B$13,2,FALSE)</f>
        <v>Program</v>
      </c>
      <c r="L435" s="21" t="s">
        <v>348</v>
      </c>
      <c r="M435" s="13" t="s">
        <v>1823</v>
      </c>
      <c r="N435" s="13" t="s">
        <v>1902</v>
      </c>
      <c r="O435" s="13" t="s">
        <v>273</v>
      </c>
      <c r="P435" s="13" t="s">
        <v>273</v>
      </c>
      <c r="Q435" s="22">
        <v>0.7</v>
      </c>
      <c r="R435" s="23">
        <v>164121</v>
      </c>
      <c r="S435" s="21"/>
      <c r="T435" s="21"/>
      <c r="U435" s="21"/>
      <c r="V435" s="24"/>
      <c r="W435" s="24"/>
      <c r="X435" s="24"/>
      <c r="Y435" s="17"/>
      <c r="Z435" s="18">
        <f>ROUND(R435*'Data-CostAssumptions'!$C$3,-3)</f>
        <v>227000</v>
      </c>
      <c r="AA435" s="11">
        <f t="shared" si="19"/>
        <v>0</v>
      </c>
      <c r="AB435" s="11">
        <v>2041</v>
      </c>
      <c r="AC435" s="11">
        <v>2041</v>
      </c>
      <c r="AD435" s="11">
        <v>2041</v>
      </c>
      <c r="AE435" s="19">
        <f>ROUND((Z435*'Data-CostAssumptions'!$G$5)*(1+'Data-CostAssumptions'!$G$3)^(AB435-'Data-CostAssumptions'!$G$4),-3)</f>
        <v>128000</v>
      </c>
      <c r="AF435" s="19">
        <f>ROUND((Z435)*(1+'Data-CostAssumptions'!$G$3)^(AD435-'Data-CostAssumptions'!$G$4),-3)</f>
        <v>582000</v>
      </c>
      <c r="AG435" s="170" t="str">
        <f t="shared" si="20"/>
        <v>No</v>
      </c>
    </row>
    <row r="436" spans="1:33" ht="15" customHeight="1" x14ac:dyDescent="0.2">
      <c r="A436" s="11"/>
      <c r="B436" s="11" t="s">
        <v>1211</v>
      </c>
      <c r="C436" s="13">
        <v>921</v>
      </c>
      <c r="D436" s="13" t="s">
        <v>420</v>
      </c>
      <c r="E436" s="20">
        <v>304</v>
      </c>
      <c r="F436" s="20">
        <v>193</v>
      </c>
      <c r="G436" s="20">
        <v>297</v>
      </c>
      <c r="H436" s="13" t="s">
        <v>57</v>
      </c>
      <c r="I436" s="13" t="str">
        <f t="shared" si="18"/>
        <v>SR 7/US 441 (North County Line to Hillsboro Bl)</v>
      </c>
      <c r="J436" s="13" t="s">
        <v>29</v>
      </c>
      <c r="K436" s="13" t="str">
        <f>VLOOKUP(J436,'Data-ProjectTypes'!A$3:B$13,2,FALSE)</f>
        <v>Program</v>
      </c>
      <c r="L436" s="21" t="s">
        <v>348</v>
      </c>
      <c r="M436" s="13" t="s">
        <v>44</v>
      </c>
      <c r="N436" s="13" t="s">
        <v>1819</v>
      </c>
      <c r="O436" s="13" t="s">
        <v>270</v>
      </c>
      <c r="P436" s="13" t="s">
        <v>270</v>
      </c>
      <c r="Q436" s="22">
        <v>0.7</v>
      </c>
      <c r="R436" s="23">
        <v>164280</v>
      </c>
      <c r="S436" s="21" t="s">
        <v>24</v>
      </c>
      <c r="T436" s="21" t="s">
        <v>25</v>
      </c>
      <c r="U436" s="21"/>
      <c r="V436" s="24"/>
      <c r="W436" s="24"/>
      <c r="X436" s="24"/>
      <c r="Y436" s="17" t="s">
        <v>469</v>
      </c>
      <c r="Z436" s="18">
        <f>ROUND(R436*'Data-CostAssumptions'!$C$3,-3)</f>
        <v>227000</v>
      </c>
      <c r="AA436" s="11">
        <f t="shared" si="19"/>
        <v>0</v>
      </c>
      <c r="AB436" s="11">
        <v>2041</v>
      </c>
      <c r="AC436" s="11">
        <v>2041</v>
      </c>
      <c r="AD436" s="11">
        <v>2041</v>
      </c>
      <c r="AE436" s="19">
        <f>ROUND((Z436*'Data-CostAssumptions'!$G$5)*(1+'Data-CostAssumptions'!$G$3)^(AB436-'Data-CostAssumptions'!$G$4),-3)</f>
        <v>128000</v>
      </c>
      <c r="AF436" s="19">
        <f>ROUND((Z436)*(1+'Data-CostAssumptions'!$G$3)^(AD436-'Data-CostAssumptions'!$G$4),-3)</f>
        <v>582000</v>
      </c>
      <c r="AG436" s="170" t="str">
        <f t="shared" si="20"/>
        <v>No</v>
      </c>
    </row>
    <row r="437" spans="1:33" ht="15" customHeight="1" x14ac:dyDescent="0.2">
      <c r="A437" s="11"/>
      <c r="B437" s="11" t="s">
        <v>1211</v>
      </c>
      <c r="C437" s="13">
        <v>880</v>
      </c>
      <c r="D437" s="13" t="s">
        <v>420</v>
      </c>
      <c r="E437" s="20">
        <v>308</v>
      </c>
      <c r="F437" s="20">
        <v>191</v>
      </c>
      <c r="G437" s="20">
        <v>257</v>
      </c>
      <c r="H437" s="13" t="s">
        <v>2209</v>
      </c>
      <c r="I437" s="13" t="str">
        <f t="shared" si="18"/>
        <v>SR 5/ US 1 (North County Line to Hillsboro Bl)</v>
      </c>
      <c r="J437" s="13" t="s">
        <v>29</v>
      </c>
      <c r="K437" s="13" t="str">
        <f>VLOOKUP(J437,'Data-ProjectTypes'!A$3:B$13,2,FALSE)</f>
        <v>Program</v>
      </c>
      <c r="L437" s="21" t="s">
        <v>348</v>
      </c>
      <c r="M437" s="13" t="s">
        <v>44</v>
      </c>
      <c r="N437" s="13" t="s">
        <v>1819</v>
      </c>
      <c r="O437" s="13" t="s">
        <v>270</v>
      </c>
      <c r="P437" s="13" t="s">
        <v>270</v>
      </c>
      <c r="Q437" s="22">
        <v>0.7</v>
      </c>
      <c r="R437" s="23">
        <v>163157</v>
      </c>
      <c r="S437" s="21" t="s">
        <v>1122</v>
      </c>
      <c r="T437" s="29" t="s">
        <v>1125</v>
      </c>
      <c r="U437" s="29" t="s">
        <v>1125</v>
      </c>
      <c r="V437" s="24"/>
      <c r="W437" s="24" t="s">
        <v>1107</v>
      </c>
      <c r="X437" s="28" t="s">
        <v>1124</v>
      </c>
      <c r="Y437" s="17" t="s">
        <v>1110</v>
      </c>
      <c r="Z437" s="18">
        <f>ROUND(R437*'Data-CostAssumptions'!$C$3,-3)</f>
        <v>226000</v>
      </c>
      <c r="AA437" s="11">
        <f t="shared" si="19"/>
        <v>1</v>
      </c>
      <c r="AB437" s="11">
        <v>2041</v>
      </c>
      <c r="AC437" s="11">
        <v>2041</v>
      </c>
      <c r="AD437" s="11">
        <v>2041</v>
      </c>
      <c r="AE437" s="19">
        <f>ROUND((Z437*'Data-CostAssumptions'!$G$5)*(1+'Data-CostAssumptions'!$G$3)^(AB437-'Data-CostAssumptions'!$G$4),-3)</f>
        <v>127000</v>
      </c>
      <c r="AF437" s="19">
        <f>ROUND((Z437)*(1+'Data-CostAssumptions'!$G$3)^(AD437-'Data-CostAssumptions'!$G$4),-3)</f>
        <v>579000</v>
      </c>
      <c r="AG437" s="170" t="str">
        <f t="shared" si="20"/>
        <v>No</v>
      </c>
    </row>
    <row r="438" spans="1:33" ht="15" customHeight="1" x14ac:dyDescent="0.2">
      <c r="A438" s="11"/>
      <c r="B438" s="11" t="s">
        <v>1211</v>
      </c>
      <c r="C438" s="13">
        <v>732</v>
      </c>
      <c r="D438" s="13" t="s">
        <v>420</v>
      </c>
      <c r="E438" s="20">
        <v>326</v>
      </c>
      <c r="F438" s="20">
        <v>183</v>
      </c>
      <c r="G438" s="20">
        <v>110</v>
      </c>
      <c r="H438" s="13" t="s">
        <v>1752</v>
      </c>
      <c r="I438" s="13" t="str">
        <f t="shared" si="18"/>
        <v>Hiatus Rd (Red Rd to Pembroke Rd)</v>
      </c>
      <c r="J438" s="13" t="s">
        <v>29</v>
      </c>
      <c r="K438" s="13" t="str">
        <f>VLOOKUP(J438,'Data-ProjectTypes'!A$3:B$13,2,FALSE)</f>
        <v>Program</v>
      </c>
      <c r="L438" s="21" t="s">
        <v>689</v>
      </c>
      <c r="M438" s="13" t="s">
        <v>156</v>
      </c>
      <c r="N438" s="13" t="s">
        <v>1760</v>
      </c>
      <c r="O438" s="13" t="s">
        <v>274</v>
      </c>
      <c r="P438" s="13" t="s">
        <v>274</v>
      </c>
      <c r="Q438" s="22">
        <v>0.7</v>
      </c>
      <c r="R438" s="23">
        <v>161595</v>
      </c>
      <c r="S438" s="21"/>
      <c r="T438" s="21"/>
      <c r="U438" s="21"/>
      <c r="V438" s="24"/>
      <c r="W438" s="24"/>
      <c r="X438" s="24"/>
      <c r="Y438" s="17"/>
      <c r="Z438" s="18">
        <f>ROUND(R438*'Data-CostAssumptions'!$C$3,-3)</f>
        <v>224000</v>
      </c>
      <c r="AA438" s="11">
        <f t="shared" si="19"/>
        <v>0</v>
      </c>
      <c r="AB438" s="11">
        <v>2041</v>
      </c>
      <c r="AC438" s="11">
        <v>2041</v>
      </c>
      <c r="AD438" s="11">
        <v>2041</v>
      </c>
      <c r="AE438" s="19">
        <f>ROUND((Z438*'Data-CostAssumptions'!$G$5)*(1+'Data-CostAssumptions'!$G$3)^(AB438-'Data-CostAssumptions'!$G$4),-3)</f>
        <v>126000</v>
      </c>
      <c r="AF438" s="19">
        <f>ROUND((Z438)*(1+'Data-CostAssumptions'!$G$3)^(AD438-'Data-CostAssumptions'!$G$4),-3)</f>
        <v>574000</v>
      </c>
      <c r="AG438" s="170" t="str">
        <f t="shared" si="20"/>
        <v>No</v>
      </c>
    </row>
    <row r="439" spans="1:33" ht="15" customHeight="1" x14ac:dyDescent="0.2">
      <c r="A439" s="11"/>
      <c r="B439" s="11" t="s">
        <v>1211</v>
      </c>
      <c r="C439" s="13">
        <v>950</v>
      </c>
      <c r="D439" s="13" t="s">
        <v>420</v>
      </c>
      <c r="E439" s="20">
        <v>25</v>
      </c>
      <c r="F439" s="20">
        <v>195</v>
      </c>
      <c r="G439" s="20">
        <v>325</v>
      </c>
      <c r="H439" s="13" t="s">
        <v>1836</v>
      </c>
      <c r="I439" s="13" t="str">
        <f t="shared" si="18"/>
        <v>Copans Rd (Andrews Av Extension to SR 845 / Powerline Rd)</v>
      </c>
      <c r="J439" s="13" t="s">
        <v>29</v>
      </c>
      <c r="K439" s="13" t="str">
        <f>VLOOKUP(J439,'Data-ProjectTypes'!A$3:B$13,2,FALSE)</f>
        <v>Program</v>
      </c>
      <c r="L439" s="21" t="s">
        <v>348</v>
      </c>
      <c r="M439" s="13" t="s">
        <v>2015</v>
      </c>
      <c r="N439" s="13" t="s">
        <v>2210</v>
      </c>
      <c r="O439" s="13" t="s">
        <v>273</v>
      </c>
      <c r="P439" s="13" t="s">
        <v>273</v>
      </c>
      <c r="Q439" s="22">
        <v>0.7</v>
      </c>
      <c r="R439" s="23">
        <v>161906</v>
      </c>
      <c r="S439" s="21"/>
      <c r="T439" s="21"/>
      <c r="U439" s="21"/>
      <c r="V439" s="24"/>
      <c r="W439" s="24"/>
      <c r="X439" s="24"/>
      <c r="Y439" s="17"/>
      <c r="Z439" s="18">
        <f>ROUND(R439*'Data-CostAssumptions'!$C$3,-3)</f>
        <v>224000</v>
      </c>
      <c r="AA439" s="11">
        <f t="shared" si="19"/>
        <v>0</v>
      </c>
      <c r="AB439" s="11">
        <v>2041</v>
      </c>
      <c r="AC439" s="11">
        <v>2041</v>
      </c>
      <c r="AD439" s="11">
        <v>2041</v>
      </c>
      <c r="AE439" s="19">
        <f>ROUND((Z439*'Data-CostAssumptions'!$G$5)*(1+'Data-CostAssumptions'!$G$3)^(AB439-'Data-CostAssumptions'!$G$4),-3)</f>
        <v>126000</v>
      </c>
      <c r="AF439" s="19">
        <f>ROUND((Z439)*(1+'Data-CostAssumptions'!$G$3)^(AD439-'Data-CostAssumptions'!$G$4),-3)</f>
        <v>574000</v>
      </c>
      <c r="AG439" s="170" t="str">
        <f t="shared" si="20"/>
        <v>No</v>
      </c>
    </row>
    <row r="440" spans="1:33" ht="15" customHeight="1" x14ac:dyDescent="0.2">
      <c r="A440" s="11"/>
      <c r="B440" s="11" t="s">
        <v>1211</v>
      </c>
      <c r="C440" s="13">
        <v>727</v>
      </c>
      <c r="D440" s="13" t="s">
        <v>420</v>
      </c>
      <c r="E440" s="20">
        <v>233</v>
      </c>
      <c r="F440" s="20">
        <v>183</v>
      </c>
      <c r="G440" s="20">
        <v>105</v>
      </c>
      <c r="H440" s="13" t="s">
        <v>2021</v>
      </c>
      <c r="I440" s="13" t="str">
        <f t="shared" si="18"/>
        <v>NE 11th Av (Atlantic Bl to NE 10th St)</v>
      </c>
      <c r="J440" s="13" t="s">
        <v>29</v>
      </c>
      <c r="K440" s="13" t="str">
        <f>VLOOKUP(J440,'Data-ProjectTypes'!A$3:B$13,2,FALSE)</f>
        <v>Program</v>
      </c>
      <c r="L440" s="21" t="s">
        <v>348</v>
      </c>
      <c r="M440" s="13" t="s">
        <v>1809</v>
      </c>
      <c r="N440" s="13" t="s">
        <v>1882</v>
      </c>
      <c r="O440" s="13" t="s">
        <v>275</v>
      </c>
      <c r="P440" s="13" t="s">
        <v>275</v>
      </c>
      <c r="Q440" s="22">
        <v>0.7</v>
      </c>
      <c r="R440" s="23">
        <v>155600</v>
      </c>
      <c r="S440" s="21"/>
      <c r="T440" s="21"/>
      <c r="U440" s="21"/>
      <c r="V440" s="24"/>
      <c r="W440" s="24"/>
      <c r="X440" s="24"/>
      <c r="Y440" s="17"/>
      <c r="Z440" s="18">
        <f>ROUND(R440*'Data-CostAssumptions'!$C$3,-3)</f>
        <v>215000</v>
      </c>
      <c r="AA440" s="11">
        <f t="shared" si="19"/>
        <v>0</v>
      </c>
      <c r="AB440" s="11">
        <v>2041</v>
      </c>
      <c r="AC440" s="11">
        <v>2041</v>
      </c>
      <c r="AD440" s="11">
        <v>2041</v>
      </c>
      <c r="AE440" s="19">
        <f>ROUND((Z440*'Data-CostAssumptions'!$G$5)*(1+'Data-CostAssumptions'!$G$3)^(AB440-'Data-CostAssumptions'!$G$4),-3)</f>
        <v>121000</v>
      </c>
      <c r="AF440" s="19">
        <f>ROUND((Z440)*(1+'Data-CostAssumptions'!$G$3)^(AD440-'Data-CostAssumptions'!$G$4),-3)</f>
        <v>551000</v>
      </c>
      <c r="AG440" s="170" t="str">
        <f t="shared" si="20"/>
        <v>No</v>
      </c>
    </row>
    <row r="441" spans="1:33" ht="15" customHeight="1" x14ac:dyDescent="0.2">
      <c r="A441" s="11"/>
      <c r="B441" s="11" t="s">
        <v>1211</v>
      </c>
      <c r="C441" s="13">
        <v>881</v>
      </c>
      <c r="D441" s="13" t="s">
        <v>420</v>
      </c>
      <c r="E441" s="20">
        <v>315</v>
      </c>
      <c r="F441" s="20">
        <v>191</v>
      </c>
      <c r="G441" s="20">
        <v>258</v>
      </c>
      <c r="H441" s="13" t="s">
        <v>2116</v>
      </c>
      <c r="I441" s="13" t="str">
        <f t="shared" si="18"/>
        <v>SW 26th Terrace-SW 32nd Av Connector (Ravenswood Rd to State Rd 84)</v>
      </c>
      <c r="J441" s="13" t="s">
        <v>29</v>
      </c>
      <c r="K441" s="13" t="str">
        <f>VLOOKUP(J441,'Data-ProjectTypes'!A$3:B$13,2,FALSE)</f>
        <v>Program</v>
      </c>
      <c r="L441" s="21" t="s">
        <v>348</v>
      </c>
      <c r="M441" s="13" t="s">
        <v>1765</v>
      </c>
      <c r="N441" s="13" t="s">
        <v>1774</v>
      </c>
      <c r="O441" s="13" t="s">
        <v>286</v>
      </c>
      <c r="P441" s="13" t="s">
        <v>286</v>
      </c>
      <c r="Q441" s="22">
        <v>0.7</v>
      </c>
      <c r="R441" s="23">
        <v>152900</v>
      </c>
      <c r="S441" s="21"/>
      <c r="T441" s="21"/>
      <c r="U441" s="21"/>
      <c r="V441" s="24"/>
      <c r="W441" s="24"/>
      <c r="X441" s="24"/>
      <c r="Y441" s="17"/>
      <c r="Z441" s="18">
        <f>ROUND(R441*'Data-CostAssumptions'!$C$3,-3)</f>
        <v>212000</v>
      </c>
      <c r="AA441" s="11">
        <f t="shared" si="19"/>
        <v>0</v>
      </c>
      <c r="AB441" s="11">
        <v>2041</v>
      </c>
      <c r="AC441" s="11">
        <v>2041</v>
      </c>
      <c r="AD441" s="11">
        <v>2041</v>
      </c>
      <c r="AE441" s="19">
        <f>ROUND((Z441*'Data-CostAssumptions'!$G$5)*(1+'Data-CostAssumptions'!$G$3)^(AB441-'Data-CostAssumptions'!$G$4),-3)</f>
        <v>120000</v>
      </c>
      <c r="AF441" s="19">
        <f>ROUND((Z441)*(1+'Data-CostAssumptions'!$G$3)^(AD441-'Data-CostAssumptions'!$G$4),-3)</f>
        <v>544000</v>
      </c>
      <c r="AG441" s="170" t="str">
        <f t="shared" si="20"/>
        <v>No</v>
      </c>
    </row>
    <row r="442" spans="1:33" ht="15" customHeight="1" x14ac:dyDescent="0.2">
      <c r="A442" s="11"/>
      <c r="B442" s="11" t="s">
        <v>1211</v>
      </c>
      <c r="C442" s="11">
        <v>15000</v>
      </c>
      <c r="D442" s="84" t="s">
        <v>281</v>
      </c>
      <c r="E442" s="14"/>
      <c r="F442" s="14"/>
      <c r="G442" s="20">
        <v>1808</v>
      </c>
      <c r="H442" s="13" t="s">
        <v>1821</v>
      </c>
      <c r="I442" s="13" t="str">
        <f t="shared" si="18"/>
        <v>Inverrary Bl (NW 44 St to W Oakland Park Bl)</v>
      </c>
      <c r="J442" s="84" t="s">
        <v>29</v>
      </c>
      <c r="K442" s="13" t="str">
        <f>VLOOKUP(J442,'Data-ProjectTypes'!A$3:B$13,2,FALSE)</f>
        <v>Program</v>
      </c>
      <c r="L442" s="148" t="s">
        <v>817</v>
      </c>
      <c r="M442" s="84" t="s">
        <v>1184</v>
      </c>
      <c r="N442" s="84" t="s">
        <v>2297</v>
      </c>
      <c r="O442" s="84" t="s">
        <v>281</v>
      </c>
      <c r="P442" s="84" t="s">
        <v>281</v>
      </c>
      <c r="Q442" s="15">
        <v>0.91</v>
      </c>
      <c r="R442" s="143">
        <f>ROUND(Q442*'Data-CostAssumptions'!$C$25,-1)</f>
        <v>153240</v>
      </c>
      <c r="S442" s="21"/>
      <c r="T442" s="21"/>
      <c r="U442" s="21"/>
      <c r="V442" s="24"/>
      <c r="W442" s="24"/>
      <c r="X442" s="17" t="s">
        <v>769</v>
      </c>
      <c r="Y442" s="17" t="s">
        <v>768</v>
      </c>
      <c r="Z442" s="18">
        <f>ROUND(R442*'Data-CostAssumptions'!$C$3,-3)</f>
        <v>212000</v>
      </c>
      <c r="AA442" s="11">
        <f t="shared" si="19"/>
        <v>0</v>
      </c>
      <c r="AB442" s="11">
        <v>2041</v>
      </c>
      <c r="AC442" s="11">
        <v>2041</v>
      </c>
      <c r="AD442" s="11">
        <v>2041</v>
      </c>
      <c r="AE442" s="19">
        <f>ROUND((Z442*'Data-CostAssumptions'!$G$5)*(1+'Data-CostAssumptions'!$G$3)^(AB442-'Data-CostAssumptions'!$G$4),-3)</f>
        <v>120000</v>
      </c>
      <c r="AF442" s="19">
        <f>ROUND((Z442)*(1+'Data-CostAssumptions'!$G$3)^(AD442-'Data-CostAssumptions'!$G$4),-3)</f>
        <v>544000</v>
      </c>
      <c r="AG442" s="170" t="str">
        <f t="shared" si="20"/>
        <v>No</v>
      </c>
    </row>
    <row r="443" spans="1:33" ht="15" customHeight="1" x14ac:dyDescent="0.2">
      <c r="B443" s="11" t="s">
        <v>1211</v>
      </c>
      <c r="D443" s="84" t="s">
        <v>276</v>
      </c>
      <c r="E443" s="104">
        <v>200</v>
      </c>
      <c r="G443" s="20">
        <v>1424</v>
      </c>
      <c r="H443" s="13" t="s">
        <v>2170</v>
      </c>
      <c r="I443" s="13" t="str">
        <f t="shared" si="18"/>
        <v>NW 35TH Av (NW 53RD RD to W CYPRESS CREEK RD)</v>
      </c>
      <c r="J443" s="12" t="s">
        <v>29</v>
      </c>
      <c r="K443" s="13" t="str">
        <f>VLOOKUP(J443,'Data-ProjectTypes'!A$3:B$13,2,FALSE)</f>
        <v>Program</v>
      </c>
      <c r="L443" s="12" t="s">
        <v>1666</v>
      </c>
      <c r="M443" s="105" t="s">
        <v>1685</v>
      </c>
      <c r="N443" s="12" t="s">
        <v>1447</v>
      </c>
      <c r="Q443" s="72">
        <v>0.9</v>
      </c>
      <c r="R443" s="23">
        <f>ROUND(Q443*'Data-CostAssumptions'!$C$25,-1)</f>
        <v>151560</v>
      </c>
      <c r="S443" s="21"/>
      <c r="T443" s="21"/>
      <c r="U443" s="21"/>
      <c r="V443" s="24"/>
      <c r="W443" s="24"/>
      <c r="X443" s="24" t="s">
        <v>764</v>
      </c>
      <c r="Y443" s="17" t="s">
        <v>765</v>
      </c>
      <c r="Z443" s="18">
        <f>ROUND(R443*'Data-CostAssumptions'!$C$3,-3)</f>
        <v>210000</v>
      </c>
      <c r="AA443" s="11">
        <f t="shared" si="19"/>
        <v>0</v>
      </c>
      <c r="AB443" s="11">
        <v>2041</v>
      </c>
      <c r="AC443" s="11">
        <v>2041</v>
      </c>
      <c r="AD443" s="11">
        <v>2041</v>
      </c>
      <c r="AE443" s="19">
        <f>ROUND((Z443*'Data-CostAssumptions'!$G$5)*(1+'Data-CostAssumptions'!$G$3)^(AB443-'Data-CostAssumptions'!$G$4),-3)</f>
        <v>118000</v>
      </c>
      <c r="AF443" s="19">
        <f>ROUND((Z443)*(1+'Data-CostAssumptions'!$G$3)^(AD443-'Data-CostAssumptions'!$G$4),-3)</f>
        <v>538000</v>
      </c>
      <c r="AG443" s="170" t="str">
        <f t="shared" si="20"/>
        <v>No</v>
      </c>
    </row>
    <row r="444" spans="1:33" ht="15" customHeight="1" x14ac:dyDescent="0.2">
      <c r="B444" s="11" t="s">
        <v>1211</v>
      </c>
      <c r="D444" s="84" t="s">
        <v>276</v>
      </c>
      <c r="E444" s="104" t="s">
        <v>1512</v>
      </c>
      <c r="G444" s="20">
        <v>1494</v>
      </c>
      <c r="H444" s="13" t="s">
        <v>1596</v>
      </c>
      <c r="I444" s="13" t="str">
        <f t="shared" si="18"/>
        <v>SW 20TH ST  (SW 33RD ST  to SW 15TH Av )</v>
      </c>
      <c r="J444" s="12" t="s">
        <v>29</v>
      </c>
      <c r="K444" s="13" t="str">
        <f>VLOOKUP(J444,'Data-ProjectTypes'!A$3:B$13,2,FALSE)</f>
        <v>Program</v>
      </c>
      <c r="L444" s="12" t="s">
        <v>1667</v>
      </c>
      <c r="M444" s="105" t="s">
        <v>1710</v>
      </c>
      <c r="N444" s="12" t="s">
        <v>2636</v>
      </c>
      <c r="Q444" s="72">
        <v>0.9</v>
      </c>
      <c r="R444" s="23">
        <f>ROUND(Q444*'Data-CostAssumptions'!$C$25,-1)</f>
        <v>151560</v>
      </c>
      <c r="S444" s="21"/>
      <c r="T444" s="21"/>
      <c r="U444" s="21"/>
      <c r="V444" s="24"/>
      <c r="W444" s="24"/>
      <c r="X444" s="24"/>
      <c r="Y444" s="17"/>
      <c r="Z444" s="18">
        <f>ROUND(R444*'Data-CostAssumptions'!$C$3,-3)</f>
        <v>210000</v>
      </c>
      <c r="AA444" s="11">
        <f t="shared" si="19"/>
        <v>0</v>
      </c>
      <c r="AB444" s="11">
        <v>2041</v>
      </c>
      <c r="AC444" s="11">
        <v>2041</v>
      </c>
      <c r="AD444" s="11">
        <v>2041</v>
      </c>
      <c r="AE444" s="19">
        <f>ROUND((Z444*'Data-CostAssumptions'!$G$5)*(1+'Data-CostAssumptions'!$G$3)^(AB444-'Data-CostAssumptions'!$G$4),-3)</f>
        <v>118000</v>
      </c>
      <c r="AF444" s="19">
        <f>ROUND((Z444)*(1+'Data-CostAssumptions'!$G$3)^(AD444-'Data-CostAssumptions'!$G$4),-3)</f>
        <v>538000</v>
      </c>
      <c r="AG444" s="170" t="str">
        <f t="shared" si="20"/>
        <v>No</v>
      </c>
    </row>
    <row r="445" spans="1:33" ht="15" customHeight="1" x14ac:dyDescent="0.2">
      <c r="B445" s="11" t="s">
        <v>1211</v>
      </c>
      <c r="D445" s="84" t="s">
        <v>276</v>
      </c>
      <c r="E445" s="104" t="s">
        <v>1513</v>
      </c>
      <c r="G445" s="20">
        <v>1502</v>
      </c>
      <c r="H445" s="13" t="s">
        <v>2193</v>
      </c>
      <c r="I445" s="13" t="str">
        <f t="shared" si="18"/>
        <v>SW 35TH Av  (SW 4TH Av  to DAVIE Bl )</v>
      </c>
      <c r="J445" s="12" t="s">
        <v>29</v>
      </c>
      <c r="K445" s="13" t="str">
        <f>VLOOKUP(J445,'Data-ProjectTypes'!A$3:B$13,2,FALSE)</f>
        <v>Program</v>
      </c>
      <c r="L445" s="12" t="s">
        <v>1667</v>
      </c>
      <c r="M445" s="105" t="s">
        <v>2616</v>
      </c>
      <c r="N445" s="12" t="s">
        <v>2296</v>
      </c>
      <c r="Q445" s="72">
        <v>0.9</v>
      </c>
      <c r="R445" s="23">
        <f>ROUND(Q445*'Data-CostAssumptions'!$C$25,-1)</f>
        <v>151560</v>
      </c>
      <c r="S445" s="21"/>
      <c r="T445" s="21"/>
      <c r="U445" s="21"/>
      <c r="V445" s="24"/>
      <c r="W445" s="24"/>
      <c r="X445" s="24"/>
      <c r="Y445" s="17"/>
      <c r="Z445" s="18">
        <f>ROUND(R445*'Data-CostAssumptions'!$C$3,-3)</f>
        <v>210000</v>
      </c>
      <c r="AA445" s="11">
        <f t="shared" si="19"/>
        <v>0</v>
      </c>
      <c r="AB445" s="11">
        <v>2041</v>
      </c>
      <c r="AC445" s="11">
        <v>2041</v>
      </c>
      <c r="AD445" s="11">
        <v>2041</v>
      </c>
      <c r="AE445" s="19">
        <f>ROUND((Z445*'Data-CostAssumptions'!$G$5)*(1+'Data-CostAssumptions'!$G$3)^(AB445-'Data-CostAssumptions'!$G$4),-3)</f>
        <v>118000</v>
      </c>
      <c r="AF445" s="19">
        <f>ROUND((Z445)*(1+'Data-CostAssumptions'!$G$3)^(AD445-'Data-CostAssumptions'!$G$4),-3)</f>
        <v>538000</v>
      </c>
      <c r="AG445" s="170" t="str">
        <f t="shared" si="20"/>
        <v>No</v>
      </c>
    </row>
    <row r="446" spans="1:33" ht="15" customHeight="1" x14ac:dyDescent="0.2">
      <c r="A446" s="11"/>
      <c r="B446" s="11" t="s">
        <v>1211</v>
      </c>
      <c r="C446" s="11">
        <v>12255</v>
      </c>
      <c r="D446" s="84" t="s">
        <v>282</v>
      </c>
      <c r="E446" s="14"/>
      <c r="F446" s="14"/>
      <c r="G446" s="20">
        <v>1742</v>
      </c>
      <c r="H446" s="13" t="s">
        <v>1880</v>
      </c>
      <c r="I446" s="13" t="str">
        <f t="shared" si="18"/>
        <v>Johnson St (N 56th Av to N 41st Av)</v>
      </c>
      <c r="J446" s="11" t="s">
        <v>29</v>
      </c>
      <c r="K446" s="13" t="str">
        <f>VLOOKUP(J446,'Data-ProjectTypes'!A$3:B$13,2,FALSE)</f>
        <v>Program</v>
      </c>
      <c r="L446" s="142" t="s">
        <v>594</v>
      </c>
      <c r="M446" s="11" t="s">
        <v>2220</v>
      </c>
      <c r="N446" s="11" t="s">
        <v>2226</v>
      </c>
      <c r="O446" s="11"/>
      <c r="P446" s="11"/>
      <c r="Q446" s="79">
        <v>0.9</v>
      </c>
      <c r="R446" s="143">
        <f>ROUND(Q446*'Data-CostAssumptions'!$C$25,-3)</f>
        <v>152000</v>
      </c>
      <c r="S446" s="21"/>
      <c r="T446" s="21"/>
      <c r="U446" s="21"/>
      <c r="V446" s="24"/>
      <c r="W446" s="24"/>
      <c r="X446" s="24"/>
      <c r="Y446" s="17"/>
      <c r="Z446" s="18">
        <f>ROUND(R446*'Data-CostAssumptions'!$C$3,-3)</f>
        <v>210000</v>
      </c>
      <c r="AA446" s="11">
        <f t="shared" si="19"/>
        <v>0</v>
      </c>
      <c r="AB446" s="11">
        <v>2041</v>
      </c>
      <c r="AC446" s="11">
        <v>2041</v>
      </c>
      <c r="AD446" s="11">
        <v>2041</v>
      </c>
      <c r="AE446" s="19">
        <f>ROUND((Z446*'Data-CostAssumptions'!$G$5)*(1+'Data-CostAssumptions'!$G$3)^(AB446-'Data-CostAssumptions'!$G$4),-3)</f>
        <v>118000</v>
      </c>
      <c r="AF446" s="19">
        <f>ROUND((Z446)*(1+'Data-CostAssumptions'!$G$3)^(AD446-'Data-CostAssumptions'!$G$4),-3)</f>
        <v>538000</v>
      </c>
      <c r="AG446" s="170" t="str">
        <f t="shared" si="20"/>
        <v>No</v>
      </c>
    </row>
    <row r="447" spans="1:33" ht="15" customHeight="1" x14ac:dyDescent="0.2">
      <c r="A447" s="11"/>
      <c r="B447" s="11" t="s">
        <v>1211</v>
      </c>
      <c r="C447" s="11">
        <v>12009</v>
      </c>
      <c r="D447" s="84" t="s">
        <v>292</v>
      </c>
      <c r="E447" s="14"/>
      <c r="F447" s="14"/>
      <c r="G447" s="20">
        <v>1092</v>
      </c>
      <c r="H447" s="13" t="s">
        <v>1803</v>
      </c>
      <c r="I447" s="13" t="str">
        <f t="shared" si="18"/>
        <v>Turtle Creek Dr (SR7 to Sample Rd)</v>
      </c>
      <c r="J447" s="11" t="s">
        <v>29</v>
      </c>
      <c r="K447" s="13" t="str">
        <f>VLOOKUP(J447,'Data-ProjectTypes'!A$3:B$13,2,FALSE)</f>
        <v>Program</v>
      </c>
      <c r="L447" s="11" t="s">
        <v>426</v>
      </c>
      <c r="M447" s="11" t="s">
        <v>436</v>
      </c>
      <c r="N447" s="11" t="s">
        <v>1864</v>
      </c>
      <c r="O447" s="11"/>
      <c r="P447" s="11"/>
      <c r="Q447" s="15">
        <v>0.56999999999999995</v>
      </c>
      <c r="R447" s="16">
        <v>145159.40217156967</v>
      </c>
      <c r="S447" s="21"/>
      <c r="T447" s="21"/>
      <c r="U447" s="21"/>
      <c r="V447" s="24"/>
      <c r="W447" s="24"/>
      <c r="X447" s="24"/>
      <c r="Y447" s="17"/>
      <c r="Z447" s="18">
        <f>ROUND(R447*'Data-CostAssumptions'!$C$3,-3)</f>
        <v>201000</v>
      </c>
      <c r="AA447" s="11">
        <f t="shared" si="19"/>
        <v>0</v>
      </c>
      <c r="AB447" s="11">
        <v>2041</v>
      </c>
      <c r="AC447" s="11">
        <v>2041</v>
      </c>
      <c r="AD447" s="11">
        <v>2041</v>
      </c>
      <c r="AE447" s="19">
        <f>ROUND((Z447*'Data-CostAssumptions'!$G$5)*(1+'Data-CostAssumptions'!$G$3)^(AB447-'Data-CostAssumptions'!$G$4),-3)</f>
        <v>113000</v>
      </c>
      <c r="AF447" s="19">
        <f>ROUND((Z447)*(1+'Data-CostAssumptions'!$G$3)^(AD447-'Data-CostAssumptions'!$G$4),-3)</f>
        <v>515000</v>
      </c>
      <c r="AG447" s="170" t="str">
        <f t="shared" si="20"/>
        <v>No</v>
      </c>
    </row>
    <row r="448" spans="1:33" ht="15" customHeight="1" x14ac:dyDescent="0.2">
      <c r="A448" s="11"/>
      <c r="B448" s="11" t="s">
        <v>1211</v>
      </c>
      <c r="C448" s="13">
        <v>645</v>
      </c>
      <c r="D448" s="13" t="s">
        <v>420</v>
      </c>
      <c r="E448" s="20">
        <v>317</v>
      </c>
      <c r="F448" s="20">
        <v>178</v>
      </c>
      <c r="G448" s="20">
        <v>26</v>
      </c>
      <c r="H448" s="13" t="s">
        <v>1952</v>
      </c>
      <c r="I448" s="13" t="str">
        <f t="shared" si="18"/>
        <v>South 2nd St (SE 3rd Av to SW 7th Av)</v>
      </c>
      <c r="J448" s="13" t="s">
        <v>29</v>
      </c>
      <c r="K448" s="13" t="str">
        <f>VLOOKUP(J448,'Data-ProjectTypes'!A$3:B$13,2,FALSE)</f>
        <v>Program</v>
      </c>
      <c r="L448" s="21" t="s">
        <v>348</v>
      </c>
      <c r="M448" s="13" t="s">
        <v>2093</v>
      </c>
      <c r="N448" s="13" t="s">
        <v>2264</v>
      </c>
      <c r="O448" s="13" t="s">
        <v>276</v>
      </c>
      <c r="P448" s="13" t="s">
        <v>276</v>
      </c>
      <c r="Q448" s="22">
        <v>0.6</v>
      </c>
      <c r="R448" s="23">
        <v>143775</v>
      </c>
      <c r="S448" s="21"/>
      <c r="T448" s="21"/>
      <c r="U448" s="21"/>
      <c r="V448" s="24"/>
      <c r="W448" s="24"/>
      <c r="X448" s="24"/>
      <c r="Y448" s="17"/>
      <c r="Z448" s="18">
        <f>ROUND(R448*'Data-CostAssumptions'!$C$3,-3)</f>
        <v>199000</v>
      </c>
      <c r="AA448" s="11">
        <f t="shared" si="19"/>
        <v>0</v>
      </c>
      <c r="AB448" s="11">
        <v>2041</v>
      </c>
      <c r="AC448" s="11">
        <v>2041</v>
      </c>
      <c r="AD448" s="11">
        <v>2041</v>
      </c>
      <c r="AE448" s="19">
        <f>ROUND((Z448*'Data-CostAssumptions'!$G$5)*(1+'Data-CostAssumptions'!$G$3)^(AB448-'Data-CostAssumptions'!$G$4),-3)</f>
        <v>112000</v>
      </c>
      <c r="AF448" s="19">
        <f>ROUND((Z448)*(1+'Data-CostAssumptions'!$G$3)^(AD448-'Data-CostAssumptions'!$G$4),-3)</f>
        <v>510000</v>
      </c>
      <c r="AG448" s="170" t="str">
        <f t="shared" si="20"/>
        <v>No</v>
      </c>
    </row>
    <row r="449" spans="1:33" ht="15" customHeight="1" x14ac:dyDescent="0.2">
      <c r="A449" s="11"/>
      <c r="B449" s="11" t="s">
        <v>1211</v>
      </c>
      <c r="C449" s="11"/>
      <c r="D449" s="84" t="s">
        <v>276</v>
      </c>
      <c r="E449" s="14">
        <v>3</v>
      </c>
      <c r="F449" s="14"/>
      <c r="G449" s="20">
        <v>1326</v>
      </c>
      <c r="H449" s="13" t="s">
        <v>2014</v>
      </c>
      <c r="I449" s="13" t="str">
        <f t="shared" si="18"/>
        <v>Andrews Av (SUNRISE Bl to NW 19TH ST)</v>
      </c>
      <c r="J449" s="11" t="s">
        <v>29</v>
      </c>
      <c r="K449" s="13" t="str">
        <f>VLOOKUP(J449,'Data-ProjectTypes'!A$3:B$13,2,FALSE)</f>
        <v>Program</v>
      </c>
      <c r="L449" s="11" t="s">
        <v>1254</v>
      </c>
      <c r="M449" s="106" t="s">
        <v>2002</v>
      </c>
      <c r="N449" s="84" t="s">
        <v>1240</v>
      </c>
      <c r="O449" s="11"/>
      <c r="P449" s="11"/>
      <c r="Q449" s="107">
        <v>1</v>
      </c>
      <c r="R449" s="23">
        <v>144000</v>
      </c>
      <c r="S449" s="21" t="s">
        <v>24</v>
      </c>
      <c r="T449" s="21"/>
      <c r="U449" s="21"/>
      <c r="V449" s="24"/>
      <c r="W449" s="24"/>
      <c r="X449" s="24"/>
      <c r="Y449" s="17" t="s">
        <v>469</v>
      </c>
      <c r="Z449" s="18">
        <f>ROUND(R449*'Data-CostAssumptions'!$C$3,-3)</f>
        <v>199000</v>
      </c>
      <c r="AA449" s="11">
        <f t="shared" si="19"/>
        <v>0</v>
      </c>
      <c r="AB449" s="11">
        <v>2041</v>
      </c>
      <c r="AC449" s="11">
        <v>2041</v>
      </c>
      <c r="AD449" s="11">
        <v>2041</v>
      </c>
      <c r="AE449" s="19">
        <f>ROUND((Z449*'Data-CostAssumptions'!$G$5)*(1+'Data-CostAssumptions'!$G$3)^(AB449-'Data-CostAssumptions'!$G$4),-3)</f>
        <v>112000</v>
      </c>
      <c r="AF449" s="19">
        <f>ROUND((Z449)*(1+'Data-CostAssumptions'!$G$3)^(AD449-'Data-CostAssumptions'!$G$4),-3)</f>
        <v>510000</v>
      </c>
      <c r="AG449" s="170" t="str">
        <f t="shared" si="20"/>
        <v>No</v>
      </c>
    </row>
    <row r="450" spans="1:33" ht="15" customHeight="1" x14ac:dyDescent="0.2">
      <c r="A450" s="11"/>
      <c r="B450" s="11" t="s">
        <v>1211</v>
      </c>
      <c r="C450" s="13">
        <v>658</v>
      </c>
      <c r="D450" s="13" t="s">
        <v>420</v>
      </c>
      <c r="E450" s="20">
        <v>107</v>
      </c>
      <c r="F450" s="20">
        <v>178</v>
      </c>
      <c r="G450" s="20">
        <v>39</v>
      </c>
      <c r="H450" s="13" t="s">
        <v>2014</v>
      </c>
      <c r="I450" s="13" t="str">
        <f t="shared" ref="I450:I489" si="21">IF(M450="@",H450&amp;" ("&amp;M450&amp;"  "&amp;N450&amp;")",H450&amp;" ("&amp;M450&amp;" to "&amp;N450&amp;")")</f>
        <v>Andrews Av (Davie Bl to SE 5th St)</v>
      </c>
      <c r="J450" s="13" t="s">
        <v>29</v>
      </c>
      <c r="K450" s="13" t="str">
        <f>VLOOKUP(J450,'Data-ProjectTypes'!A$3:B$13,2,FALSE)</f>
        <v>Program</v>
      </c>
      <c r="L450" s="21" t="s">
        <v>348</v>
      </c>
      <c r="M450" s="13" t="s">
        <v>1816</v>
      </c>
      <c r="N450" s="13" t="s">
        <v>2477</v>
      </c>
      <c r="O450" s="13" t="s">
        <v>273</v>
      </c>
      <c r="P450" s="13" t="s">
        <v>273</v>
      </c>
      <c r="Q450" s="22">
        <v>0.6</v>
      </c>
      <c r="R450" s="23">
        <v>139875</v>
      </c>
      <c r="S450" s="12" t="s">
        <v>24</v>
      </c>
      <c r="T450" s="21" t="s">
        <v>25</v>
      </c>
      <c r="U450" s="29" t="s">
        <v>688</v>
      </c>
      <c r="V450" s="24" t="s">
        <v>561</v>
      </c>
      <c r="W450" s="24"/>
      <c r="X450" s="24"/>
      <c r="Y450" s="17" t="s">
        <v>687</v>
      </c>
      <c r="Z450" s="18">
        <f>ROUND(R450*'Data-CostAssumptions'!$C$3,-3)</f>
        <v>194000</v>
      </c>
      <c r="AA450" s="11">
        <f t="shared" ref="AA450:AA513" si="22">IF(V450="",IF(W450="",0,1),1)</f>
        <v>1</v>
      </c>
      <c r="AB450" s="11">
        <v>2041</v>
      </c>
      <c r="AC450" s="11">
        <v>2041</v>
      </c>
      <c r="AD450" s="11">
        <v>2041</v>
      </c>
      <c r="AE450" s="19">
        <f>ROUND((Z450*'Data-CostAssumptions'!$G$5)*(1+'Data-CostAssumptions'!$G$3)^(AB450-'Data-CostAssumptions'!$G$4),-3)</f>
        <v>109000</v>
      </c>
      <c r="AF450" s="19">
        <f>ROUND((Z450)*(1+'Data-CostAssumptions'!$G$3)^(AD450-'Data-CostAssumptions'!$G$4),-3)</f>
        <v>497000</v>
      </c>
      <c r="AG450" s="170" t="str">
        <f t="shared" ref="AG450:AG513" si="23">IF(MIN(AC450:AD450)&lt;2041,"Yes","No")</f>
        <v>No</v>
      </c>
    </row>
    <row r="451" spans="1:33" ht="15" customHeight="1" x14ac:dyDescent="0.2">
      <c r="A451" s="11"/>
      <c r="B451" s="11" t="s">
        <v>1211</v>
      </c>
      <c r="C451" s="13">
        <v>884</v>
      </c>
      <c r="D451" s="13" t="s">
        <v>420</v>
      </c>
      <c r="E451" s="20">
        <v>330</v>
      </c>
      <c r="F451" s="20">
        <v>191</v>
      </c>
      <c r="G451" s="20">
        <v>261</v>
      </c>
      <c r="H451" s="13" t="s">
        <v>2016</v>
      </c>
      <c r="I451" s="13" t="str">
        <f t="shared" si="21"/>
        <v>College Av (SW 39th St to SW 30th St)</v>
      </c>
      <c r="J451" s="13" t="s">
        <v>29</v>
      </c>
      <c r="K451" s="13" t="str">
        <f>VLOOKUP(J451,'Data-ProjectTypes'!A$3:B$13,2,FALSE)</f>
        <v>Program</v>
      </c>
      <c r="L451" s="21" t="s">
        <v>348</v>
      </c>
      <c r="M451" s="13" t="s">
        <v>486</v>
      </c>
      <c r="N451" s="13" t="s">
        <v>485</v>
      </c>
      <c r="O451" s="13" t="s">
        <v>279</v>
      </c>
      <c r="P451" s="13" t="s">
        <v>279</v>
      </c>
      <c r="Q451" s="22">
        <v>0.6</v>
      </c>
      <c r="R451" s="23">
        <v>134977</v>
      </c>
      <c r="S451" s="21"/>
      <c r="T451" s="21"/>
      <c r="U451" s="21"/>
      <c r="V451" s="24"/>
      <c r="W451" s="24"/>
      <c r="X451" s="24"/>
      <c r="Y451" s="17"/>
      <c r="Z451" s="18">
        <f>ROUND(R451*'Data-CostAssumptions'!$C$3,-3)</f>
        <v>187000</v>
      </c>
      <c r="AA451" s="11">
        <f t="shared" si="22"/>
        <v>0</v>
      </c>
      <c r="AB451" s="11">
        <v>2041</v>
      </c>
      <c r="AC451" s="11">
        <v>2041</v>
      </c>
      <c r="AD451" s="11">
        <v>2041</v>
      </c>
      <c r="AE451" s="19">
        <f>ROUND((Z451*'Data-CostAssumptions'!$G$5)*(1+'Data-CostAssumptions'!$G$3)^(AB451-'Data-CostAssumptions'!$G$4),-3)</f>
        <v>105000</v>
      </c>
      <c r="AF451" s="19">
        <f>ROUND((Z451)*(1+'Data-CostAssumptions'!$G$3)^(AD451-'Data-CostAssumptions'!$G$4),-3)</f>
        <v>479000</v>
      </c>
      <c r="AG451" s="170" t="str">
        <f t="shared" si="23"/>
        <v>No</v>
      </c>
    </row>
    <row r="452" spans="1:33" ht="15" customHeight="1" x14ac:dyDescent="0.2">
      <c r="B452" s="11" t="s">
        <v>1211</v>
      </c>
      <c r="D452" s="84" t="s">
        <v>276</v>
      </c>
      <c r="E452" s="104" t="s">
        <v>1505</v>
      </c>
      <c r="G452" s="20">
        <v>1322</v>
      </c>
      <c r="H452" s="13" t="s">
        <v>2014</v>
      </c>
      <c r="I452" s="13" t="str">
        <f t="shared" si="21"/>
        <v>Andrews Av (ELLER DR to SE 24TH ST (SR840))</v>
      </c>
      <c r="J452" s="12" t="s">
        <v>29</v>
      </c>
      <c r="K452" s="13" t="str">
        <f>VLOOKUP(J452,'Data-ProjectTypes'!A$3:B$13,2,FALSE)</f>
        <v>Program</v>
      </c>
      <c r="L452" s="12" t="s">
        <v>1667</v>
      </c>
      <c r="M452" s="105" t="s">
        <v>1434</v>
      </c>
      <c r="N452" s="12" t="s">
        <v>1705</v>
      </c>
      <c r="Q452" s="72">
        <v>0.8</v>
      </c>
      <c r="R452" s="23">
        <f>ROUND(Q452*'Data-CostAssumptions'!$C$25,-1)</f>
        <v>134720</v>
      </c>
      <c r="S452" s="21" t="s">
        <v>350</v>
      </c>
      <c r="T452" s="21" t="s">
        <v>25</v>
      </c>
      <c r="U452" s="21"/>
      <c r="V452" s="24" t="s">
        <v>586</v>
      </c>
      <c r="W452" s="24"/>
      <c r="X452" s="24" t="s">
        <v>588</v>
      </c>
      <c r="Y452" s="17" t="s">
        <v>538</v>
      </c>
      <c r="Z452" s="18">
        <f>ROUND(R452*'Data-CostAssumptions'!$C$3,-3)</f>
        <v>186000</v>
      </c>
      <c r="AA452" s="11">
        <f t="shared" si="22"/>
        <v>1</v>
      </c>
      <c r="AB452" s="11">
        <v>2041</v>
      </c>
      <c r="AC452" s="11">
        <v>2041</v>
      </c>
      <c r="AD452" s="11">
        <v>2041</v>
      </c>
      <c r="AE452" s="19">
        <f>ROUND((Z452*'Data-CostAssumptions'!$G$5)*(1+'Data-CostAssumptions'!$G$3)^(AB452-'Data-CostAssumptions'!$G$4),-3)</f>
        <v>105000</v>
      </c>
      <c r="AF452" s="19">
        <f>ROUND((Z452)*(1+'Data-CostAssumptions'!$G$3)^(AD452-'Data-CostAssumptions'!$G$4),-3)</f>
        <v>477000</v>
      </c>
      <c r="AG452" s="170" t="str">
        <f t="shared" si="23"/>
        <v>No</v>
      </c>
    </row>
    <row r="453" spans="1:33" ht="15" customHeight="1" x14ac:dyDescent="0.2">
      <c r="A453" s="11"/>
      <c r="B453" s="11" t="s">
        <v>1211</v>
      </c>
      <c r="C453" s="13">
        <v>753</v>
      </c>
      <c r="D453" s="13" t="s">
        <v>420</v>
      </c>
      <c r="E453" s="20">
        <v>111</v>
      </c>
      <c r="F453" s="20">
        <v>184</v>
      </c>
      <c r="G453" s="20">
        <v>130</v>
      </c>
      <c r="H453" s="13" t="s">
        <v>1789</v>
      </c>
      <c r="I453" s="13" t="str">
        <f t="shared" si="21"/>
        <v>Eller Dr (I-595 ramp/NE 7th Av to Just south of SW 33rd St)</v>
      </c>
      <c r="J453" s="13" t="s">
        <v>29</v>
      </c>
      <c r="K453" s="13" t="str">
        <f>VLOOKUP(J453,'Data-ProjectTypes'!A$3:B$13,2,FALSE)</f>
        <v>Program</v>
      </c>
      <c r="L453" s="21" t="s">
        <v>348</v>
      </c>
      <c r="M453" s="13" t="s">
        <v>2346</v>
      </c>
      <c r="N453" s="13" t="s">
        <v>2489</v>
      </c>
      <c r="O453" s="13" t="s">
        <v>272</v>
      </c>
      <c r="P453" s="13" t="s">
        <v>272</v>
      </c>
      <c r="Q453" s="22">
        <v>0.6</v>
      </c>
      <c r="R453" s="23">
        <v>134131</v>
      </c>
      <c r="S453" s="21" t="s">
        <v>24</v>
      </c>
      <c r="T453" s="21" t="s">
        <v>684</v>
      </c>
      <c r="U453" s="21" t="s">
        <v>684</v>
      </c>
      <c r="V453" s="24"/>
      <c r="W453" s="24"/>
      <c r="X453" s="24"/>
      <c r="Y453" s="17" t="s">
        <v>685</v>
      </c>
      <c r="Z453" s="18">
        <f>ROUND(R453*'Data-CostAssumptions'!$C$3,-3)</f>
        <v>186000</v>
      </c>
      <c r="AA453" s="11">
        <f t="shared" si="22"/>
        <v>0</v>
      </c>
      <c r="AB453" s="11">
        <v>2041</v>
      </c>
      <c r="AC453" s="11">
        <v>2041</v>
      </c>
      <c r="AD453" s="11">
        <v>2041</v>
      </c>
      <c r="AE453" s="19">
        <f>ROUND((Z453*'Data-CostAssumptions'!$G$5)*(1+'Data-CostAssumptions'!$G$3)^(AB453-'Data-CostAssumptions'!$G$4),-3)</f>
        <v>105000</v>
      </c>
      <c r="AF453" s="19">
        <f>ROUND((Z453)*(1+'Data-CostAssumptions'!$G$3)^(AD453-'Data-CostAssumptions'!$G$4),-3)</f>
        <v>477000</v>
      </c>
      <c r="AG453" s="170" t="str">
        <f t="shared" si="23"/>
        <v>No</v>
      </c>
    </row>
    <row r="454" spans="1:33" ht="15" customHeight="1" x14ac:dyDescent="0.2">
      <c r="B454" s="11" t="s">
        <v>1211</v>
      </c>
      <c r="D454" s="84" t="s">
        <v>276</v>
      </c>
      <c r="E454" s="104" t="s">
        <v>1477</v>
      </c>
      <c r="G454" s="20">
        <v>1357</v>
      </c>
      <c r="H454" s="13" t="s">
        <v>2697</v>
      </c>
      <c r="I454" s="13" t="str">
        <f t="shared" si="21"/>
        <v>Galt Ocean Dr (OCEAN Bl/SR A1A to A1A)</v>
      </c>
      <c r="J454" s="12" t="s">
        <v>29</v>
      </c>
      <c r="K454" s="13" t="str">
        <f>VLOOKUP(J454,'Data-ProjectTypes'!A$3:B$13,2,FALSE)</f>
        <v>Program</v>
      </c>
      <c r="L454" s="12" t="s">
        <v>1667</v>
      </c>
      <c r="M454" s="105" t="s">
        <v>2312</v>
      </c>
      <c r="N454" s="12" t="s">
        <v>205</v>
      </c>
      <c r="Q454" s="72">
        <v>0.8</v>
      </c>
      <c r="R454" s="23">
        <f>ROUND(Q454*'Data-CostAssumptions'!$C$25,-1)</f>
        <v>134720</v>
      </c>
      <c r="S454" s="21"/>
      <c r="T454" s="21"/>
      <c r="U454" s="21"/>
      <c r="V454" s="24"/>
      <c r="W454" s="24"/>
      <c r="X454" s="24"/>
      <c r="Y454" s="17"/>
      <c r="Z454" s="18">
        <f>ROUND(R454*'Data-CostAssumptions'!$C$3,-3)</f>
        <v>186000</v>
      </c>
      <c r="AA454" s="11">
        <f t="shared" si="22"/>
        <v>0</v>
      </c>
      <c r="AB454" s="11">
        <v>2041</v>
      </c>
      <c r="AC454" s="11">
        <v>2041</v>
      </c>
      <c r="AD454" s="11">
        <v>2041</v>
      </c>
      <c r="AE454" s="19">
        <f>ROUND((Z454*'Data-CostAssumptions'!$G$5)*(1+'Data-CostAssumptions'!$G$3)^(AB454-'Data-CostAssumptions'!$G$4),-3)</f>
        <v>105000</v>
      </c>
      <c r="AF454" s="19">
        <f>ROUND((Z454)*(1+'Data-CostAssumptions'!$G$3)^(AD454-'Data-CostAssumptions'!$G$4),-3)</f>
        <v>477000</v>
      </c>
      <c r="AG454" s="170" t="str">
        <f t="shared" si="23"/>
        <v>No</v>
      </c>
    </row>
    <row r="455" spans="1:33" ht="15" customHeight="1" x14ac:dyDescent="0.2">
      <c r="B455" s="11" t="s">
        <v>1211</v>
      </c>
      <c r="D455" s="84" t="s">
        <v>276</v>
      </c>
      <c r="E455" s="104" t="s">
        <v>1536</v>
      </c>
      <c r="G455" s="20">
        <v>1400</v>
      </c>
      <c r="H455" s="13" t="s">
        <v>1606</v>
      </c>
      <c r="I455" s="13" t="str">
        <f t="shared" si="21"/>
        <v>NE 7TH ST  (NE 7TH ST  to NE FLAGLER DR )</v>
      </c>
      <c r="J455" s="12" t="s">
        <v>29</v>
      </c>
      <c r="K455" s="13" t="str">
        <f>VLOOKUP(J455,'Data-ProjectTypes'!A$3:B$13,2,FALSE)</f>
        <v>Program</v>
      </c>
      <c r="L455" s="12" t="s">
        <v>1667</v>
      </c>
      <c r="M455" s="105" t="s">
        <v>1606</v>
      </c>
      <c r="N455" s="12" t="s">
        <v>1715</v>
      </c>
      <c r="Q455" s="72">
        <v>0.8</v>
      </c>
      <c r="R455" s="23">
        <f>ROUND(Q455*'Data-CostAssumptions'!$C$25,-1)</f>
        <v>134720</v>
      </c>
      <c r="S455" s="21"/>
      <c r="T455" s="21"/>
      <c r="U455" s="21"/>
      <c r="V455" s="24"/>
      <c r="W455" s="24"/>
      <c r="X455" s="24"/>
      <c r="Y455" s="17"/>
      <c r="Z455" s="18">
        <f>ROUND(R455*'Data-CostAssumptions'!$C$3,-3)</f>
        <v>186000</v>
      </c>
      <c r="AA455" s="11">
        <f t="shared" si="22"/>
        <v>0</v>
      </c>
      <c r="AB455" s="11">
        <v>2041</v>
      </c>
      <c r="AC455" s="11">
        <v>2041</v>
      </c>
      <c r="AD455" s="11">
        <v>2041</v>
      </c>
      <c r="AE455" s="19">
        <f>ROUND((Z455*'Data-CostAssumptions'!$G$5)*(1+'Data-CostAssumptions'!$G$3)^(AB455-'Data-CostAssumptions'!$G$4),-3)</f>
        <v>105000</v>
      </c>
      <c r="AF455" s="19">
        <f>ROUND((Z455)*(1+'Data-CostAssumptions'!$G$3)^(AD455-'Data-CostAssumptions'!$G$4),-3)</f>
        <v>477000</v>
      </c>
      <c r="AG455" s="170" t="str">
        <f t="shared" si="23"/>
        <v>No</v>
      </c>
    </row>
    <row r="456" spans="1:33" ht="15" customHeight="1" x14ac:dyDescent="0.2">
      <c r="B456" s="11" t="s">
        <v>1211</v>
      </c>
      <c r="D456" s="84" t="s">
        <v>276</v>
      </c>
      <c r="E456" s="104" t="s">
        <v>1500</v>
      </c>
      <c r="G456" s="20">
        <v>1447</v>
      </c>
      <c r="H456" s="13" t="s">
        <v>2175</v>
      </c>
      <c r="I456" s="13" t="str">
        <f t="shared" si="21"/>
        <v>SE 12TH ST &amp; SE 10TH Av  (SE 17TH ST to SE 17TH ST)</v>
      </c>
      <c r="J456" s="12" t="s">
        <v>29</v>
      </c>
      <c r="K456" s="13" t="str">
        <f>VLOOKUP(J456,'Data-ProjectTypes'!A$3:B$13,2,FALSE)</f>
        <v>Program</v>
      </c>
      <c r="L456" s="12" t="s">
        <v>1667</v>
      </c>
      <c r="M456" s="105" t="s">
        <v>1245</v>
      </c>
      <c r="N456" s="12" t="s">
        <v>1245</v>
      </c>
      <c r="Q456" s="72">
        <v>0.8</v>
      </c>
      <c r="R456" s="23">
        <f>ROUND(Q456*'Data-CostAssumptions'!$C$25,-1)</f>
        <v>134720</v>
      </c>
      <c r="S456" s="21"/>
      <c r="T456" s="21"/>
      <c r="U456" s="21"/>
      <c r="V456" s="24"/>
      <c r="W456" s="24"/>
      <c r="X456" s="24"/>
      <c r="Y456" s="17"/>
      <c r="Z456" s="18">
        <f>ROUND(R456*'Data-CostAssumptions'!$C$3,-3)</f>
        <v>186000</v>
      </c>
      <c r="AA456" s="11">
        <f t="shared" si="22"/>
        <v>0</v>
      </c>
      <c r="AB456" s="11">
        <v>2041</v>
      </c>
      <c r="AC456" s="11">
        <v>2041</v>
      </c>
      <c r="AD456" s="11">
        <v>2041</v>
      </c>
      <c r="AE456" s="19">
        <f>ROUND((Z456*'Data-CostAssumptions'!$G$5)*(1+'Data-CostAssumptions'!$G$3)^(AB456-'Data-CostAssumptions'!$G$4),-3)</f>
        <v>105000</v>
      </c>
      <c r="AF456" s="19">
        <f>ROUND((Z456)*(1+'Data-CostAssumptions'!$G$3)^(AD456-'Data-CostAssumptions'!$G$4),-3)</f>
        <v>477000</v>
      </c>
      <c r="AG456" s="170" t="str">
        <f t="shared" si="23"/>
        <v>No</v>
      </c>
    </row>
    <row r="457" spans="1:33" ht="15" customHeight="1" x14ac:dyDescent="0.2">
      <c r="B457" s="11" t="s">
        <v>1211</v>
      </c>
      <c r="D457" s="84" t="s">
        <v>276</v>
      </c>
      <c r="E457" s="104" t="s">
        <v>1506</v>
      </c>
      <c r="G457" s="20">
        <v>1456</v>
      </c>
      <c r="H457" s="13" t="s">
        <v>2181</v>
      </c>
      <c r="I457" s="13" t="str">
        <f t="shared" si="21"/>
        <v>SE 6TH Av &amp; SW 33RD ST  (ELLER DR to SE 6TH Av)</v>
      </c>
      <c r="J457" s="12" t="s">
        <v>29</v>
      </c>
      <c r="K457" s="13" t="str">
        <f>VLOOKUP(J457,'Data-ProjectTypes'!A$3:B$13,2,FALSE)</f>
        <v>Program</v>
      </c>
      <c r="L457" s="12" t="s">
        <v>1667</v>
      </c>
      <c r="M457" s="105" t="s">
        <v>1434</v>
      </c>
      <c r="N457" s="12" t="s">
        <v>2628</v>
      </c>
      <c r="Q457" s="72">
        <v>0.8</v>
      </c>
      <c r="R457" s="23">
        <f>ROUND(Q457*'Data-CostAssumptions'!$C$25,-1)</f>
        <v>134720</v>
      </c>
      <c r="S457" s="21"/>
      <c r="T457" s="21"/>
      <c r="U457" s="21"/>
      <c r="V457" s="24"/>
      <c r="W457" s="24"/>
      <c r="X457" s="24"/>
      <c r="Y457" s="17"/>
      <c r="Z457" s="18">
        <f>ROUND(R457*'Data-CostAssumptions'!$C$3,-3)</f>
        <v>186000</v>
      </c>
      <c r="AA457" s="11">
        <f t="shared" si="22"/>
        <v>0</v>
      </c>
      <c r="AB457" s="11">
        <v>2041</v>
      </c>
      <c r="AC457" s="11">
        <v>2041</v>
      </c>
      <c r="AD457" s="11">
        <v>2041</v>
      </c>
      <c r="AE457" s="19">
        <f>ROUND((Z457*'Data-CostAssumptions'!$G$5)*(1+'Data-CostAssumptions'!$G$3)^(AB457-'Data-CostAssumptions'!$G$4),-3)</f>
        <v>105000</v>
      </c>
      <c r="AF457" s="19">
        <f>ROUND((Z457)*(1+'Data-CostAssumptions'!$G$3)^(AD457-'Data-CostAssumptions'!$G$4),-3)</f>
        <v>477000</v>
      </c>
      <c r="AG457" s="170" t="str">
        <f t="shared" si="23"/>
        <v>No</v>
      </c>
    </row>
    <row r="458" spans="1:33" ht="15" customHeight="1" x14ac:dyDescent="0.2">
      <c r="A458" s="11"/>
      <c r="B458" s="11" t="s">
        <v>1211</v>
      </c>
      <c r="C458" s="13">
        <v>856</v>
      </c>
      <c r="D458" s="13" t="s">
        <v>420</v>
      </c>
      <c r="E458" s="20">
        <v>93</v>
      </c>
      <c r="F458" s="20">
        <v>190</v>
      </c>
      <c r="G458" s="20">
        <v>233</v>
      </c>
      <c r="H458" s="13" t="s">
        <v>2710</v>
      </c>
      <c r="I458" s="13" t="str">
        <f t="shared" si="21"/>
        <v>SR 816/Oakland Park Bl (US 1/Federal Hwy to NE 16th Av)</v>
      </c>
      <c r="J458" s="13" t="s">
        <v>29</v>
      </c>
      <c r="K458" s="13" t="str">
        <f>VLOOKUP(J458,'Data-ProjectTypes'!A$3:B$13,2,FALSE)</f>
        <v>Program</v>
      </c>
      <c r="L458" s="21" t="s">
        <v>348</v>
      </c>
      <c r="M458" s="13" t="s">
        <v>2594</v>
      </c>
      <c r="N458" s="13" t="s">
        <v>2025</v>
      </c>
      <c r="O458" s="13" t="s">
        <v>270</v>
      </c>
      <c r="P458" s="13" t="s">
        <v>270</v>
      </c>
      <c r="Q458" s="22">
        <v>0.6</v>
      </c>
      <c r="R458" s="23">
        <v>133527</v>
      </c>
      <c r="S458" s="21"/>
      <c r="T458" s="21"/>
      <c r="U458" s="21"/>
      <c r="V458" s="24"/>
      <c r="W458" s="24"/>
      <c r="X458" s="24"/>
      <c r="Y458" s="17"/>
      <c r="Z458" s="18">
        <f>ROUND(R458*'Data-CostAssumptions'!$C$3,-3)</f>
        <v>185000</v>
      </c>
      <c r="AA458" s="11">
        <f t="shared" si="22"/>
        <v>0</v>
      </c>
      <c r="AB458" s="11">
        <v>2041</v>
      </c>
      <c r="AC458" s="11">
        <v>2041</v>
      </c>
      <c r="AD458" s="11">
        <v>2041</v>
      </c>
      <c r="AE458" s="19">
        <f>ROUND((Z458*'Data-CostAssumptions'!$G$5)*(1+'Data-CostAssumptions'!$G$3)^(AB458-'Data-CostAssumptions'!$G$4),-3)</f>
        <v>104000</v>
      </c>
      <c r="AF458" s="19">
        <f>ROUND((Z458)*(1+'Data-CostAssumptions'!$G$3)^(AD458-'Data-CostAssumptions'!$G$4),-3)</f>
        <v>474000</v>
      </c>
      <c r="AG458" s="170" t="str">
        <f t="shared" si="23"/>
        <v>No</v>
      </c>
    </row>
    <row r="459" spans="1:33" ht="15" customHeight="1" x14ac:dyDescent="0.2">
      <c r="B459" s="11" t="s">
        <v>1211</v>
      </c>
      <c r="D459" s="84" t="s">
        <v>276</v>
      </c>
      <c r="E459" s="104">
        <v>93</v>
      </c>
      <c r="G459" s="20">
        <v>1490</v>
      </c>
      <c r="H459" s="13" t="s">
        <v>1249</v>
      </c>
      <c r="I459" s="13" t="str">
        <f t="shared" si="21"/>
        <v>SW 17TH ST (SW 9TH Av to SW 4TH Av)</v>
      </c>
      <c r="J459" s="12" t="s">
        <v>29</v>
      </c>
      <c r="K459" s="13" t="str">
        <f>VLOOKUP(J459,'Data-ProjectTypes'!A$3:B$13,2,FALSE)</f>
        <v>Program</v>
      </c>
      <c r="L459" s="12" t="s">
        <v>1403</v>
      </c>
      <c r="M459" s="105" t="s">
        <v>2196</v>
      </c>
      <c r="N459" s="12" t="s">
        <v>2194</v>
      </c>
      <c r="Q459" s="72">
        <v>0.4</v>
      </c>
      <c r="R459" s="23">
        <v>130000</v>
      </c>
      <c r="S459" s="21"/>
      <c r="T459" s="21"/>
      <c r="U459" s="21"/>
      <c r="V459" s="24"/>
      <c r="W459" s="24"/>
      <c r="X459" s="24" t="s">
        <v>764</v>
      </c>
      <c r="Y459" s="17" t="s">
        <v>765</v>
      </c>
      <c r="Z459" s="18">
        <f>ROUND(R459*'Data-CostAssumptions'!$C$3,-3)</f>
        <v>180000</v>
      </c>
      <c r="AA459" s="11">
        <f t="shared" si="22"/>
        <v>0</v>
      </c>
      <c r="AB459" s="11">
        <v>2041</v>
      </c>
      <c r="AC459" s="11">
        <v>2041</v>
      </c>
      <c r="AD459" s="11">
        <v>2041</v>
      </c>
      <c r="AE459" s="19">
        <f>ROUND((Z459*'Data-CostAssumptions'!$G$5)*(1+'Data-CostAssumptions'!$G$3)^(AB459-'Data-CostAssumptions'!$G$4),-3)</f>
        <v>102000</v>
      </c>
      <c r="AF459" s="19">
        <f>ROUND((Z459)*(1+'Data-CostAssumptions'!$G$3)^(AD459-'Data-CostAssumptions'!$G$4),-3)</f>
        <v>462000</v>
      </c>
      <c r="AG459" s="170" t="str">
        <f t="shared" si="23"/>
        <v>No</v>
      </c>
    </row>
    <row r="460" spans="1:33" ht="15" customHeight="1" x14ac:dyDescent="0.2">
      <c r="A460" s="11"/>
      <c r="B460" s="11" t="s">
        <v>1211</v>
      </c>
      <c r="C460" s="11">
        <v>12706</v>
      </c>
      <c r="D460" s="84" t="s">
        <v>278</v>
      </c>
      <c r="E460" s="14"/>
      <c r="F460" s="14"/>
      <c r="G460" s="20">
        <v>1845</v>
      </c>
      <c r="H460" s="13" t="s">
        <v>2052</v>
      </c>
      <c r="I460" s="13" t="str">
        <f t="shared" si="21"/>
        <v>NW 136th Av (NW 2nd St to I-595)</v>
      </c>
      <c r="J460" s="11" t="s">
        <v>29</v>
      </c>
      <c r="K460" s="13" t="str">
        <f>VLOOKUP(J460,'Data-ProjectTypes'!A$3:B$13,2,FALSE)</f>
        <v>Program</v>
      </c>
      <c r="L460" s="11" t="s">
        <v>817</v>
      </c>
      <c r="M460" s="11" t="s">
        <v>1912</v>
      </c>
      <c r="N460" s="11" t="s">
        <v>34</v>
      </c>
      <c r="O460" s="11"/>
      <c r="P460" s="11"/>
      <c r="Q460" s="15">
        <v>0.34</v>
      </c>
      <c r="R460" s="16">
        <v>130000</v>
      </c>
      <c r="S460" s="21" t="s">
        <v>24</v>
      </c>
      <c r="T460" s="21"/>
      <c r="U460" s="21"/>
      <c r="V460" s="24"/>
      <c r="W460" s="24" t="s">
        <v>550</v>
      </c>
      <c r="X460" s="24"/>
      <c r="Y460" s="17" t="s">
        <v>538</v>
      </c>
      <c r="Z460" s="18">
        <f>ROUND(R460*'Data-CostAssumptions'!$C$3,-3)</f>
        <v>180000</v>
      </c>
      <c r="AA460" s="11">
        <f t="shared" si="22"/>
        <v>1</v>
      </c>
      <c r="AB460" s="11">
        <v>2041</v>
      </c>
      <c r="AC460" s="11">
        <v>2041</v>
      </c>
      <c r="AD460" s="11">
        <v>2041</v>
      </c>
      <c r="AE460" s="19">
        <f>ROUND((Z460*'Data-CostAssumptions'!$G$5)*(1+'Data-CostAssumptions'!$G$3)^(AB460-'Data-CostAssumptions'!$G$4),-3)</f>
        <v>102000</v>
      </c>
      <c r="AF460" s="19">
        <f>ROUND((Z460)*(1+'Data-CostAssumptions'!$G$3)^(AD460-'Data-CostAssumptions'!$G$4),-3)</f>
        <v>462000</v>
      </c>
      <c r="AG460" s="170" t="str">
        <f t="shared" si="23"/>
        <v>No</v>
      </c>
    </row>
    <row r="461" spans="1:33" ht="15" customHeight="1" x14ac:dyDescent="0.2">
      <c r="A461" s="11"/>
      <c r="B461" s="11" t="s">
        <v>1211</v>
      </c>
      <c r="C461" s="13">
        <v>947</v>
      </c>
      <c r="D461" s="13" t="s">
        <v>420</v>
      </c>
      <c r="E461" s="20">
        <v>309</v>
      </c>
      <c r="F461" s="20">
        <v>195</v>
      </c>
      <c r="G461" s="20">
        <v>322</v>
      </c>
      <c r="H461" s="13" t="s">
        <v>2028</v>
      </c>
      <c r="I461" s="13" t="str">
        <f t="shared" si="21"/>
        <v>NE 21st Av/NE 2nd St/NE 20th Av (Hillsboro Bl to NE 7th St)</v>
      </c>
      <c r="J461" s="13" t="s">
        <v>29</v>
      </c>
      <c r="K461" s="13" t="str">
        <f>VLOOKUP(J461,'Data-ProjectTypes'!A$3:B$13,2,FALSE)</f>
        <v>Program</v>
      </c>
      <c r="L461" s="21" t="s">
        <v>348</v>
      </c>
      <c r="M461" s="13" t="s">
        <v>1819</v>
      </c>
      <c r="N461" s="13" t="s">
        <v>2510</v>
      </c>
      <c r="O461" s="13" t="s">
        <v>270</v>
      </c>
      <c r="P461" s="13" t="s">
        <v>270</v>
      </c>
      <c r="Q461" s="22">
        <v>0.5</v>
      </c>
      <c r="R461" s="23">
        <v>127429</v>
      </c>
      <c r="S461" s="21" t="s">
        <v>24</v>
      </c>
      <c r="T461" s="21" t="s">
        <v>684</v>
      </c>
      <c r="U461" s="21" t="s">
        <v>684</v>
      </c>
      <c r="V461" s="24"/>
      <c r="W461" s="24"/>
      <c r="X461" s="24"/>
      <c r="Y461" s="17" t="s">
        <v>685</v>
      </c>
      <c r="Z461" s="18">
        <f>ROUND(R461*'Data-CostAssumptions'!$C$3,-3)</f>
        <v>176000</v>
      </c>
      <c r="AA461" s="11">
        <f t="shared" si="22"/>
        <v>0</v>
      </c>
      <c r="AB461" s="11">
        <v>2041</v>
      </c>
      <c r="AC461" s="11">
        <v>2041</v>
      </c>
      <c r="AD461" s="11">
        <v>2041</v>
      </c>
      <c r="AE461" s="19">
        <f>ROUND((Z461*'Data-CostAssumptions'!$G$5)*(1+'Data-CostAssumptions'!$G$3)^(AB461-'Data-CostAssumptions'!$G$4),-3)</f>
        <v>99000</v>
      </c>
      <c r="AF461" s="19">
        <f>ROUND((Z461)*(1+'Data-CostAssumptions'!$G$3)^(AD461-'Data-CostAssumptions'!$G$4),-3)</f>
        <v>451000</v>
      </c>
      <c r="AG461" s="170" t="str">
        <f t="shared" si="23"/>
        <v>No</v>
      </c>
    </row>
    <row r="462" spans="1:33" ht="15" customHeight="1" x14ac:dyDescent="0.2">
      <c r="B462" s="11" t="s">
        <v>1211</v>
      </c>
      <c r="D462" s="84" t="s">
        <v>276</v>
      </c>
      <c r="E462" s="104">
        <v>25</v>
      </c>
      <c r="G462" s="20">
        <v>1362</v>
      </c>
      <c r="H462" s="13" t="s">
        <v>1823</v>
      </c>
      <c r="I462" s="13" t="str">
        <f t="shared" si="21"/>
        <v>Las Olas Bl (SR A1A NB to SE 15TH Av)</v>
      </c>
      <c r="J462" s="12" t="s">
        <v>29</v>
      </c>
      <c r="K462" s="13" t="str">
        <f>VLOOKUP(J462,'Data-ProjectTypes'!A$3:B$13,2,FALSE)</f>
        <v>Program</v>
      </c>
      <c r="L462" s="12" t="s">
        <v>1288</v>
      </c>
      <c r="M462" s="105" t="s">
        <v>1433</v>
      </c>
      <c r="N462" s="12" t="s">
        <v>2607</v>
      </c>
      <c r="Q462" s="72">
        <v>1.5</v>
      </c>
      <c r="R462" s="23">
        <v>121000</v>
      </c>
      <c r="S462" s="21"/>
      <c r="T462" s="21"/>
      <c r="U462" s="21"/>
      <c r="V462" s="24"/>
      <c r="W462" s="24"/>
      <c r="X462" s="24"/>
      <c r="Y462" s="17"/>
      <c r="Z462" s="18">
        <f>ROUND(R462*'Data-CostAssumptions'!$C$3,-3)</f>
        <v>167000</v>
      </c>
      <c r="AA462" s="11">
        <f t="shared" si="22"/>
        <v>0</v>
      </c>
      <c r="AB462" s="11">
        <v>2041</v>
      </c>
      <c r="AC462" s="11">
        <v>2041</v>
      </c>
      <c r="AD462" s="11">
        <v>2041</v>
      </c>
      <c r="AE462" s="19">
        <f>ROUND((Z462*'Data-CostAssumptions'!$G$5)*(1+'Data-CostAssumptions'!$G$3)^(AB462-'Data-CostAssumptions'!$G$4),-3)</f>
        <v>94000</v>
      </c>
      <c r="AF462" s="19">
        <f>ROUND((Z462)*(1+'Data-CostAssumptions'!$G$3)^(AD462-'Data-CostAssumptions'!$G$4),-3)</f>
        <v>428000</v>
      </c>
      <c r="AG462" s="170" t="str">
        <f t="shared" si="23"/>
        <v>No</v>
      </c>
    </row>
    <row r="463" spans="1:33" ht="15" customHeight="1" x14ac:dyDescent="0.2">
      <c r="A463" s="11"/>
      <c r="B463" s="11" t="s">
        <v>1211</v>
      </c>
      <c r="C463" s="13">
        <v>933</v>
      </c>
      <c r="D463" s="13" t="s">
        <v>420</v>
      </c>
      <c r="E463" s="20">
        <v>122</v>
      </c>
      <c r="F463" s="20">
        <v>194</v>
      </c>
      <c r="G463" s="20">
        <v>309</v>
      </c>
      <c r="H463" s="13" t="s">
        <v>2799</v>
      </c>
      <c r="I463" s="13" t="str">
        <f t="shared" si="21"/>
        <v>SR 845/Powerline Rd (Prospect Rd to Commercial Bl)</v>
      </c>
      <c r="J463" s="13" t="s">
        <v>29</v>
      </c>
      <c r="K463" s="13" t="str">
        <f>VLOOKUP(J463,'Data-ProjectTypes'!A$3:B$13,2,FALSE)</f>
        <v>Program</v>
      </c>
      <c r="L463" s="21" t="s">
        <v>348</v>
      </c>
      <c r="M463" s="13" t="s">
        <v>1859</v>
      </c>
      <c r="N463" s="13" t="s">
        <v>1813</v>
      </c>
      <c r="O463" s="13" t="s">
        <v>270</v>
      </c>
      <c r="P463" s="13" t="s">
        <v>270</v>
      </c>
      <c r="Q463" s="22">
        <v>0.5</v>
      </c>
      <c r="R463" s="23">
        <v>119499</v>
      </c>
      <c r="S463" s="11"/>
      <c r="T463" s="11"/>
      <c r="U463" s="11"/>
      <c r="V463" s="11"/>
      <c r="W463" s="11"/>
      <c r="X463" s="11"/>
      <c r="Y463" s="17"/>
      <c r="Z463" s="18">
        <f>ROUND(R463*'Data-CostAssumptions'!$C$3,-3)</f>
        <v>165000</v>
      </c>
      <c r="AA463" s="11">
        <f t="shared" si="22"/>
        <v>0</v>
      </c>
      <c r="AB463" s="11">
        <v>2041</v>
      </c>
      <c r="AC463" s="11">
        <v>2041</v>
      </c>
      <c r="AD463" s="11">
        <v>2041</v>
      </c>
      <c r="AE463" s="19">
        <f>ROUND((Z463*'Data-CostAssumptions'!$G$5)*(1+'Data-CostAssumptions'!$G$3)^(AB463-'Data-CostAssumptions'!$G$4),-3)</f>
        <v>93000</v>
      </c>
      <c r="AF463" s="19">
        <f>ROUND((Z463)*(1+'Data-CostAssumptions'!$G$3)^(AD463-'Data-CostAssumptions'!$G$4),-3)</f>
        <v>423000</v>
      </c>
      <c r="AG463" s="170" t="str">
        <f t="shared" si="23"/>
        <v>No</v>
      </c>
    </row>
    <row r="464" spans="1:33" ht="15" customHeight="1" x14ac:dyDescent="0.2">
      <c r="A464" s="11"/>
      <c r="B464" s="11" t="s">
        <v>1211</v>
      </c>
      <c r="C464" s="13">
        <v>893</v>
      </c>
      <c r="D464" s="13" t="s">
        <v>420</v>
      </c>
      <c r="E464" s="20">
        <v>75</v>
      </c>
      <c r="F464" s="20">
        <v>192</v>
      </c>
      <c r="G464" s="20">
        <v>270</v>
      </c>
      <c r="H464" s="13" t="s">
        <v>2026</v>
      </c>
      <c r="I464" s="13" t="str">
        <f t="shared" si="21"/>
        <v>NE 18th Av (NW 62nd St/Cypress Creek Rd to McNab Rd)</v>
      </c>
      <c r="J464" s="13" t="s">
        <v>29</v>
      </c>
      <c r="K464" s="13" t="str">
        <f>VLOOKUP(J464,'Data-ProjectTypes'!A$3:B$13,2,FALSE)</f>
        <v>Program</v>
      </c>
      <c r="L464" s="21" t="s">
        <v>348</v>
      </c>
      <c r="M464" s="13" t="s">
        <v>1928</v>
      </c>
      <c r="N464" s="13" t="s">
        <v>1854</v>
      </c>
      <c r="O464" s="13" t="s">
        <v>272</v>
      </c>
      <c r="P464" s="13" t="s">
        <v>272</v>
      </c>
      <c r="Q464" s="22">
        <v>0.5</v>
      </c>
      <c r="R464" s="23">
        <v>117932</v>
      </c>
      <c r="S464" s="21"/>
      <c r="T464" s="21"/>
      <c r="U464" s="21"/>
      <c r="V464" s="24"/>
      <c r="W464" s="24"/>
      <c r="X464" s="28"/>
      <c r="Y464" s="17"/>
      <c r="Z464" s="18">
        <f>ROUND(R464*'Data-CostAssumptions'!$C$3,-3)</f>
        <v>163000</v>
      </c>
      <c r="AA464" s="11">
        <f t="shared" si="22"/>
        <v>0</v>
      </c>
      <c r="AB464" s="11">
        <v>2041</v>
      </c>
      <c r="AC464" s="11">
        <v>2041</v>
      </c>
      <c r="AD464" s="11">
        <v>2041</v>
      </c>
      <c r="AE464" s="19">
        <f>ROUND((Z464*'Data-CostAssumptions'!$G$5)*(1+'Data-CostAssumptions'!$G$3)^(AB464-'Data-CostAssumptions'!$G$4),-3)</f>
        <v>92000</v>
      </c>
      <c r="AF464" s="19">
        <f>ROUND((Z464)*(1+'Data-CostAssumptions'!$G$3)^(AD464-'Data-CostAssumptions'!$G$4),-3)</f>
        <v>418000</v>
      </c>
      <c r="AG464" s="170" t="str">
        <f t="shared" si="23"/>
        <v>No</v>
      </c>
    </row>
    <row r="465" spans="1:33" ht="15" customHeight="1" x14ac:dyDescent="0.2">
      <c r="B465" s="11" t="s">
        <v>1211</v>
      </c>
      <c r="D465" s="84" t="s">
        <v>276</v>
      </c>
      <c r="E465" s="104" t="s">
        <v>1539</v>
      </c>
      <c r="G465" s="20">
        <v>1373</v>
      </c>
      <c r="H465" s="13" t="s">
        <v>1607</v>
      </c>
      <c r="I465" s="13" t="str">
        <f t="shared" si="21"/>
        <v>NE 12TH ST  (NE 11TH ST  to NE FLAGLER DR )</v>
      </c>
      <c r="J465" s="12" t="s">
        <v>29</v>
      </c>
      <c r="K465" s="13" t="str">
        <f>VLOOKUP(J465,'Data-ProjectTypes'!A$3:B$13,2,FALSE)</f>
        <v>Program</v>
      </c>
      <c r="L465" s="12" t="s">
        <v>1667</v>
      </c>
      <c r="M465" s="105" t="s">
        <v>1604</v>
      </c>
      <c r="N465" s="12" t="s">
        <v>1715</v>
      </c>
      <c r="Q465" s="72">
        <v>0.7</v>
      </c>
      <c r="R465" s="23">
        <f>ROUND(Q465*'Data-CostAssumptions'!$C$25,-1)</f>
        <v>117880</v>
      </c>
      <c r="S465" s="21"/>
      <c r="T465" s="21"/>
      <c r="U465" s="21"/>
      <c r="V465" s="24"/>
      <c r="W465" s="24"/>
      <c r="X465" s="24"/>
      <c r="Y465" s="17"/>
      <c r="Z465" s="18">
        <f>ROUND(R465*'Data-CostAssumptions'!$C$3,-3)</f>
        <v>163000</v>
      </c>
      <c r="AA465" s="11">
        <f t="shared" si="22"/>
        <v>0</v>
      </c>
      <c r="AB465" s="11">
        <v>2041</v>
      </c>
      <c r="AC465" s="11">
        <v>2041</v>
      </c>
      <c r="AD465" s="11">
        <v>2041</v>
      </c>
      <c r="AE465" s="19">
        <f>ROUND((Z465*'Data-CostAssumptions'!$G$5)*(1+'Data-CostAssumptions'!$G$3)^(AB465-'Data-CostAssumptions'!$G$4),-3)</f>
        <v>92000</v>
      </c>
      <c r="AF465" s="19">
        <f>ROUND((Z465)*(1+'Data-CostAssumptions'!$G$3)^(AD465-'Data-CostAssumptions'!$G$4),-3)</f>
        <v>418000</v>
      </c>
      <c r="AG465" s="170" t="str">
        <f t="shared" si="23"/>
        <v>No</v>
      </c>
    </row>
    <row r="466" spans="1:33" ht="15" customHeight="1" x14ac:dyDescent="0.2">
      <c r="B466" s="11" t="s">
        <v>1211</v>
      </c>
      <c r="D466" s="84" t="s">
        <v>276</v>
      </c>
      <c r="E466" s="104" t="s">
        <v>1540</v>
      </c>
      <c r="G466" s="20">
        <v>1374</v>
      </c>
      <c r="H466" s="13" t="s">
        <v>1608</v>
      </c>
      <c r="I466" s="13" t="str">
        <f t="shared" si="21"/>
        <v>NE 12TH ST &amp; FLAGLER DR &amp; NE 15TH ST  (NE 18TH Av  to SUNRISE Bl)</v>
      </c>
      <c r="J466" s="12" t="s">
        <v>29</v>
      </c>
      <c r="K466" s="13" t="str">
        <f>VLOOKUP(J466,'Data-ProjectTypes'!A$3:B$13,2,FALSE)</f>
        <v>Program</v>
      </c>
      <c r="L466" s="12" t="s">
        <v>1667</v>
      </c>
      <c r="M466" s="105" t="s">
        <v>2147</v>
      </c>
      <c r="N466" s="12" t="s">
        <v>2002</v>
      </c>
      <c r="Q466" s="72">
        <v>0.7</v>
      </c>
      <c r="R466" s="23">
        <f>ROUND(Q466*'Data-CostAssumptions'!$C$25,-1)</f>
        <v>117880</v>
      </c>
      <c r="S466" s="21"/>
      <c r="T466" s="21"/>
      <c r="U466" s="21"/>
      <c r="V466" s="24"/>
      <c r="W466" s="24"/>
      <c r="X466" s="28" t="s">
        <v>764</v>
      </c>
      <c r="Y466" s="17" t="s">
        <v>765</v>
      </c>
      <c r="Z466" s="18">
        <f>ROUND(R466*'Data-CostAssumptions'!$C$3,-3)</f>
        <v>163000</v>
      </c>
      <c r="AA466" s="11">
        <f t="shared" si="22"/>
        <v>0</v>
      </c>
      <c r="AB466" s="11">
        <v>2041</v>
      </c>
      <c r="AC466" s="11">
        <v>2041</v>
      </c>
      <c r="AD466" s="11">
        <v>2041</v>
      </c>
      <c r="AE466" s="19">
        <f>ROUND((Z466*'Data-CostAssumptions'!$G$5)*(1+'Data-CostAssumptions'!$G$3)^(AB466-'Data-CostAssumptions'!$G$4),-3)</f>
        <v>92000</v>
      </c>
      <c r="AF466" s="19">
        <f>ROUND((Z466)*(1+'Data-CostAssumptions'!$G$3)^(AD466-'Data-CostAssumptions'!$G$4),-3)</f>
        <v>418000</v>
      </c>
      <c r="AG466" s="170" t="str">
        <f t="shared" si="23"/>
        <v>No</v>
      </c>
    </row>
    <row r="467" spans="1:33" ht="15" customHeight="1" x14ac:dyDescent="0.2">
      <c r="B467" s="11" t="s">
        <v>1211</v>
      </c>
      <c r="D467" s="84" t="s">
        <v>276</v>
      </c>
      <c r="E467" s="104" t="s">
        <v>1529</v>
      </c>
      <c r="G467" s="20">
        <v>1426</v>
      </c>
      <c r="H467" s="13" t="s">
        <v>1602</v>
      </c>
      <c r="I467" s="13" t="str">
        <f t="shared" si="21"/>
        <v>NW 5TH ST (W BROWARD Bl  to NW 15TH Av )</v>
      </c>
      <c r="J467" s="12" t="s">
        <v>29</v>
      </c>
      <c r="K467" s="13" t="str">
        <f>VLOOKUP(J467,'Data-ProjectTypes'!A$3:B$13,2,FALSE)</f>
        <v>Program</v>
      </c>
      <c r="L467" s="12" t="s">
        <v>1667</v>
      </c>
      <c r="M467" s="105" t="s">
        <v>2310</v>
      </c>
      <c r="N467" s="12" t="s">
        <v>2161</v>
      </c>
      <c r="Q467" s="72">
        <v>0.7</v>
      </c>
      <c r="R467" s="23">
        <f>ROUND(Q467*'Data-CostAssumptions'!$C$25,-1)</f>
        <v>117880</v>
      </c>
      <c r="S467" s="21"/>
      <c r="T467" s="21"/>
      <c r="U467" s="21"/>
      <c r="V467" s="24"/>
      <c r="W467" s="24"/>
      <c r="X467" s="24" t="s">
        <v>764</v>
      </c>
      <c r="Y467" s="17" t="s">
        <v>765</v>
      </c>
      <c r="Z467" s="18">
        <f>ROUND(R467*'Data-CostAssumptions'!$C$3,-3)</f>
        <v>163000</v>
      </c>
      <c r="AA467" s="11">
        <f t="shared" si="22"/>
        <v>0</v>
      </c>
      <c r="AB467" s="11">
        <v>2041</v>
      </c>
      <c r="AC467" s="11">
        <v>2041</v>
      </c>
      <c r="AD467" s="11">
        <v>2041</v>
      </c>
      <c r="AE467" s="19">
        <f>ROUND((Z467*'Data-CostAssumptions'!$G$5)*(1+'Data-CostAssumptions'!$G$3)^(AB467-'Data-CostAssumptions'!$G$4),-3)</f>
        <v>92000</v>
      </c>
      <c r="AF467" s="19">
        <f>ROUND((Z467)*(1+'Data-CostAssumptions'!$G$3)^(AD467-'Data-CostAssumptions'!$G$4),-3)</f>
        <v>418000</v>
      </c>
      <c r="AG467" s="170" t="str">
        <f t="shared" si="23"/>
        <v>No</v>
      </c>
    </row>
    <row r="468" spans="1:33" ht="15" customHeight="1" x14ac:dyDescent="0.2">
      <c r="B468" s="11" t="s">
        <v>1211</v>
      </c>
      <c r="D468" s="84" t="s">
        <v>276</v>
      </c>
      <c r="E468" s="104" t="s">
        <v>1524</v>
      </c>
      <c r="G468" s="20">
        <v>1504</v>
      </c>
      <c r="H468" s="13" t="s">
        <v>2808</v>
      </c>
      <c r="I468" s="13" t="str">
        <f t="shared" si="21"/>
        <v>SW 4TH Av/CT (DAVIE Bl  to W BROWARD Bl )</v>
      </c>
      <c r="J468" s="12" t="s">
        <v>29</v>
      </c>
      <c r="K468" s="13" t="str">
        <f>VLOOKUP(J468,'Data-ProjectTypes'!A$3:B$13,2,FALSE)</f>
        <v>Program</v>
      </c>
      <c r="L468" s="12" t="s">
        <v>1667</v>
      </c>
      <c r="M468" s="105" t="s">
        <v>2296</v>
      </c>
      <c r="N468" s="12" t="s">
        <v>2310</v>
      </c>
      <c r="Q468" s="72">
        <v>0.7</v>
      </c>
      <c r="R468" s="23">
        <f>ROUND(Q468*'Data-CostAssumptions'!$C$25,-1)</f>
        <v>117880</v>
      </c>
      <c r="S468" s="21"/>
      <c r="T468" s="21"/>
      <c r="U468" s="21"/>
      <c r="V468" s="24"/>
      <c r="W468" s="24"/>
      <c r="X468" s="24"/>
      <c r="Y468" s="17"/>
      <c r="Z468" s="18">
        <f>ROUND(R468*'Data-CostAssumptions'!$C$3,-3)</f>
        <v>163000</v>
      </c>
      <c r="AA468" s="11">
        <f t="shared" si="22"/>
        <v>0</v>
      </c>
      <c r="AB468" s="11">
        <v>2041</v>
      </c>
      <c r="AC468" s="11">
        <v>2041</v>
      </c>
      <c r="AD468" s="11">
        <v>2041</v>
      </c>
      <c r="AE468" s="19">
        <f>ROUND((Z468*'Data-CostAssumptions'!$G$5)*(1+'Data-CostAssumptions'!$G$3)^(AB468-'Data-CostAssumptions'!$G$4),-3)</f>
        <v>92000</v>
      </c>
      <c r="AF468" s="19">
        <f>ROUND((Z468)*(1+'Data-CostAssumptions'!$G$3)^(AD468-'Data-CostAssumptions'!$G$4),-3)</f>
        <v>418000</v>
      </c>
      <c r="AG468" s="170" t="str">
        <f t="shared" si="23"/>
        <v>No</v>
      </c>
    </row>
    <row r="469" spans="1:33" ht="15" customHeight="1" x14ac:dyDescent="0.2">
      <c r="A469" s="11"/>
      <c r="B469" s="11" t="s">
        <v>1211</v>
      </c>
      <c r="C469" s="13">
        <v>882</v>
      </c>
      <c r="D469" s="13" t="s">
        <v>420</v>
      </c>
      <c r="E469" s="20">
        <v>325</v>
      </c>
      <c r="F469" s="20">
        <v>191</v>
      </c>
      <c r="G469" s="20">
        <v>259</v>
      </c>
      <c r="H469" s="13" t="s">
        <v>159</v>
      </c>
      <c r="I469" s="13" t="str">
        <f t="shared" si="21"/>
        <v>Flamingo Rd (Johnson St to Taft St)</v>
      </c>
      <c r="J469" s="13" t="s">
        <v>29</v>
      </c>
      <c r="K469" s="13" t="str">
        <f>VLOOKUP(J469,'Data-ProjectTypes'!A$3:B$13,2,FALSE)</f>
        <v>Program</v>
      </c>
      <c r="L469" s="21" t="s">
        <v>348</v>
      </c>
      <c r="M469" s="13" t="s">
        <v>1880</v>
      </c>
      <c r="N469" s="13" t="s">
        <v>1968</v>
      </c>
      <c r="O469" s="13" t="s">
        <v>271</v>
      </c>
      <c r="P469" s="13" t="s">
        <v>271</v>
      </c>
      <c r="Q469" s="22">
        <v>0.5</v>
      </c>
      <c r="R469" s="23">
        <v>116023</v>
      </c>
      <c r="S469" s="21"/>
      <c r="T469" s="21"/>
      <c r="U469" s="21"/>
      <c r="V469" s="24"/>
      <c r="W469" s="24"/>
      <c r="X469" s="24"/>
      <c r="Y469" s="17"/>
      <c r="Z469" s="18">
        <f>ROUND(R469*'Data-CostAssumptions'!$C$3,-3)</f>
        <v>161000</v>
      </c>
      <c r="AA469" s="11">
        <f t="shared" si="22"/>
        <v>0</v>
      </c>
      <c r="AB469" s="11">
        <v>2041</v>
      </c>
      <c r="AC469" s="11">
        <v>2041</v>
      </c>
      <c r="AD469" s="11">
        <v>2041</v>
      </c>
      <c r="AE469" s="19">
        <f>ROUND((Z469*'Data-CostAssumptions'!$G$5)*(1+'Data-CostAssumptions'!$G$3)^(AB469-'Data-CostAssumptions'!$G$4),-3)</f>
        <v>91000</v>
      </c>
      <c r="AF469" s="19">
        <f>ROUND((Z469)*(1+'Data-CostAssumptions'!$G$3)^(AD469-'Data-CostAssumptions'!$G$4),-3)</f>
        <v>413000</v>
      </c>
      <c r="AG469" s="170" t="str">
        <f t="shared" si="23"/>
        <v>No</v>
      </c>
    </row>
    <row r="470" spans="1:33" ht="15" customHeight="1" x14ac:dyDescent="0.2">
      <c r="A470" s="11"/>
      <c r="B470" s="11" t="s">
        <v>1211</v>
      </c>
      <c r="C470" s="13">
        <v>946</v>
      </c>
      <c r="D470" s="13" t="s">
        <v>420</v>
      </c>
      <c r="E470" s="20">
        <v>298</v>
      </c>
      <c r="F470" s="20">
        <v>195</v>
      </c>
      <c r="G470" s="20">
        <v>321</v>
      </c>
      <c r="H470" s="13" t="s">
        <v>1887</v>
      </c>
      <c r="I470" s="13" t="str">
        <f t="shared" si="21"/>
        <v>NE 26th St (Bayview Dr to US 1/Federal Hwy)</v>
      </c>
      <c r="J470" s="13" t="s">
        <v>29</v>
      </c>
      <c r="K470" s="13" t="str">
        <f>VLOOKUP(J470,'Data-ProjectTypes'!A$3:B$13,2,FALSE)</f>
        <v>Program</v>
      </c>
      <c r="L470" s="21" t="s">
        <v>348</v>
      </c>
      <c r="M470" s="13" t="s">
        <v>1781</v>
      </c>
      <c r="N470" s="13" t="s">
        <v>2594</v>
      </c>
      <c r="O470" s="13" t="s">
        <v>276</v>
      </c>
      <c r="P470" s="13" t="s">
        <v>276</v>
      </c>
      <c r="Q470" s="22">
        <v>0.5</v>
      </c>
      <c r="R470" s="23">
        <v>114942</v>
      </c>
      <c r="S470" s="21" t="s">
        <v>24</v>
      </c>
      <c r="T470" s="21" t="s">
        <v>684</v>
      </c>
      <c r="U470" s="21" t="s">
        <v>684</v>
      </c>
      <c r="V470" s="24"/>
      <c r="W470" s="24"/>
      <c r="X470" s="24"/>
      <c r="Y470" s="17" t="s">
        <v>685</v>
      </c>
      <c r="Z470" s="18">
        <f>ROUND(R470*'Data-CostAssumptions'!$C$3,-3)</f>
        <v>159000</v>
      </c>
      <c r="AA470" s="11">
        <f t="shared" si="22"/>
        <v>0</v>
      </c>
      <c r="AB470" s="11">
        <v>2041</v>
      </c>
      <c r="AC470" s="11">
        <v>2041</v>
      </c>
      <c r="AD470" s="11">
        <v>2041</v>
      </c>
      <c r="AE470" s="19">
        <f>ROUND((Z470*'Data-CostAssumptions'!$G$5)*(1+'Data-CostAssumptions'!$G$3)^(AB470-'Data-CostAssumptions'!$G$4),-3)</f>
        <v>90000</v>
      </c>
      <c r="AF470" s="19">
        <f>ROUND((Z470)*(1+'Data-CostAssumptions'!$G$3)^(AD470-'Data-CostAssumptions'!$G$4),-3)</f>
        <v>408000</v>
      </c>
      <c r="AG470" s="170" t="str">
        <f t="shared" si="23"/>
        <v>No</v>
      </c>
    </row>
    <row r="471" spans="1:33" ht="15" customHeight="1" x14ac:dyDescent="0.2">
      <c r="A471" s="11"/>
      <c r="B471" s="11" t="s">
        <v>1211</v>
      </c>
      <c r="C471" s="13">
        <v>793</v>
      </c>
      <c r="D471" s="13" t="s">
        <v>420</v>
      </c>
      <c r="E471" s="20">
        <v>56</v>
      </c>
      <c r="F471" s="20">
        <v>186</v>
      </c>
      <c r="G471" s="20">
        <v>169</v>
      </c>
      <c r="H471" s="13" t="s">
        <v>2083</v>
      </c>
      <c r="I471" s="13" t="str">
        <f t="shared" si="21"/>
        <v>Palm Av (Pines Bl to Johnson St)</v>
      </c>
      <c r="J471" s="13" t="s">
        <v>29</v>
      </c>
      <c r="K471" s="13" t="str">
        <f>VLOOKUP(J471,'Data-ProjectTypes'!A$3:B$13,2,FALSE)</f>
        <v>Program</v>
      </c>
      <c r="L471" s="21" t="s">
        <v>348</v>
      </c>
      <c r="M471" s="13" t="s">
        <v>1826</v>
      </c>
      <c r="N471" s="13" t="s">
        <v>1880</v>
      </c>
      <c r="O471" s="13" t="s">
        <v>270</v>
      </c>
      <c r="P471" s="13" t="s">
        <v>270</v>
      </c>
      <c r="Q471" s="22">
        <v>0.5</v>
      </c>
      <c r="R471" s="23">
        <v>113823</v>
      </c>
      <c r="S471" s="21" t="s">
        <v>24</v>
      </c>
      <c r="T471" s="21" t="s">
        <v>25</v>
      </c>
      <c r="U471" s="21" t="s">
        <v>24</v>
      </c>
      <c r="V471" s="24" t="s">
        <v>561</v>
      </c>
      <c r="W471" s="24"/>
      <c r="X471" s="24"/>
      <c r="Y471" s="17" t="s">
        <v>538</v>
      </c>
      <c r="Z471" s="18">
        <f>ROUND(R471*'Data-CostAssumptions'!$C$3,-3)</f>
        <v>158000</v>
      </c>
      <c r="AA471" s="11">
        <f t="shared" si="22"/>
        <v>1</v>
      </c>
      <c r="AB471" s="11">
        <v>2041</v>
      </c>
      <c r="AC471" s="11">
        <v>2041</v>
      </c>
      <c r="AD471" s="11">
        <v>2041</v>
      </c>
      <c r="AE471" s="19">
        <f>ROUND((Z471*'Data-CostAssumptions'!$G$5)*(1+'Data-CostAssumptions'!$G$3)^(AB471-'Data-CostAssumptions'!$G$4),-3)</f>
        <v>89000</v>
      </c>
      <c r="AF471" s="19">
        <f>ROUND((Z471)*(1+'Data-CostAssumptions'!$G$3)^(AD471-'Data-CostAssumptions'!$G$4),-3)</f>
        <v>405000</v>
      </c>
      <c r="AG471" s="170" t="str">
        <f t="shared" si="23"/>
        <v>No</v>
      </c>
    </row>
    <row r="472" spans="1:33" ht="15" customHeight="1" x14ac:dyDescent="0.2">
      <c r="A472" s="11"/>
      <c r="B472" s="11" t="s">
        <v>1211</v>
      </c>
      <c r="C472" s="13">
        <v>822</v>
      </c>
      <c r="D472" s="13" t="s">
        <v>420</v>
      </c>
      <c r="E472" s="20">
        <v>236</v>
      </c>
      <c r="F472" s="20">
        <v>188</v>
      </c>
      <c r="G472" s="20">
        <v>198</v>
      </c>
      <c r="H472" s="13" t="s">
        <v>2209</v>
      </c>
      <c r="I472" s="13" t="str">
        <f t="shared" si="21"/>
        <v>SR 5/ US 1 (SE 7th St to Atlantic Bl)</v>
      </c>
      <c r="J472" s="13" t="s">
        <v>29</v>
      </c>
      <c r="K472" s="13" t="str">
        <f>VLOOKUP(J472,'Data-ProjectTypes'!A$3:B$13,2,FALSE)</f>
        <v>Program</v>
      </c>
      <c r="L472" s="21" t="s">
        <v>348</v>
      </c>
      <c r="M472" s="13" t="s">
        <v>2478</v>
      </c>
      <c r="N472" s="13" t="s">
        <v>1809</v>
      </c>
      <c r="O472" s="13" t="s">
        <v>270</v>
      </c>
      <c r="P472" s="13" t="s">
        <v>270</v>
      </c>
      <c r="Q472" s="22">
        <v>0.5</v>
      </c>
      <c r="R472" s="23">
        <v>113514</v>
      </c>
      <c r="S472" s="21"/>
      <c r="T472" s="21"/>
      <c r="U472" s="21"/>
      <c r="V472" s="24"/>
      <c r="W472" s="24"/>
      <c r="X472" s="24"/>
      <c r="Y472" s="17"/>
      <c r="Z472" s="18">
        <f>ROUND(R472*'Data-CostAssumptions'!$C$3,-3)</f>
        <v>157000</v>
      </c>
      <c r="AA472" s="11">
        <f t="shared" si="22"/>
        <v>0</v>
      </c>
      <c r="AB472" s="11">
        <v>2041</v>
      </c>
      <c r="AC472" s="11">
        <v>2041</v>
      </c>
      <c r="AD472" s="11">
        <v>2041</v>
      </c>
      <c r="AE472" s="19">
        <f>ROUND((Z472*'Data-CostAssumptions'!$G$5)*(1+'Data-CostAssumptions'!$G$3)^(AB472-'Data-CostAssumptions'!$G$4),-3)</f>
        <v>89000</v>
      </c>
      <c r="AF472" s="19">
        <f>ROUND((Z472)*(1+'Data-CostAssumptions'!$G$3)^(AD472-'Data-CostAssumptions'!$G$4),-3)</f>
        <v>403000</v>
      </c>
      <c r="AG472" s="170" t="str">
        <f t="shared" si="23"/>
        <v>No</v>
      </c>
    </row>
    <row r="473" spans="1:33" ht="15" customHeight="1" x14ac:dyDescent="0.2">
      <c r="A473" s="11"/>
      <c r="B473" s="11" t="s">
        <v>1211</v>
      </c>
      <c r="C473" s="13">
        <v>859</v>
      </c>
      <c r="D473" s="13" t="s">
        <v>420</v>
      </c>
      <c r="E473" s="20">
        <v>140</v>
      </c>
      <c r="F473" s="20">
        <v>190</v>
      </c>
      <c r="G473" s="20">
        <v>236</v>
      </c>
      <c r="H473" s="13" t="s">
        <v>2072</v>
      </c>
      <c r="I473" s="13" t="str">
        <f t="shared" si="21"/>
        <v>NW 56th Av (NW 19th St to Blueberry Court)</v>
      </c>
      <c r="J473" s="13" t="s">
        <v>29</v>
      </c>
      <c r="K473" s="13" t="str">
        <f>VLOOKUP(J473,'Data-ProjectTypes'!A$3:B$13,2,FALSE)</f>
        <v>Program</v>
      </c>
      <c r="L473" s="21" t="s">
        <v>348</v>
      </c>
      <c r="M473" s="13" t="s">
        <v>1911</v>
      </c>
      <c r="N473" s="13" t="s">
        <v>174</v>
      </c>
      <c r="O473" s="13" t="s">
        <v>281</v>
      </c>
      <c r="P473" s="13" t="s">
        <v>281</v>
      </c>
      <c r="Q473" s="22">
        <v>0.5</v>
      </c>
      <c r="R473" s="23">
        <v>109850</v>
      </c>
      <c r="S473" s="21"/>
      <c r="T473" s="21"/>
      <c r="U473" s="21"/>
      <c r="V473" s="24"/>
      <c r="W473" s="24"/>
      <c r="X473" s="24"/>
      <c r="Y473" s="17"/>
      <c r="Z473" s="18">
        <f>ROUND(R473*'Data-CostAssumptions'!$C$3,-3)</f>
        <v>152000</v>
      </c>
      <c r="AA473" s="11">
        <f t="shared" si="22"/>
        <v>0</v>
      </c>
      <c r="AB473" s="11">
        <v>2041</v>
      </c>
      <c r="AC473" s="11">
        <v>2041</v>
      </c>
      <c r="AD473" s="11">
        <v>2041</v>
      </c>
      <c r="AE473" s="19">
        <f>ROUND((Z473*'Data-CostAssumptions'!$G$5)*(1+'Data-CostAssumptions'!$G$3)^(AB473-'Data-CostAssumptions'!$G$4),-3)</f>
        <v>86000</v>
      </c>
      <c r="AF473" s="19">
        <f>ROUND((Z473)*(1+'Data-CostAssumptions'!$G$3)^(AD473-'Data-CostAssumptions'!$G$4),-3)</f>
        <v>390000</v>
      </c>
      <c r="AG473" s="170" t="str">
        <f t="shared" si="23"/>
        <v>No</v>
      </c>
    </row>
    <row r="474" spans="1:33" ht="15" customHeight="1" x14ac:dyDescent="0.2">
      <c r="A474" s="11"/>
      <c r="B474" s="11" t="s">
        <v>1211</v>
      </c>
      <c r="C474" s="13">
        <v>891</v>
      </c>
      <c r="D474" s="13" t="s">
        <v>420</v>
      </c>
      <c r="E474" s="20">
        <v>52</v>
      </c>
      <c r="F474" s="20">
        <v>192</v>
      </c>
      <c r="G474" s="20">
        <v>268</v>
      </c>
      <c r="H474" s="13" t="s">
        <v>2784</v>
      </c>
      <c r="I474" s="13" t="str">
        <f t="shared" si="21"/>
        <v>SR 818/Griffin Rd (I-75 to Weston Rd/Dykes Rd)</v>
      </c>
      <c r="J474" s="13" t="s">
        <v>29</v>
      </c>
      <c r="K474" s="13" t="str">
        <f>VLOOKUP(J474,'Data-ProjectTypes'!A$3:B$13,2,FALSE)</f>
        <v>Program</v>
      </c>
      <c r="L474" s="21" t="s">
        <v>348</v>
      </c>
      <c r="M474" s="13" t="s">
        <v>31</v>
      </c>
      <c r="N474" s="13" t="s">
        <v>2413</v>
      </c>
      <c r="O474" s="13" t="s">
        <v>273</v>
      </c>
      <c r="P474" s="13" t="s">
        <v>273</v>
      </c>
      <c r="Q474" s="22">
        <v>0.5</v>
      </c>
      <c r="R474" s="23">
        <v>108752</v>
      </c>
      <c r="S474" s="21"/>
      <c r="T474" s="21"/>
      <c r="U474" s="21"/>
      <c r="V474" s="24"/>
      <c r="W474" s="24"/>
      <c r="X474" s="24"/>
      <c r="Y474" s="17"/>
      <c r="Z474" s="18">
        <f>ROUND(R474*'Data-CostAssumptions'!$C$3,-3)</f>
        <v>151000</v>
      </c>
      <c r="AA474" s="11">
        <f t="shared" si="22"/>
        <v>0</v>
      </c>
      <c r="AB474" s="11">
        <v>2041</v>
      </c>
      <c r="AC474" s="11">
        <v>2041</v>
      </c>
      <c r="AD474" s="11">
        <v>2041</v>
      </c>
      <c r="AE474" s="19">
        <f>ROUND((Z474*'Data-CostAssumptions'!$G$5)*(1+'Data-CostAssumptions'!$G$3)^(AB474-'Data-CostAssumptions'!$G$4),-3)</f>
        <v>85000</v>
      </c>
      <c r="AF474" s="19">
        <f>ROUND((Z474)*(1+'Data-CostAssumptions'!$G$3)^(AD474-'Data-CostAssumptions'!$G$4),-3)</f>
        <v>387000</v>
      </c>
      <c r="AG474" s="170" t="str">
        <f t="shared" si="23"/>
        <v>No</v>
      </c>
    </row>
    <row r="475" spans="1:33" ht="15" customHeight="1" x14ac:dyDescent="0.2">
      <c r="A475" s="11"/>
      <c r="B475" s="11" t="s">
        <v>1211</v>
      </c>
      <c r="C475" s="11"/>
      <c r="D475" s="84" t="s">
        <v>276</v>
      </c>
      <c r="E475" s="14">
        <v>5</v>
      </c>
      <c r="F475" s="14"/>
      <c r="G475" s="20">
        <v>1331</v>
      </c>
      <c r="H475" s="13" t="s">
        <v>1781</v>
      </c>
      <c r="I475" s="13" t="str">
        <f t="shared" si="21"/>
        <v>Bayview Dr (OAKLAND PARK Bl/SR 816 to US 1/SR 5)</v>
      </c>
      <c r="J475" s="11" t="s">
        <v>29</v>
      </c>
      <c r="K475" s="13" t="str">
        <f>VLOOKUP(J475,'Data-ProjectTypes'!A$3:B$13,2,FALSE)</f>
        <v>Program</v>
      </c>
      <c r="L475" s="11" t="s">
        <v>1260</v>
      </c>
      <c r="M475" s="106" t="s">
        <v>2293</v>
      </c>
      <c r="N475" s="84" t="s">
        <v>1422</v>
      </c>
      <c r="O475" s="11"/>
      <c r="P475" s="11"/>
      <c r="Q475" s="107">
        <v>2.7</v>
      </c>
      <c r="R475" s="23">
        <v>108000</v>
      </c>
      <c r="S475" s="21"/>
      <c r="T475" s="21"/>
      <c r="U475" s="21"/>
      <c r="V475" s="24"/>
      <c r="W475" s="24"/>
      <c r="X475" s="24"/>
      <c r="Y475" s="17"/>
      <c r="Z475" s="18">
        <f>ROUND(R475*'Data-CostAssumptions'!$C$3,-3)</f>
        <v>149000</v>
      </c>
      <c r="AA475" s="11">
        <f t="shared" si="22"/>
        <v>0</v>
      </c>
      <c r="AB475" s="11">
        <v>2041</v>
      </c>
      <c r="AC475" s="11">
        <v>2041</v>
      </c>
      <c r="AD475" s="11">
        <v>2041</v>
      </c>
      <c r="AE475" s="19">
        <f>ROUND((Z475*'Data-CostAssumptions'!$G$5)*(1+'Data-CostAssumptions'!$G$3)^(AB475-'Data-CostAssumptions'!$G$4),-3)</f>
        <v>84000</v>
      </c>
      <c r="AF475" s="19">
        <f>ROUND((Z475)*(1+'Data-CostAssumptions'!$G$3)^(AD475-'Data-CostAssumptions'!$G$4),-3)</f>
        <v>382000</v>
      </c>
      <c r="AG475" s="170" t="str">
        <f t="shared" si="23"/>
        <v>No</v>
      </c>
    </row>
    <row r="476" spans="1:33" ht="15" customHeight="1" x14ac:dyDescent="0.2">
      <c r="A476" s="11"/>
      <c r="B476" s="11" t="s">
        <v>1211</v>
      </c>
      <c r="C476" s="11"/>
      <c r="D476" s="84" t="s">
        <v>276</v>
      </c>
      <c r="E476" s="14">
        <v>6</v>
      </c>
      <c r="F476" s="14"/>
      <c r="G476" s="20">
        <v>1332</v>
      </c>
      <c r="H476" s="13" t="s">
        <v>1781</v>
      </c>
      <c r="I476" s="13" t="str">
        <f t="shared" si="21"/>
        <v>Bayview Dr (SUNRISE Bl/SR 838 to OAKLAND PARK Bl/SR 816)</v>
      </c>
      <c r="J476" s="11" t="s">
        <v>29</v>
      </c>
      <c r="K476" s="13" t="str">
        <f>VLOOKUP(J476,'Data-ProjectTypes'!A$3:B$13,2,FALSE)</f>
        <v>Program</v>
      </c>
      <c r="L476" s="11" t="s">
        <v>1254</v>
      </c>
      <c r="M476" s="106" t="s">
        <v>2305</v>
      </c>
      <c r="N476" s="84" t="s">
        <v>2293</v>
      </c>
      <c r="O476" s="11"/>
      <c r="P476" s="11"/>
      <c r="Q476" s="107">
        <v>2.2000000000000002</v>
      </c>
      <c r="R476" s="23">
        <v>108000</v>
      </c>
      <c r="S476" s="21" t="s">
        <v>24</v>
      </c>
      <c r="T476" s="21" t="s">
        <v>25</v>
      </c>
      <c r="U476" s="21"/>
      <c r="V476" s="24"/>
      <c r="W476" s="24"/>
      <c r="X476" s="24"/>
      <c r="Y476" s="17" t="s">
        <v>469</v>
      </c>
      <c r="Z476" s="18">
        <f>ROUND(R476*'Data-CostAssumptions'!$C$3,-3)</f>
        <v>149000</v>
      </c>
      <c r="AA476" s="11">
        <f t="shared" si="22"/>
        <v>0</v>
      </c>
      <c r="AB476" s="11">
        <v>2041</v>
      </c>
      <c r="AC476" s="11">
        <v>2041</v>
      </c>
      <c r="AD476" s="11">
        <v>2041</v>
      </c>
      <c r="AE476" s="19">
        <f>ROUND((Z476*'Data-CostAssumptions'!$G$5)*(1+'Data-CostAssumptions'!$G$3)^(AB476-'Data-CostAssumptions'!$G$4),-3)</f>
        <v>84000</v>
      </c>
      <c r="AF476" s="19">
        <f>ROUND((Z476)*(1+'Data-CostAssumptions'!$G$3)^(AD476-'Data-CostAssumptions'!$G$4),-3)</f>
        <v>382000</v>
      </c>
      <c r="AG476" s="170" t="str">
        <f t="shared" si="23"/>
        <v>No</v>
      </c>
    </row>
    <row r="477" spans="1:33" ht="15" customHeight="1" x14ac:dyDescent="0.2">
      <c r="A477" s="11"/>
      <c r="B477" s="11" t="s">
        <v>1211</v>
      </c>
      <c r="C477" s="13">
        <v>797</v>
      </c>
      <c r="D477" s="13" t="s">
        <v>420</v>
      </c>
      <c r="E477" s="20">
        <v>78</v>
      </c>
      <c r="F477" s="20">
        <v>186</v>
      </c>
      <c r="G477" s="20">
        <v>173</v>
      </c>
      <c r="H477" s="13" t="s">
        <v>1842</v>
      </c>
      <c r="I477" s="13" t="str">
        <f t="shared" si="21"/>
        <v>Cypress Creek Rd (Andrews Av to SR 845 / Powerline Rd)</v>
      </c>
      <c r="J477" s="13" t="s">
        <v>29</v>
      </c>
      <c r="K477" s="13" t="str">
        <f>VLOOKUP(J477,'Data-ProjectTypes'!A$3:B$13,2,FALSE)</f>
        <v>Program</v>
      </c>
      <c r="L477" s="21" t="s">
        <v>348</v>
      </c>
      <c r="M477" s="13" t="s">
        <v>2014</v>
      </c>
      <c r="N477" s="13" t="s">
        <v>2210</v>
      </c>
      <c r="O477" s="13" t="s">
        <v>273</v>
      </c>
      <c r="P477" s="13" t="s">
        <v>273</v>
      </c>
      <c r="Q477" s="22">
        <v>0.4</v>
      </c>
      <c r="R477" s="23">
        <v>101532</v>
      </c>
      <c r="S477" s="21"/>
      <c r="T477" s="21"/>
      <c r="U477" s="21"/>
      <c r="V477" s="24"/>
      <c r="W477" s="24"/>
      <c r="X477" s="24"/>
      <c r="Y477" s="17"/>
      <c r="Z477" s="18">
        <f>ROUND(R477*'Data-CostAssumptions'!$C$3,-3)</f>
        <v>141000</v>
      </c>
      <c r="AA477" s="11">
        <f t="shared" si="22"/>
        <v>0</v>
      </c>
      <c r="AB477" s="11">
        <v>2041</v>
      </c>
      <c r="AC477" s="11">
        <v>2041</v>
      </c>
      <c r="AD477" s="11">
        <v>2041</v>
      </c>
      <c r="AE477" s="19">
        <f>ROUND((Z477*'Data-CostAssumptions'!$G$5)*(1+'Data-CostAssumptions'!$G$3)^(AB477-'Data-CostAssumptions'!$G$4),-3)</f>
        <v>80000</v>
      </c>
      <c r="AF477" s="19">
        <f>ROUND((Z477)*(1+'Data-CostAssumptions'!$G$3)^(AD477-'Data-CostAssumptions'!$G$4),-3)</f>
        <v>362000</v>
      </c>
      <c r="AG477" s="170" t="str">
        <f t="shared" si="23"/>
        <v>No</v>
      </c>
    </row>
    <row r="478" spans="1:33" ht="15" customHeight="1" x14ac:dyDescent="0.2">
      <c r="B478" s="11" t="s">
        <v>1211</v>
      </c>
      <c r="D478" s="84" t="s">
        <v>276</v>
      </c>
      <c r="E478" s="104" t="s">
        <v>1492</v>
      </c>
      <c r="G478" s="20">
        <v>1330</v>
      </c>
      <c r="H478" s="13" t="s">
        <v>2695</v>
      </c>
      <c r="I478" s="13" t="str">
        <f t="shared" si="21"/>
        <v>Bayshore Dr (RIOMAR ST  to VISTAMAR ST )</v>
      </c>
      <c r="J478" s="12" t="s">
        <v>29</v>
      </c>
      <c r="K478" s="13" t="str">
        <f>VLOOKUP(J478,'Data-ProjectTypes'!A$3:B$13,2,FALSE)</f>
        <v>Program</v>
      </c>
      <c r="L478" s="12" t="s">
        <v>1667</v>
      </c>
      <c r="M478" s="105" t="s">
        <v>1588</v>
      </c>
      <c r="N478" s="12" t="s">
        <v>1586</v>
      </c>
      <c r="Q478" s="72">
        <v>0.6</v>
      </c>
      <c r="R478" s="23">
        <f>ROUND(Q478*'Data-CostAssumptions'!$C$25,-1)</f>
        <v>101040</v>
      </c>
      <c r="S478" s="21"/>
      <c r="T478" s="21"/>
      <c r="U478" s="21"/>
      <c r="V478" s="24"/>
      <c r="W478" s="24"/>
      <c r="X478" s="24"/>
      <c r="Y478" s="17"/>
      <c r="Z478" s="18">
        <f>ROUND(R478*'Data-CostAssumptions'!$C$3,-3)</f>
        <v>140000</v>
      </c>
      <c r="AA478" s="11">
        <f t="shared" si="22"/>
        <v>0</v>
      </c>
      <c r="AB478" s="11">
        <v>2041</v>
      </c>
      <c r="AC478" s="11">
        <v>2041</v>
      </c>
      <c r="AD478" s="11">
        <v>2041</v>
      </c>
      <c r="AE478" s="19">
        <f>ROUND((Z478*'Data-CostAssumptions'!$G$5)*(1+'Data-CostAssumptions'!$G$3)^(AB478-'Data-CostAssumptions'!$G$4),-3)</f>
        <v>79000</v>
      </c>
      <c r="AF478" s="19">
        <f>ROUND((Z478)*(1+'Data-CostAssumptions'!$G$3)^(AD478-'Data-CostAssumptions'!$G$4),-3)</f>
        <v>359000</v>
      </c>
      <c r="AG478" s="170" t="str">
        <f t="shared" si="23"/>
        <v>No</v>
      </c>
    </row>
    <row r="479" spans="1:33" ht="15" customHeight="1" x14ac:dyDescent="0.2">
      <c r="B479" s="11" t="s">
        <v>1211</v>
      </c>
      <c r="D479" s="84" t="s">
        <v>276</v>
      </c>
      <c r="E479" s="104" t="s">
        <v>1518</v>
      </c>
      <c r="G479" s="20">
        <v>1356</v>
      </c>
      <c r="H479" s="13" t="s">
        <v>2820</v>
      </c>
      <c r="I479" s="13" t="str">
        <f t="shared" si="21"/>
        <v>Florida Av (Indiana Av to E/W CAMPUS CIR)</v>
      </c>
      <c r="J479" s="12" t="s">
        <v>29</v>
      </c>
      <c r="K479" s="13" t="str">
        <f>VLOOKUP(J479,'Data-ProjectTypes'!A$3:B$13,2,FALSE)</f>
        <v>Program</v>
      </c>
      <c r="L479" s="12" t="s">
        <v>1667</v>
      </c>
      <c r="M479" s="105" t="s">
        <v>2818</v>
      </c>
      <c r="N479" s="12" t="s">
        <v>1598</v>
      </c>
      <c r="Q479" s="72">
        <v>0.6</v>
      </c>
      <c r="R479" s="23">
        <f>ROUND(Q479*'Data-CostAssumptions'!$C$25,-1)</f>
        <v>101040</v>
      </c>
      <c r="S479" s="21"/>
      <c r="T479" s="21"/>
      <c r="U479" s="21"/>
      <c r="V479" s="24"/>
      <c r="W479" s="24"/>
      <c r="X479" s="24"/>
      <c r="Y479" s="17"/>
      <c r="Z479" s="18">
        <f>ROUND(R479*'Data-CostAssumptions'!$C$3,-3)</f>
        <v>140000</v>
      </c>
      <c r="AA479" s="11">
        <f t="shared" si="22"/>
        <v>0</v>
      </c>
      <c r="AB479" s="11">
        <v>2041</v>
      </c>
      <c r="AC479" s="11">
        <v>2041</v>
      </c>
      <c r="AD479" s="11">
        <v>2041</v>
      </c>
      <c r="AE479" s="19">
        <f>ROUND((Z479*'Data-CostAssumptions'!$G$5)*(1+'Data-CostAssumptions'!$G$3)^(AB479-'Data-CostAssumptions'!$G$4),-3)</f>
        <v>79000</v>
      </c>
      <c r="AF479" s="19">
        <f>ROUND((Z479)*(1+'Data-CostAssumptions'!$G$3)^(AD479-'Data-CostAssumptions'!$G$4),-3)</f>
        <v>359000</v>
      </c>
      <c r="AG479" s="170" t="str">
        <f t="shared" si="23"/>
        <v>No</v>
      </c>
    </row>
    <row r="480" spans="1:33" ht="15" customHeight="1" x14ac:dyDescent="0.2">
      <c r="B480" s="11" t="s">
        <v>1211</v>
      </c>
      <c r="D480" s="84" t="s">
        <v>276</v>
      </c>
      <c r="E480" s="104" t="s">
        <v>1516</v>
      </c>
      <c r="G480" s="20">
        <v>1359</v>
      </c>
      <c r="H480" s="13" t="s">
        <v>2818</v>
      </c>
      <c r="I480" s="13" t="str">
        <f t="shared" si="21"/>
        <v>Indiana Av (SW 31ST Av  to DAVIE Bl )</v>
      </c>
      <c r="J480" s="12" t="s">
        <v>29</v>
      </c>
      <c r="K480" s="13" t="str">
        <f>VLOOKUP(J480,'Data-ProjectTypes'!A$3:B$13,2,FALSE)</f>
        <v>Program</v>
      </c>
      <c r="L480" s="12" t="s">
        <v>1667</v>
      </c>
      <c r="M480" s="105" t="s">
        <v>2610</v>
      </c>
      <c r="N480" s="12" t="s">
        <v>2296</v>
      </c>
      <c r="Q480" s="72">
        <v>0.6</v>
      </c>
      <c r="R480" s="23">
        <f>ROUND(Q480*'Data-CostAssumptions'!$C$25,-1)</f>
        <v>101040</v>
      </c>
      <c r="S480" s="21"/>
      <c r="T480" s="21"/>
      <c r="U480" s="21"/>
      <c r="V480" s="24"/>
      <c r="W480" s="24"/>
      <c r="X480" s="24"/>
      <c r="Y480" s="17"/>
      <c r="Z480" s="18">
        <f>ROUND(R480*'Data-CostAssumptions'!$C$3,-3)</f>
        <v>140000</v>
      </c>
      <c r="AA480" s="11">
        <f t="shared" si="22"/>
        <v>0</v>
      </c>
      <c r="AB480" s="11">
        <v>2041</v>
      </c>
      <c r="AC480" s="11">
        <v>2041</v>
      </c>
      <c r="AD480" s="11">
        <v>2041</v>
      </c>
      <c r="AE480" s="19">
        <f>ROUND((Z480*'Data-CostAssumptions'!$G$5)*(1+'Data-CostAssumptions'!$G$3)^(AB480-'Data-CostAssumptions'!$G$4),-3)</f>
        <v>79000</v>
      </c>
      <c r="AF480" s="19">
        <f>ROUND((Z480)*(1+'Data-CostAssumptions'!$G$3)^(AD480-'Data-CostAssumptions'!$G$4),-3)</f>
        <v>359000</v>
      </c>
      <c r="AG480" s="170" t="str">
        <f t="shared" si="23"/>
        <v>No</v>
      </c>
    </row>
    <row r="481" spans="1:33" ht="15" customHeight="1" x14ac:dyDescent="0.2">
      <c r="B481" s="11" t="s">
        <v>1211</v>
      </c>
      <c r="D481" s="84" t="s">
        <v>276</v>
      </c>
      <c r="E481" s="104" t="s">
        <v>1498</v>
      </c>
      <c r="G481" s="20">
        <v>1365</v>
      </c>
      <c r="H481" s="13" t="s">
        <v>2864</v>
      </c>
      <c r="I481" s="13" t="str">
        <f t="shared" si="21"/>
        <v>Mayan Dr (@  Ft. Lauderdale Bch Park Entrance)</v>
      </c>
      <c r="J481" s="12" t="s">
        <v>29</v>
      </c>
      <c r="K481" s="13" t="str">
        <f>VLOOKUP(J481,'Data-ProjectTypes'!A$3:B$13,2,FALSE)</f>
        <v>Program</v>
      </c>
      <c r="L481" s="12" t="s">
        <v>1667</v>
      </c>
      <c r="M481" s="108" t="s">
        <v>2835</v>
      </c>
      <c r="N481" s="12" t="s">
        <v>2865</v>
      </c>
      <c r="Q481" s="72">
        <v>0.6</v>
      </c>
      <c r="R481" s="23">
        <f>ROUND(Q481*'Data-CostAssumptions'!$C$25,-1)</f>
        <v>101040</v>
      </c>
      <c r="S481" s="21"/>
      <c r="T481" s="21"/>
      <c r="U481" s="21"/>
      <c r="V481" s="24"/>
      <c r="W481" s="24"/>
      <c r="X481" s="24"/>
      <c r="Y481" s="17"/>
      <c r="Z481" s="18">
        <f>ROUND(R481*'Data-CostAssumptions'!$C$3,-3)</f>
        <v>140000</v>
      </c>
      <c r="AA481" s="11">
        <f t="shared" si="22"/>
        <v>0</v>
      </c>
      <c r="AB481" s="11">
        <v>2041</v>
      </c>
      <c r="AC481" s="11">
        <v>2041</v>
      </c>
      <c r="AD481" s="11">
        <v>2041</v>
      </c>
      <c r="AE481" s="19">
        <f>ROUND((Z481*'Data-CostAssumptions'!$G$5)*(1+'Data-CostAssumptions'!$G$3)^(AB481-'Data-CostAssumptions'!$G$4),-3)</f>
        <v>79000</v>
      </c>
      <c r="AF481" s="19">
        <f>ROUND((Z481)*(1+'Data-CostAssumptions'!$G$3)^(AD481-'Data-CostAssumptions'!$G$4),-3)</f>
        <v>359000</v>
      </c>
      <c r="AG481" s="170" t="str">
        <f t="shared" si="23"/>
        <v>No</v>
      </c>
    </row>
    <row r="482" spans="1:33" ht="15" customHeight="1" x14ac:dyDescent="0.2">
      <c r="B482" s="11" t="s">
        <v>1211</v>
      </c>
      <c r="D482" s="84" t="s">
        <v>276</v>
      </c>
      <c r="E482" s="104" t="s">
        <v>1543</v>
      </c>
      <c r="G482" s="20">
        <v>1381</v>
      </c>
      <c r="H482" s="13" t="s">
        <v>2145</v>
      </c>
      <c r="I482" s="13" t="str">
        <f t="shared" si="21"/>
        <v>NE 16TH CT &amp; NE 9TH Av &amp; NE 17TH ST  (NE 13TH ST  to NE 16TH ST )</v>
      </c>
      <c r="J482" s="12" t="s">
        <v>29</v>
      </c>
      <c r="K482" s="13" t="str">
        <f>VLOOKUP(J482,'Data-ProjectTypes'!A$3:B$13,2,FALSE)</f>
        <v>Program</v>
      </c>
      <c r="L482" s="12" t="s">
        <v>1667</v>
      </c>
      <c r="M482" s="105" t="s">
        <v>1716</v>
      </c>
      <c r="N482" s="12" t="s">
        <v>1718</v>
      </c>
      <c r="Q482" s="72">
        <v>0.6</v>
      </c>
      <c r="R482" s="23">
        <f>ROUND(Q482*'Data-CostAssumptions'!$C$25,-1)</f>
        <v>101040</v>
      </c>
      <c r="S482" s="21"/>
      <c r="T482" s="21"/>
      <c r="U482" s="21"/>
      <c r="V482" s="24"/>
      <c r="W482" s="24" t="s">
        <v>539</v>
      </c>
      <c r="X482" s="24"/>
      <c r="Y482" s="17" t="s">
        <v>538</v>
      </c>
      <c r="Z482" s="18">
        <f>ROUND(R482*'Data-CostAssumptions'!$C$3,-3)</f>
        <v>140000</v>
      </c>
      <c r="AA482" s="11">
        <f t="shared" si="22"/>
        <v>1</v>
      </c>
      <c r="AB482" s="11">
        <v>2041</v>
      </c>
      <c r="AC482" s="11">
        <v>2041</v>
      </c>
      <c r="AD482" s="11">
        <v>2041</v>
      </c>
      <c r="AE482" s="19">
        <f>ROUND((Z482*'Data-CostAssumptions'!$G$5)*(1+'Data-CostAssumptions'!$G$3)^(AB482-'Data-CostAssumptions'!$G$4),-3)</f>
        <v>79000</v>
      </c>
      <c r="AF482" s="19">
        <f>ROUND((Z482)*(1+'Data-CostAssumptions'!$G$3)^(AD482-'Data-CostAssumptions'!$G$4),-3)</f>
        <v>359000</v>
      </c>
      <c r="AG482" s="170" t="str">
        <f t="shared" si="23"/>
        <v>No</v>
      </c>
    </row>
    <row r="483" spans="1:33" ht="15" customHeight="1" x14ac:dyDescent="0.2">
      <c r="B483" s="11" t="s">
        <v>1211</v>
      </c>
      <c r="D483" s="84" t="s">
        <v>276</v>
      </c>
      <c r="E483" s="104" t="s">
        <v>1546</v>
      </c>
      <c r="G483" s="20">
        <v>1411</v>
      </c>
      <c r="H483" s="13" t="s">
        <v>2163</v>
      </c>
      <c r="I483" s="13" t="str">
        <f t="shared" si="21"/>
        <v>NW 18TH Av/ ST &amp; NW 16TH Av  (NW 9TH Av to W SUNRISE Bl)</v>
      </c>
      <c r="J483" s="12" t="s">
        <v>29</v>
      </c>
      <c r="K483" s="13" t="str">
        <f>VLOOKUP(J483,'Data-ProjectTypes'!A$3:B$13,2,FALSE)</f>
        <v>Program</v>
      </c>
      <c r="L483" s="12" t="s">
        <v>1667</v>
      </c>
      <c r="M483" s="105" t="s">
        <v>2617</v>
      </c>
      <c r="N483" s="12" t="s">
        <v>2303</v>
      </c>
      <c r="Q483" s="72">
        <v>0.6</v>
      </c>
      <c r="R483" s="23">
        <f>ROUND(Q483*'Data-CostAssumptions'!$C$25,-1)</f>
        <v>101040</v>
      </c>
      <c r="S483" s="21"/>
      <c r="T483" s="21"/>
      <c r="U483" s="21"/>
      <c r="V483" s="24"/>
      <c r="W483" s="24" t="s">
        <v>696</v>
      </c>
      <c r="X483" s="24"/>
      <c r="Y483" s="17" t="s">
        <v>287</v>
      </c>
      <c r="Z483" s="18">
        <f>ROUND(R483*'Data-CostAssumptions'!$C$3,-3)</f>
        <v>140000</v>
      </c>
      <c r="AA483" s="11">
        <f t="shared" si="22"/>
        <v>1</v>
      </c>
      <c r="AB483" s="11">
        <v>2041</v>
      </c>
      <c r="AC483" s="11">
        <v>2041</v>
      </c>
      <c r="AD483" s="11">
        <v>2041</v>
      </c>
      <c r="AE483" s="19">
        <f>ROUND((Z483*'Data-CostAssumptions'!$G$5)*(1+'Data-CostAssumptions'!$G$3)^(AB483-'Data-CostAssumptions'!$G$4),-3)</f>
        <v>79000</v>
      </c>
      <c r="AF483" s="19">
        <f>ROUND((Z483)*(1+'Data-CostAssumptions'!$G$3)^(AD483-'Data-CostAssumptions'!$G$4),-3)</f>
        <v>359000</v>
      </c>
      <c r="AG483" s="170" t="str">
        <f t="shared" si="23"/>
        <v>No</v>
      </c>
    </row>
    <row r="484" spans="1:33" ht="15" customHeight="1" x14ac:dyDescent="0.2">
      <c r="B484" s="11" t="s">
        <v>1211</v>
      </c>
      <c r="D484" s="84" t="s">
        <v>276</v>
      </c>
      <c r="E484" s="104">
        <v>201</v>
      </c>
      <c r="G484" s="20">
        <v>1423</v>
      </c>
      <c r="H484" s="13" t="s">
        <v>2169</v>
      </c>
      <c r="I484" s="13" t="str">
        <f t="shared" si="21"/>
        <v>NW 33RD Av (COMMERCIAL Bl to W PROSPECT RD)</v>
      </c>
      <c r="J484" s="12" t="s">
        <v>29</v>
      </c>
      <c r="K484" s="13" t="str">
        <f>VLOOKUP(J484,'Data-ProjectTypes'!A$3:B$13,2,FALSE)</f>
        <v>Program</v>
      </c>
      <c r="L484" s="12" t="s">
        <v>1666</v>
      </c>
      <c r="M484" s="105" t="s">
        <v>1990</v>
      </c>
      <c r="N484" s="12" t="s">
        <v>1686</v>
      </c>
      <c r="Q484" s="72">
        <v>0.6</v>
      </c>
      <c r="R484" s="23">
        <f>ROUND(Q484*'Data-CostAssumptions'!$C$25,-1)</f>
        <v>101040</v>
      </c>
      <c r="S484" s="21"/>
      <c r="T484" s="21"/>
      <c r="U484" s="21"/>
      <c r="V484" s="24"/>
      <c r="W484" s="24"/>
      <c r="X484" s="24" t="s">
        <v>764</v>
      </c>
      <c r="Y484" s="17" t="s">
        <v>765</v>
      </c>
      <c r="Z484" s="18">
        <f>ROUND(R484*'Data-CostAssumptions'!$C$3,-3)</f>
        <v>140000</v>
      </c>
      <c r="AA484" s="11">
        <f t="shared" si="22"/>
        <v>0</v>
      </c>
      <c r="AB484" s="11">
        <v>2041</v>
      </c>
      <c r="AC484" s="11">
        <v>2041</v>
      </c>
      <c r="AD484" s="11">
        <v>2041</v>
      </c>
      <c r="AE484" s="19">
        <f>ROUND((Z484*'Data-CostAssumptions'!$G$5)*(1+'Data-CostAssumptions'!$G$3)^(AB484-'Data-CostAssumptions'!$G$4),-3)</f>
        <v>79000</v>
      </c>
      <c r="AF484" s="19">
        <f>ROUND((Z484)*(1+'Data-CostAssumptions'!$G$3)^(AD484-'Data-CostAssumptions'!$G$4),-3)</f>
        <v>359000</v>
      </c>
      <c r="AG484" s="170" t="str">
        <f t="shared" si="23"/>
        <v>No</v>
      </c>
    </row>
    <row r="485" spans="1:33" ht="15" customHeight="1" x14ac:dyDescent="0.2">
      <c r="B485" s="11" t="s">
        <v>1211</v>
      </c>
      <c r="D485" s="84" t="s">
        <v>276</v>
      </c>
      <c r="E485" s="104" t="s">
        <v>1499</v>
      </c>
      <c r="G485" s="20">
        <v>1452</v>
      </c>
      <c r="H485" s="13" t="s">
        <v>1591</v>
      </c>
      <c r="I485" s="13" t="str">
        <f t="shared" si="21"/>
        <v>SE 19TH PL &amp; BARBARA DR  (A1A to GRACE DR )</v>
      </c>
      <c r="J485" s="12" t="s">
        <v>29</v>
      </c>
      <c r="K485" s="13" t="str">
        <f>VLOOKUP(J485,'Data-ProjectTypes'!A$3:B$13,2,FALSE)</f>
        <v>Program</v>
      </c>
      <c r="L485" s="12" t="s">
        <v>1667</v>
      </c>
      <c r="M485" s="105" t="s">
        <v>205</v>
      </c>
      <c r="N485" s="12" t="s">
        <v>1701</v>
      </c>
      <c r="Q485" s="72">
        <v>0.6</v>
      </c>
      <c r="R485" s="23">
        <f>ROUND(Q485*'Data-CostAssumptions'!$C$25,-1)</f>
        <v>101040</v>
      </c>
      <c r="S485" s="21"/>
      <c r="T485" s="21"/>
      <c r="U485" s="21"/>
      <c r="V485" s="24"/>
      <c r="W485" s="24"/>
      <c r="X485" s="24"/>
      <c r="Y485" s="17"/>
      <c r="Z485" s="18">
        <f>ROUND(R485*'Data-CostAssumptions'!$C$3,-3)</f>
        <v>140000</v>
      </c>
      <c r="AA485" s="11">
        <f t="shared" si="22"/>
        <v>0</v>
      </c>
      <c r="AB485" s="11">
        <v>2041</v>
      </c>
      <c r="AC485" s="11">
        <v>2041</v>
      </c>
      <c r="AD485" s="11">
        <v>2041</v>
      </c>
      <c r="AE485" s="19">
        <f>ROUND((Z485*'Data-CostAssumptions'!$G$5)*(1+'Data-CostAssumptions'!$G$3)^(AB485-'Data-CostAssumptions'!$G$4),-3)</f>
        <v>79000</v>
      </c>
      <c r="AF485" s="19">
        <f>ROUND((Z485)*(1+'Data-CostAssumptions'!$G$3)^(AD485-'Data-CostAssumptions'!$G$4),-3)</f>
        <v>359000</v>
      </c>
      <c r="AG485" s="170" t="str">
        <f t="shared" si="23"/>
        <v>No</v>
      </c>
    </row>
    <row r="486" spans="1:33" ht="15" customHeight="1" x14ac:dyDescent="0.2">
      <c r="B486" s="11" t="s">
        <v>1211</v>
      </c>
      <c r="D486" s="84" t="s">
        <v>276</v>
      </c>
      <c r="E486" s="104" t="s">
        <v>1508</v>
      </c>
      <c r="G486" s="20">
        <v>1497</v>
      </c>
      <c r="H486" s="13" t="s">
        <v>1594</v>
      </c>
      <c r="I486" s="13" t="str">
        <f t="shared" si="21"/>
        <v>SW 28TH ST (E PERIMTETER RD  to SW 12TH ST )</v>
      </c>
      <c r="J486" s="12" t="s">
        <v>29</v>
      </c>
      <c r="K486" s="13" t="str">
        <f>VLOOKUP(J486,'Data-ProjectTypes'!A$3:B$13,2,FALSE)</f>
        <v>Program</v>
      </c>
      <c r="L486" s="12" t="s">
        <v>1667</v>
      </c>
      <c r="M486" s="105" t="s">
        <v>1707</v>
      </c>
      <c r="N486" s="12" t="s">
        <v>1706</v>
      </c>
      <c r="Q486" s="72">
        <v>0.6</v>
      </c>
      <c r="R486" s="23">
        <f>ROUND(Q486*'Data-CostAssumptions'!$C$25,-1)</f>
        <v>101040</v>
      </c>
      <c r="S486" s="21" t="s">
        <v>24</v>
      </c>
      <c r="T486" s="21" t="s">
        <v>684</v>
      </c>
      <c r="U486" s="21" t="s">
        <v>684</v>
      </c>
      <c r="V486" s="24"/>
      <c r="W486" s="24"/>
      <c r="X486" s="24"/>
      <c r="Y486" s="17" t="s">
        <v>685</v>
      </c>
      <c r="Z486" s="18">
        <f>ROUND(R486*'Data-CostAssumptions'!$C$3,-3)</f>
        <v>140000</v>
      </c>
      <c r="AA486" s="11">
        <f t="shared" si="22"/>
        <v>0</v>
      </c>
      <c r="AB486" s="11">
        <v>2041</v>
      </c>
      <c r="AC486" s="11">
        <v>2041</v>
      </c>
      <c r="AD486" s="11">
        <v>2041</v>
      </c>
      <c r="AE486" s="19">
        <f>ROUND((Z486*'Data-CostAssumptions'!$G$5)*(1+'Data-CostAssumptions'!$G$3)^(AB486-'Data-CostAssumptions'!$G$4),-3)</f>
        <v>79000</v>
      </c>
      <c r="AF486" s="19">
        <f>ROUND((Z486)*(1+'Data-CostAssumptions'!$G$3)^(AD486-'Data-CostAssumptions'!$G$4),-3)</f>
        <v>359000</v>
      </c>
      <c r="AG486" s="170" t="str">
        <f t="shared" si="23"/>
        <v>No</v>
      </c>
    </row>
    <row r="487" spans="1:33" ht="15" customHeight="1" x14ac:dyDescent="0.2">
      <c r="B487" s="11" t="s">
        <v>1211</v>
      </c>
      <c r="D487" s="84" t="s">
        <v>276</v>
      </c>
      <c r="E487" s="104" t="s">
        <v>1526</v>
      </c>
      <c r="G487" s="20">
        <v>1505</v>
      </c>
      <c r="H487" s="13" t="s">
        <v>1601</v>
      </c>
      <c r="I487" s="13" t="str">
        <f t="shared" si="21"/>
        <v>SW 4TH PL (SW 16TH Av  to SW 11TH Av )</v>
      </c>
      <c r="J487" s="12" t="s">
        <v>29</v>
      </c>
      <c r="K487" s="13" t="str">
        <f>VLOOKUP(J487,'Data-ProjectTypes'!A$3:B$13,2,FALSE)</f>
        <v>Program</v>
      </c>
      <c r="L487" s="12" t="s">
        <v>1667</v>
      </c>
      <c r="M487" s="105" t="s">
        <v>2642</v>
      </c>
      <c r="N487" s="12" t="s">
        <v>2641</v>
      </c>
      <c r="Q487" s="72">
        <v>0.6</v>
      </c>
      <c r="R487" s="23">
        <f>ROUND(Q487*'Data-CostAssumptions'!$C$25,-1)</f>
        <v>101040</v>
      </c>
      <c r="S487" s="21"/>
      <c r="T487" s="21"/>
      <c r="U487" s="21"/>
      <c r="V487" s="24"/>
      <c r="W487" s="24"/>
      <c r="X487" s="24"/>
      <c r="Y487" s="17"/>
      <c r="Z487" s="18">
        <f>ROUND(R487*'Data-CostAssumptions'!$C$3,-3)</f>
        <v>140000</v>
      </c>
      <c r="AA487" s="11">
        <f t="shared" si="22"/>
        <v>0</v>
      </c>
      <c r="AB487" s="11">
        <v>2041</v>
      </c>
      <c r="AC487" s="11">
        <v>2041</v>
      </c>
      <c r="AD487" s="11">
        <v>2041</v>
      </c>
      <c r="AE487" s="19">
        <f>ROUND((Z487*'Data-CostAssumptions'!$G$5)*(1+'Data-CostAssumptions'!$G$3)^(AB487-'Data-CostAssumptions'!$G$4),-3)</f>
        <v>79000</v>
      </c>
      <c r="AF487" s="19">
        <f>ROUND((Z487)*(1+'Data-CostAssumptions'!$G$3)^(AD487-'Data-CostAssumptions'!$G$4),-3)</f>
        <v>359000</v>
      </c>
      <c r="AG487" s="170" t="str">
        <f t="shared" si="23"/>
        <v>No</v>
      </c>
    </row>
    <row r="488" spans="1:33" ht="15" customHeight="1" x14ac:dyDescent="0.2">
      <c r="B488" s="11" t="s">
        <v>1211</v>
      </c>
      <c r="D488" s="84" t="s">
        <v>276</v>
      </c>
      <c r="E488" s="104" t="s">
        <v>1554</v>
      </c>
      <c r="G488" s="20">
        <v>1506</v>
      </c>
      <c r="H488" s="13" t="s">
        <v>1614</v>
      </c>
      <c r="I488" s="13" t="str">
        <f t="shared" si="21"/>
        <v>SW 6TH ST (US 1 to SW 7TH Av )</v>
      </c>
      <c r="J488" s="12" t="s">
        <v>29</v>
      </c>
      <c r="K488" s="13" t="str">
        <f>VLOOKUP(J488,'Data-ProjectTypes'!A$3:B$13,2,FALSE)</f>
        <v>Program</v>
      </c>
      <c r="L488" s="12" t="s">
        <v>1667</v>
      </c>
      <c r="M488" s="105" t="s">
        <v>98</v>
      </c>
      <c r="N488" s="12" t="s">
        <v>2612</v>
      </c>
      <c r="Q488" s="72">
        <v>0.6</v>
      </c>
      <c r="R488" s="23">
        <f>ROUND(Q488*'Data-CostAssumptions'!$C$25,-1)</f>
        <v>101040</v>
      </c>
      <c r="S488" s="21"/>
      <c r="T488" s="21"/>
      <c r="U488" s="21"/>
      <c r="V488" s="24"/>
      <c r="W488" s="24"/>
      <c r="X488" s="24"/>
      <c r="Y488" s="17"/>
      <c r="Z488" s="18">
        <f>ROUND(R488*'Data-CostAssumptions'!$C$3,-3)</f>
        <v>140000</v>
      </c>
      <c r="AA488" s="11">
        <f t="shared" si="22"/>
        <v>0</v>
      </c>
      <c r="AB488" s="11">
        <v>2041</v>
      </c>
      <c r="AC488" s="11">
        <v>2041</v>
      </c>
      <c r="AD488" s="11">
        <v>2041</v>
      </c>
      <c r="AE488" s="19">
        <f>ROUND((Z488*'Data-CostAssumptions'!$G$5)*(1+'Data-CostAssumptions'!$G$3)^(AB488-'Data-CostAssumptions'!$G$4),-3)</f>
        <v>79000</v>
      </c>
      <c r="AF488" s="19">
        <f>ROUND((Z488)*(1+'Data-CostAssumptions'!$G$3)^(AD488-'Data-CostAssumptions'!$G$4),-3)</f>
        <v>359000</v>
      </c>
      <c r="AG488" s="170" t="str">
        <f t="shared" si="23"/>
        <v>No</v>
      </c>
    </row>
    <row r="489" spans="1:33" ht="15" customHeight="1" x14ac:dyDescent="0.2">
      <c r="A489" s="11"/>
      <c r="B489" s="11" t="s">
        <v>1211</v>
      </c>
      <c r="C489" s="13">
        <v>745</v>
      </c>
      <c r="D489" s="13" t="s">
        <v>420</v>
      </c>
      <c r="E489" s="20">
        <v>68</v>
      </c>
      <c r="F489" s="20">
        <v>183</v>
      </c>
      <c r="G489" s="20">
        <v>122</v>
      </c>
      <c r="H489" s="13" t="s">
        <v>2014</v>
      </c>
      <c r="I489" s="13" t="str">
        <f t="shared" si="21"/>
        <v>Andrews Av (SW 3rd St to Atlantic Bl)</v>
      </c>
      <c r="J489" s="13" t="s">
        <v>29</v>
      </c>
      <c r="K489" s="13" t="str">
        <f>VLOOKUP(J489,'Data-ProjectTypes'!A$3:B$13,2,FALSE)</f>
        <v>Program</v>
      </c>
      <c r="L489" s="21" t="s">
        <v>348</v>
      </c>
      <c r="M489" s="13" t="s">
        <v>1962</v>
      </c>
      <c r="N489" s="13" t="s">
        <v>1809</v>
      </c>
      <c r="O489" s="13" t="s">
        <v>273</v>
      </c>
      <c r="P489" s="13" t="s">
        <v>273</v>
      </c>
      <c r="Q489" s="22">
        <v>0.4</v>
      </c>
      <c r="R489" s="23">
        <v>97744</v>
      </c>
      <c r="S489" s="21"/>
      <c r="T489" s="21" t="s">
        <v>24</v>
      </c>
      <c r="U489" s="21" t="s">
        <v>25</v>
      </c>
      <c r="V489" s="24" t="s">
        <v>24</v>
      </c>
      <c r="W489" s="24" t="s">
        <v>561</v>
      </c>
      <c r="X489" s="24"/>
      <c r="Y489" s="17" t="s">
        <v>538</v>
      </c>
      <c r="Z489" s="18">
        <f>ROUND(R489*'Data-CostAssumptions'!$C$3,-3)</f>
        <v>135000</v>
      </c>
      <c r="AA489" s="11">
        <f t="shared" si="22"/>
        <v>1</v>
      </c>
      <c r="AB489" s="11">
        <v>2041</v>
      </c>
      <c r="AC489" s="11">
        <v>2041</v>
      </c>
      <c r="AD489" s="11">
        <v>2041</v>
      </c>
      <c r="AE489" s="19">
        <f>ROUND((Z489*'Data-CostAssumptions'!$G$5)*(1+'Data-CostAssumptions'!$G$3)^(AB489-'Data-CostAssumptions'!$G$4),-3)</f>
        <v>76000</v>
      </c>
      <c r="AF489" s="19">
        <f>ROUND((Z489)*(1+'Data-CostAssumptions'!$G$3)^(AD489-'Data-CostAssumptions'!$G$4),-3)</f>
        <v>346000</v>
      </c>
      <c r="AG489" s="170" t="str">
        <f t="shared" si="23"/>
        <v>No</v>
      </c>
    </row>
    <row r="490" spans="1:33" ht="15" customHeight="1" x14ac:dyDescent="0.2">
      <c r="A490" s="109"/>
      <c r="B490" s="11" t="s">
        <v>1211</v>
      </c>
      <c r="C490" s="109"/>
      <c r="D490" s="109" t="s">
        <v>276</v>
      </c>
      <c r="E490" s="110"/>
      <c r="F490" s="110">
        <v>143</v>
      </c>
      <c r="G490" s="20">
        <v>1519</v>
      </c>
      <c r="H490" s="111" t="s">
        <v>3021</v>
      </c>
      <c r="I490" s="111" t="s">
        <v>3025</v>
      </c>
      <c r="J490" s="109" t="s">
        <v>29</v>
      </c>
      <c r="K490" s="109" t="s">
        <v>1208</v>
      </c>
      <c r="L490" s="111" t="s">
        <v>3023</v>
      </c>
      <c r="M490" s="112" t="s">
        <v>3020</v>
      </c>
      <c r="N490" s="113" t="s">
        <v>3026</v>
      </c>
      <c r="Q490" s="114">
        <v>0.3</v>
      </c>
      <c r="R490" s="115">
        <v>95040</v>
      </c>
      <c r="S490" s="29" t="s">
        <v>1106</v>
      </c>
      <c r="T490" s="21" t="s">
        <v>684</v>
      </c>
      <c r="U490" s="21" t="s">
        <v>684</v>
      </c>
      <c r="V490" s="24"/>
      <c r="W490" s="24" t="s">
        <v>1108</v>
      </c>
      <c r="X490" s="24" t="s">
        <v>1109</v>
      </c>
      <c r="Y490" s="17" t="s">
        <v>1110</v>
      </c>
      <c r="Z490" s="18">
        <f>ROUND(R490*'Data-CostAssumptions'!$C$3,-3)</f>
        <v>132000</v>
      </c>
      <c r="AA490" s="11">
        <f t="shared" si="22"/>
        <v>1</v>
      </c>
      <c r="AB490" s="11">
        <v>2041</v>
      </c>
      <c r="AC490" s="11">
        <v>2041</v>
      </c>
      <c r="AD490" s="11">
        <v>2041</v>
      </c>
      <c r="AE490" s="19">
        <f>ROUND((Z490*'Data-CostAssumptions'!$G$5)*(1+'Data-CostAssumptions'!$G$3)^(AB490-'Data-CostAssumptions'!$G$4),-3)</f>
        <v>74000</v>
      </c>
      <c r="AF490" s="19">
        <f>ROUND((Z490)*(1+'Data-CostAssumptions'!$G$3)^(AD490-'Data-CostAssumptions'!$G$4),-3)</f>
        <v>338000</v>
      </c>
      <c r="AG490" s="170" t="str">
        <f t="shared" si="23"/>
        <v>No</v>
      </c>
    </row>
    <row r="491" spans="1:33" ht="15" customHeight="1" x14ac:dyDescent="0.2">
      <c r="B491" s="11" t="s">
        <v>1211</v>
      </c>
      <c r="D491" s="84" t="s">
        <v>276</v>
      </c>
      <c r="E491" s="104">
        <v>62</v>
      </c>
      <c r="G491" s="20">
        <v>1428</v>
      </c>
      <c r="H491" s="13" t="s">
        <v>1238</v>
      </c>
      <c r="I491" s="13" t="str">
        <f t="shared" ref="I491:I526" si="24">IF(M491="@",H491&amp;" ("&amp;M491&amp;"  "&amp;N491&amp;")",H491&amp;" ("&amp;M491&amp;" to "&amp;N491&amp;")")</f>
        <v>NW 6TH ST (NW 7TH Av/AVE OF THE ARTS to NW 15TH Av)</v>
      </c>
      <c r="J491" s="12" t="s">
        <v>29</v>
      </c>
      <c r="K491" s="13" t="str">
        <f>VLOOKUP(J491,'Data-ProjectTypes'!A$3:B$13,2,FALSE)</f>
        <v>Program</v>
      </c>
      <c r="L491" s="12" t="s">
        <v>1329</v>
      </c>
      <c r="M491" s="105" t="s">
        <v>2615</v>
      </c>
      <c r="N491" s="12" t="s">
        <v>2160</v>
      </c>
      <c r="Q491" s="72">
        <v>0.7</v>
      </c>
      <c r="R491" s="23">
        <v>94500</v>
      </c>
      <c r="S491" s="21"/>
      <c r="T491" s="21"/>
      <c r="U491" s="21"/>
      <c r="V491" s="24"/>
      <c r="W491" s="24"/>
      <c r="X491" s="28"/>
      <c r="Y491" s="17"/>
      <c r="Z491" s="18">
        <f>ROUND(R491*'Data-CostAssumptions'!$C$3,-3)</f>
        <v>131000</v>
      </c>
      <c r="AA491" s="11">
        <f t="shared" si="22"/>
        <v>0</v>
      </c>
      <c r="AB491" s="11">
        <v>2041</v>
      </c>
      <c r="AC491" s="11">
        <v>2041</v>
      </c>
      <c r="AD491" s="11">
        <v>2041</v>
      </c>
      <c r="AE491" s="19">
        <f>ROUND((Z491*'Data-CostAssumptions'!$G$5)*(1+'Data-CostAssumptions'!$G$3)^(AB491-'Data-CostAssumptions'!$G$4),-3)</f>
        <v>74000</v>
      </c>
      <c r="AF491" s="19">
        <f>ROUND((Z491)*(1+'Data-CostAssumptions'!$G$3)^(AD491-'Data-CostAssumptions'!$G$4),-3)</f>
        <v>336000</v>
      </c>
      <c r="AG491" s="170" t="str">
        <f t="shared" si="23"/>
        <v>No</v>
      </c>
    </row>
    <row r="492" spans="1:33" ht="15" customHeight="1" x14ac:dyDescent="0.2">
      <c r="B492" s="11" t="s">
        <v>1211</v>
      </c>
      <c r="D492" s="84" t="s">
        <v>276</v>
      </c>
      <c r="E492" s="104">
        <v>83</v>
      </c>
      <c r="G492" s="20">
        <v>1453</v>
      </c>
      <c r="H492" s="13" t="s">
        <v>1246</v>
      </c>
      <c r="I492" s="13" t="str">
        <f t="shared" si="24"/>
        <v>SE 30TH ST (ANDREWS Av to US 1)</v>
      </c>
      <c r="J492" s="12" t="s">
        <v>29</v>
      </c>
      <c r="K492" s="13" t="str">
        <f>VLOOKUP(J492,'Data-ProjectTypes'!A$3:B$13,2,FALSE)</f>
        <v>Program</v>
      </c>
      <c r="L492" s="12" t="s">
        <v>1340</v>
      </c>
      <c r="M492" s="105" t="s">
        <v>2139</v>
      </c>
      <c r="N492" s="12" t="s">
        <v>98</v>
      </c>
      <c r="Q492" s="72">
        <v>0.2</v>
      </c>
      <c r="R492" s="23">
        <v>94950</v>
      </c>
      <c r="S492" s="21"/>
      <c r="T492" s="21"/>
      <c r="U492" s="21"/>
      <c r="V492" s="24"/>
      <c r="W492" s="24"/>
      <c r="X492" s="24"/>
      <c r="Y492" s="17"/>
      <c r="Z492" s="18">
        <f>ROUND(R492*'Data-CostAssumptions'!$C$3,-3)</f>
        <v>131000</v>
      </c>
      <c r="AA492" s="11">
        <f t="shared" si="22"/>
        <v>0</v>
      </c>
      <c r="AB492" s="11">
        <v>2041</v>
      </c>
      <c r="AC492" s="11">
        <v>2041</v>
      </c>
      <c r="AD492" s="11">
        <v>2041</v>
      </c>
      <c r="AE492" s="19">
        <f>ROUND((Z492*'Data-CostAssumptions'!$G$5)*(1+'Data-CostAssumptions'!$G$3)^(AB492-'Data-CostAssumptions'!$G$4),-3)</f>
        <v>74000</v>
      </c>
      <c r="AF492" s="19">
        <f>ROUND((Z492)*(1+'Data-CostAssumptions'!$G$3)^(AD492-'Data-CostAssumptions'!$G$4),-3)</f>
        <v>336000</v>
      </c>
      <c r="AG492" s="170" t="str">
        <f t="shared" si="23"/>
        <v>No</v>
      </c>
    </row>
    <row r="493" spans="1:33" ht="15" customHeight="1" x14ac:dyDescent="0.2">
      <c r="A493" s="11"/>
      <c r="B493" s="11" t="s">
        <v>1211</v>
      </c>
      <c r="C493" s="13">
        <v>896</v>
      </c>
      <c r="D493" s="13" t="s">
        <v>420</v>
      </c>
      <c r="E493" s="20">
        <v>135</v>
      </c>
      <c r="F493" s="20">
        <v>192</v>
      </c>
      <c r="G493" s="20">
        <v>273</v>
      </c>
      <c r="H493" s="13" t="s">
        <v>57</v>
      </c>
      <c r="I493" s="13" t="str">
        <f t="shared" si="24"/>
        <v>SR 7/US 441 (Prospect Rd to Bailey Rd)</v>
      </c>
      <c r="J493" s="13" t="s">
        <v>29</v>
      </c>
      <c r="K493" s="13" t="str">
        <f>VLOOKUP(J493,'Data-ProjectTypes'!A$3:B$13,2,FALSE)</f>
        <v>Program</v>
      </c>
      <c r="L493" s="21" t="s">
        <v>348</v>
      </c>
      <c r="M493" s="13" t="s">
        <v>1859</v>
      </c>
      <c r="N493" s="13" t="s">
        <v>1744</v>
      </c>
      <c r="O493" s="13" t="s">
        <v>270</v>
      </c>
      <c r="P493" s="13" t="s">
        <v>270</v>
      </c>
      <c r="Q493" s="22">
        <v>0.4</v>
      </c>
      <c r="R493" s="23">
        <v>92850</v>
      </c>
      <c r="S493" s="21"/>
      <c r="T493" s="21"/>
      <c r="U493" s="21"/>
      <c r="V493" s="24"/>
      <c r="W493" s="24"/>
      <c r="X493" s="24"/>
      <c r="Y493" s="17"/>
      <c r="Z493" s="18">
        <f>ROUND(R493*'Data-CostAssumptions'!$C$3,-3)</f>
        <v>129000</v>
      </c>
      <c r="AA493" s="11">
        <f t="shared" si="22"/>
        <v>0</v>
      </c>
      <c r="AB493" s="11">
        <v>2041</v>
      </c>
      <c r="AC493" s="11">
        <v>2041</v>
      </c>
      <c r="AD493" s="11">
        <v>2041</v>
      </c>
      <c r="AE493" s="19">
        <f>ROUND((Z493*'Data-CostAssumptions'!$G$5)*(1+'Data-CostAssumptions'!$G$3)^(AB493-'Data-CostAssumptions'!$G$4),-3)</f>
        <v>73000</v>
      </c>
      <c r="AF493" s="19">
        <f>ROUND((Z493)*(1+'Data-CostAssumptions'!$G$3)^(AD493-'Data-CostAssumptions'!$G$4),-3)</f>
        <v>331000</v>
      </c>
      <c r="AG493" s="170" t="str">
        <f t="shared" si="23"/>
        <v>No</v>
      </c>
    </row>
    <row r="494" spans="1:33" ht="15" customHeight="1" x14ac:dyDescent="0.2">
      <c r="A494" s="11"/>
      <c r="B494" s="11" t="s">
        <v>1211</v>
      </c>
      <c r="C494" s="13">
        <v>792</v>
      </c>
      <c r="D494" s="13" t="s">
        <v>420</v>
      </c>
      <c r="E494" s="20">
        <v>55</v>
      </c>
      <c r="F494" s="20">
        <v>186</v>
      </c>
      <c r="G494" s="20">
        <v>168</v>
      </c>
      <c r="H494" s="13" t="s">
        <v>1977</v>
      </c>
      <c r="I494" s="13" t="str">
        <f t="shared" si="24"/>
        <v>Miramar Pkwy (I-75 Ramp to 160th Av)</v>
      </c>
      <c r="J494" s="13" t="s">
        <v>29</v>
      </c>
      <c r="K494" s="13" t="str">
        <f>VLOOKUP(J494,'Data-ProjectTypes'!A$3:B$13,2,FALSE)</f>
        <v>Program</v>
      </c>
      <c r="L494" s="21" t="s">
        <v>348</v>
      </c>
      <c r="M494" s="13" t="s">
        <v>93</v>
      </c>
      <c r="N494" s="13" t="s">
        <v>2231</v>
      </c>
      <c r="O494" s="13" t="s">
        <v>274</v>
      </c>
      <c r="P494" s="13" t="s">
        <v>274</v>
      </c>
      <c r="Q494" s="22">
        <v>0.4</v>
      </c>
      <c r="R494" s="23">
        <v>90699</v>
      </c>
      <c r="S494" s="21" t="s">
        <v>24</v>
      </c>
      <c r="T494" s="21" t="s">
        <v>25</v>
      </c>
      <c r="U494" s="21" t="s">
        <v>24</v>
      </c>
      <c r="V494" s="24" t="s">
        <v>561</v>
      </c>
      <c r="W494" s="24"/>
      <c r="X494" s="28" t="s">
        <v>575</v>
      </c>
      <c r="Y494" s="17" t="s">
        <v>538</v>
      </c>
      <c r="Z494" s="18">
        <f>ROUND(R494*'Data-CostAssumptions'!$C$3,-3)</f>
        <v>126000</v>
      </c>
      <c r="AA494" s="11">
        <f t="shared" si="22"/>
        <v>1</v>
      </c>
      <c r="AB494" s="11">
        <v>2041</v>
      </c>
      <c r="AC494" s="11">
        <v>2041</v>
      </c>
      <c r="AD494" s="11">
        <v>2041</v>
      </c>
      <c r="AE494" s="19">
        <f>ROUND((Z494*'Data-CostAssumptions'!$G$5)*(1+'Data-CostAssumptions'!$G$3)^(AB494-'Data-CostAssumptions'!$G$4),-3)</f>
        <v>71000</v>
      </c>
      <c r="AF494" s="19">
        <f>ROUND((Z494)*(1+'Data-CostAssumptions'!$G$3)^(AD494-'Data-CostAssumptions'!$G$4),-3)</f>
        <v>323000</v>
      </c>
      <c r="AG494" s="170" t="str">
        <f t="shared" si="23"/>
        <v>No</v>
      </c>
    </row>
    <row r="495" spans="1:33" ht="15" customHeight="1" x14ac:dyDescent="0.2">
      <c r="A495" s="11"/>
      <c r="B495" s="11" t="s">
        <v>1211</v>
      </c>
      <c r="C495" s="11">
        <v>12704</v>
      </c>
      <c r="D495" s="84" t="s">
        <v>278</v>
      </c>
      <c r="E495" s="14"/>
      <c r="F495" s="14"/>
      <c r="G495" s="20">
        <v>1843</v>
      </c>
      <c r="H495" s="13" t="s">
        <v>2728</v>
      </c>
      <c r="I495" s="13" t="str">
        <f t="shared" si="24"/>
        <v>SR 838/Sunrise Bl (Sawgrass Corporate Parkway to Sawgrass Expressway)</v>
      </c>
      <c r="J495" s="11" t="s">
        <v>29</v>
      </c>
      <c r="K495" s="13" t="str">
        <f>VLOOKUP(J495,'Data-ProjectTypes'!A$3:B$13,2,FALSE)</f>
        <v>Program</v>
      </c>
      <c r="L495" s="11" t="s">
        <v>817</v>
      </c>
      <c r="M495" s="11" t="s">
        <v>821</v>
      </c>
      <c r="N495" s="11" t="s">
        <v>72</v>
      </c>
      <c r="O495" s="11"/>
      <c r="P495" s="11"/>
      <c r="Q495" s="15">
        <v>0.2</v>
      </c>
      <c r="R495" s="16">
        <v>90000</v>
      </c>
      <c r="S495" s="21" t="s">
        <v>24</v>
      </c>
      <c r="T495" s="21" t="s">
        <v>25</v>
      </c>
      <c r="U495" s="21" t="s">
        <v>24</v>
      </c>
      <c r="V495" s="24"/>
      <c r="W495" s="24" t="s">
        <v>549</v>
      </c>
      <c r="X495" s="24"/>
      <c r="Y495" s="17" t="s">
        <v>538</v>
      </c>
      <c r="Z495" s="18">
        <f>ROUND(R495*'Data-CostAssumptions'!$C$3,-3)</f>
        <v>125000</v>
      </c>
      <c r="AA495" s="11">
        <f t="shared" si="22"/>
        <v>1</v>
      </c>
      <c r="AB495" s="11">
        <v>2041</v>
      </c>
      <c r="AC495" s="11">
        <v>2041</v>
      </c>
      <c r="AD495" s="11">
        <v>2041</v>
      </c>
      <c r="AE495" s="19">
        <f>ROUND((Z495*'Data-CostAssumptions'!$G$5)*(1+'Data-CostAssumptions'!$G$3)^(AB495-'Data-CostAssumptions'!$G$4),-3)</f>
        <v>71000</v>
      </c>
      <c r="AF495" s="19">
        <f>ROUND((Z495)*(1+'Data-CostAssumptions'!$G$3)^(AD495-'Data-CostAssumptions'!$G$4),-3)</f>
        <v>320000</v>
      </c>
      <c r="AG495" s="170" t="str">
        <f t="shared" si="23"/>
        <v>No</v>
      </c>
    </row>
    <row r="496" spans="1:33" ht="15" customHeight="1" x14ac:dyDescent="0.2">
      <c r="A496" s="11"/>
      <c r="B496" s="11" t="s">
        <v>1211</v>
      </c>
      <c r="C496" s="13">
        <v>939</v>
      </c>
      <c r="D496" s="13" t="s">
        <v>420</v>
      </c>
      <c r="E496" s="20">
        <v>261</v>
      </c>
      <c r="F496" s="20">
        <v>194</v>
      </c>
      <c r="G496" s="20">
        <v>315</v>
      </c>
      <c r="H496" s="13" t="s">
        <v>1752</v>
      </c>
      <c r="I496" s="13" t="str">
        <f t="shared" si="24"/>
        <v>Hiatus Rd (Just south of NW 67th St to McNab Rd)</v>
      </c>
      <c r="J496" s="13" t="s">
        <v>29</v>
      </c>
      <c r="K496" s="13" t="str">
        <f>VLOOKUP(J496,'Data-ProjectTypes'!A$3:B$13,2,FALSE)</f>
        <v>Program</v>
      </c>
      <c r="L496" s="21" t="s">
        <v>348</v>
      </c>
      <c r="M496" s="13" t="s">
        <v>2491</v>
      </c>
      <c r="N496" s="13" t="s">
        <v>1854</v>
      </c>
      <c r="O496" s="13" t="s">
        <v>280</v>
      </c>
      <c r="P496" s="13" t="s">
        <v>280</v>
      </c>
      <c r="Q496" s="22">
        <v>0.4</v>
      </c>
      <c r="R496" s="23">
        <v>88734</v>
      </c>
      <c r="S496" s="21"/>
      <c r="T496" s="21"/>
      <c r="U496" s="21"/>
      <c r="V496" s="24"/>
      <c r="W496" s="24"/>
      <c r="X496" s="28"/>
      <c r="Y496" s="17"/>
      <c r="Z496" s="18">
        <f>ROUND(R496*'Data-CostAssumptions'!$C$3,-3)</f>
        <v>123000</v>
      </c>
      <c r="AA496" s="11">
        <f t="shared" si="22"/>
        <v>0</v>
      </c>
      <c r="AB496" s="11">
        <v>2041</v>
      </c>
      <c r="AC496" s="11">
        <v>2041</v>
      </c>
      <c r="AD496" s="11">
        <v>2041</v>
      </c>
      <c r="AE496" s="19">
        <f>ROUND((Z496*'Data-CostAssumptions'!$G$5)*(1+'Data-CostAssumptions'!$G$3)^(AB496-'Data-CostAssumptions'!$G$4),-3)</f>
        <v>69000</v>
      </c>
      <c r="AF496" s="19">
        <f>ROUND((Z496)*(1+'Data-CostAssumptions'!$G$3)^(AD496-'Data-CostAssumptions'!$G$4),-3)</f>
        <v>315000</v>
      </c>
      <c r="AG496" s="170" t="str">
        <f t="shared" si="23"/>
        <v>No</v>
      </c>
    </row>
    <row r="497" spans="1:33" ht="15" customHeight="1" x14ac:dyDescent="0.2">
      <c r="A497" s="11"/>
      <c r="B497" s="11" t="s">
        <v>1211</v>
      </c>
      <c r="C497" s="13">
        <v>904</v>
      </c>
      <c r="D497" s="13" t="s">
        <v>420</v>
      </c>
      <c r="E497" s="20">
        <v>238</v>
      </c>
      <c r="F497" s="20">
        <v>192</v>
      </c>
      <c r="G497" s="20">
        <v>281</v>
      </c>
      <c r="H497" s="13" t="s">
        <v>1836</v>
      </c>
      <c r="I497" s="13" t="str">
        <f t="shared" si="24"/>
        <v>Copans Rd (Florida's Turnpike to NW 36th Av)</v>
      </c>
      <c r="J497" s="13" t="s">
        <v>29</v>
      </c>
      <c r="K497" s="13" t="str">
        <f>VLOOKUP(J497,'Data-ProjectTypes'!A$3:B$13,2,FALSE)</f>
        <v>Program</v>
      </c>
      <c r="L497" s="21" t="s">
        <v>348</v>
      </c>
      <c r="M497" s="13" t="s">
        <v>42</v>
      </c>
      <c r="N497" s="13" t="s">
        <v>2216</v>
      </c>
      <c r="O497" s="13" t="s">
        <v>273</v>
      </c>
      <c r="P497" s="13" t="s">
        <v>273</v>
      </c>
      <c r="Q497" s="22">
        <v>0.4</v>
      </c>
      <c r="R497" s="23">
        <v>87219</v>
      </c>
      <c r="S497" s="21" t="s">
        <v>24</v>
      </c>
      <c r="T497" s="21" t="s">
        <v>25</v>
      </c>
      <c r="U497" s="21" t="s">
        <v>24</v>
      </c>
      <c r="V497" s="24" t="s">
        <v>816</v>
      </c>
      <c r="W497" s="24"/>
      <c r="X497" s="24" t="s">
        <v>819</v>
      </c>
      <c r="Y497" s="17" t="s">
        <v>806</v>
      </c>
      <c r="Z497" s="18">
        <f>ROUND(R497*'Data-CostAssumptions'!$C$3,-3)</f>
        <v>121000</v>
      </c>
      <c r="AA497" s="11">
        <f t="shared" si="22"/>
        <v>1</v>
      </c>
      <c r="AB497" s="11">
        <v>2041</v>
      </c>
      <c r="AC497" s="11">
        <v>2041</v>
      </c>
      <c r="AD497" s="11">
        <v>2041</v>
      </c>
      <c r="AE497" s="19">
        <f>ROUND((Z497*'Data-CostAssumptions'!$G$5)*(1+'Data-CostAssumptions'!$G$3)^(AB497-'Data-CostAssumptions'!$G$4),-3)</f>
        <v>68000</v>
      </c>
      <c r="AF497" s="19">
        <f>ROUND((Z497)*(1+'Data-CostAssumptions'!$G$3)^(AD497-'Data-CostAssumptions'!$G$4),-3)</f>
        <v>310000</v>
      </c>
      <c r="AG497" s="170" t="str">
        <f t="shared" si="23"/>
        <v>No</v>
      </c>
    </row>
    <row r="498" spans="1:33" ht="15" customHeight="1" x14ac:dyDescent="0.2">
      <c r="A498" s="11"/>
      <c r="B498" s="11" t="s">
        <v>1211</v>
      </c>
      <c r="C498" s="13">
        <v>629</v>
      </c>
      <c r="D498" s="13" t="s">
        <v>420</v>
      </c>
      <c r="E498" s="20">
        <v>66</v>
      </c>
      <c r="F498" s="20">
        <v>177</v>
      </c>
      <c r="G498" s="20">
        <v>10</v>
      </c>
      <c r="H498" s="13" t="s">
        <v>2755</v>
      </c>
      <c r="I498" s="13" t="str">
        <f t="shared" si="24"/>
        <v>SR 811/Dixie Hwy (SW 3rd St to Atlantic Bl)</v>
      </c>
      <c r="J498" s="13" t="s">
        <v>29</v>
      </c>
      <c r="K498" s="13" t="str">
        <f>VLOOKUP(J498,'Data-ProjectTypes'!A$3:B$13,2,FALSE)</f>
        <v>Program</v>
      </c>
      <c r="L498" s="21" t="s">
        <v>348</v>
      </c>
      <c r="M498" s="13" t="s">
        <v>1962</v>
      </c>
      <c r="N498" s="13" t="s">
        <v>1809</v>
      </c>
      <c r="O498" s="13" t="s">
        <v>270</v>
      </c>
      <c r="P498" s="13" t="s">
        <v>270</v>
      </c>
      <c r="Q498" s="22">
        <v>0.4</v>
      </c>
      <c r="R498" s="23">
        <v>85719</v>
      </c>
      <c r="S498" s="21"/>
      <c r="T498" s="21"/>
      <c r="U498" s="21"/>
      <c r="V498" s="24"/>
      <c r="W498" s="24" t="s">
        <v>696</v>
      </c>
      <c r="X498" s="24"/>
      <c r="Y498" s="17" t="s">
        <v>287</v>
      </c>
      <c r="Z498" s="18">
        <f>ROUND(R498*'Data-CostAssumptions'!$C$3,-3)</f>
        <v>119000</v>
      </c>
      <c r="AA498" s="11">
        <f t="shared" si="22"/>
        <v>1</v>
      </c>
      <c r="AB498" s="11">
        <v>2041</v>
      </c>
      <c r="AC498" s="11">
        <v>2041</v>
      </c>
      <c r="AD498" s="11">
        <v>2041</v>
      </c>
      <c r="AE498" s="19">
        <f>ROUND((Z498*'Data-CostAssumptions'!$G$5)*(1+'Data-CostAssumptions'!$G$3)^(AB498-'Data-CostAssumptions'!$G$4),-3)</f>
        <v>67000</v>
      </c>
      <c r="AF498" s="19">
        <f>ROUND((Z498)*(1+'Data-CostAssumptions'!$G$3)^(AD498-'Data-CostAssumptions'!$G$4),-3)</f>
        <v>305000</v>
      </c>
      <c r="AG498" s="170" t="str">
        <f t="shared" si="23"/>
        <v>No</v>
      </c>
    </row>
    <row r="499" spans="1:33" ht="15" customHeight="1" x14ac:dyDescent="0.2">
      <c r="B499" s="11" t="s">
        <v>1211</v>
      </c>
      <c r="D499" s="84" t="s">
        <v>276</v>
      </c>
      <c r="E499" s="104" t="s">
        <v>1528</v>
      </c>
      <c r="G499" s="20">
        <v>1405</v>
      </c>
      <c r="H499" s="13" t="s">
        <v>2158</v>
      </c>
      <c r="I499" s="13" t="str">
        <f t="shared" si="24"/>
        <v>NW 12TH Av  (W BROWARD Bl  to NW 6TH ST )</v>
      </c>
      <c r="J499" s="12" t="s">
        <v>29</v>
      </c>
      <c r="K499" s="13" t="str">
        <f>VLOOKUP(J499,'Data-ProjectTypes'!A$3:B$13,2,FALSE)</f>
        <v>Program</v>
      </c>
      <c r="L499" s="12" t="s">
        <v>1667</v>
      </c>
      <c r="M499" s="105" t="s">
        <v>2310</v>
      </c>
      <c r="N499" s="12" t="s">
        <v>1679</v>
      </c>
      <c r="Q499" s="72">
        <v>0.5</v>
      </c>
      <c r="R499" s="23">
        <f>ROUND(Q499*'Data-CostAssumptions'!$C$25,-1)</f>
        <v>84200</v>
      </c>
      <c r="S499" s="21" t="s">
        <v>24</v>
      </c>
      <c r="T499" s="21" t="s">
        <v>24</v>
      </c>
      <c r="U499" s="21" t="s">
        <v>24</v>
      </c>
      <c r="V499" s="24" t="s">
        <v>513</v>
      </c>
      <c r="W499" s="24"/>
      <c r="X499" s="24"/>
      <c r="Y499" s="17" t="s">
        <v>297</v>
      </c>
      <c r="Z499" s="18">
        <f>ROUND(R499*'Data-CostAssumptions'!$C$3,-3)</f>
        <v>117000</v>
      </c>
      <c r="AA499" s="11">
        <f t="shared" si="22"/>
        <v>1</v>
      </c>
      <c r="AB499" s="11">
        <v>2041</v>
      </c>
      <c r="AC499" s="11">
        <v>2041</v>
      </c>
      <c r="AD499" s="11">
        <v>2041</v>
      </c>
      <c r="AE499" s="19">
        <f>ROUND((Z499*'Data-CostAssumptions'!$G$5)*(1+'Data-CostAssumptions'!$G$3)^(AB499-'Data-CostAssumptions'!$G$4),-3)</f>
        <v>66000</v>
      </c>
      <c r="AF499" s="19">
        <f>ROUND((Z499)*(1+'Data-CostAssumptions'!$G$3)^(AD499-'Data-CostAssumptions'!$G$4),-3)</f>
        <v>300000</v>
      </c>
      <c r="AG499" s="170" t="str">
        <f t="shared" si="23"/>
        <v>No</v>
      </c>
    </row>
    <row r="500" spans="1:33" ht="15" customHeight="1" x14ac:dyDescent="0.2">
      <c r="A500" s="11"/>
      <c r="B500" s="11" t="s">
        <v>1211</v>
      </c>
      <c r="C500" s="13">
        <v>838</v>
      </c>
      <c r="D500" s="13" t="s">
        <v>420</v>
      </c>
      <c r="E500" s="20">
        <v>313</v>
      </c>
      <c r="F500" s="20">
        <v>189</v>
      </c>
      <c r="G500" s="20">
        <v>214</v>
      </c>
      <c r="H500" s="13" t="s">
        <v>2024</v>
      </c>
      <c r="I500" s="13" t="str">
        <f t="shared" si="24"/>
        <v>NE 15th Av (Sunrise Bl to NE 13th St)</v>
      </c>
      <c r="J500" s="13" t="s">
        <v>29</v>
      </c>
      <c r="K500" s="13" t="str">
        <f>VLOOKUP(J500,'Data-ProjectTypes'!A$3:B$13,2,FALSE)</f>
        <v>Program</v>
      </c>
      <c r="L500" s="21" t="s">
        <v>348</v>
      </c>
      <c r="M500" s="13" t="s">
        <v>1830</v>
      </c>
      <c r="N500" s="13" t="s">
        <v>2488</v>
      </c>
      <c r="O500" s="13" t="s">
        <v>276</v>
      </c>
      <c r="P500" s="13" t="s">
        <v>276</v>
      </c>
      <c r="Q500" s="22">
        <v>0.4</v>
      </c>
      <c r="R500" s="23">
        <v>84384</v>
      </c>
      <c r="S500" s="21"/>
      <c r="T500" s="21"/>
      <c r="U500" s="21"/>
      <c r="V500" s="24"/>
      <c r="W500" s="24"/>
      <c r="X500" s="24"/>
      <c r="Y500" s="17"/>
      <c r="Z500" s="18">
        <f>ROUND(R500*'Data-CostAssumptions'!$C$3,-3)</f>
        <v>117000</v>
      </c>
      <c r="AA500" s="11">
        <f t="shared" si="22"/>
        <v>0</v>
      </c>
      <c r="AB500" s="11">
        <v>2041</v>
      </c>
      <c r="AC500" s="11">
        <v>2041</v>
      </c>
      <c r="AD500" s="11">
        <v>2041</v>
      </c>
      <c r="AE500" s="19">
        <f>ROUND((Z500*'Data-CostAssumptions'!$G$5)*(1+'Data-CostAssumptions'!$G$3)^(AB500-'Data-CostAssumptions'!$G$4),-3)</f>
        <v>66000</v>
      </c>
      <c r="AF500" s="19">
        <f>ROUND((Z500)*(1+'Data-CostAssumptions'!$G$3)^(AD500-'Data-CostAssumptions'!$G$4),-3)</f>
        <v>300000</v>
      </c>
      <c r="AG500" s="170" t="str">
        <f t="shared" si="23"/>
        <v>No</v>
      </c>
    </row>
    <row r="501" spans="1:33" ht="15" customHeight="1" x14ac:dyDescent="0.2">
      <c r="B501" s="11" t="s">
        <v>1211</v>
      </c>
      <c r="D501" s="84" t="s">
        <v>276</v>
      </c>
      <c r="E501" s="104" t="s">
        <v>1487</v>
      </c>
      <c r="G501" s="20">
        <v>1334</v>
      </c>
      <c r="H501" s="13" t="s">
        <v>2868</v>
      </c>
      <c r="I501" s="13" t="str">
        <f t="shared" si="24"/>
        <v>Birch Rd (FORT LAUDERDALE BEACH to RIOMAR ST )</v>
      </c>
      <c r="J501" s="12" t="s">
        <v>29</v>
      </c>
      <c r="K501" s="13" t="str">
        <f>VLOOKUP(J501,'Data-ProjectTypes'!A$3:B$13,2,FALSE)</f>
        <v>Program</v>
      </c>
      <c r="L501" s="12" t="s">
        <v>1667</v>
      </c>
      <c r="M501" s="105" t="s">
        <v>1697</v>
      </c>
      <c r="N501" s="12" t="s">
        <v>1588</v>
      </c>
      <c r="Q501" s="72">
        <v>0.5</v>
      </c>
      <c r="R501" s="23">
        <f>ROUND(Q501*'Data-CostAssumptions'!$C$25,-1)</f>
        <v>84200</v>
      </c>
      <c r="S501" s="21"/>
      <c r="T501" s="21"/>
      <c r="U501" s="21"/>
      <c r="V501" s="24"/>
      <c r="W501" s="24"/>
      <c r="X501" s="24"/>
      <c r="Y501" s="17"/>
      <c r="Z501" s="18">
        <f>ROUND(R501*'Data-CostAssumptions'!$C$3,-3)</f>
        <v>117000</v>
      </c>
      <c r="AA501" s="11">
        <f t="shared" si="22"/>
        <v>0</v>
      </c>
      <c r="AB501" s="11">
        <v>2041</v>
      </c>
      <c r="AC501" s="11">
        <v>2041</v>
      </c>
      <c r="AD501" s="11">
        <v>2041</v>
      </c>
      <c r="AE501" s="19">
        <f>ROUND((Z501*'Data-CostAssumptions'!$G$5)*(1+'Data-CostAssumptions'!$G$3)^(AB501-'Data-CostAssumptions'!$G$4),-3)</f>
        <v>66000</v>
      </c>
      <c r="AF501" s="19">
        <f>ROUND((Z501)*(1+'Data-CostAssumptions'!$G$3)^(AD501-'Data-CostAssumptions'!$G$4),-3)</f>
        <v>300000</v>
      </c>
      <c r="AG501" s="170" t="str">
        <f t="shared" si="23"/>
        <v>No</v>
      </c>
    </row>
    <row r="502" spans="1:33" ht="15" customHeight="1" x14ac:dyDescent="0.2">
      <c r="B502" s="11" t="s">
        <v>1211</v>
      </c>
      <c r="D502" s="84" t="s">
        <v>276</v>
      </c>
      <c r="E502" s="104" t="s">
        <v>1519</v>
      </c>
      <c r="G502" s="20">
        <v>1360</v>
      </c>
      <c r="H502" s="13" t="s">
        <v>2862</v>
      </c>
      <c r="I502" s="13" t="str">
        <f t="shared" si="24"/>
        <v>Iowa Av (W BROWARD Bl  to E/W CAMPUS CIR)</v>
      </c>
      <c r="J502" s="12" t="s">
        <v>29</v>
      </c>
      <c r="K502" s="13" t="str">
        <f>VLOOKUP(J502,'Data-ProjectTypes'!A$3:B$13,2,FALSE)</f>
        <v>Program</v>
      </c>
      <c r="L502" s="12" t="s">
        <v>1667</v>
      </c>
      <c r="M502" s="105" t="s">
        <v>2310</v>
      </c>
      <c r="N502" s="12" t="s">
        <v>1598</v>
      </c>
      <c r="Q502" s="72">
        <v>0.5</v>
      </c>
      <c r="R502" s="23">
        <f>ROUND(Q502*'Data-CostAssumptions'!$C$25,-1)</f>
        <v>84200</v>
      </c>
      <c r="S502" s="21"/>
      <c r="T502" s="21"/>
      <c r="U502" s="21"/>
      <c r="V502" s="24"/>
      <c r="W502" s="24"/>
      <c r="X502" s="24"/>
      <c r="Y502" s="17"/>
      <c r="Z502" s="18">
        <f>ROUND(R502*'Data-CostAssumptions'!$C$3,-3)</f>
        <v>117000</v>
      </c>
      <c r="AA502" s="11">
        <f t="shared" si="22"/>
        <v>0</v>
      </c>
      <c r="AB502" s="11">
        <v>2041</v>
      </c>
      <c r="AC502" s="11">
        <v>2041</v>
      </c>
      <c r="AD502" s="11">
        <v>2041</v>
      </c>
      <c r="AE502" s="19">
        <f>ROUND((Z502*'Data-CostAssumptions'!$G$5)*(1+'Data-CostAssumptions'!$G$3)^(AB502-'Data-CostAssumptions'!$G$4),-3)</f>
        <v>66000</v>
      </c>
      <c r="AF502" s="19">
        <f>ROUND((Z502)*(1+'Data-CostAssumptions'!$G$3)^(AD502-'Data-CostAssumptions'!$G$4),-3)</f>
        <v>300000</v>
      </c>
      <c r="AG502" s="170" t="str">
        <f t="shared" si="23"/>
        <v>No</v>
      </c>
    </row>
    <row r="503" spans="1:33" ht="15" customHeight="1" x14ac:dyDescent="0.2">
      <c r="B503" s="11" t="s">
        <v>1211</v>
      </c>
      <c r="D503" s="84" t="s">
        <v>276</v>
      </c>
      <c r="E503" s="104" t="s">
        <v>1542</v>
      </c>
      <c r="G503" s="20">
        <v>1384</v>
      </c>
      <c r="H503" s="13" t="s">
        <v>2146</v>
      </c>
      <c r="I503" s="13" t="str">
        <f t="shared" si="24"/>
        <v>NE 18TH Av (NE 15TH Av to NE 13TH ST )</v>
      </c>
      <c r="J503" s="12" t="s">
        <v>29</v>
      </c>
      <c r="K503" s="13" t="str">
        <f>VLOOKUP(J503,'Data-ProjectTypes'!A$3:B$13,2,FALSE)</f>
        <v>Program</v>
      </c>
      <c r="L503" s="12" t="s">
        <v>1667</v>
      </c>
      <c r="M503" s="105" t="s">
        <v>2143</v>
      </c>
      <c r="N503" s="12" t="s">
        <v>1716</v>
      </c>
      <c r="Q503" s="72">
        <v>0.5</v>
      </c>
      <c r="R503" s="23">
        <f>ROUND(Q503*'Data-CostAssumptions'!$C$25,-1)</f>
        <v>84200</v>
      </c>
      <c r="S503" s="21"/>
      <c r="T503" s="21"/>
      <c r="U503" s="21"/>
      <c r="V503" s="24"/>
      <c r="W503" s="24"/>
      <c r="X503" s="24"/>
      <c r="Y503" s="17"/>
      <c r="Z503" s="18">
        <f>ROUND(R503*'Data-CostAssumptions'!$C$3,-3)</f>
        <v>117000</v>
      </c>
      <c r="AA503" s="11">
        <f t="shared" si="22"/>
        <v>0</v>
      </c>
      <c r="AB503" s="11">
        <v>2041</v>
      </c>
      <c r="AC503" s="11">
        <v>2041</v>
      </c>
      <c r="AD503" s="11">
        <v>2041</v>
      </c>
      <c r="AE503" s="19">
        <f>ROUND((Z503*'Data-CostAssumptions'!$G$5)*(1+'Data-CostAssumptions'!$G$3)^(AB503-'Data-CostAssumptions'!$G$4),-3)</f>
        <v>66000</v>
      </c>
      <c r="AF503" s="19">
        <f>ROUND((Z503)*(1+'Data-CostAssumptions'!$G$3)^(AD503-'Data-CostAssumptions'!$G$4),-3)</f>
        <v>300000</v>
      </c>
      <c r="AG503" s="170" t="str">
        <f t="shared" si="23"/>
        <v>No</v>
      </c>
    </row>
    <row r="504" spans="1:33" ht="15" customHeight="1" x14ac:dyDescent="0.2">
      <c r="B504" s="11" t="s">
        <v>1211</v>
      </c>
      <c r="D504" s="84" t="s">
        <v>276</v>
      </c>
      <c r="E504" s="104" t="s">
        <v>1475</v>
      </c>
      <c r="G504" s="20">
        <v>1387</v>
      </c>
      <c r="H504" s="13" t="s">
        <v>2149</v>
      </c>
      <c r="I504" s="13" t="str">
        <f t="shared" si="24"/>
        <v>NE 26TH Av  (COMMERCIAL Bl to NE 56TH ST )</v>
      </c>
      <c r="J504" s="12" t="s">
        <v>29</v>
      </c>
      <c r="K504" s="13" t="str">
        <f>VLOOKUP(J504,'Data-ProjectTypes'!A$3:B$13,2,FALSE)</f>
        <v>Program</v>
      </c>
      <c r="L504" s="12" t="s">
        <v>1667</v>
      </c>
      <c r="M504" s="105" t="s">
        <v>1990</v>
      </c>
      <c r="N504" s="12" t="s">
        <v>1688</v>
      </c>
      <c r="Q504" s="72">
        <v>0.5</v>
      </c>
      <c r="R504" s="23">
        <f>ROUND(Q504*'Data-CostAssumptions'!$C$25,-1)</f>
        <v>84200</v>
      </c>
      <c r="S504" s="21"/>
      <c r="T504" s="21"/>
      <c r="U504" s="21"/>
      <c r="V504" s="24"/>
      <c r="W504" s="24" t="s">
        <v>696</v>
      </c>
      <c r="X504" s="24"/>
      <c r="Y504" s="17" t="s">
        <v>287</v>
      </c>
      <c r="Z504" s="18">
        <f>ROUND(R504*'Data-CostAssumptions'!$C$3,-3)</f>
        <v>117000</v>
      </c>
      <c r="AA504" s="11">
        <f t="shared" si="22"/>
        <v>1</v>
      </c>
      <c r="AB504" s="11">
        <v>2041</v>
      </c>
      <c r="AC504" s="11">
        <v>2041</v>
      </c>
      <c r="AD504" s="11">
        <v>2041</v>
      </c>
      <c r="AE504" s="19">
        <f>ROUND((Z504*'Data-CostAssumptions'!$G$5)*(1+'Data-CostAssumptions'!$G$3)^(AB504-'Data-CostAssumptions'!$G$4),-3)</f>
        <v>66000</v>
      </c>
      <c r="AF504" s="19">
        <f>ROUND((Z504)*(1+'Data-CostAssumptions'!$G$3)^(AD504-'Data-CostAssumptions'!$G$4),-3)</f>
        <v>300000</v>
      </c>
      <c r="AG504" s="170" t="str">
        <f t="shared" si="23"/>
        <v>No</v>
      </c>
    </row>
    <row r="505" spans="1:33" ht="15" customHeight="1" x14ac:dyDescent="0.2">
      <c r="B505" s="11" t="s">
        <v>1211</v>
      </c>
      <c r="D505" s="84" t="s">
        <v>276</v>
      </c>
      <c r="E505" s="104" t="s">
        <v>1534</v>
      </c>
      <c r="G505" s="20">
        <v>1399</v>
      </c>
      <c r="H505" s="13" t="s">
        <v>2155</v>
      </c>
      <c r="I505" s="13" t="str">
        <f t="shared" si="24"/>
        <v>NE 7TH Av  (NE 18TH Av  to US 1)</v>
      </c>
      <c r="J505" s="12" t="s">
        <v>29</v>
      </c>
      <c r="K505" s="13" t="str">
        <f>VLOOKUP(J505,'Data-ProjectTypes'!A$3:B$13,2,FALSE)</f>
        <v>Program</v>
      </c>
      <c r="L505" s="12" t="s">
        <v>1667</v>
      </c>
      <c r="M505" s="105" t="s">
        <v>2147</v>
      </c>
      <c r="N505" s="12" t="s">
        <v>98</v>
      </c>
      <c r="Q505" s="72">
        <v>0.5</v>
      </c>
      <c r="R505" s="23">
        <f>ROUND(Q505*'Data-CostAssumptions'!$C$25,-1)</f>
        <v>84200</v>
      </c>
      <c r="S505" s="21"/>
      <c r="T505" s="21"/>
      <c r="U505" s="21"/>
      <c r="V505" s="24"/>
      <c r="W505" s="24"/>
      <c r="X505" s="24"/>
      <c r="Y505" s="17"/>
      <c r="Z505" s="18">
        <f>ROUND(R505*'Data-CostAssumptions'!$C$3,-3)</f>
        <v>117000</v>
      </c>
      <c r="AA505" s="11">
        <f t="shared" si="22"/>
        <v>0</v>
      </c>
      <c r="AB505" s="11">
        <v>2041</v>
      </c>
      <c r="AC505" s="11">
        <v>2041</v>
      </c>
      <c r="AD505" s="11">
        <v>2041</v>
      </c>
      <c r="AE505" s="19">
        <f>ROUND((Z505*'Data-CostAssumptions'!$G$5)*(1+'Data-CostAssumptions'!$G$3)^(AB505-'Data-CostAssumptions'!$G$4),-3)</f>
        <v>66000</v>
      </c>
      <c r="AF505" s="19">
        <f>ROUND((Z505)*(1+'Data-CostAssumptions'!$G$3)^(AD505-'Data-CostAssumptions'!$G$4),-3)</f>
        <v>300000</v>
      </c>
      <c r="AG505" s="170" t="str">
        <f t="shared" si="23"/>
        <v>No</v>
      </c>
    </row>
    <row r="506" spans="1:33" ht="15" customHeight="1" x14ac:dyDescent="0.2">
      <c r="B506" s="11" t="s">
        <v>1211</v>
      </c>
      <c r="D506" s="84" t="s">
        <v>276</v>
      </c>
      <c r="E506" s="104" t="s">
        <v>1545</v>
      </c>
      <c r="G506" s="20">
        <v>1407</v>
      </c>
      <c r="H506" s="13" t="s">
        <v>1611</v>
      </c>
      <c r="I506" s="13" t="str">
        <f t="shared" si="24"/>
        <v>NW 14TH CT  (MILL POND PARK  to NE 15TH Av)</v>
      </c>
      <c r="J506" s="12" t="s">
        <v>29</v>
      </c>
      <c r="K506" s="13" t="str">
        <f>VLOOKUP(J506,'Data-ProjectTypes'!A$3:B$13,2,FALSE)</f>
        <v>Program</v>
      </c>
      <c r="L506" s="12" t="s">
        <v>1667</v>
      </c>
      <c r="M506" s="105" t="s">
        <v>1610</v>
      </c>
      <c r="N506" s="12" t="s">
        <v>2143</v>
      </c>
      <c r="Q506" s="72">
        <v>0.5</v>
      </c>
      <c r="R506" s="23">
        <f>ROUND(Q506*'Data-CostAssumptions'!$C$25,-1)</f>
        <v>84200</v>
      </c>
      <c r="S506" s="21"/>
      <c r="T506" s="21"/>
      <c r="U506" s="21"/>
      <c r="V506" s="24"/>
      <c r="W506" s="24"/>
      <c r="X506" s="24"/>
      <c r="Y506" s="17"/>
      <c r="Z506" s="18">
        <f>ROUND(R506*'Data-CostAssumptions'!$C$3,-3)</f>
        <v>117000</v>
      </c>
      <c r="AA506" s="11">
        <f t="shared" si="22"/>
        <v>0</v>
      </c>
      <c r="AB506" s="11">
        <v>2041</v>
      </c>
      <c r="AC506" s="11">
        <v>2041</v>
      </c>
      <c r="AD506" s="11">
        <v>2041</v>
      </c>
      <c r="AE506" s="19">
        <f>ROUND((Z506*'Data-CostAssumptions'!$G$5)*(1+'Data-CostAssumptions'!$G$3)^(AB506-'Data-CostAssumptions'!$G$4),-3)</f>
        <v>66000</v>
      </c>
      <c r="AF506" s="19">
        <f>ROUND((Z506)*(1+'Data-CostAssumptions'!$G$3)^(AD506-'Data-CostAssumptions'!$G$4),-3)</f>
        <v>300000</v>
      </c>
      <c r="AG506" s="170" t="str">
        <f t="shared" si="23"/>
        <v>No</v>
      </c>
    </row>
    <row r="507" spans="1:33" ht="15" customHeight="1" x14ac:dyDescent="0.2">
      <c r="B507" s="11" t="s">
        <v>1211</v>
      </c>
      <c r="D507" s="84" t="s">
        <v>276</v>
      </c>
      <c r="E507" s="104" t="s">
        <v>1527</v>
      </c>
      <c r="G507" s="20">
        <v>1409</v>
      </c>
      <c r="H507" s="13" t="s">
        <v>2161</v>
      </c>
      <c r="I507" s="13" t="str">
        <f t="shared" si="24"/>
        <v>NW 15TH Av  (SW 4TH Av  to NW 6TH ST )</v>
      </c>
      <c r="J507" s="12" t="s">
        <v>29</v>
      </c>
      <c r="K507" s="13" t="str">
        <f>VLOOKUP(J507,'Data-ProjectTypes'!A$3:B$13,2,FALSE)</f>
        <v>Program</v>
      </c>
      <c r="L507" s="12" t="s">
        <v>1667</v>
      </c>
      <c r="M507" s="105" t="s">
        <v>2616</v>
      </c>
      <c r="N507" s="12" t="s">
        <v>1679</v>
      </c>
      <c r="Q507" s="72">
        <v>0.5</v>
      </c>
      <c r="R507" s="23">
        <f>ROUND(Q507*'Data-CostAssumptions'!$C$25,-1)</f>
        <v>84200</v>
      </c>
      <c r="S507" s="21"/>
      <c r="T507" s="21"/>
      <c r="U507" s="21"/>
      <c r="V507" s="24"/>
      <c r="W507" s="24"/>
      <c r="X507" s="24"/>
      <c r="Y507" s="17"/>
      <c r="Z507" s="18">
        <f>ROUND(R507*'Data-CostAssumptions'!$C$3,-3)</f>
        <v>117000</v>
      </c>
      <c r="AA507" s="11">
        <f t="shared" si="22"/>
        <v>0</v>
      </c>
      <c r="AB507" s="11">
        <v>2041</v>
      </c>
      <c r="AC507" s="11">
        <v>2041</v>
      </c>
      <c r="AD507" s="11">
        <v>2041</v>
      </c>
      <c r="AE507" s="19">
        <f>ROUND((Z507*'Data-CostAssumptions'!$G$5)*(1+'Data-CostAssumptions'!$G$3)^(AB507-'Data-CostAssumptions'!$G$4),-3)</f>
        <v>66000</v>
      </c>
      <c r="AF507" s="19">
        <f>ROUND((Z507)*(1+'Data-CostAssumptions'!$G$3)^(AD507-'Data-CostAssumptions'!$G$4),-3)</f>
        <v>300000</v>
      </c>
      <c r="AG507" s="170" t="str">
        <f t="shared" si="23"/>
        <v>No</v>
      </c>
    </row>
    <row r="508" spans="1:33" ht="15" customHeight="1" x14ac:dyDescent="0.2">
      <c r="B508" s="11" t="s">
        <v>1211</v>
      </c>
      <c r="D508" s="84" t="s">
        <v>276</v>
      </c>
      <c r="E508" s="104" t="s">
        <v>1514</v>
      </c>
      <c r="G508" s="20">
        <v>1493</v>
      </c>
      <c r="H508" s="13" t="s">
        <v>2188</v>
      </c>
      <c r="I508" s="13" t="str">
        <f t="shared" si="24"/>
        <v>SW 20TH Av  (SW 20TH ST  to SW 35TH Av )</v>
      </c>
      <c r="J508" s="12" t="s">
        <v>29</v>
      </c>
      <c r="K508" s="13" t="str">
        <f>VLOOKUP(J508,'Data-ProjectTypes'!A$3:B$13,2,FALSE)</f>
        <v>Program</v>
      </c>
      <c r="L508" s="12" t="s">
        <v>1667</v>
      </c>
      <c r="M508" s="105" t="s">
        <v>1596</v>
      </c>
      <c r="N508" s="12" t="s">
        <v>2193</v>
      </c>
      <c r="Q508" s="72">
        <v>0.5</v>
      </c>
      <c r="R508" s="23">
        <f>ROUND(Q508*'Data-CostAssumptions'!$C$25,-1)</f>
        <v>84200</v>
      </c>
      <c r="S508" s="21"/>
      <c r="T508" s="21"/>
      <c r="U508" s="21"/>
      <c r="V508" s="24"/>
      <c r="W508" s="24"/>
      <c r="X508" s="24" t="s">
        <v>764</v>
      </c>
      <c r="Y508" s="17" t="s">
        <v>765</v>
      </c>
      <c r="Z508" s="18">
        <f>ROUND(R508*'Data-CostAssumptions'!$C$3,-3)</f>
        <v>117000</v>
      </c>
      <c r="AA508" s="11">
        <f t="shared" si="22"/>
        <v>0</v>
      </c>
      <c r="AB508" s="11">
        <v>2041</v>
      </c>
      <c r="AC508" s="11">
        <v>2041</v>
      </c>
      <c r="AD508" s="11">
        <v>2041</v>
      </c>
      <c r="AE508" s="19">
        <f>ROUND((Z508*'Data-CostAssumptions'!$G$5)*(1+'Data-CostAssumptions'!$G$3)^(AB508-'Data-CostAssumptions'!$G$4),-3)</f>
        <v>66000</v>
      </c>
      <c r="AF508" s="19">
        <f>ROUND((Z508)*(1+'Data-CostAssumptions'!$G$3)^(AD508-'Data-CostAssumptions'!$G$4),-3)</f>
        <v>300000</v>
      </c>
      <c r="AG508" s="170" t="str">
        <f t="shared" si="23"/>
        <v>No</v>
      </c>
    </row>
    <row r="509" spans="1:33" ht="15" customHeight="1" x14ac:dyDescent="0.2">
      <c r="B509" s="11" t="s">
        <v>1211</v>
      </c>
      <c r="D509" s="84" t="s">
        <v>276</v>
      </c>
      <c r="E509" s="104" t="s">
        <v>1520</v>
      </c>
      <c r="G509" s="20">
        <v>1507</v>
      </c>
      <c r="H509" s="13" t="s">
        <v>1599</v>
      </c>
      <c r="I509" s="13" t="str">
        <f t="shared" si="24"/>
        <v>SW 7TH ST  (SW 2 ND CT  to SW 31ST Av )</v>
      </c>
      <c r="J509" s="12" t="s">
        <v>29</v>
      </c>
      <c r="K509" s="13" t="str">
        <f>VLOOKUP(J509,'Data-ProjectTypes'!A$3:B$13,2,FALSE)</f>
        <v>Program</v>
      </c>
      <c r="L509" s="12" t="s">
        <v>1667</v>
      </c>
      <c r="M509" s="105" t="s">
        <v>1711</v>
      </c>
      <c r="N509" s="12" t="s">
        <v>2610</v>
      </c>
      <c r="Q509" s="72">
        <v>0.5</v>
      </c>
      <c r="R509" s="23">
        <f>ROUND(Q509*'Data-CostAssumptions'!$C$25,-1)</f>
        <v>84200</v>
      </c>
      <c r="S509" s="21"/>
      <c r="T509" s="21"/>
      <c r="U509" s="21"/>
      <c r="V509" s="24"/>
      <c r="W509" s="24"/>
      <c r="X509" s="24"/>
      <c r="Y509" s="17"/>
      <c r="Z509" s="18">
        <f>ROUND(R509*'Data-CostAssumptions'!$C$3,-3)</f>
        <v>117000</v>
      </c>
      <c r="AA509" s="11">
        <f t="shared" si="22"/>
        <v>0</v>
      </c>
      <c r="AB509" s="11">
        <v>2041</v>
      </c>
      <c r="AC509" s="11">
        <v>2041</v>
      </c>
      <c r="AD509" s="11">
        <v>2041</v>
      </c>
      <c r="AE509" s="19">
        <f>ROUND((Z509*'Data-CostAssumptions'!$G$5)*(1+'Data-CostAssumptions'!$G$3)^(AB509-'Data-CostAssumptions'!$G$4),-3)</f>
        <v>66000</v>
      </c>
      <c r="AF509" s="19">
        <f>ROUND((Z509)*(1+'Data-CostAssumptions'!$G$3)^(AD509-'Data-CostAssumptions'!$G$4),-3)</f>
        <v>300000</v>
      </c>
      <c r="AG509" s="170" t="str">
        <f t="shared" si="23"/>
        <v>No</v>
      </c>
    </row>
    <row r="510" spans="1:33" ht="15" customHeight="1" x14ac:dyDescent="0.2">
      <c r="A510" s="11"/>
      <c r="B510" s="11" t="s">
        <v>1211</v>
      </c>
      <c r="C510" s="11">
        <v>12252</v>
      </c>
      <c r="D510" s="84" t="s">
        <v>282</v>
      </c>
      <c r="E510" s="14"/>
      <c r="F510" s="14"/>
      <c r="G510" s="20">
        <v>1741</v>
      </c>
      <c r="H510" s="13" t="s">
        <v>1880</v>
      </c>
      <c r="I510" s="13" t="str">
        <f t="shared" si="24"/>
        <v>Johnson St (64th Av to SR 7)</v>
      </c>
      <c r="J510" s="11" t="s">
        <v>29</v>
      </c>
      <c r="K510" s="13" t="str">
        <f>VLOOKUP(J510,'Data-ProjectTypes'!A$3:B$13,2,FALSE)</f>
        <v>Program</v>
      </c>
      <c r="L510" s="142" t="s">
        <v>591</v>
      </c>
      <c r="M510" s="11" t="s">
        <v>2357</v>
      </c>
      <c r="N510" s="11" t="s">
        <v>53</v>
      </c>
      <c r="O510" s="11"/>
      <c r="P510" s="11"/>
      <c r="Q510" s="79">
        <v>0.5</v>
      </c>
      <c r="R510" s="143">
        <f>ROUND(Q510*'Data-CostAssumptions'!$C$25,-3)</f>
        <v>84000</v>
      </c>
      <c r="S510" s="21"/>
      <c r="T510" s="21"/>
      <c r="U510" s="21"/>
      <c r="V510" s="24"/>
      <c r="W510" s="24"/>
      <c r="X510" s="24"/>
      <c r="Y510" s="17"/>
      <c r="Z510" s="18">
        <f>ROUND(R510*'Data-CostAssumptions'!$C$3,-3)</f>
        <v>116000</v>
      </c>
      <c r="AA510" s="11">
        <f t="shared" si="22"/>
        <v>0</v>
      </c>
      <c r="AB510" s="11">
        <v>2041</v>
      </c>
      <c r="AC510" s="11">
        <v>2041</v>
      </c>
      <c r="AD510" s="11">
        <v>2041</v>
      </c>
      <c r="AE510" s="19">
        <f>ROUND((Z510*'Data-CostAssumptions'!$G$5)*(1+'Data-CostAssumptions'!$G$3)^(AB510-'Data-CostAssumptions'!$G$4),-3)</f>
        <v>65000</v>
      </c>
      <c r="AF510" s="19">
        <f>ROUND((Z510)*(1+'Data-CostAssumptions'!$G$3)^(AD510-'Data-CostAssumptions'!$G$4),-3)</f>
        <v>297000</v>
      </c>
      <c r="AG510" s="170" t="str">
        <f t="shared" si="23"/>
        <v>No</v>
      </c>
    </row>
    <row r="511" spans="1:33" ht="15" customHeight="1" x14ac:dyDescent="0.2">
      <c r="A511" s="11"/>
      <c r="B511" s="11" t="s">
        <v>1211</v>
      </c>
      <c r="C511" s="11">
        <v>12260</v>
      </c>
      <c r="D511" s="84" t="s">
        <v>282</v>
      </c>
      <c r="E511" s="14"/>
      <c r="F511" s="14"/>
      <c r="G511" s="20">
        <v>1745</v>
      </c>
      <c r="H511" s="13" t="s">
        <v>1880</v>
      </c>
      <c r="I511" s="13" t="str">
        <f t="shared" si="24"/>
        <v>Johnson St (Park Rd to C-10 Canal)</v>
      </c>
      <c r="J511" s="11" t="s">
        <v>29</v>
      </c>
      <c r="K511" s="13" t="str">
        <f>VLOOKUP(J511,'Data-ProjectTypes'!A$3:B$13,2,FALSE)</f>
        <v>Program</v>
      </c>
      <c r="L511" s="142" t="s">
        <v>599</v>
      </c>
      <c r="M511" s="11" t="s">
        <v>1857</v>
      </c>
      <c r="N511" s="11" t="s">
        <v>654</v>
      </c>
      <c r="O511" s="11"/>
      <c r="P511" s="11"/>
      <c r="Q511" s="79">
        <v>0.5</v>
      </c>
      <c r="R511" s="143">
        <f>ROUND(Q511*'Data-CostAssumptions'!$C$25,-3)</f>
        <v>84000</v>
      </c>
      <c r="S511" s="21"/>
      <c r="T511" s="21"/>
      <c r="U511" s="21"/>
      <c r="V511" s="24"/>
      <c r="W511" s="24"/>
      <c r="X511" s="24"/>
      <c r="Y511" s="17"/>
      <c r="Z511" s="18">
        <f>ROUND(R511*'Data-CostAssumptions'!$C$3,-3)</f>
        <v>116000</v>
      </c>
      <c r="AA511" s="11">
        <f t="shared" si="22"/>
        <v>0</v>
      </c>
      <c r="AB511" s="11">
        <v>2041</v>
      </c>
      <c r="AC511" s="11">
        <v>2041</v>
      </c>
      <c r="AD511" s="11">
        <v>2041</v>
      </c>
      <c r="AE511" s="19">
        <f>ROUND((Z511*'Data-CostAssumptions'!$G$5)*(1+'Data-CostAssumptions'!$G$3)^(AB511-'Data-CostAssumptions'!$G$4),-3)</f>
        <v>65000</v>
      </c>
      <c r="AF511" s="19">
        <f>ROUND((Z511)*(1+'Data-CostAssumptions'!$G$3)^(AD511-'Data-CostAssumptions'!$G$4),-3)</f>
        <v>297000</v>
      </c>
      <c r="AG511" s="170" t="str">
        <f t="shared" si="23"/>
        <v>No</v>
      </c>
    </row>
    <row r="512" spans="1:33" ht="15" customHeight="1" x14ac:dyDescent="0.2">
      <c r="A512" s="11"/>
      <c r="B512" s="11" t="s">
        <v>1211</v>
      </c>
      <c r="C512" s="11">
        <v>12279</v>
      </c>
      <c r="D512" s="84" t="s">
        <v>282</v>
      </c>
      <c r="E512" s="14"/>
      <c r="F512" s="14"/>
      <c r="G512" s="20">
        <v>1753</v>
      </c>
      <c r="H512" s="13" t="s">
        <v>2777</v>
      </c>
      <c r="I512" s="13" t="str">
        <f t="shared" si="24"/>
        <v>Johnson St/Lincoln St (SR 7 to N 56th St)</v>
      </c>
      <c r="J512" s="11" t="s">
        <v>29</v>
      </c>
      <c r="K512" s="13" t="str">
        <f>VLOOKUP(J512,'Data-ProjectTypes'!A$3:B$13,2,FALSE)</f>
        <v>Program</v>
      </c>
      <c r="L512" s="142" t="s">
        <v>618</v>
      </c>
      <c r="M512" s="11" t="s">
        <v>53</v>
      </c>
      <c r="N512" s="11" t="s">
        <v>2494</v>
      </c>
      <c r="O512" s="11"/>
      <c r="P512" s="11"/>
      <c r="Q512" s="79">
        <v>0.5</v>
      </c>
      <c r="R512" s="143">
        <f>ROUND(Q512*'Data-CostAssumptions'!$C$25,-3)</f>
        <v>84000</v>
      </c>
      <c r="S512" s="21" t="s">
        <v>24</v>
      </c>
      <c r="T512" s="21" t="s">
        <v>24</v>
      </c>
      <c r="U512" s="21"/>
      <c r="V512" s="24"/>
      <c r="W512" s="24"/>
      <c r="X512" s="28"/>
      <c r="Y512" s="17" t="s">
        <v>469</v>
      </c>
      <c r="Z512" s="18">
        <f>ROUND(R512*'Data-CostAssumptions'!$C$3,-3)</f>
        <v>116000</v>
      </c>
      <c r="AA512" s="11">
        <f t="shared" si="22"/>
        <v>0</v>
      </c>
      <c r="AB512" s="11">
        <v>2041</v>
      </c>
      <c r="AC512" s="11">
        <v>2041</v>
      </c>
      <c r="AD512" s="11">
        <v>2041</v>
      </c>
      <c r="AE512" s="19">
        <f>ROUND((Z512*'Data-CostAssumptions'!$G$5)*(1+'Data-CostAssumptions'!$G$3)^(AB512-'Data-CostAssumptions'!$G$4),-3)</f>
        <v>65000</v>
      </c>
      <c r="AF512" s="19">
        <f>ROUND((Z512)*(1+'Data-CostAssumptions'!$G$3)^(AD512-'Data-CostAssumptions'!$G$4),-3)</f>
        <v>297000</v>
      </c>
      <c r="AG512" s="170" t="str">
        <f t="shared" si="23"/>
        <v>No</v>
      </c>
    </row>
    <row r="513" spans="1:33" ht="15" customHeight="1" x14ac:dyDescent="0.2">
      <c r="A513" s="11"/>
      <c r="B513" s="11" t="s">
        <v>1211</v>
      </c>
      <c r="C513" s="11">
        <v>12284</v>
      </c>
      <c r="D513" s="84" t="s">
        <v>282</v>
      </c>
      <c r="E513" s="14"/>
      <c r="F513" s="14"/>
      <c r="G513" s="20">
        <v>1756</v>
      </c>
      <c r="H513" s="13" t="s">
        <v>2010</v>
      </c>
      <c r="I513" s="13" t="str">
        <f t="shared" si="24"/>
        <v>46th Av (Washington St to Hollywood Bl)</v>
      </c>
      <c r="J513" s="11" t="s">
        <v>29</v>
      </c>
      <c r="K513" s="13" t="str">
        <f>VLOOKUP(J513,'Data-ProjectTypes'!A$3:B$13,2,FALSE)</f>
        <v>Program</v>
      </c>
      <c r="L513" s="142" t="s">
        <v>623</v>
      </c>
      <c r="M513" s="11" t="s">
        <v>1971</v>
      </c>
      <c r="N513" s="11" t="s">
        <v>1820</v>
      </c>
      <c r="O513" s="11"/>
      <c r="P513" s="11"/>
      <c r="Q513" s="79">
        <v>0.5</v>
      </c>
      <c r="R513" s="143">
        <f>ROUND(Q513*'Data-CostAssumptions'!$C$25,-3)</f>
        <v>84000</v>
      </c>
      <c r="S513" s="21"/>
      <c r="T513" s="21"/>
      <c r="U513" s="21"/>
      <c r="V513" s="24"/>
      <c r="W513" s="24"/>
      <c r="X513" s="24"/>
      <c r="Y513" s="17"/>
      <c r="Z513" s="18">
        <f>ROUND(R513*'Data-CostAssumptions'!$C$3,-3)</f>
        <v>116000</v>
      </c>
      <c r="AA513" s="11">
        <f t="shared" si="22"/>
        <v>0</v>
      </c>
      <c r="AB513" s="11">
        <v>2041</v>
      </c>
      <c r="AC513" s="11">
        <v>2041</v>
      </c>
      <c r="AD513" s="11">
        <v>2041</v>
      </c>
      <c r="AE513" s="19">
        <f>ROUND((Z513*'Data-CostAssumptions'!$G$5)*(1+'Data-CostAssumptions'!$G$3)^(AB513-'Data-CostAssumptions'!$G$4),-3)</f>
        <v>65000</v>
      </c>
      <c r="AF513" s="19">
        <f>ROUND((Z513)*(1+'Data-CostAssumptions'!$G$3)^(AD513-'Data-CostAssumptions'!$G$4),-3)</f>
        <v>297000</v>
      </c>
      <c r="AG513" s="170" t="str">
        <f t="shared" si="23"/>
        <v>No</v>
      </c>
    </row>
    <row r="514" spans="1:33" ht="15" customHeight="1" x14ac:dyDescent="0.2">
      <c r="A514" s="11"/>
      <c r="B514" s="11" t="s">
        <v>1211</v>
      </c>
      <c r="C514" s="13">
        <v>861</v>
      </c>
      <c r="D514" s="13" t="s">
        <v>420</v>
      </c>
      <c r="E514" s="20">
        <v>149</v>
      </c>
      <c r="F514" s="20">
        <v>190</v>
      </c>
      <c r="G514" s="20">
        <v>238</v>
      </c>
      <c r="H514" s="13" t="s">
        <v>2120</v>
      </c>
      <c r="I514" s="13" t="str">
        <f t="shared" si="24"/>
        <v>SW 31st Av (SW 5th Court to SW 2nd St)</v>
      </c>
      <c r="J514" s="13" t="s">
        <v>29</v>
      </c>
      <c r="K514" s="13" t="str">
        <f>VLOOKUP(J514,'Data-ProjectTypes'!A$3:B$13,2,FALSE)</f>
        <v>Program</v>
      </c>
      <c r="L514" s="21" t="s">
        <v>348</v>
      </c>
      <c r="M514" s="13" t="s">
        <v>212</v>
      </c>
      <c r="N514" s="13" t="s">
        <v>2577</v>
      </c>
      <c r="O514" s="13" t="s">
        <v>273</v>
      </c>
      <c r="P514" s="13" t="s">
        <v>273</v>
      </c>
      <c r="Q514" s="22">
        <v>0.4</v>
      </c>
      <c r="R514" s="23">
        <v>81534</v>
      </c>
      <c r="S514" s="21" t="s">
        <v>24</v>
      </c>
      <c r="T514" s="21" t="s">
        <v>24</v>
      </c>
      <c r="U514" s="21"/>
      <c r="V514" s="24"/>
      <c r="W514" s="24"/>
      <c r="X514" s="24"/>
      <c r="Y514" s="17" t="s">
        <v>469</v>
      </c>
      <c r="Z514" s="18">
        <f>ROUND(R514*'Data-CostAssumptions'!$C$3,-3)</f>
        <v>113000</v>
      </c>
      <c r="AA514" s="11">
        <f t="shared" ref="AA514:AA578" si="25">IF(V514="",IF(W514="",0,1),1)</f>
        <v>0</v>
      </c>
      <c r="AB514" s="11">
        <v>2041</v>
      </c>
      <c r="AC514" s="11">
        <v>2041</v>
      </c>
      <c r="AD514" s="11">
        <v>2041</v>
      </c>
      <c r="AE514" s="19">
        <f>ROUND((Z514*'Data-CostAssumptions'!$G$5)*(1+'Data-CostAssumptions'!$G$3)^(AB514-'Data-CostAssumptions'!$G$4),-3)</f>
        <v>64000</v>
      </c>
      <c r="AF514" s="19">
        <f>ROUND((Z514)*(1+'Data-CostAssumptions'!$G$3)^(AD514-'Data-CostAssumptions'!$G$4),-3)</f>
        <v>290000</v>
      </c>
      <c r="AG514" s="170" t="str">
        <f t="shared" ref="AG514:AG578" si="26">IF(MIN(AC514:AD514)&lt;2041,"Yes","No")</f>
        <v>No</v>
      </c>
    </row>
    <row r="515" spans="1:33" ht="15" customHeight="1" x14ac:dyDescent="0.2">
      <c r="A515" s="11"/>
      <c r="B515" s="11" t="s">
        <v>1211</v>
      </c>
      <c r="C515" s="11">
        <v>12008</v>
      </c>
      <c r="D515" s="84" t="s">
        <v>292</v>
      </c>
      <c r="E515" s="14"/>
      <c r="F515" s="14"/>
      <c r="G515" s="20">
        <v>1091</v>
      </c>
      <c r="H515" s="13" t="s">
        <v>422</v>
      </c>
      <c r="I515" s="13" t="str">
        <f t="shared" si="24"/>
        <v>Terrapin Lane (Turtle Creek Dr to Sample Rd)</v>
      </c>
      <c r="J515" s="11" t="s">
        <v>29</v>
      </c>
      <c r="K515" s="13" t="str">
        <f>VLOOKUP(J515,'Data-ProjectTypes'!A$3:B$13,2,FALSE)</f>
        <v>Program</v>
      </c>
      <c r="L515" s="11" t="s">
        <v>426</v>
      </c>
      <c r="M515" s="11" t="s">
        <v>1803</v>
      </c>
      <c r="N515" s="11" t="s">
        <v>1864</v>
      </c>
      <c r="O515" s="11"/>
      <c r="P515" s="11"/>
      <c r="Q515" s="15">
        <v>0.32</v>
      </c>
      <c r="R515" s="16">
        <v>81492.997710354917</v>
      </c>
      <c r="S515" s="21"/>
      <c r="T515" s="21"/>
      <c r="U515" s="21"/>
      <c r="V515" s="24"/>
      <c r="W515" s="24"/>
      <c r="X515" s="24" t="s">
        <v>504</v>
      </c>
      <c r="Y515" s="17" t="s">
        <v>492</v>
      </c>
      <c r="Z515" s="18">
        <f>ROUND(R515*'Data-CostAssumptions'!$C$3,-3)</f>
        <v>113000</v>
      </c>
      <c r="AA515" s="11">
        <f t="shared" si="25"/>
        <v>0</v>
      </c>
      <c r="AB515" s="11">
        <v>2041</v>
      </c>
      <c r="AC515" s="11">
        <v>2041</v>
      </c>
      <c r="AD515" s="11">
        <v>2041</v>
      </c>
      <c r="AE515" s="19">
        <f>ROUND((Z515*'Data-CostAssumptions'!$G$5)*(1+'Data-CostAssumptions'!$G$3)^(AB515-'Data-CostAssumptions'!$G$4),-3)</f>
        <v>64000</v>
      </c>
      <c r="AF515" s="19">
        <f>ROUND((Z515)*(1+'Data-CostAssumptions'!$G$3)^(AD515-'Data-CostAssumptions'!$G$4),-3)</f>
        <v>290000</v>
      </c>
      <c r="AG515" s="170" t="str">
        <f t="shared" si="26"/>
        <v>No</v>
      </c>
    </row>
    <row r="516" spans="1:33" ht="15" customHeight="1" x14ac:dyDescent="0.2">
      <c r="B516" s="11" t="s">
        <v>1211</v>
      </c>
      <c r="D516" s="84" t="s">
        <v>276</v>
      </c>
      <c r="E516" s="104">
        <v>41</v>
      </c>
      <c r="G516" s="20">
        <v>1388</v>
      </c>
      <c r="H516" s="13" t="s">
        <v>1231</v>
      </c>
      <c r="I516" s="13" t="str">
        <f t="shared" si="24"/>
        <v>NE 26TH ST (US 1/SR 5/FEDERAL HWY to BAYVIEW DR)</v>
      </c>
      <c r="J516" s="12" t="s">
        <v>29</v>
      </c>
      <c r="K516" s="13" t="str">
        <f>VLOOKUP(J516,'Data-ProjectTypes'!A$3:B$13,2,FALSE)</f>
        <v>Program</v>
      </c>
      <c r="L516" s="12" t="s">
        <v>1317</v>
      </c>
      <c r="M516" s="105" t="s">
        <v>1425</v>
      </c>
      <c r="N516" s="12" t="s">
        <v>1224</v>
      </c>
      <c r="Q516" s="72">
        <v>0.5</v>
      </c>
      <c r="R516" s="23">
        <v>76000</v>
      </c>
      <c r="S516" s="21"/>
      <c r="T516" s="21"/>
      <c r="U516" s="21"/>
      <c r="V516" s="24"/>
      <c r="W516" s="24" t="s">
        <v>491</v>
      </c>
      <c r="X516" s="24"/>
      <c r="Y516" s="17" t="s">
        <v>492</v>
      </c>
      <c r="Z516" s="18">
        <f>ROUND(R516*'Data-CostAssumptions'!$C$3,-3)</f>
        <v>105000</v>
      </c>
      <c r="AA516" s="11">
        <f t="shared" si="25"/>
        <v>1</v>
      </c>
      <c r="AB516" s="11">
        <v>2041</v>
      </c>
      <c r="AC516" s="11">
        <v>2041</v>
      </c>
      <c r="AD516" s="11">
        <v>2041</v>
      </c>
      <c r="AE516" s="19">
        <f>ROUND((Z516*'Data-CostAssumptions'!$G$5)*(1+'Data-CostAssumptions'!$G$3)^(AB516-'Data-CostAssumptions'!$G$4),-3)</f>
        <v>59000</v>
      </c>
      <c r="AF516" s="19">
        <f>ROUND((Z516)*(1+'Data-CostAssumptions'!$G$3)^(AD516-'Data-CostAssumptions'!$G$4),-3)</f>
        <v>269000</v>
      </c>
      <c r="AG516" s="170" t="str">
        <f t="shared" si="26"/>
        <v>No</v>
      </c>
    </row>
    <row r="517" spans="1:33" ht="15" customHeight="1" x14ac:dyDescent="0.2">
      <c r="A517" s="11"/>
      <c r="B517" s="11" t="s">
        <v>1211</v>
      </c>
      <c r="C517" s="13">
        <v>835</v>
      </c>
      <c r="D517" s="13" t="s">
        <v>420</v>
      </c>
      <c r="E517" s="20">
        <v>306</v>
      </c>
      <c r="F517" s="20">
        <v>189</v>
      </c>
      <c r="G517" s="20">
        <v>211</v>
      </c>
      <c r="H517" s="13" t="s">
        <v>728</v>
      </c>
      <c r="I517" s="13" t="str">
        <f t="shared" si="24"/>
        <v>Dixie Hwy (NE 3rd St to Hillsboro Bl)</v>
      </c>
      <c r="J517" s="13" t="s">
        <v>29</v>
      </c>
      <c r="K517" s="13" t="str">
        <f>VLOOKUP(J517,'Data-ProjectTypes'!A$3:B$13,2,FALSE)</f>
        <v>Program</v>
      </c>
      <c r="L517" s="21" t="s">
        <v>348</v>
      </c>
      <c r="M517" s="13" t="s">
        <v>1892</v>
      </c>
      <c r="N517" s="13" t="s">
        <v>1819</v>
      </c>
      <c r="O517" s="13" t="s">
        <v>273</v>
      </c>
      <c r="P517" s="13" t="s">
        <v>273</v>
      </c>
      <c r="Q517" s="22">
        <v>0.3</v>
      </c>
      <c r="R517" s="23">
        <v>69565</v>
      </c>
      <c r="S517" s="21"/>
      <c r="T517" s="21"/>
      <c r="U517" s="21"/>
      <c r="V517" s="24"/>
      <c r="W517" s="24"/>
      <c r="X517" s="34" t="s">
        <v>1174</v>
      </c>
      <c r="Y517" s="17" t="s">
        <v>1171</v>
      </c>
      <c r="Z517" s="18">
        <f>ROUND(R517*'Data-CostAssumptions'!$C$3,-3)</f>
        <v>96000</v>
      </c>
      <c r="AA517" s="11">
        <f t="shared" si="25"/>
        <v>0</v>
      </c>
      <c r="AB517" s="11">
        <v>2041</v>
      </c>
      <c r="AC517" s="11">
        <v>2041</v>
      </c>
      <c r="AD517" s="11">
        <v>2041</v>
      </c>
      <c r="AE517" s="19">
        <f>ROUND((Z517*'Data-CostAssumptions'!$G$5)*(1+'Data-CostAssumptions'!$G$3)^(AB517-'Data-CostAssumptions'!$G$4),-3)</f>
        <v>54000</v>
      </c>
      <c r="AF517" s="19">
        <f>ROUND((Z517)*(1+'Data-CostAssumptions'!$G$3)^(AD517-'Data-CostAssumptions'!$G$4),-3)</f>
        <v>246000</v>
      </c>
      <c r="AG517" s="170" t="str">
        <f t="shared" si="26"/>
        <v>No</v>
      </c>
    </row>
    <row r="518" spans="1:33" ht="15" customHeight="1" x14ac:dyDescent="0.2">
      <c r="A518" s="11"/>
      <c r="B518" s="11" t="s">
        <v>1211</v>
      </c>
      <c r="C518" s="11">
        <v>12305</v>
      </c>
      <c r="D518" s="84" t="s">
        <v>282</v>
      </c>
      <c r="E518" s="14"/>
      <c r="F518" s="14"/>
      <c r="G518" s="20">
        <v>1764</v>
      </c>
      <c r="H518" s="13" t="s">
        <v>2008</v>
      </c>
      <c r="I518" s="13" t="str">
        <f t="shared" si="24"/>
        <v>24th Av (Washington St to Johnson St)</v>
      </c>
      <c r="J518" s="11" t="s">
        <v>29</v>
      </c>
      <c r="K518" s="13" t="str">
        <f>VLOOKUP(J518,'Data-ProjectTypes'!A$3:B$13,2,FALSE)</f>
        <v>Program</v>
      </c>
      <c r="L518" s="142" t="s">
        <v>642</v>
      </c>
      <c r="M518" s="11" t="s">
        <v>1971</v>
      </c>
      <c r="N518" s="11" t="s">
        <v>1880</v>
      </c>
      <c r="O518" s="11"/>
      <c r="P518" s="11"/>
      <c r="Q518" s="79">
        <v>1</v>
      </c>
      <c r="R518" s="143">
        <f>ROUND('Data-CostAssumptions'!C32*'Data-Projects-All'!Q1741,-1)</f>
        <v>68400</v>
      </c>
      <c r="S518" s="21"/>
      <c r="T518" s="21"/>
      <c r="U518" s="21"/>
      <c r="V518" s="24"/>
      <c r="W518" s="24" t="s">
        <v>698</v>
      </c>
      <c r="X518" s="24"/>
      <c r="Y518" s="17" t="s">
        <v>287</v>
      </c>
      <c r="Z518" s="18">
        <f>ROUND(R518*'Data-CostAssumptions'!$C$3,-3)</f>
        <v>95000</v>
      </c>
      <c r="AA518" s="11">
        <f t="shared" si="25"/>
        <v>1</v>
      </c>
      <c r="AB518" s="11">
        <v>2041</v>
      </c>
      <c r="AC518" s="11">
        <v>2041</v>
      </c>
      <c r="AD518" s="11">
        <v>2041</v>
      </c>
      <c r="AE518" s="19">
        <f>ROUND((Z518*'Data-CostAssumptions'!$G$5)*(1+'Data-CostAssumptions'!$G$3)^(AB518-'Data-CostAssumptions'!$G$4),-3)</f>
        <v>54000</v>
      </c>
      <c r="AF518" s="19">
        <f>ROUND((Z518)*(1+'Data-CostAssumptions'!$G$3)^(AD518-'Data-CostAssumptions'!$G$4),-3)</f>
        <v>244000</v>
      </c>
      <c r="AG518" s="170" t="str">
        <f t="shared" si="26"/>
        <v>No</v>
      </c>
    </row>
    <row r="519" spans="1:33" ht="15" customHeight="1" x14ac:dyDescent="0.2">
      <c r="B519" s="11" t="s">
        <v>1211</v>
      </c>
      <c r="D519" s="84" t="s">
        <v>276</v>
      </c>
      <c r="E519" s="104" t="s">
        <v>1496</v>
      </c>
      <c r="G519" s="20">
        <v>1364</v>
      </c>
      <c r="H519" s="13" t="s">
        <v>1589</v>
      </c>
      <c r="I519" s="13" t="str">
        <f t="shared" si="24"/>
        <v>LAS OLAS CIR (A1A to S BIRCH RD)</v>
      </c>
      <c r="J519" s="12" t="s">
        <v>29</v>
      </c>
      <c r="K519" s="13" t="str">
        <f>VLOOKUP(J519,'Data-ProjectTypes'!A$3:B$13,2,FALSE)</f>
        <v>Program</v>
      </c>
      <c r="L519" s="12" t="s">
        <v>1667</v>
      </c>
      <c r="M519" s="105" t="s">
        <v>205</v>
      </c>
      <c r="N519" s="12" t="s">
        <v>1699</v>
      </c>
      <c r="Q519" s="72">
        <v>0.4</v>
      </c>
      <c r="R519" s="23">
        <f>ROUND(Q519*'Data-CostAssumptions'!$C$25,-1)</f>
        <v>67360</v>
      </c>
      <c r="S519" s="21"/>
      <c r="T519" s="21"/>
      <c r="U519" s="21"/>
      <c r="V519" s="24"/>
      <c r="W519" s="24"/>
      <c r="X519" s="24"/>
      <c r="Y519" s="17"/>
      <c r="Z519" s="18">
        <f>ROUND(R519*'Data-CostAssumptions'!$C$3,-3)</f>
        <v>93000</v>
      </c>
      <c r="AA519" s="11">
        <f t="shared" si="25"/>
        <v>0</v>
      </c>
      <c r="AB519" s="11">
        <v>2041</v>
      </c>
      <c r="AC519" s="11">
        <v>2041</v>
      </c>
      <c r="AD519" s="11">
        <v>2041</v>
      </c>
      <c r="AE519" s="19">
        <f>ROUND((Z519*'Data-CostAssumptions'!$G$5)*(1+'Data-CostAssumptions'!$G$3)^(AB519-'Data-CostAssumptions'!$G$4),-3)</f>
        <v>52000</v>
      </c>
      <c r="AF519" s="19">
        <f>ROUND((Z519)*(1+'Data-CostAssumptions'!$G$3)^(AD519-'Data-CostAssumptions'!$G$4),-3)</f>
        <v>238000</v>
      </c>
      <c r="AG519" s="170" t="str">
        <f t="shared" si="26"/>
        <v>No</v>
      </c>
    </row>
    <row r="520" spans="1:33" ht="15" customHeight="1" x14ac:dyDescent="0.2">
      <c r="B520" s="11" t="s">
        <v>1211</v>
      </c>
      <c r="D520" s="84" t="s">
        <v>276</v>
      </c>
      <c r="E520" s="104" t="s">
        <v>1474</v>
      </c>
      <c r="G520" s="20">
        <v>1385</v>
      </c>
      <c r="H520" s="13" t="s">
        <v>2147</v>
      </c>
      <c r="I520" s="13" t="str">
        <f t="shared" si="24"/>
        <v>NE 18TH Av  (NE 45TH ST to COMMERCIAL Bl )</v>
      </c>
      <c r="J520" s="12" t="s">
        <v>29</v>
      </c>
      <c r="K520" s="13" t="str">
        <f>VLOOKUP(J520,'Data-ProjectTypes'!A$3:B$13,2,FALSE)</f>
        <v>Program</v>
      </c>
      <c r="L520" s="12" t="s">
        <v>1667</v>
      </c>
      <c r="M520" s="105" t="s">
        <v>1687</v>
      </c>
      <c r="N520" s="12" t="s">
        <v>2301</v>
      </c>
      <c r="Q520" s="72">
        <v>0.4</v>
      </c>
      <c r="R520" s="23">
        <f>ROUND(Q520*'Data-CostAssumptions'!$C$25,-1)</f>
        <v>67360</v>
      </c>
      <c r="S520" s="21"/>
      <c r="T520" s="21"/>
      <c r="U520" s="21"/>
      <c r="V520" s="24"/>
      <c r="W520" s="24"/>
      <c r="X520" s="24"/>
      <c r="Y520" s="17"/>
      <c r="Z520" s="18">
        <f>ROUND(R520*'Data-CostAssumptions'!$C$3,-3)</f>
        <v>93000</v>
      </c>
      <c r="AA520" s="11">
        <f t="shared" si="25"/>
        <v>0</v>
      </c>
      <c r="AB520" s="11">
        <v>2041</v>
      </c>
      <c r="AC520" s="11">
        <v>2041</v>
      </c>
      <c r="AD520" s="11">
        <v>2041</v>
      </c>
      <c r="AE520" s="19">
        <f>ROUND((Z520*'Data-CostAssumptions'!$G$5)*(1+'Data-CostAssumptions'!$G$3)^(AB520-'Data-CostAssumptions'!$G$4),-3)</f>
        <v>52000</v>
      </c>
      <c r="AF520" s="19">
        <f>ROUND((Z520)*(1+'Data-CostAssumptions'!$G$3)^(AD520-'Data-CostAssumptions'!$G$4),-3)</f>
        <v>238000</v>
      </c>
      <c r="AG520" s="170" t="str">
        <f t="shared" si="26"/>
        <v>No</v>
      </c>
    </row>
    <row r="521" spans="1:33" ht="15" customHeight="1" x14ac:dyDescent="0.2">
      <c r="B521" s="11" t="s">
        <v>1211</v>
      </c>
      <c r="D521" s="84" t="s">
        <v>276</v>
      </c>
      <c r="E521" s="104" t="s">
        <v>1478</v>
      </c>
      <c r="G521" s="20">
        <v>1390</v>
      </c>
      <c r="H521" s="13" t="s">
        <v>2150</v>
      </c>
      <c r="I521" s="13" t="str">
        <f t="shared" si="24"/>
        <v>NE 32ND ST &amp; NE23 Av &amp; NE 33RD Av + ACCESS RDS (OAKLAND PARK Bl/SR 816 to A1A)</v>
      </c>
      <c r="J521" s="12" t="s">
        <v>29</v>
      </c>
      <c r="K521" s="13" t="str">
        <f>VLOOKUP(J521,'Data-ProjectTypes'!A$3:B$13,2,FALSE)</f>
        <v>Program</v>
      </c>
      <c r="L521" s="12" t="s">
        <v>1667</v>
      </c>
      <c r="M521" s="105" t="s">
        <v>2293</v>
      </c>
      <c r="N521" s="12" t="s">
        <v>205</v>
      </c>
      <c r="Q521" s="72">
        <v>0.4</v>
      </c>
      <c r="R521" s="23">
        <f>ROUND(Q521*'Data-CostAssumptions'!$C$25,-1)</f>
        <v>67360</v>
      </c>
      <c r="S521" s="21"/>
      <c r="T521" s="21"/>
      <c r="U521" s="21"/>
      <c r="V521" s="24"/>
      <c r="W521" s="24"/>
      <c r="X521" s="24" t="s">
        <v>764</v>
      </c>
      <c r="Y521" s="17" t="s">
        <v>765</v>
      </c>
      <c r="Z521" s="18">
        <f>ROUND(R521*'Data-CostAssumptions'!$C$3,-3)</f>
        <v>93000</v>
      </c>
      <c r="AA521" s="11">
        <f t="shared" si="25"/>
        <v>0</v>
      </c>
      <c r="AB521" s="11">
        <v>2041</v>
      </c>
      <c r="AC521" s="11">
        <v>2041</v>
      </c>
      <c r="AD521" s="11">
        <v>2041</v>
      </c>
      <c r="AE521" s="19">
        <f>ROUND((Z521*'Data-CostAssumptions'!$G$5)*(1+'Data-CostAssumptions'!$G$3)^(AB521-'Data-CostAssumptions'!$G$4),-3)</f>
        <v>52000</v>
      </c>
      <c r="AF521" s="19">
        <f>ROUND((Z521)*(1+'Data-CostAssumptions'!$G$3)^(AD521-'Data-CostAssumptions'!$G$4),-3)</f>
        <v>238000</v>
      </c>
      <c r="AG521" s="170" t="str">
        <f t="shared" si="26"/>
        <v>No</v>
      </c>
    </row>
    <row r="522" spans="1:33" ht="15" customHeight="1" x14ac:dyDescent="0.2">
      <c r="B522" s="11" t="s">
        <v>1211</v>
      </c>
      <c r="D522" s="84" t="s">
        <v>276</v>
      </c>
      <c r="E522" s="104" t="s">
        <v>1532</v>
      </c>
      <c r="G522" s="20">
        <v>1425</v>
      </c>
      <c r="H522" s="13" t="s">
        <v>1603</v>
      </c>
      <c r="I522" s="13" t="str">
        <f t="shared" si="24"/>
        <v>NW 3RD CT  (NW 3RD CT  to NW 21ST Av )</v>
      </c>
      <c r="J522" s="12" t="s">
        <v>29</v>
      </c>
      <c r="K522" s="13" t="str">
        <f>VLOOKUP(J522,'Data-ProjectTypes'!A$3:B$13,2,FALSE)</f>
        <v>Program</v>
      </c>
      <c r="L522" s="12" t="s">
        <v>1667</v>
      </c>
      <c r="M522" s="105" t="s">
        <v>1603</v>
      </c>
      <c r="N522" s="12" t="s">
        <v>2165</v>
      </c>
      <c r="Q522" s="72">
        <v>0.4</v>
      </c>
      <c r="R522" s="23">
        <f>ROUND(Q522*'Data-CostAssumptions'!$C$25,-1)</f>
        <v>67360</v>
      </c>
      <c r="S522" s="21"/>
      <c r="T522" s="21"/>
      <c r="U522" s="21"/>
      <c r="V522" s="24"/>
      <c r="W522" s="24"/>
      <c r="X522" s="24" t="s">
        <v>764</v>
      </c>
      <c r="Y522" s="17" t="s">
        <v>765</v>
      </c>
      <c r="Z522" s="18">
        <f>ROUND(R522*'Data-CostAssumptions'!$C$3,-3)</f>
        <v>93000</v>
      </c>
      <c r="AA522" s="11">
        <f t="shared" si="25"/>
        <v>0</v>
      </c>
      <c r="AB522" s="11">
        <v>2041</v>
      </c>
      <c r="AC522" s="11">
        <v>2041</v>
      </c>
      <c r="AD522" s="11">
        <v>2041</v>
      </c>
      <c r="AE522" s="19">
        <f>ROUND((Z522*'Data-CostAssumptions'!$G$5)*(1+'Data-CostAssumptions'!$G$3)^(AB522-'Data-CostAssumptions'!$G$4),-3)</f>
        <v>52000</v>
      </c>
      <c r="AF522" s="19">
        <f>ROUND((Z522)*(1+'Data-CostAssumptions'!$G$3)^(AD522-'Data-CostAssumptions'!$G$4),-3)</f>
        <v>238000</v>
      </c>
      <c r="AG522" s="170" t="str">
        <f t="shared" si="26"/>
        <v>No</v>
      </c>
    </row>
    <row r="523" spans="1:33" ht="15" customHeight="1" x14ac:dyDescent="0.2">
      <c r="B523" s="11" t="s">
        <v>1211</v>
      </c>
      <c r="D523" s="84" t="s">
        <v>276</v>
      </c>
      <c r="E523" s="104" t="s">
        <v>1558</v>
      </c>
      <c r="G523" s="20">
        <v>1445</v>
      </c>
      <c r="H523" s="13" t="s">
        <v>1616</v>
      </c>
      <c r="I523" s="13" t="str">
        <f t="shared" si="24"/>
        <v>S - NORTH FORK NEW RIVER PATH  (DW 2ND ST to NE 24TH Av)</v>
      </c>
      <c r="J523" s="12" t="s">
        <v>29</v>
      </c>
      <c r="K523" s="13" t="str">
        <f>VLOOKUP(J523,'Data-ProjectTypes'!A$3:B$13,2,FALSE)</f>
        <v>Program</v>
      </c>
      <c r="L523" s="12" t="s">
        <v>1667</v>
      </c>
      <c r="M523" s="105" t="s">
        <v>1728</v>
      </c>
      <c r="N523" s="12" t="s">
        <v>2625</v>
      </c>
      <c r="Q523" s="72">
        <v>0.4</v>
      </c>
      <c r="R523" s="23">
        <f>ROUND(Q523*'Data-CostAssumptions'!$C$25,-1)</f>
        <v>67360</v>
      </c>
      <c r="S523" s="21"/>
      <c r="T523" s="21"/>
      <c r="U523" s="21"/>
      <c r="V523" s="24"/>
      <c r="W523" s="24"/>
      <c r="X523" s="24"/>
      <c r="Y523" s="17"/>
      <c r="Z523" s="18">
        <f>ROUND(R523*'Data-CostAssumptions'!$C$3,-3)</f>
        <v>93000</v>
      </c>
      <c r="AA523" s="11">
        <f t="shared" si="25"/>
        <v>0</v>
      </c>
      <c r="AB523" s="11">
        <v>2041</v>
      </c>
      <c r="AC523" s="11">
        <v>2041</v>
      </c>
      <c r="AD523" s="11">
        <v>2041</v>
      </c>
      <c r="AE523" s="19">
        <f>ROUND((Z523*'Data-CostAssumptions'!$G$5)*(1+'Data-CostAssumptions'!$G$3)^(AB523-'Data-CostAssumptions'!$G$4),-3)</f>
        <v>52000</v>
      </c>
      <c r="AF523" s="19">
        <f>ROUND((Z523)*(1+'Data-CostAssumptions'!$G$3)^(AD523-'Data-CostAssumptions'!$G$4),-3)</f>
        <v>238000</v>
      </c>
      <c r="AG523" s="170" t="str">
        <f t="shared" si="26"/>
        <v>No</v>
      </c>
    </row>
    <row r="524" spans="1:33" ht="15" customHeight="1" x14ac:dyDescent="0.2">
      <c r="B524" s="11" t="s">
        <v>1211</v>
      </c>
      <c r="D524" s="84" t="s">
        <v>276</v>
      </c>
      <c r="E524" s="104" t="s">
        <v>1555</v>
      </c>
      <c r="G524" s="20">
        <v>1503</v>
      </c>
      <c r="H524" s="13" t="s">
        <v>1615</v>
      </c>
      <c r="I524" s="13" t="str">
        <f t="shared" si="24"/>
        <v>SW 3RD &amp; SW 4 (SE 3RD Av  to S NEW RIVER PATH )</v>
      </c>
      <c r="J524" s="12" t="s">
        <v>29</v>
      </c>
      <c r="K524" s="13" t="str">
        <f>VLOOKUP(J524,'Data-ProjectTypes'!A$3:B$13,2,FALSE)</f>
        <v>Program</v>
      </c>
      <c r="L524" s="12" t="s">
        <v>1667</v>
      </c>
      <c r="M524" s="105" t="s">
        <v>2640</v>
      </c>
      <c r="N524" s="12" t="s">
        <v>1725</v>
      </c>
      <c r="Q524" s="72">
        <v>0.4</v>
      </c>
      <c r="R524" s="23">
        <f>ROUND(Q524*'Data-CostAssumptions'!$C$25,-1)</f>
        <v>67360</v>
      </c>
      <c r="S524" s="21"/>
      <c r="T524" s="21"/>
      <c r="U524" s="21"/>
      <c r="V524" s="24"/>
      <c r="W524" s="24"/>
      <c r="X524" s="24"/>
      <c r="Y524" s="17"/>
      <c r="Z524" s="18">
        <f>ROUND(R524*'Data-CostAssumptions'!$C$3,-3)</f>
        <v>93000</v>
      </c>
      <c r="AA524" s="11">
        <f t="shared" si="25"/>
        <v>0</v>
      </c>
      <c r="AB524" s="11">
        <v>2041</v>
      </c>
      <c r="AC524" s="11">
        <v>2041</v>
      </c>
      <c r="AD524" s="11">
        <v>2041</v>
      </c>
      <c r="AE524" s="19">
        <f>ROUND((Z524*'Data-CostAssumptions'!$G$5)*(1+'Data-CostAssumptions'!$G$3)^(AB524-'Data-CostAssumptions'!$G$4),-3)</f>
        <v>52000</v>
      </c>
      <c r="AF524" s="19">
        <f>ROUND((Z524)*(1+'Data-CostAssumptions'!$G$3)^(AD524-'Data-CostAssumptions'!$G$4),-3)</f>
        <v>238000</v>
      </c>
      <c r="AG524" s="170" t="str">
        <f t="shared" si="26"/>
        <v>No</v>
      </c>
    </row>
    <row r="525" spans="1:33" ht="15" customHeight="1" x14ac:dyDescent="0.2">
      <c r="A525" s="11"/>
      <c r="B525" s="11" t="s">
        <v>1211</v>
      </c>
      <c r="C525" s="11">
        <v>12256</v>
      </c>
      <c r="D525" s="84" t="s">
        <v>282</v>
      </c>
      <c r="E525" s="14"/>
      <c r="F525" s="14"/>
      <c r="G525" s="20">
        <v>1743</v>
      </c>
      <c r="H525" s="13" t="s">
        <v>1880</v>
      </c>
      <c r="I525" s="13" t="str">
        <f t="shared" si="24"/>
        <v>Johnson St (N 41st Av to N 35th Av)</v>
      </c>
      <c r="J525" s="11" t="s">
        <v>29</v>
      </c>
      <c r="K525" s="13" t="str">
        <f>VLOOKUP(J525,'Data-ProjectTypes'!A$3:B$13,2,FALSE)</f>
        <v>Program</v>
      </c>
      <c r="L525" s="142" t="s">
        <v>595</v>
      </c>
      <c r="M525" s="11" t="s">
        <v>2226</v>
      </c>
      <c r="N525" s="11" t="s">
        <v>2227</v>
      </c>
      <c r="O525" s="11"/>
      <c r="P525" s="11"/>
      <c r="Q525" s="79">
        <v>0.38</v>
      </c>
      <c r="R525" s="143">
        <f>ROUND(Q525*'Data-CostAssumptions'!$C$25,-3)</f>
        <v>64000</v>
      </c>
      <c r="S525" s="21"/>
      <c r="T525" s="21"/>
      <c r="U525" s="21"/>
      <c r="V525" s="24"/>
      <c r="W525" s="24"/>
      <c r="X525" s="24"/>
      <c r="Y525" s="17"/>
      <c r="Z525" s="18">
        <f>ROUND(R525*'Data-CostAssumptions'!$C$3,-3)</f>
        <v>89000</v>
      </c>
      <c r="AA525" s="11">
        <f t="shared" si="25"/>
        <v>0</v>
      </c>
      <c r="AB525" s="11">
        <v>2041</v>
      </c>
      <c r="AC525" s="11">
        <v>2041</v>
      </c>
      <c r="AD525" s="11">
        <v>2041</v>
      </c>
      <c r="AE525" s="19">
        <f>ROUND((Z525*'Data-CostAssumptions'!$G$5)*(1+'Data-CostAssumptions'!$G$3)^(AB525-'Data-CostAssumptions'!$G$4),-3)</f>
        <v>50000</v>
      </c>
      <c r="AF525" s="19">
        <f>ROUND((Z525)*(1+'Data-CostAssumptions'!$G$3)^(AD525-'Data-CostAssumptions'!$G$4),-3)</f>
        <v>228000</v>
      </c>
      <c r="AG525" s="170" t="str">
        <f t="shared" si="26"/>
        <v>No</v>
      </c>
    </row>
    <row r="526" spans="1:33" ht="15" customHeight="1" x14ac:dyDescent="0.2">
      <c r="A526" s="11"/>
      <c r="B526" s="11" t="s">
        <v>1211</v>
      </c>
      <c r="C526" s="11">
        <v>15002</v>
      </c>
      <c r="D526" s="84" t="s">
        <v>281</v>
      </c>
      <c r="E526" s="14"/>
      <c r="F526" s="14"/>
      <c r="G526" s="20">
        <v>1810</v>
      </c>
      <c r="H526" s="13" t="s">
        <v>2171</v>
      </c>
      <c r="I526" s="13" t="str">
        <f t="shared" si="24"/>
        <v>NW 55th Av (NW 26th St to Oakland Park Bl)</v>
      </c>
      <c r="J526" s="84" t="s">
        <v>29</v>
      </c>
      <c r="K526" s="13" t="str">
        <f>VLOOKUP(J526,'Data-ProjectTypes'!A$3:B$13,2,FALSE)</f>
        <v>Program</v>
      </c>
      <c r="L526" s="31" t="s">
        <v>817</v>
      </c>
      <c r="M526" s="84" t="s">
        <v>1186</v>
      </c>
      <c r="N526" s="84" t="s">
        <v>1825</v>
      </c>
      <c r="O526" s="84" t="s">
        <v>281</v>
      </c>
      <c r="P526" s="84" t="s">
        <v>281</v>
      </c>
      <c r="Q526" s="15">
        <v>0.38</v>
      </c>
      <c r="R526" s="143">
        <f>ROUND(Q526*'Data-CostAssumptions'!$C$25,-1)</f>
        <v>63990</v>
      </c>
      <c r="S526" s="21"/>
      <c r="T526" s="21"/>
      <c r="U526" s="21"/>
      <c r="V526" s="24"/>
      <c r="W526" s="24"/>
      <c r="X526" s="24"/>
      <c r="Y526" s="17"/>
      <c r="Z526" s="18">
        <f>ROUND(R526*'Data-CostAssumptions'!$C$3,-3)</f>
        <v>89000</v>
      </c>
      <c r="AA526" s="11">
        <f t="shared" si="25"/>
        <v>0</v>
      </c>
      <c r="AB526" s="11">
        <v>2041</v>
      </c>
      <c r="AC526" s="11">
        <v>2041</v>
      </c>
      <c r="AD526" s="11">
        <v>2041</v>
      </c>
      <c r="AE526" s="19">
        <f>ROUND((Z526*'Data-CostAssumptions'!$G$5)*(1+'Data-CostAssumptions'!$G$3)^(AB526-'Data-CostAssumptions'!$G$4),-3)</f>
        <v>50000</v>
      </c>
      <c r="AF526" s="19">
        <f>ROUND((Z526)*(1+'Data-CostAssumptions'!$G$3)^(AD526-'Data-CostAssumptions'!$G$4),-3)</f>
        <v>228000</v>
      </c>
      <c r="AG526" s="170" t="str">
        <f t="shared" si="26"/>
        <v>No</v>
      </c>
    </row>
    <row r="527" spans="1:33" ht="15" customHeight="1" x14ac:dyDescent="0.2">
      <c r="A527" s="109"/>
      <c r="B527" s="11" t="s">
        <v>1211</v>
      </c>
      <c r="C527" s="109"/>
      <c r="D527" s="109" t="s">
        <v>276</v>
      </c>
      <c r="E527" s="110"/>
      <c r="F527" s="110">
        <v>141</v>
      </c>
      <c r="G527" s="20">
        <v>1518</v>
      </c>
      <c r="H527" s="111" t="s">
        <v>3020</v>
      </c>
      <c r="I527" s="111" t="s">
        <v>3024</v>
      </c>
      <c r="J527" s="109" t="s">
        <v>29</v>
      </c>
      <c r="K527" s="109" t="s">
        <v>1208</v>
      </c>
      <c r="L527" s="111" t="s">
        <v>3023</v>
      </c>
      <c r="M527" s="112" t="s">
        <v>1245</v>
      </c>
      <c r="N527" s="113" t="s">
        <v>3026</v>
      </c>
      <c r="Q527" s="114">
        <v>0.2</v>
      </c>
      <c r="R527" s="115">
        <v>63360</v>
      </c>
      <c r="S527" s="29" t="s">
        <v>1103</v>
      </c>
      <c r="T527" s="21" t="s">
        <v>684</v>
      </c>
      <c r="U527" s="21" t="s">
        <v>684</v>
      </c>
      <c r="V527" s="24"/>
      <c r="W527" s="24" t="s">
        <v>1104</v>
      </c>
      <c r="X527" s="24" t="s">
        <v>1105</v>
      </c>
      <c r="Y527" s="17" t="s">
        <v>1111</v>
      </c>
      <c r="Z527" s="18">
        <f>ROUND(R527*'Data-CostAssumptions'!$C$3,-3)</f>
        <v>88000</v>
      </c>
      <c r="AA527" s="11">
        <f t="shared" si="25"/>
        <v>1</v>
      </c>
      <c r="AB527" s="11">
        <v>2041</v>
      </c>
      <c r="AC527" s="11">
        <v>2041</v>
      </c>
      <c r="AD527" s="11">
        <v>2041</v>
      </c>
      <c r="AE527" s="19">
        <f>ROUND((Z527*'Data-CostAssumptions'!$G$5)*(1+'Data-CostAssumptions'!$G$3)^(AB527-'Data-CostAssumptions'!$G$4),-3)</f>
        <v>50000</v>
      </c>
      <c r="AF527" s="19">
        <f>ROUND((Z527)*(1+'Data-CostAssumptions'!$G$3)^(AD527-'Data-CostAssumptions'!$G$4),-3)</f>
        <v>226000</v>
      </c>
      <c r="AG527" s="170" t="str">
        <f t="shared" si="26"/>
        <v>No</v>
      </c>
    </row>
    <row r="528" spans="1:33" ht="15" customHeight="1" x14ac:dyDescent="0.2">
      <c r="A528" s="11"/>
      <c r="B528" s="11" t="s">
        <v>1211</v>
      </c>
      <c r="C528" s="13">
        <v>899</v>
      </c>
      <c r="D528" s="13" t="s">
        <v>420</v>
      </c>
      <c r="E528" s="20">
        <v>139</v>
      </c>
      <c r="F528" s="20">
        <v>192</v>
      </c>
      <c r="G528" s="20">
        <v>276</v>
      </c>
      <c r="H528" s="13" t="s">
        <v>2072</v>
      </c>
      <c r="I528" s="13" t="str">
        <f t="shared" ref="I528:I559" si="27">IF(M528="@",H528&amp;" ("&amp;M528&amp;"  "&amp;N528&amp;")",H528&amp;" ("&amp;M528&amp;" to "&amp;N528&amp;")")</f>
        <v>NW 56th Av (NW 27th Court to Oakland Park Bl)</v>
      </c>
      <c r="J528" s="13" t="s">
        <v>29</v>
      </c>
      <c r="K528" s="13" t="str">
        <f>VLOOKUP(J528,'Data-ProjectTypes'!A$3:B$13,2,FALSE)</f>
        <v>Program</v>
      </c>
      <c r="L528" s="21" t="s">
        <v>348</v>
      </c>
      <c r="M528" s="13" t="s">
        <v>175</v>
      </c>
      <c r="N528" s="13" t="s">
        <v>1825</v>
      </c>
      <c r="O528" s="13" t="s">
        <v>281</v>
      </c>
      <c r="P528" s="13" t="s">
        <v>281</v>
      </c>
      <c r="Q528" s="22">
        <v>0.3</v>
      </c>
      <c r="R528" s="23">
        <v>60377</v>
      </c>
      <c r="S528" s="21" t="s">
        <v>24</v>
      </c>
      <c r="T528" s="21"/>
      <c r="U528" s="21"/>
      <c r="V528" s="24"/>
      <c r="W528" s="24" t="s">
        <v>561</v>
      </c>
      <c r="X528" s="24"/>
      <c r="Y528" s="17" t="s">
        <v>538</v>
      </c>
      <c r="Z528" s="18">
        <f>ROUND(R528*'Data-CostAssumptions'!$C$3,-3)</f>
        <v>84000</v>
      </c>
      <c r="AA528" s="11">
        <f t="shared" si="25"/>
        <v>1</v>
      </c>
      <c r="AB528" s="11">
        <v>2041</v>
      </c>
      <c r="AC528" s="11">
        <v>2041</v>
      </c>
      <c r="AD528" s="11">
        <v>2041</v>
      </c>
      <c r="AE528" s="19">
        <f>ROUND((Z528*'Data-CostAssumptions'!$G$5)*(1+'Data-CostAssumptions'!$G$3)^(AB528-'Data-CostAssumptions'!$G$4),-3)</f>
        <v>47000</v>
      </c>
      <c r="AF528" s="19">
        <f>ROUND((Z528)*(1+'Data-CostAssumptions'!$G$3)^(AD528-'Data-CostAssumptions'!$G$4),-3)</f>
        <v>215000</v>
      </c>
      <c r="AG528" s="170" t="str">
        <f t="shared" si="26"/>
        <v>No</v>
      </c>
    </row>
    <row r="529" spans="1:33" ht="15" customHeight="1" x14ac:dyDescent="0.2">
      <c r="B529" s="11" t="s">
        <v>1211</v>
      </c>
      <c r="D529" s="84" t="s">
        <v>276</v>
      </c>
      <c r="E529" s="104" t="s">
        <v>1491</v>
      </c>
      <c r="G529" s="20">
        <v>1328</v>
      </c>
      <c r="H529" s="13" t="s">
        <v>2831</v>
      </c>
      <c r="I529" s="13" t="str">
        <f t="shared" si="27"/>
        <v>Antioch Av (RIOMAR ST  to VISTAMAR ST )</v>
      </c>
      <c r="J529" s="12" t="s">
        <v>29</v>
      </c>
      <c r="K529" s="13" t="str">
        <f>VLOOKUP(J529,'Data-ProjectTypes'!A$3:B$13,2,FALSE)</f>
        <v>Program</v>
      </c>
      <c r="L529" s="12" t="s">
        <v>1667</v>
      </c>
      <c r="M529" s="105" t="s">
        <v>1588</v>
      </c>
      <c r="N529" s="12" t="s">
        <v>1586</v>
      </c>
      <c r="Q529" s="72">
        <v>0.3</v>
      </c>
      <c r="R529" s="23">
        <f>ROUND(Q529*'Data-CostAssumptions'!$C$25,-1)</f>
        <v>50520</v>
      </c>
      <c r="S529" s="21"/>
      <c r="T529" s="21"/>
      <c r="U529" s="21"/>
      <c r="V529" s="24"/>
      <c r="W529" s="24"/>
      <c r="X529" s="24"/>
      <c r="Y529" s="17"/>
      <c r="Z529" s="18">
        <f>ROUND(R529*'Data-CostAssumptions'!$C$3,-3)</f>
        <v>70000</v>
      </c>
      <c r="AA529" s="11">
        <f t="shared" si="25"/>
        <v>0</v>
      </c>
      <c r="AB529" s="11">
        <v>2041</v>
      </c>
      <c r="AC529" s="11">
        <v>2041</v>
      </c>
      <c r="AD529" s="11">
        <v>2041</v>
      </c>
      <c r="AE529" s="19">
        <f>ROUND((Z529*'Data-CostAssumptions'!$G$5)*(1+'Data-CostAssumptions'!$G$3)^(AB529-'Data-CostAssumptions'!$G$4),-3)</f>
        <v>39000</v>
      </c>
      <c r="AF529" s="19">
        <f>ROUND((Z529)*(1+'Data-CostAssumptions'!$G$3)^(AD529-'Data-CostAssumptions'!$G$4),-3)</f>
        <v>179000</v>
      </c>
      <c r="AG529" s="170" t="str">
        <f t="shared" si="26"/>
        <v>No</v>
      </c>
    </row>
    <row r="530" spans="1:33" ht="15" customHeight="1" x14ac:dyDescent="0.2">
      <c r="B530" s="11" t="s">
        <v>1211</v>
      </c>
      <c r="D530" s="84" t="s">
        <v>276</v>
      </c>
      <c r="E530" s="104" t="s">
        <v>1489</v>
      </c>
      <c r="G530" s="20">
        <v>1333</v>
      </c>
      <c r="H530" s="13" t="s">
        <v>2868</v>
      </c>
      <c r="I530" s="13" t="str">
        <f t="shared" si="27"/>
        <v>Birch Rd (A1A to VISTAMAR ST )</v>
      </c>
      <c r="J530" s="12" t="s">
        <v>29</v>
      </c>
      <c r="K530" s="13" t="str">
        <f>VLOOKUP(J530,'Data-ProjectTypes'!A$3:B$13,2,FALSE)</f>
        <v>Program</v>
      </c>
      <c r="L530" s="12" t="s">
        <v>1667</v>
      </c>
      <c r="M530" s="105" t="s">
        <v>205</v>
      </c>
      <c r="N530" s="12" t="s">
        <v>1586</v>
      </c>
      <c r="Q530" s="72">
        <v>0.3</v>
      </c>
      <c r="R530" s="23">
        <f>ROUND(Q530*'Data-CostAssumptions'!$C$25,-1)</f>
        <v>50520</v>
      </c>
      <c r="S530" s="21"/>
      <c r="T530" s="21"/>
      <c r="U530" s="21"/>
      <c r="V530" s="24"/>
      <c r="W530" s="24" t="s">
        <v>716</v>
      </c>
      <c r="X530" s="24"/>
      <c r="Y530" s="17" t="s">
        <v>717</v>
      </c>
      <c r="Z530" s="18">
        <f>ROUND(R530*'Data-CostAssumptions'!$C$3,-3)</f>
        <v>70000</v>
      </c>
      <c r="AA530" s="11">
        <f t="shared" si="25"/>
        <v>1</v>
      </c>
      <c r="AB530" s="11">
        <v>2041</v>
      </c>
      <c r="AC530" s="11">
        <v>2041</v>
      </c>
      <c r="AD530" s="11">
        <v>2041</v>
      </c>
      <c r="AE530" s="19">
        <f>ROUND((Z530*'Data-CostAssumptions'!$G$5)*(1+'Data-CostAssumptions'!$G$3)^(AB530-'Data-CostAssumptions'!$G$4),-3)</f>
        <v>39000</v>
      </c>
      <c r="AF530" s="19">
        <f>ROUND((Z530)*(1+'Data-CostAssumptions'!$G$3)^(AD530-'Data-CostAssumptions'!$G$4),-3)</f>
        <v>179000</v>
      </c>
      <c r="AG530" s="170" t="str">
        <f t="shared" si="26"/>
        <v>No</v>
      </c>
    </row>
    <row r="531" spans="1:33" ht="15" customHeight="1" x14ac:dyDescent="0.2">
      <c r="B531" s="11" t="s">
        <v>1211</v>
      </c>
      <c r="D531" s="84" t="s">
        <v>276</v>
      </c>
      <c r="E531" s="104" t="s">
        <v>1530</v>
      </c>
      <c r="G531" s="20">
        <v>1410</v>
      </c>
      <c r="H531" s="13" t="s">
        <v>2162</v>
      </c>
      <c r="I531" s="13" t="str">
        <f t="shared" si="27"/>
        <v>NW 18TH Av  (NW 7TH Av  to NW 6TH ST )</v>
      </c>
      <c r="J531" s="12" t="s">
        <v>29</v>
      </c>
      <c r="K531" s="13" t="str">
        <f>VLOOKUP(J531,'Data-ProjectTypes'!A$3:B$13,2,FALSE)</f>
        <v>Program</v>
      </c>
      <c r="L531" s="12" t="s">
        <v>1667</v>
      </c>
      <c r="M531" s="105" t="s">
        <v>2618</v>
      </c>
      <c r="N531" s="12" t="s">
        <v>1679</v>
      </c>
      <c r="Q531" s="72">
        <v>0.3</v>
      </c>
      <c r="R531" s="23">
        <f>ROUND(Q531*'Data-CostAssumptions'!$C$25,-1)</f>
        <v>50520</v>
      </c>
      <c r="S531" s="21"/>
      <c r="T531" s="21"/>
      <c r="U531" s="21"/>
      <c r="V531" s="24"/>
      <c r="W531" s="24"/>
      <c r="X531" s="24"/>
      <c r="Y531" s="17"/>
      <c r="Z531" s="18">
        <f>ROUND(R531*'Data-CostAssumptions'!$C$3,-3)</f>
        <v>70000</v>
      </c>
      <c r="AA531" s="11">
        <f t="shared" si="25"/>
        <v>0</v>
      </c>
      <c r="AB531" s="11">
        <v>2041</v>
      </c>
      <c r="AC531" s="11">
        <v>2041</v>
      </c>
      <c r="AD531" s="11">
        <v>2041</v>
      </c>
      <c r="AE531" s="19">
        <f>ROUND((Z531*'Data-CostAssumptions'!$G$5)*(1+'Data-CostAssumptions'!$G$3)^(AB531-'Data-CostAssumptions'!$G$4),-3)</f>
        <v>39000</v>
      </c>
      <c r="AF531" s="19">
        <f>ROUND((Z531)*(1+'Data-CostAssumptions'!$G$3)^(AD531-'Data-CostAssumptions'!$G$4),-3)</f>
        <v>179000</v>
      </c>
      <c r="AG531" s="170" t="str">
        <f t="shared" si="26"/>
        <v>No</v>
      </c>
    </row>
    <row r="532" spans="1:33" ht="15" customHeight="1" x14ac:dyDescent="0.2">
      <c r="B532" s="11" t="s">
        <v>1211</v>
      </c>
      <c r="D532" s="84" t="s">
        <v>276</v>
      </c>
      <c r="E532" s="104" t="s">
        <v>1531</v>
      </c>
      <c r="G532" s="20">
        <v>1417</v>
      </c>
      <c r="H532" s="13" t="s">
        <v>2165</v>
      </c>
      <c r="I532" s="13" t="str">
        <f t="shared" si="27"/>
        <v>NW 21ST Av  (NW 3RD CT  to NW 6TH ST )</v>
      </c>
      <c r="J532" s="12" t="s">
        <v>29</v>
      </c>
      <c r="K532" s="13" t="str">
        <f>VLOOKUP(J532,'Data-ProjectTypes'!A$3:B$13,2,FALSE)</f>
        <v>Program</v>
      </c>
      <c r="L532" s="12" t="s">
        <v>1667</v>
      </c>
      <c r="M532" s="105" t="s">
        <v>1603</v>
      </c>
      <c r="N532" s="12" t="s">
        <v>1679</v>
      </c>
      <c r="Q532" s="72">
        <v>0.3</v>
      </c>
      <c r="R532" s="23">
        <f>ROUND(Q532*'Data-CostAssumptions'!$C$25,-1)</f>
        <v>50520</v>
      </c>
      <c r="S532" s="21"/>
      <c r="T532" s="21"/>
      <c r="U532" s="21"/>
      <c r="V532" s="24"/>
      <c r="W532" s="24"/>
      <c r="X532" s="24"/>
      <c r="Z532" s="18">
        <f>ROUND(R532*'Data-CostAssumptions'!$C$3,-3)</f>
        <v>70000</v>
      </c>
      <c r="AA532" s="11">
        <f t="shared" si="25"/>
        <v>0</v>
      </c>
      <c r="AB532" s="11">
        <v>2041</v>
      </c>
      <c r="AC532" s="11">
        <v>2041</v>
      </c>
      <c r="AD532" s="11">
        <v>2041</v>
      </c>
      <c r="AE532" s="19">
        <f>ROUND((Z532*'Data-CostAssumptions'!$G$5)*(1+'Data-CostAssumptions'!$G$3)^(AB532-'Data-CostAssumptions'!$G$4),-3)</f>
        <v>39000</v>
      </c>
      <c r="AF532" s="19">
        <f>ROUND((Z532)*(1+'Data-CostAssumptions'!$G$3)^(AD532-'Data-CostAssumptions'!$G$4),-3)</f>
        <v>179000</v>
      </c>
      <c r="AG532" s="170" t="str">
        <f t="shared" si="26"/>
        <v>No</v>
      </c>
    </row>
    <row r="533" spans="1:33" ht="15" customHeight="1" x14ac:dyDescent="0.2">
      <c r="B533" s="11" t="s">
        <v>1211</v>
      </c>
      <c r="D533" s="84" t="s">
        <v>276</v>
      </c>
      <c r="E533" s="104" t="s">
        <v>1490</v>
      </c>
      <c r="G533" s="20">
        <v>1437</v>
      </c>
      <c r="H533" s="13" t="s">
        <v>2714</v>
      </c>
      <c r="I533" s="13" t="str">
        <f t="shared" si="27"/>
        <v>Orton Av (RIOMAR ST  to VISTAMAR ST )</v>
      </c>
      <c r="J533" s="12" t="s">
        <v>29</v>
      </c>
      <c r="K533" s="13" t="str">
        <f>VLOOKUP(J533,'Data-ProjectTypes'!A$3:B$13,2,FALSE)</f>
        <v>Program</v>
      </c>
      <c r="L533" s="12" t="s">
        <v>1667</v>
      </c>
      <c r="M533" s="105" t="s">
        <v>1588</v>
      </c>
      <c r="N533" s="12" t="s">
        <v>1586</v>
      </c>
      <c r="Q533" s="72">
        <v>0.3</v>
      </c>
      <c r="R533" s="23">
        <f>ROUND(Q533*'Data-CostAssumptions'!$C$25,-1)</f>
        <v>50520</v>
      </c>
      <c r="S533" s="21" t="s">
        <v>24</v>
      </c>
      <c r="T533" s="21" t="s">
        <v>684</v>
      </c>
      <c r="U533" s="21" t="s">
        <v>684</v>
      </c>
      <c r="V533" s="24"/>
      <c r="W533" s="24"/>
      <c r="X533" s="24"/>
      <c r="Y533" s="17" t="s">
        <v>685</v>
      </c>
      <c r="Z533" s="18">
        <f>ROUND(R533*'Data-CostAssumptions'!$C$3,-3)</f>
        <v>70000</v>
      </c>
      <c r="AA533" s="11">
        <f t="shared" si="25"/>
        <v>0</v>
      </c>
      <c r="AB533" s="11">
        <v>2041</v>
      </c>
      <c r="AC533" s="11">
        <v>2041</v>
      </c>
      <c r="AD533" s="11">
        <v>2041</v>
      </c>
      <c r="AE533" s="19">
        <f>ROUND((Z533*'Data-CostAssumptions'!$G$5)*(1+'Data-CostAssumptions'!$G$3)^(AB533-'Data-CostAssumptions'!$G$4),-3)</f>
        <v>39000</v>
      </c>
      <c r="AF533" s="19">
        <f>ROUND((Z533)*(1+'Data-CostAssumptions'!$G$3)^(AD533-'Data-CostAssumptions'!$G$4),-3)</f>
        <v>179000</v>
      </c>
      <c r="AG533" s="170" t="str">
        <f t="shared" si="26"/>
        <v>No</v>
      </c>
    </row>
    <row r="534" spans="1:33" ht="15" customHeight="1" x14ac:dyDescent="0.2">
      <c r="B534" s="11" t="s">
        <v>1211</v>
      </c>
      <c r="D534" s="84" t="s">
        <v>276</v>
      </c>
      <c r="E534" s="104" t="s">
        <v>1495</v>
      </c>
      <c r="G534" s="20">
        <v>1442</v>
      </c>
      <c r="H534" s="13" t="s">
        <v>2883</v>
      </c>
      <c r="I534" s="13" t="str">
        <f t="shared" si="27"/>
        <v>Riomar St (RIOMAR ST  to BAYSHORE DR )</v>
      </c>
      <c r="J534" s="12" t="s">
        <v>29</v>
      </c>
      <c r="K534" s="13" t="str">
        <f>VLOOKUP(J534,'Data-ProjectTypes'!A$3:B$13,2,FALSE)</f>
        <v>Program</v>
      </c>
      <c r="L534" s="12" t="s">
        <v>1667</v>
      </c>
      <c r="M534" s="105" t="s">
        <v>1588</v>
      </c>
      <c r="N534" s="12" t="s">
        <v>1587</v>
      </c>
      <c r="Q534" s="72">
        <v>0.3</v>
      </c>
      <c r="R534" s="23">
        <f>ROUND(Q534*'Data-CostAssumptions'!$C$25,-1)</f>
        <v>50520</v>
      </c>
      <c r="S534" s="21"/>
      <c r="T534" s="21"/>
      <c r="U534" s="21"/>
      <c r="V534" s="24"/>
      <c r="W534" s="24"/>
      <c r="X534" s="24"/>
      <c r="Y534" s="17"/>
      <c r="Z534" s="18">
        <f>ROUND(R534*'Data-CostAssumptions'!$C$3,-3)</f>
        <v>70000</v>
      </c>
      <c r="AA534" s="11">
        <f t="shared" si="25"/>
        <v>0</v>
      </c>
      <c r="AB534" s="11">
        <v>2041</v>
      </c>
      <c r="AC534" s="11">
        <v>2041</v>
      </c>
      <c r="AD534" s="11">
        <v>2041</v>
      </c>
      <c r="AE534" s="19">
        <f>ROUND((Z534*'Data-CostAssumptions'!$G$5)*(1+'Data-CostAssumptions'!$G$3)^(AB534-'Data-CostAssumptions'!$G$4),-3)</f>
        <v>39000</v>
      </c>
      <c r="AF534" s="19">
        <f>ROUND((Z534)*(1+'Data-CostAssumptions'!$G$3)^(AD534-'Data-CostAssumptions'!$G$4),-3)</f>
        <v>179000</v>
      </c>
      <c r="AG534" s="170" t="str">
        <f t="shared" si="26"/>
        <v>No</v>
      </c>
    </row>
    <row r="535" spans="1:33" ht="15" customHeight="1" x14ac:dyDescent="0.2">
      <c r="B535" s="11" t="s">
        <v>1211</v>
      </c>
      <c r="D535" s="84" t="s">
        <v>276</v>
      </c>
      <c r="E535" s="104" t="s">
        <v>1502</v>
      </c>
      <c r="G535" s="20">
        <v>1448</v>
      </c>
      <c r="H535" s="13" t="s">
        <v>1592</v>
      </c>
      <c r="I535" s="13" t="str">
        <f t="shared" si="27"/>
        <v>SE 14TH CT  (SW 14TH ST  to S ANDREWS Av)</v>
      </c>
      <c r="J535" s="12" t="s">
        <v>29</v>
      </c>
      <c r="K535" s="13" t="str">
        <f>VLOOKUP(J535,'Data-ProjectTypes'!A$3:B$13,2,FALSE)</f>
        <v>Program</v>
      </c>
      <c r="L535" s="12" t="s">
        <v>1667</v>
      </c>
      <c r="M535" s="105" t="s">
        <v>1703</v>
      </c>
      <c r="N535" s="12" t="s">
        <v>2626</v>
      </c>
      <c r="Q535" s="72">
        <v>0.3</v>
      </c>
      <c r="R535" s="23">
        <f>ROUND(Q535*'Data-CostAssumptions'!$C$25,-1)</f>
        <v>50520</v>
      </c>
      <c r="S535" s="21"/>
      <c r="T535" s="21"/>
      <c r="U535" s="21"/>
      <c r="V535" s="24"/>
      <c r="W535" s="24"/>
      <c r="X535" s="24"/>
      <c r="Y535" s="17"/>
      <c r="Z535" s="18">
        <f>ROUND(R535*'Data-CostAssumptions'!$C$3,-3)</f>
        <v>70000</v>
      </c>
      <c r="AA535" s="11">
        <f t="shared" si="25"/>
        <v>0</v>
      </c>
      <c r="AB535" s="11">
        <v>2041</v>
      </c>
      <c r="AC535" s="11">
        <v>2041</v>
      </c>
      <c r="AD535" s="11">
        <v>2041</v>
      </c>
      <c r="AE535" s="19">
        <f>ROUND((Z535*'Data-CostAssumptions'!$G$5)*(1+'Data-CostAssumptions'!$G$3)^(AB535-'Data-CostAssumptions'!$G$4),-3)</f>
        <v>39000</v>
      </c>
      <c r="AF535" s="19">
        <f>ROUND((Z535)*(1+'Data-CostAssumptions'!$G$3)^(AD535-'Data-CostAssumptions'!$G$4),-3)</f>
        <v>179000</v>
      </c>
      <c r="AG535" s="170" t="str">
        <f t="shared" si="26"/>
        <v>No</v>
      </c>
    </row>
    <row r="536" spans="1:33" ht="15" customHeight="1" x14ac:dyDescent="0.2">
      <c r="B536" s="11" t="s">
        <v>1211</v>
      </c>
      <c r="D536" s="84" t="s">
        <v>276</v>
      </c>
      <c r="E536" s="104" t="s">
        <v>1549</v>
      </c>
      <c r="G536" s="20">
        <v>1450</v>
      </c>
      <c r="H536" s="13" t="s">
        <v>2177</v>
      </c>
      <c r="I536" s="13" t="str">
        <f t="shared" si="27"/>
        <v>SE 17TH Av  (E BROWARD Bl  to SE 2ND ST )</v>
      </c>
      <c r="J536" s="12" t="s">
        <v>29</v>
      </c>
      <c r="K536" s="13" t="str">
        <f>VLOOKUP(J536,'Data-ProjectTypes'!A$3:B$13,2,FALSE)</f>
        <v>Program</v>
      </c>
      <c r="L536" s="12" t="s">
        <v>1667</v>
      </c>
      <c r="M536" s="105" t="s">
        <v>2309</v>
      </c>
      <c r="N536" s="12" t="s">
        <v>1722</v>
      </c>
      <c r="Q536" s="72">
        <v>0.3</v>
      </c>
      <c r="R536" s="23">
        <f>ROUND(Q536*'Data-CostAssumptions'!$C$25,-1)</f>
        <v>50520</v>
      </c>
      <c r="S536" s="21" t="s">
        <v>24</v>
      </c>
      <c r="T536" s="21" t="s">
        <v>25</v>
      </c>
      <c r="U536" s="21" t="s">
        <v>24</v>
      </c>
      <c r="V536" s="24"/>
      <c r="W536" s="24"/>
      <c r="X536" s="31" t="s">
        <v>734</v>
      </c>
      <c r="Y536" s="17" t="s">
        <v>735</v>
      </c>
      <c r="Z536" s="18">
        <f>ROUND(R536*'Data-CostAssumptions'!$C$3,-3)</f>
        <v>70000</v>
      </c>
      <c r="AA536" s="11">
        <f t="shared" si="25"/>
        <v>0</v>
      </c>
      <c r="AB536" s="11">
        <v>2041</v>
      </c>
      <c r="AC536" s="11">
        <v>2041</v>
      </c>
      <c r="AD536" s="11">
        <v>2041</v>
      </c>
      <c r="AE536" s="19">
        <f>ROUND((Z536*'Data-CostAssumptions'!$G$5)*(1+'Data-CostAssumptions'!$G$3)^(AB536-'Data-CostAssumptions'!$G$4),-3)</f>
        <v>39000</v>
      </c>
      <c r="AF536" s="19">
        <f>ROUND((Z536)*(1+'Data-CostAssumptions'!$G$3)^(AD536-'Data-CostAssumptions'!$G$4),-3)</f>
        <v>179000</v>
      </c>
      <c r="AG536" s="170" t="str">
        <f t="shared" si="26"/>
        <v>No</v>
      </c>
    </row>
    <row r="537" spans="1:33" ht="15" customHeight="1" x14ac:dyDescent="0.2">
      <c r="B537" s="11" t="s">
        <v>1211</v>
      </c>
      <c r="D537" s="84" t="s">
        <v>276</v>
      </c>
      <c r="E537" s="104" t="s">
        <v>1521</v>
      </c>
      <c r="G537" s="20">
        <v>1487</v>
      </c>
      <c r="H537" s="13" t="s">
        <v>1600</v>
      </c>
      <c r="I537" s="13" t="str">
        <f t="shared" si="27"/>
        <v>SW 10TH ST  (SW 27ST Av  to SW 27ST Av )</v>
      </c>
      <c r="J537" s="12" t="s">
        <v>29</v>
      </c>
      <c r="K537" s="13" t="str">
        <f>VLOOKUP(J537,'Data-ProjectTypes'!A$3:B$13,2,FALSE)</f>
        <v>Program</v>
      </c>
      <c r="L537" s="12" t="s">
        <v>1667</v>
      </c>
      <c r="M537" s="105" t="s">
        <v>2635</v>
      </c>
      <c r="N537" s="12" t="s">
        <v>2635</v>
      </c>
      <c r="Q537" s="72">
        <v>0.3</v>
      </c>
      <c r="R537" s="23">
        <f>ROUND(Q537*'Data-CostAssumptions'!$C$25,-1)</f>
        <v>50520</v>
      </c>
      <c r="S537" s="21"/>
      <c r="T537" s="21"/>
      <c r="U537" s="21"/>
      <c r="V537" s="24"/>
      <c r="W537" s="24"/>
      <c r="X537" s="24"/>
      <c r="Y537" s="17"/>
      <c r="Z537" s="18">
        <f>ROUND(R537*'Data-CostAssumptions'!$C$3,-3)</f>
        <v>70000</v>
      </c>
      <c r="AA537" s="11">
        <f t="shared" si="25"/>
        <v>0</v>
      </c>
      <c r="AB537" s="11">
        <v>2041</v>
      </c>
      <c r="AC537" s="11">
        <v>2041</v>
      </c>
      <c r="AD537" s="11">
        <v>2041</v>
      </c>
      <c r="AE537" s="19">
        <f>ROUND((Z537*'Data-CostAssumptions'!$G$5)*(1+'Data-CostAssumptions'!$G$3)^(AB537-'Data-CostAssumptions'!$G$4),-3)</f>
        <v>39000</v>
      </c>
      <c r="AF537" s="19">
        <f>ROUND((Z537)*(1+'Data-CostAssumptions'!$G$3)^(AD537-'Data-CostAssumptions'!$G$4),-3)</f>
        <v>179000</v>
      </c>
      <c r="AG537" s="170" t="str">
        <f t="shared" si="26"/>
        <v>No</v>
      </c>
    </row>
    <row r="538" spans="1:33" ht="15" customHeight="1" x14ac:dyDescent="0.2">
      <c r="B538" s="11" t="s">
        <v>1211</v>
      </c>
      <c r="D538" s="84" t="s">
        <v>276</v>
      </c>
      <c r="E538" s="104" t="s">
        <v>1503</v>
      </c>
      <c r="G538" s="20">
        <v>1492</v>
      </c>
      <c r="H538" s="13" t="s">
        <v>2187</v>
      </c>
      <c r="I538" s="13" t="str">
        <f t="shared" si="27"/>
        <v>SW 1ST Av (SE 3RD Av to SW 14TH ST )</v>
      </c>
      <c r="J538" s="12" t="s">
        <v>29</v>
      </c>
      <c r="K538" s="13" t="str">
        <f>VLOOKUP(J538,'Data-ProjectTypes'!A$3:B$13,2,FALSE)</f>
        <v>Program</v>
      </c>
      <c r="L538" s="12" t="s">
        <v>1667</v>
      </c>
      <c r="M538" s="105" t="s">
        <v>2179</v>
      </c>
      <c r="N538" s="12" t="s">
        <v>1703</v>
      </c>
      <c r="Q538" s="72">
        <v>0.3</v>
      </c>
      <c r="R538" s="23">
        <f>ROUND(Q538*'Data-CostAssumptions'!$C$25,-1)</f>
        <v>50520</v>
      </c>
      <c r="S538" s="21"/>
      <c r="T538" s="21"/>
      <c r="U538" s="21"/>
      <c r="V538" s="24"/>
      <c r="W538" s="24"/>
      <c r="X538" s="24"/>
      <c r="Y538" s="17"/>
      <c r="Z538" s="18">
        <f>ROUND(R538*'Data-CostAssumptions'!$C$3,-3)</f>
        <v>70000</v>
      </c>
      <c r="AA538" s="11">
        <f t="shared" si="25"/>
        <v>0</v>
      </c>
      <c r="AB538" s="11">
        <v>2041</v>
      </c>
      <c r="AC538" s="11">
        <v>2041</v>
      </c>
      <c r="AD538" s="11">
        <v>2041</v>
      </c>
      <c r="AE538" s="19">
        <f>ROUND((Z538*'Data-CostAssumptions'!$G$5)*(1+'Data-CostAssumptions'!$G$3)^(AB538-'Data-CostAssumptions'!$G$4),-3)</f>
        <v>39000</v>
      </c>
      <c r="AF538" s="19">
        <f>ROUND((Z538)*(1+'Data-CostAssumptions'!$G$3)^(AD538-'Data-CostAssumptions'!$G$4),-3)</f>
        <v>179000</v>
      </c>
      <c r="AG538" s="170" t="str">
        <f t="shared" si="26"/>
        <v>No</v>
      </c>
    </row>
    <row r="539" spans="1:33" ht="15" customHeight="1" x14ac:dyDescent="0.2">
      <c r="B539" s="11" t="s">
        <v>1211</v>
      </c>
      <c r="D539" s="84" t="s">
        <v>276</v>
      </c>
      <c r="E539" s="104" t="s">
        <v>1510</v>
      </c>
      <c r="G539" s="20">
        <v>1499</v>
      </c>
      <c r="H539" s="13" t="s">
        <v>2192</v>
      </c>
      <c r="I539" s="13" t="str">
        <f t="shared" si="27"/>
        <v>SW 32TH Av  (SW 12TH Av  to SW 28TH ST )</v>
      </c>
      <c r="J539" s="12" t="s">
        <v>29</v>
      </c>
      <c r="K539" s="13" t="str">
        <f>VLOOKUP(J539,'Data-ProjectTypes'!A$3:B$13,2,FALSE)</f>
        <v>Program</v>
      </c>
      <c r="L539" s="12" t="s">
        <v>1667</v>
      </c>
      <c r="M539" s="105" t="s">
        <v>2638</v>
      </c>
      <c r="N539" s="12" t="s">
        <v>1708</v>
      </c>
      <c r="Q539" s="72">
        <v>0.3</v>
      </c>
      <c r="R539" s="23">
        <f>ROUND(Q539*'Data-CostAssumptions'!$C$25,-1)</f>
        <v>50520</v>
      </c>
      <c r="S539" s="21" t="s">
        <v>24</v>
      </c>
      <c r="T539" s="21" t="s">
        <v>25</v>
      </c>
      <c r="U539" s="21"/>
      <c r="V539" s="24"/>
      <c r="W539" s="24"/>
      <c r="X539" s="24"/>
      <c r="Y539" s="17" t="s">
        <v>469</v>
      </c>
      <c r="Z539" s="18">
        <f>ROUND(R539*'Data-CostAssumptions'!$C$3,-3)</f>
        <v>70000</v>
      </c>
      <c r="AA539" s="11">
        <f t="shared" si="25"/>
        <v>0</v>
      </c>
      <c r="AB539" s="11">
        <v>2041</v>
      </c>
      <c r="AC539" s="11">
        <v>2041</v>
      </c>
      <c r="AD539" s="11">
        <v>2041</v>
      </c>
      <c r="AE539" s="19">
        <f>ROUND((Z539*'Data-CostAssumptions'!$G$5)*(1+'Data-CostAssumptions'!$G$3)^(AB539-'Data-CostAssumptions'!$G$4),-3)</f>
        <v>39000</v>
      </c>
      <c r="AF539" s="19">
        <f>ROUND((Z539)*(1+'Data-CostAssumptions'!$G$3)^(AD539-'Data-CostAssumptions'!$G$4),-3)</f>
        <v>179000</v>
      </c>
      <c r="AG539" s="170" t="str">
        <f t="shared" si="26"/>
        <v>No</v>
      </c>
    </row>
    <row r="540" spans="1:33" ht="15" customHeight="1" x14ac:dyDescent="0.2">
      <c r="B540" s="11" t="s">
        <v>1211</v>
      </c>
      <c r="D540" s="84" t="s">
        <v>276</v>
      </c>
      <c r="E540" s="104" t="s">
        <v>1509</v>
      </c>
      <c r="G540" s="20">
        <v>1500</v>
      </c>
      <c r="H540" s="13" t="s">
        <v>1595</v>
      </c>
      <c r="I540" s="13" t="str">
        <f t="shared" si="27"/>
        <v>SW 33RD CT (SW 4TH Av  to SW 15TH Av )</v>
      </c>
      <c r="J540" s="12" t="s">
        <v>29</v>
      </c>
      <c r="K540" s="13" t="str">
        <f>VLOOKUP(J540,'Data-ProjectTypes'!A$3:B$13,2,FALSE)</f>
        <v>Program</v>
      </c>
      <c r="L540" s="12" t="s">
        <v>1667</v>
      </c>
      <c r="M540" s="105" t="s">
        <v>2616</v>
      </c>
      <c r="N540" s="12" t="s">
        <v>2636</v>
      </c>
      <c r="Q540" s="72">
        <v>0.3</v>
      </c>
      <c r="R540" s="23">
        <f>ROUND(Q540*'Data-CostAssumptions'!$C$25,-1)</f>
        <v>50520</v>
      </c>
      <c r="S540" s="21"/>
      <c r="T540" s="21"/>
      <c r="U540" s="21"/>
      <c r="V540" s="24"/>
      <c r="W540" s="24"/>
      <c r="X540" s="24"/>
      <c r="Y540" s="17"/>
      <c r="Z540" s="18">
        <f>ROUND(R540*'Data-CostAssumptions'!$C$3,-3)</f>
        <v>70000</v>
      </c>
      <c r="AA540" s="11">
        <f t="shared" si="25"/>
        <v>0</v>
      </c>
      <c r="AB540" s="11">
        <v>2041</v>
      </c>
      <c r="AC540" s="11">
        <v>2041</v>
      </c>
      <c r="AD540" s="11">
        <v>2041</v>
      </c>
      <c r="AE540" s="19">
        <f>ROUND((Z540*'Data-CostAssumptions'!$G$5)*(1+'Data-CostAssumptions'!$G$3)^(AB540-'Data-CostAssumptions'!$G$4),-3)</f>
        <v>39000</v>
      </c>
      <c r="AF540" s="19">
        <f>ROUND((Z540)*(1+'Data-CostAssumptions'!$G$3)^(AD540-'Data-CostAssumptions'!$G$4),-3)</f>
        <v>179000</v>
      </c>
      <c r="AG540" s="170" t="str">
        <f t="shared" si="26"/>
        <v>No</v>
      </c>
    </row>
    <row r="541" spans="1:33" ht="15" customHeight="1" x14ac:dyDescent="0.2">
      <c r="B541" s="11" t="s">
        <v>1211</v>
      </c>
      <c r="D541" s="84" t="s">
        <v>276</v>
      </c>
      <c r="E541" s="104" t="s">
        <v>1550</v>
      </c>
      <c r="G541" s="20">
        <v>1513</v>
      </c>
      <c r="H541" s="13" t="s">
        <v>1612</v>
      </c>
      <c r="I541" s="13" t="str">
        <f t="shared" si="27"/>
        <v>TARPON DR 7 S BRICKELL DR (BRICKELL DR to E LAS OLAS Bl )</v>
      </c>
      <c r="J541" s="12" t="s">
        <v>29</v>
      </c>
      <c r="K541" s="13" t="str">
        <f>VLOOKUP(J541,'Data-ProjectTypes'!A$3:B$13,2,FALSE)</f>
        <v>Program</v>
      </c>
      <c r="L541" s="12" t="s">
        <v>1667</v>
      </c>
      <c r="M541" s="105" t="s">
        <v>1723</v>
      </c>
      <c r="N541" s="12" t="s">
        <v>2311</v>
      </c>
      <c r="Q541" s="72">
        <v>0.3</v>
      </c>
      <c r="R541" s="23">
        <f>ROUND(Q541*'Data-CostAssumptions'!$C$25,-1)</f>
        <v>50520</v>
      </c>
      <c r="S541" s="21"/>
      <c r="T541" s="21"/>
      <c r="U541" s="21"/>
      <c r="V541" s="24"/>
      <c r="W541" s="24"/>
      <c r="X541" s="24"/>
      <c r="Y541" s="17"/>
      <c r="Z541" s="18">
        <f>ROUND(R541*'Data-CostAssumptions'!$C$3,-3)</f>
        <v>70000</v>
      </c>
      <c r="AA541" s="11">
        <f t="shared" si="25"/>
        <v>0</v>
      </c>
      <c r="AB541" s="11">
        <v>2041</v>
      </c>
      <c r="AC541" s="11">
        <v>2041</v>
      </c>
      <c r="AD541" s="11">
        <v>2041</v>
      </c>
      <c r="AE541" s="19">
        <f>ROUND((Z541*'Data-CostAssumptions'!$G$5)*(1+'Data-CostAssumptions'!$G$3)^(AB541-'Data-CostAssumptions'!$G$4),-3)</f>
        <v>39000</v>
      </c>
      <c r="AF541" s="19">
        <f>ROUND((Z541)*(1+'Data-CostAssumptions'!$G$3)^(AD541-'Data-CostAssumptions'!$G$4),-3)</f>
        <v>179000</v>
      </c>
      <c r="AG541" s="170" t="str">
        <f t="shared" si="26"/>
        <v>No</v>
      </c>
    </row>
    <row r="542" spans="1:33" ht="15" customHeight="1" x14ac:dyDescent="0.2">
      <c r="B542" s="11" t="s">
        <v>1211</v>
      </c>
      <c r="D542" s="84" t="s">
        <v>276</v>
      </c>
      <c r="E542" s="104" t="s">
        <v>1493</v>
      </c>
      <c r="G542" s="20">
        <v>1514</v>
      </c>
      <c r="H542" s="13" t="s">
        <v>2729</v>
      </c>
      <c r="I542" s="13" t="str">
        <f t="shared" si="27"/>
        <v>Terramar St (A1A to BAYSHORE DR )</v>
      </c>
      <c r="J542" s="12" t="s">
        <v>29</v>
      </c>
      <c r="K542" s="13" t="str">
        <f>VLOOKUP(J542,'Data-ProjectTypes'!A$3:B$13,2,FALSE)</f>
        <v>Program</v>
      </c>
      <c r="L542" s="12" t="s">
        <v>1667</v>
      </c>
      <c r="M542" s="105" t="s">
        <v>205</v>
      </c>
      <c r="N542" s="12" t="s">
        <v>1587</v>
      </c>
      <c r="Q542" s="72">
        <v>0.3</v>
      </c>
      <c r="R542" s="23">
        <f>ROUND(Q542*'Data-CostAssumptions'!$C$25,-1)</f>
        <v>50520</v>
      </c>
      <c r="S542" s="21"/>
      <c r="T542" s="21"/>
      <c r="U542" s="21"/>
      <c r="V542" s="24"/>
      <c r="W542" s="24"/>
      <c r="X542" s="24"/>
      <c r="Y542" s="17"/>
      <c r="Z542" s="18">
        <f>ROUND(R542*'Data-CostAssumptions'!$C$3,-3)</f>
        <v>70000</v>
      </c>
      <c r="AA542" s="11">
        <f t="shared" si="25"/>
        <v>0</v>
      </c>
      <c r="AB542" s="11">
        <v>2041</v>
      </c>
      <c r="AC542" s="11">
        <v>2041</v>
      </c>
      <c r="AD542" s="11">
        <v>2041</v>
      </c>
      <c r="AE542" s="19">
        <f>ROUND((Z542*'Data-CostAssumptions'!$G$5)*(1+'Data-CostAssumptions'!$G$3)^(AB542-'Data-CostAssumptions'!$G$4),-3)</f>
        <v>39000</v>
      </c>
      <c r="AF542" s="19">
        <f>ROUND((Z542)*(1+'Data-CostAssumptions'!$G$3)^(AD542-'Data-CostAssumptions'!$G$4),-3)</f>
        <v>179000</v>
      </c>
      <c r="AG542" s="170" t="str">
        <f t="shared" si="26"/>
        <v>No</v>
      </c>
    </row>
    <row r="543" spans="1:33" ht="15" customHeight="1" x14ac:dyDescent="0.2">
      <c r="B543" s="11" t="s">
        <v>1211</v>
      </c>
      <c r="D543" s="84" t="s">
        <v>276</v>
      </c>
      <c r="E543" s="104" t="s">
        <v>1488</v>
      </c>
      <c r="G543" s="20">
        <v>1516</v>
      </c>
      <c r="H543" s="13" t="s">
        <v>2809</v>
      </c>
      <c r="I543" s="13" t="str">
        <f t="shared" si="27"/>
        <v>Vistamar St (LAS OLAS CIR  to BAYSHORE DR )</v>
      </c>
      <c r="J543" s="12" t="s">
        <v>29</v>
      </c>
      <c r="K543" s="13" t="str">
        <f>VLOOKUP(J543,'Data-ProjectTypes'!A$3:B$13,2,FALSE)</f>
        <v>Program</v>
      </c>
      <c r="L543" s="12" t="s">
        <v>1667</v>
      </c>
      <c r="M543" s="105" t="s">
        <v>1698</v>
      </c>
      <c r="N543" s="12" t="s">
        <v>1587</v>
      </c>
      <c r="Q543" s="72">
        <v>0.3</v>
      </c>
      <c r="R543" s="23">
        <f>ROUND(Q543*'Data-CostAssumptions'!$C$25,-1)</f>
        <v>50520</v>
      </c>
      <c r="S543" s="21"/>
      <c r="T543" s="21"/>
      <c r="U543" s="21"/>
      <c r="V543" s="24"/>
      <c r="W543" s="24"/>
      <c r="X543" s="24"/>
      <c r="Y543" s="17"/>
      <c r="Z543" s="18">
        <f>ROUND(R543*'Data-CostAssumptions'!$C$3,-3)</f>
        <v>70000</v>
      </c>
      <c r="AA543" s="11">
        <f t="shared" si="25"/>
        <v>0</v>
      </c>
      <c r="AB543" s="11">
        <v>2041</v>
      </c>
      <c r="AC543" s="11">
        <v>2041</v>
      </c>
      <c r="AD543" s="11">
        <v>2041</v>
      </c>
      <c r="AE543" s="19">
        <f>ROUND((Z543*'Data-CostAssumptions'!$G$5)*(1+'Data-CostAssumptions'!$G$3)^(AB543-'Data-CostAssumptions'!$G$4),-3)</f>
        <v>39000</v>
      </c>
      <c r="AF543" s="19">
        <f>ROUND((Z543)*(1+'Data-CostAssumptions'!$G$3)^(AD543-'Data-CostAssumptions'!$G$4),-3)</f>
        <v>179000</v>
      </c>
      <c r="AG543" s="170" t="str">
        <f t="shared" si="26"/>
        <v>No</v>
      </c>
    </row>
    <row r="544" spans="1:33" ht="15" customHeight="1" x14ac:dyDescent="0.2">
      <c r="A544" s="11"/>
      <c r="B544" s="11" t="s">
        <v>1211</v>
      </c>
      <c r="C544" s="13">
        <v>731</v>
      </c>
      <c r="D544" s="13" t="s">
        <v>420</v>
      </c>
      <c r="E544" s="20">
        <v>321</v>
      </c>
      <c r="F544" s="20">
        <v>183</v>
      </c>
      <c r="G544" s="20">
        <v>109</v>
      </c>
      <c r="H544" s="13" t="s">
        <v>1945</v>
      </c>
      <c r="I544" s="13" t="str">
        <f t="shared" si="27"/>
        <v>SE 30th St (US 1/Federal Hwy to Andrews Av)</v>
      </c>
      <c r="J544" s="13" t="s">
        <v>29</v>
      </c>
      <c r="K544" s="13" t="str">
        <f>VLOOKUP(J544,'Data-ProjectTypes'!A$3:B$13,2,FALSE)</f>
        <v>Program</v>
      </c>
      <c r="L544" s="21" t="s">
        <v>348</v>
      </c>
      <c r="M544" s="13" t="s">
        <v>2594</v>
      </c>
      <c r="N544" s="13" t="s">
        <v>2014</v>
      </c>
      <c r="O544" s="13" t="s">
        <v>276</v>
      </c>
      <c r="P544" s="13" t="s">
        <v>276</v>
      </c>
      <c r="Q544" s="22">
        <v>0.2</v>
      </c>
      <c r="R544" s="23">
        <v>44674</v>
      </c>
      <c r="S544" s="21"/>
      <c r="T544" s="21"/>
      <c r="U544" s="21"/>
      <c r="V544" s="24"/>
      <c r="W544" s="24"/>
      <c r="X544" s="24"/>
      <c r="Y544" s="17"/>
      <c r="Z544" s="18">
        <f>ROUND(R544*'Data-CostAssumptions'!$C$3,-3)</f>
        <v>62000</v>
      </c>
      <c r="AA544" s="11">
        <f t="shared" si="25"/>
        <v>0</v>
      </c>
      <c r="AB544" s="11">
        <v>2041</v>
      </c>
      <c r="AC544" s="11">
        <v>2041</v>
      </c>
      <c r="AD544" s="11">
        <v>2041</v>
      </c>
      <c r="AE544" s="19">
        <f>ROUND((Z544*'Data-CostAssumptions'!$G$5)*(1+'Data-CostAssumptions'!$G$3)^(AB544-'Data-CostAssumptions'!$G$4),-3)</f>
        <v>35000</v>
      </c>
      <c r="AF544" s="19">
        <f>ROUND((Z544)*(1+'Data-CostAssumptions'!$G$3)^(AD544-'Data-CostAssumptions'!$G$4),-3)</f>
        <v>159000</v>
      </c>
      <c r="AG544" s="170" t="str">
        <f t="shared" si="26"/>
        <v>No</v>
      </c>
    </row>
    <row r="545" spans="1:33" ht="15" customHeight="1" x14ac:dyDescent="0.2">
      <c r="B545" s="11" t="s">
        <v>1211</v>
      </c>
      <c r="D545" s="84" t="s">
        <v>276</v>
      </c>
      <c r="E545" s="104" t="s">
        <v>1517</v>
      </c>
      <c r="G545" s="20">
        <v>1350</v>
      </c>
      <c r="H545" s="13" t="s">
        <v>1598</v>
      </c>
      <c r="I545" s="13" t="str">
        <f t="shared" si="27"/>
        <v>E/W CAMPUS CIR (E/W CAMPUS CIR to INDIANA Av )</v>
      </c>
      <c r="J545" s="12" t="s">
        <v>29</v>
      </c>
      <c r="K545" s="13" t="str">
        <f>VLOOKUP(J545,'Data-ProjectTypes'!A$3:B$13,2,FALSE)</f>
        <v>Program</v>
      </c>
      <c r="L545" s="12" t="s">
        <v>1667</v>
      </c>
      <c r="M545" s="105" t="s">
        <v>1598</v>
      </c>
      <c r="N545" s="12" t="s">
        <v>2140</v>
      </c>
      <c r="Q545" s="72">
        <v>0.5</v>
      </c>
      <c r="R545" s="23">
        <f>ROUND(Q545*'Data-CostAssumptions'!$C$25,-1)</f>
        <v>84200</v>
      </c>
      <c r="S545" s="21" t="s">
        <v>24</v>
      </c>
      <c r="T545" s="21"/>
      <c r="U545" s="21"/>
      <c r="V545" s="24"/>
      <c r="W545" s="24"/>
      <c r="X545" s="24"/>
      <c r="Y545" s="17" t="s">
        <v>460</v>
      </c>
      <c r="Z545" s="18">
        <f>ROUND(R545/1.384,-3)</f>
        <v>61000</v>
      </c>
      <c r="AA545" s="11">
        <f t="shared" si="25"/>
        <v>0</v>
      </c>
      <c r="AB545" s="11">
        <v>2041</v>
      </c>
      <c r="AC545" s="11">
        <v>2041</v>
      </c>
      <c r="AD545" s="11">
        <v>2041</v>
      </c>
      <c r="AE545" s="19">
        <f>ROUND((Z545*'Data-CostAssumptions'!$G$5)*(1+'Data-CostAssumptions'!$G$3)^(AB545-'Data-CostAssumptions'!$G$4),-3)</f>
        <v>34000</v>
      </c>
      <c r="AF545" s="19">
        <f>ROUND((Z545)*(1+'Data-CostAssumptions'!$G$3)^(AD545-'Data-CostAssumptions'!$G$4),-3)</f>
        <v>156000</v>
      </c>
      <c r="AG545" s="170" t="str">
        <f t="shared" si="26"/>
        <v>No</v>
      </c>
    </row>
    <row r="546" spans="1:33" ht="15" customHeight="1" x14ac:dyDescent="0.2">
      <c r="A546" s="11"/>
      <c r="B546" s="11" t="s">
        <v>1211</v>
      </c>
      <c r="C546" s="13">
        <v>943</v>
      </c>
      <c r="D546" s="13" t="s">
        <v>420</v>
      </c>
      <c r="E546" s="20">
        <v>281</v>
      </c>
      <c r="F546" s="20">
        <v>195</v>
      </c>
      <c r="G546" s="20">
        <v>319</v>
      </c>
      <c r="H546" s="13" t="s">
        <v>2083</v>
      </c>
      <c r="I546" s="13" t="str">
        <f t="shared" si="27"/>
        <v>Palm Av (Sheridan St to NW 29th Court)</v>
      </c>
      <c r="J546" s="13" t="s">
        <v>29</v>
      </c>
      <c r="K546" s="13" t="str">
        <f>VLOOKUP(J546,'Data-ProjectTypes'!A$3:B$13,2,FALSE)</f>
        <v>Program</v>
      </c>
      <c r="L546" s="21" t="s">
        <v>348</v>
      </c>
      <c r="M546" s="13" t="s">
        <v>1951</v>
      </c>
      <c r="N546" s="13" t="s">
        <v>130</v>
      </c>
      <c r="O546" s="13" t="s">
        <v>273</v>
      </c>
      <c r="P546" s="13" t="s">
        <v>273</v>
      </c>
      <c r="Q546" s="22">
        <v>0.2</v>
      </c>
      <c r="R546" s="23">
        <v>41695</v>
      </c>
      <c r="S546" s="21"/>
      <c r="T546" s="21"/>
      <c r="U546" s="21"/>
      <c r="V546" s="24"/>
      <c r="W546" s="24" t="s">
        <v>716</v>
      </c>
      <c r="X546" s="24"/>
      <c r="Y546" s="17" t="s">
        <v>717</v>
      </c>
      <c r="Z546" s="18">
        <f>ROUND(R546*'Data-CostAssumptions'!$C$3,-3)</f>
        <v>58000</v>
      </c>
      <c r="AA546" s="11">
        <f t="shared" si="25"/>
        <v>1</v>
      </c>
      <c r="AB546" s="11">
        <v>2041</v>
      </c>
      <c r="AC546" s="11">
        <v>2041</v>
      </c>
      <c r="AD546" s="11">
        <v>2041</v>
      </c>
      <c r="AE546" s="19">
        <f>ROUND((Z546*'Data-CostAssumptions'!$G$5)*(1+'Data-CostAssumptions'!$G$3)^(AB546-'Data-CostAssumptions'!$G$4),-3)</f>
        <v>33000</v>
      </c>
      <c r="AF546" s="19">
        <f>ROUND((Z546)*(1+'Data-CostAssumptions'!$G$3)^(AD546-'Data-CostAssumptions'!$G$4),-3)</f>
        <v>149000</v>
      </c>
      <c r="AG546" s="170" t="str">
        <f t="shared" si="26"/>
        <v>No</v>
      </c>
    </row>
    <row r="547" spans="1:33" ht="15" customHeight="1" x14ac:dyDescent="0.2">
      <c r="A547" s="11"/>
      <c r="B547" s="11" t="s">
        <v>1211</v>
      </c>
      <c r="C547" s="13">
        <v>898</v>
      </c>
      <c r="D547" s="13" t="s">
        <v>420</v>
      </c>
      <c r="E547" s="20">
        <v>138</v>
      </c>
      <c r="F547" s="20">
        <v>192</v>
      </c>
      <c r="G547" s="20">
        <v>275</v>
      </c>
      <c r="H547" s="13" t="s">
        <v>2710</v>
      </c>
      <c r="I547" s="13" t="str">
        <f t="shared" si="27"/>
        <v>SR 816/Oakland Park Bl (Florida's Turnpike Overpass to Rock Island Rd)</v>
      </c>
      <c r="J547" s="13" t="s">
        <v>29</v>
      </c>
      <c r="K547" s="13" t="str">
        <f>VLOOKUP(J547,'Data-ProjectTypes'!A$3:B$13,2,FALSE)</f>
        <v>Program</v>
      </c>
      <c r="L547" s="21" t="s">
        <v>348</v>
      </c>
      <c r="M547" s="13" t="s">
        <v>67</v>
      </c>
      <c r="N547" s="13" t="s">
        <v>1768</v>
      </c>
      <c r="O547" s="13" t="s">
        <v>270</v>
      </c>
      <c r="P547" s="13" t="s">
        <v>270</v>
      </c>
      <c r="Q547" s="22">
        <v>0.2</v>
      </c>
      <c r="R547" s="23">
        <v>40924</v>
      </c>
      <c r="S547" s="21"/>
      <c r="T547" s="21"/>
      <c r="U547" s="21"/>
      <c r="V547" s="24"/>
      <c r="W547" s="24" t="s">
        <v>491</v>
      </c>
      <c r="X547" s="24"/>
      <c r="Y547" s="17" t="s">
        <v>492</v>
      </c>
      <c r="Z547" s="18">
        <f>ROUND(R547*'Data-CostAssumptions'!$C$3,-3)</f>
        <v>57000</v>
      </c>
      <c r="AA547" s="11">
        <f t="shared" si="25"/>
        <v>1</v>
      </c>
      <c r="AB547" s="11">
        <v>2041</v>
      </c>
      <c r="AC547" s="11">
        <v>2041</v>
      </c>
      <c r="AD547" s="11">
        <v>2041</v>
      </c>
      <c r="AE547" s="19">
        <f>ROUND((Z547*'Data-CostAssumptions'!$G$5)*(1+'Data-CostAssumptions'!$G$3)^(AB547-'Data-CostAssumptions'!$G$4),-3)</f>
        <v>32000</v>
      </c>
      <c r="AF547" s="19">
        <f>ROUND((Z547)*(1+'Data-CostAssumptions'!$G$3)^(AD547-'Data-CostAssumptions'!$G$4),-3)</f>
        <v>146000</v>
      </c>
      <c r="AG547" s="170" t="str">
        <f t="shared" si="26"/>
        <v>No</v>
      </c>
    </row>
    <row r="548" spans="1:33" ht="15" customHeight="1" x14ac:dyDescent="0.2">
      <c r="A548" s="11"/>
      <c r="B548" s="11" t="s">
        <v>1211</v>
      </c>
      <c r="C548" s="13">
        <v>756</v>
      </c>
      <c r="D548" s="13" t="s">
        <v>420</v>
      </c>
      <c r="E548" s="20">
        <v>137</v>
      </c>
      <c r="F548" s="20">
        <v>184</v>
      </c>
      <c r="G548" s="20">
        <v>133</v>
      </c>
      <c r="H548" s="13" t="s">
        <v>57</v>
      </c>
      <c r="I548" s="13" t="str">
        <f t="shared" si="27"/>
        <v>SR 7/US 441 (NW 34th St to NW 37th St)</v>
      </c>
      <c r="J548" s="13" t="s">
        <v>29</v>
      </c>
      <c r="K548" s="13" t="str">
        <f>VLOOKUP(J548,'Data-ProjectTypes'!A$3:B$13,2,FALSE)</f>
        <v>Program</v>
      </c>
      <c r="L548" s="21" t="s">
        <v>348</v>
      </c>
      <c r="M548" s="13" t="s">
        <v>2568</v>
      </c>
      <c r="N548" s="13" t="s">
        <v>2567</v>
      </c>
      <c r="O548" s="13" t="s">
        <v>270</v>
      </c>
      <c r="P548" s="13" t="s">
        <v>270</v>
      </c>
      <c r="Q548" s="22">
        <v>0.2</v>
      </c>
      <c r="R548" s="23">
        <v>39930</v>
      </c>
      <c r="S548" s="21"/>
      <c r="T548" s="21"/>
      <c r="U548" s="21"/>
      <c r="V548" s="24"/>
      <c r="W548" s="24"/>
      <c r="X548" s="28" t="s">
        <v>704</v>
      </c>
      <c r="Y548" s="17" t="s">
        <v>287</v>
      </c>
      <c r="Z548" s="18">
        <f>ROUND(R548*'Data-CostAssumptions'!$C$3,-3)</f>
        <v>55000</v>
      </c>
      <c r="AA548" s="11">
        <f t="shared" si="25"/>
        <v>0</v>
      </c>
      <c r="AB548" s="11">
        <v>2041</v>
      </c>
      <c r="AC548" s="11">
        <v>2041</v>
      </c>
      <c r="AD548" s="11">
        <v>2041</v>
      </c>
      <c r="AE548" s="19">
        <f>ROUND((Z548*'Data-CostAssumptions'!$G$5)*(1+'Data-CostAssumptions'!$G$3)^(AB548-'Data-CostAssumptions'!$G$4),-3)</f>
        <v>31000</v>
      </c>
      <c r="AF548" s="19">
        <f>ROUND((Z548)*(1+'Data-CostAssumptions'!$G$3)^(AD548-'Data-CostAssumptions'!$G$4),-3)</f>
        <v>141000</v>
      </c>
      <c r="AG548" s="170" t="str">
        <f t="shared" si="26"/>
        <v>No</v>
      </c>
    </row>
    <row r="549" spans="1:33" ht="15" customHeight="1" x14ac:dyDescent="0.2">
      <c r="A549" s="11"/>
      <c r="B549" s="11" t="s">
        <v>1211</v>
      </c>
      <c r="C549" s="13">
        <v>857</v>
      </c>
      <c r="D549" s="13" t="s">
        <v>420</v>
      </c>
      <c r="E549" s="20">
        <v>110</v>
      </c>
      <c r="F549" s="20">
        <v>190</v>
      </c>
      <c r="G549" s="20">
        <v>234</v>
      </c>
      <c r="H549" s="13" t="s">
        <v>2784</v>
      </c>
      <c r="I549" s="13" t="str">
        <f t="shared" si="27"/>
        <v>SR 818/Griffin Rd (Old Griffin Rd/Service Rd to I-95)</v>
      </c>
      <c r="J549" s="13" t="s">
        <v>29</v>
      </c>
      <c r="K549" s="13" t="str">
        <f>VLOOKUP(J549,'Data-ProjectTypes'!A$3:B$13,2,FALSE)</f>
        <v>Program</v>
      </c>
      <c r="L549" s="21" t="s">
        <v>348</v>
      </c>
      <c r="M549" s="13" t="s">
        <v>2414</v>
      </c>
      <c r="N549" s="13" t="s">
        <v>41</v>
      </c>
      <c r="O549" s="13" t="s">
        <v>270</v>
      </c>
      <c r="P549" s="13" t="s">
        <v>270</v>
      </c>
      <c r="Q549" s="22">
        <v>0.2</v>
      </c>
      <c r="R549" s="23">
        <v>39394</v>
      </c>
      <c r="S549" s="21"/>
      <c r="T549" s="21"/>
      <c r="U549" s="21"/>
      <c r="V549" s="24"/>
      <c r="W549" s="24" t="s">
        <v>491</v>
      </c>
      <c r="X549" s="28" t="s">
        <v>499</v>
      </c>
      <c r="Y549" s="17" t="s">
        <v>492</v>
      </c>
      <c r="Z549" s="18">
        <f>ROUND(R549*'Data-CostAssumptions'!$C$3,-3)</f>
        <v>55000</v>
      </c>
      <c r="AA549" s="11">
        <f t="shared" si="25"/>
        <v>1</v>
      </c>
      <c r="AB549" s="11">
        <v>2041</v>
      </c>
      <c r="AC549" s="11">
        <v>2041</v>
      </c>
      <c r="AD549" s="11">
        <v>2041</v>
      </c>
      <c r="AE549" s="19">
        <f>ROUND((Z549*'Data-CostAssumptions'!$G$5)*(1+'Data-CostAssumptions'!$G$3)^(AB549-'Data-CostAssumptions'!$G$4),-3)</f>
        <v>31000</v>
      </c>
      <c r="AF549" s="19">
        <f>ROUND((Z549)*(1+'Data-CostAssumptions'!$G$3)^(AD549-'Data-CostAssumptions'!$G$4),-3)</f>
        <v>141000</v>
      </c>
      <c r="AG549" s="170" t="str">
        <f t="shared" si="26"/>
        <v>No</v>
      </c>
    </row>
    <row r="550" spans="1:33" ht="15" customHeight="1" x14ac:dyDescent="0.2">
      <c r="A550" s="11"/>
      <c r="B550" s="11" t="s">
        <v>1211</v>
      </c>
      <c r="C550" s="13">
        <v>934</v>
      </c>
      <c r="D550" s="13" t="s">
        <v>420</v>
      </c>
      <c r="E550" s="20">
        <v>133</v>
      </c>
      <c r="F550" s="20">
        <v>194</v>
      </c>
      <c r="G550" s="20">
        <v>310</v>
      </c>
      <c r="H550" s="13" t="s">
        <v>2803</v>
      </c>
      <c r="I550" s="13" t="str">
        <f t="shared" si="27"/>
        <v>SR 870/Commercial Bl (NW 49th Av to NW 50th Av)</v>
      </c>
      <c r="J550" s="13" t="s">
        <v>29</v>
      </c>
      <c r="K550" s="13" t="str">
        <f>VLOOKUP(J550,'Data-ProjectTypes'!A$3:B$13,2,FALSE)</f>
        <v>Program</v>
      </c>
      <c r="L550" s="21" t="s">
        <v>348</v>
      </c>
      <c r="M550" s="13" t="s">
        <v>2340</v>
      </c>
      <c r="N550" s="13" t="s">
        <v>2215</v>
      </c>
      <c r="O550" s="13" t="s">
        <v>270</v>
      </c>
      <c r="P550" s="13" t="s">
        <v>270</v>
      </c>
      <c r="Q550" s="22">
        <v>0.2</v>
      </c>
      <c r="R550" s="23">
        <v>38402</v>
      </c>
      <c r="S550" s="11"/>
      <c r="T550" s="11"/>
      <c r="U550" s="11"/>
      <c r="V550" s="11"/>
      <c r="W550" s="11"/>
      <c r="X550" s="11"/>
      <c r="Y550" s="17"/>
      <c r="Z550" s="18">
        <f>ROUND(R550*'Data-CostAssumptions'!$C$3,-3)</f>
        <v>53000</v>
      </c>
      <c r="AA550" s="11">
        <f t="shared" si="25"/>
        <v>0</v>
      </c>
      <c r="AB550" s="11">
        <v>2041</v>
      </c>
      <c r="AC550" s="11">
        <v>2041</v>
      </c>
      <c r="AD550" s="11">
        <v>2041</v>
      </c>
      <c r="AE550" s="19">
        <f>ROUND((Z550*'Data-CostAssumptions'!$G$5)*(1+'Data-CostAssumptions'!$G$3)^(AB550-'Data-CostAssumptions'!$G$4),-3)</f>
        <v>30000</v>
      </c>
      <c r="AF550" s="19">
        <f>ROUND((Z550)*(1+'Data-CostAssumptions'!$G$3)^(AD550-'Data-CostAssumptions'!$G$4),-3)</f>
        <v>136000</v>
      </c>
      <c r="AG550" s="170" t="str">
        <f t="shared" si="26"/>
        <v>No</v>
      </c>
    </row>
    <row r="551" spans="1:33" ht="15" customHeight="1" x14ac:dyDescent="0.2">
      <c r="B551" s="11" t="s">
        <v>1211</v>
      </c>
      <c r="D551" s="84" t="s">
        <v>276</v>
      </c>
      <c r="E551" s="104" t="s">
        <v>1486</v>
      </c>
      <c r="G551" s="20">
        <v>1335</v>
      </c>
      <c r="H551" s="13" t="s">
        <v>2868</v>
      </c>
      <c r="I551" s="13" t="str">
        <f t="shared" si="27"/>
        <v>Birch Rd (NE 14TH CT to E SUNRISE Bl )</v>
      </c>
      <c r="J551" s="12" t="s">
        <v>29</v>
      </c>
      <c r="K551" s="13" t="str">
        <f>VLOOKUP(J551,'Data-ProjectTypes'!A$3:B$13,2,FALSE)</f>
        <v>Program</v>
      </c>
      <c r="L551" s="12" t="s">
        <v>1667</v>
      </c>
      <c r="M551" s="105" t="s">
        <v>1696</v>
      </c>
      <c r="N551" s="12" t="s">
        <v>2299</v>
      </c>
      <c r="Q551" s="72">
        <v>0.3</v>
      </c>
      <c r="R551" s="23">
        <f>ROUND(Q551*'Data-CostAssumptions'!$C$25,-1)</f>
        <v>50520</v>
      </c>
      <c r="S551" s="21" t="s">
        <v>24</v>
      </c>
      <c r="T551" s="21"/>
      <c r="U551" s="21"/>
      <c r="V551" s="24"/>
      <c r="W551" s="24" t="s">
        <v>586</v>
      </c>
      <c r="X551" s="24"/>
      <c r="Y551" s="17" t="s">
        <v>538</v>
      </c>
      <c r="Z551" s="18">
        <f>ROUND(R551*'Data-CostAssumptions'!$C$8,-3)</f>
        <v>51000</v>
      </c>
      <c r="AA551" s="11">
        <f t="shared" si="25"/>
        <v>1</v>
      </c>
      <c r="AB551" s="11">
        <v>2041</v>
      </c>
      <c r="AC551" s="11">
        <v>2041</v>
      </c>
      <c r="AD551" s="11">
        <v>2041</v>
      </c>
      <c r="AE551" s="19">
        <f>ROUND((Z551*'Data-CostAssumptions'!$G$5)*(1+'Data-CostAssumptions'!$G$3)^(AB551-'Data-CostAssumptions'!$G$4),-3)</f>
        <v>29000</v>
      </c>
      <c r="AF551" s="19">
        <f>ROUND((Z551)*(1+'Data-CostAssumptions'!$G$3)^(AD551-'Data-CostAssumptions'!$G$4),-3)</f>
        <v>131000</v>
      </c>
      <c r="AG551" s="170" t="str">
        <f t="shared" si="26"/>
        <v>No</v>
      </c>
    </row>
    <row r="552" spans="1:33" ht="15" customHeight="1" x14ac:dyDescent="0.2">
      <c r="B552" s="11" t="s">
        <v>1211</v>
      </c>
      <c r="D552" s="84" t="s">
        <v>276</v>
      </c>
      <c r="E552" s="104" t="s">
        <v>1494</v>
      </c>
      <c r="G552" s="20">
        <v>1337</v>
      </c>
      <c r="H552" s="13" t="s">
        <v>2707</v>
      </c>
      <c r="I552" s="13" t="str">
        <f t="shared" si="27"/>
        <v>Breakers Av (SR A1A to VISTAMAR ST )</v>
      </c>
      <c r="J552" s="12" t="s">
        <v>29</v>
      </c>
      <c r="K552" s="13" t="str">
        <f>VLOOKUP(J552,'Data-ProjectTypes'!A$3:B$13,2,FALSE)</f>
        <v>Program</v>
      </c>
      <c r="L552" s="12" t="s">
        <v>1667</v>
      </c>
      <c r="M552" s="105" t="s">
        <v>110</v>
      </c>
      <c r="N552" s="12" t="s">
        <v>1586</v>
      </c>
      <c r="Q552" s="72">
        <v>0.3</v>
      </c>
      <c r="R552" s="23">
        <f>ROUND(Q552*'Data-CostAssumptions'!$C$25,-1)</f>
        <v>50520</v>
      </c>
      <c r="S552" s="21"/>
      <c r="T552" s="21"/>
      <c r="U552" s="21"/>
      <c r="V552" s="24"/>
      <c r="W552" s="24"/>
      <c r="X552" s="24"/>
      <c r="Y552" s="17"/>
      <c r="Z552" s="18">
        <f>ROUND(R552*'Data-CostAssumptions'!$C$8,-3)</f>
        <v>51000</v>
      </c>
      <c r="AA552" s="11">
        <f t="shared" si="25"/>
        <v>0</v>
      </c>
      <c r="AB552" s="11">
        <v>2041</v>
      </c>
      <c r="AC552" s="11">
        <v>2041</v>
      </c>
      <c r="AD552" s="11">
        <v>2041</v>
      </c>
      <c r="AE552" s="19">
        <f>ROUND((Z552*'Data-CostAssumptions'!$G$5)*(1+'Data-CostAssumptions'!$G$3)^(AB552-'Data-CostAssumptions'!$G$4),-3)</f>
        <v>29000</v>
      </c>
      <c r="AF552" s="19">
        <f>ROUND((Z552)*(1+'Data-CostAssumptions'!$G$3)^(AD552-'Data-CostAssumptions'!$G$4),-3)</f>
        <v>131000</v>
      </c>
      <c r="AG552" s="170" t="str">
        <f t="shared" si="26"/>
        <v>No</v>
      </c>
    </row>
    <row r="553" spans="1:33" ht="15" customHeight="1" x14ac:dyDescent="0.2">
      <c r="B553" s="11" t="s">
        <v>1211</v>
      </c>
      <c r="D553" s="84" t="s">
        <v>276</v>
      </c>
      <c r="E553" s="104" t="s">
        <v>1483</v>
      </c>
      <c r="G553" s="20">
        <v>1340</v>
      </c>
      <c r="H553" s="13" t="s">
        <v>2836</v>
      </c>
      <c r="I553" s="13" t="str">
        <f t="shared" si="27"/>
        <v>Cross Over to N. Birch State Park (NE 17TH CT to NE 19TH ST )</v>
      </c>
      <c r="J553" s="12" t="s">
        <v>29</v>
      </c>
      <c r="K553" s="13" t="str">
        <f>VLOOKUP(J553,'Data-ProjectTypes'!A$3:B$13,2,FALSE)</f>
        <v>Program</v>
      </c>
      <c r="L553" s="12" t="s">
        <v>1667</v>
      </c>
      <c r="M553" s="105" t="s">
        <v>1692</v>
      </c>
      <c r="N553" s="12" t="s">
        <v>1691</v>
      </c>
      <c r="Q553" s="72">
        <v>0.3</v>
      </c>
      <c r="R553" s="23">
        <f>ROUND(Q553*'Data-CostAssumptions'!$C$25,-1)</f>
        <v>50520</v>
      </c>
      <c r="S553" s="21" t="s">
        <v>24</v>
      </c>
      <c r="T553" s="21"/>
      <c r="U553" s="21"/>
      <c r="V553" s="24"/>
      <c r="W553" s="24" t="s">
        <v>586</v>
      </c>
      <c r="X553" s="24"/>
      <c r="Y553" s="17" t="s">
        <v>538</v>
      </c>
      <c r="Z553" s="18">
        <f>ROUND(R553*'Data-CostAssumptions'!$C$8,-3)</f>
        <v>51000</v>
      </c>
      <c r="AA553" s="11">
        <f t="shared" si="25"/>
        <v>1</v>
      </c>
      <c r="AB553" s="11">
        <v>2041</v>
      </c>
      <c r="AC553" s="11">
        <v>2041</v>
      </c>
      <c r="AD553" s="11">
        <v>2041</v>
      </c>
      <c r="AE553" s="19">
        <f>ROUND((Z553*'Data-CostAssumptions'!$G$5)*(1+'Data-CostAssumptions'!$G$3)^(AB553-'Data-CostAssumptions'!$G$4),-3)</f>
        <v>29000</v>
      </c>
      <c r="AF553" s="19">
        <f>ROUND((Z553)*(1+'Data-CostAssumptions'!$G$3)^(AD553-'Data-CostAssumptions'!$G$4),-3)</f>
        <v>131000</v>
      </c>
      <c r="AG553" s="170" t="str">
        <f t="shared" si="26"/>
        <v>No</v>
      </c>
    </row>
    <row r="554" spans="1:33" ht="15" customHeight="1" x14ac:dyDescent="0.2">
      <c r="A554" s="11"/>
      <c r="B554" s="11" t="s">
        <v>1211</v>
      </c>
      <c r="C554" s="13">
        <v>764</v>
      </c>
      <c r="D554" s="13" t="s">
        <v>420</v>
      </c>
      <c r="E554" s="20">
        <v>202</v>
      </c>
      <c r="F554" s="20">
        <v>185</v>
      </c>
      <c r="G554" s="20">
        <v>141</v>
      </c>
      <c r="H554" s="13" t="s">
        <v>2800</v>
      </c>
      <c r="I554" s="13" t="str">
        <f t="shared" si="27"/>
        <v>SR 858/Hallandale Beach Bl (Eastern I-95 ramp to Country Club Lane)</v>
      </c>
      <c r="J554" s="13" t="s">
        <v>29</v>
      </c>
      <c r="K554" s="13" t="str">
        <f>VLOOKUP(J554,'Data-ProjectTypes'!A$3:B$13,2,FALSE)</f>
        <v>Program</v>
      </c>
      <c r="L554" s="21" t="s">
        <v>348</v>
      </c>
      <c r="M554" s="13" t="s">
        <v>135</v>
      </c>
      <c r="N554" s="13" t="s">
        <v>136</v>
      </c>
      <c r="O554" s="13" t="s">
        <v>270</v>
      </c>
      <c r="P554" s="13" t="s">
        <v>270</v>
      </c>
      <c r="Q554" s="22">
        <v>0.1</v>
      </c>
      <c r="R554" s="23">
        <v>34602</v>
      </c>
      <c r="S554" s="21" t="s">
        <v>24</v>
      </c>
      <c r="T554" s="21" t="s">
        <v>25</v>
      </c>
      <c r="U554" s="21"/>
      <c r="V554" s="33" t="s">
        <v>681</v>
      </c>
      <c r="W554" s="24"/>
      <c r="X554" s="24"/>
      <c r="Y554" s="17" t="s">
        <v>680</v>
      </c>
      <c r="Z554" s="18">
        <f>ROUND(R554*'Data-CostAssumptions'!$C$3,-3)</f>
        <v>48000</v>
      </c>
      <c r="AA554" s="11">
        <f t="shared" si="25"/>
        <v>1</v>
      </c>
      <c r="AB554" s="11">
        <v>2041</v>
      </c>
      <c r="AC554" s="11">
        <v>2041</v>
      </c>
      <c r="AD554" s="11">
        <v>2041</v>
      </c>
      <c r="AE554" s="19">
        <f>ROUND((Z554*'Data-CostAssumptions'!$G$5)*(1+'Data-CostAssumptions'!$G$3)^(AB554-'Data-CostAssumptions'!$G$4),-3)</f>
        <v>27000</v>
      </c>
      <c r="AF554" s="19">
        <f>ROUND((Z554)*(1+'Data-CostAssumptions'!$G$3)^(AD554-'Data-CostAssumptions'!$G$4),-3)</f>
        <v>123000</v>
      </c>
      <c r="AG554" s="170" t="str">
        <f t="shared" si="26"/>
        <v>No</v>
      </c>
    </row>
    <row r="555" spans="1:33" ht="15" customHeight="1" x14ac:dyDescent="0.2">
      <c r="B555" s="11" t="s">
        <v>1211</v>
      </c>
      <c r="D555" s="84" t="s">
        <v>276</v>
      </c>
      <c r="E555" s="104" t="s">
        <v>1541</v>
      </c>
      <c r="G555" s="20">
        <v>1382</v>
      </c>
      <c r="H555" s="13" t="s">
        <v>1609</v>
      </c>
      <c r="I555" s="13" t="str">
        <f t="shared" si="27"/>
        <v>NE 17TH CT  (NE 15TH Av to N DIXIE HWY )</v>
      </c>
      <c r="J555" s="12" t="s">
        <v>29</v>
      </c>
      <c r="K555" s="13" t="str">
        <f>VLOOKUP(J555,'Data-ProjectTypes'!A$3:B$13,2,FALSE)</f>
        <v>Program</v>
      </c>
      <c r="L555" s="12" t="s">
        <v>1667</v>
      </c>
      <c r="M555" s="105" t="s">
        <v>2143</v>
      </c>
      <c r="N555" s="12" t="s">
        <v>1717</v>
      </c>
      <c r="Q555" s="72">
        <v>0.2</v>
      </c>
      <c r="R555" s="23">
        <f>ROUND(Q555*'Data-CostAssumptions'!$C$25,-1)</f>
        <v>33680</v>
      </c>
      <c r="S555" s="21"/>
      <c r="T555" s="21"/>
      <c r="U555" s="21"/>
      <c r="V555" s="24"/>
      <c r="W555" s="24" t="s">
        <v>539</v>
      </c>
      <c r="X555" s="24"/>
      <c r="Y555" s="17" t="s">
        <v>538</v>
      </c>
      <c r="Z555" s="18">
        <f>ROUND(R555*'Data-CostAssumptions'!$C$3,-3)</f>
        <v>47000</v>
      </c>
      <c r="AA555" s="11">
        <f t="shared" si="25"/>
        <v>1</v>
      </c>
      <c r="AB555" s="11">
        <v>2041</v>
      </c>
      <c r="AC555" s="11">
        <v>2041</v>
      </c>
      <c r="AD555" s="11">
        <v>2041</v>
      </c>
      <c r="AE555" s="19">
        <f>ROUND((Z555*'Data-CostAssumptions'!$G$5)*(1+'Data-CostAssumptions'!$G$3)^(AB555-'Data-CostAssumptions'!$G$4),-3)</f>
        <v>27000</v>
      </c>
      <c r="AF555" s="19">
        <f>ROUND((Z555)*(1+'Data-CostAssumptions'!$G$3)^(AD555-'Data-CostAssumptions'!$G$4),-3)</f>
        <v>121000</v>
      </c>
      <c r="AG555" s="170" t="str">
        <f t="shared" si="26"/>
        <v>No</v>
      </c>
    </row>
    <row r="556" spans="1:33" ht="15" customHeight="1" x14ac:dyDescent="0.2">
      <c r="B556" s="11" t="s">
        <v>1211</v>
      </c>
      <c r="D556" s="84" t="s">
        <v>276</v>
      </c>
      <c r="E556" s="104" t="s">
        <v>1559</v>
      </c>
      <c r="G556" s="20">
        <v>1395</v>
      </c>
      <c r="H556" s="13" t="s">
        <v>1617</v>
      </c>
      <c r="I556" s="13" t="str">
        <f t="shared" si="27"/>
        <v>NE 6TH CT  (I-95 to N VICTORIA PARK )</v>
      </c>
      <c r="J556" s="12" t="s">
        <v>29</v>
      </c>
      <c r="K556" s="13" t="str">
        <f>VLOOKUP(J556,'Data-ProjectTypes'!A$3:B$13,2,FALSE)</f>
        <v>Program</v>
      </c>
      <c r="L556" s="12" t="s">
        <v>1667</v>
      </c>
      <c r="M556" s="105" t="s">
        <v>41</v>
      </c>
      <c r="N556" s="12" t="s">
        <v>1729</v>
      </c>
      <c r="Q556" s="72">
        <v>0.2</v>
      </c>
      <c r="R556" s="23">
        <f>ROUND(Q556*'Data-CostAssumptions'!$C$25,-1)</f>
        <v>33680</v>
      </c>
      <c r="S556" s="21"/>
      <c r="T556" s="21"/>
      <c r="U556" s="21"/>
      <c r="V556" s="24"/>
      <c r="W556" s="24"/>
      <c r="X556" s="24"/>
      <c r="Y556" s="17"/>
      <c r="Z556" s="18">
        <f>ROUND(R556*'Data-CostAssumptions'!$C$3,-3)</f>
        <v>47000</v>
      </c>
      <c r="AA556" s="11">
        <f t="shared" si="25"/>
        <v>0</v>
      </c>
      <c r="AB556" s="11">
        <v>2041</v>
      </c>
      <c r="AC556" s="11">
        <v>2041</v>
      </c>
      <c r="AD556" s="11">
        <v>2041</v>
      </c>
      <c r="AE556" s="19">
        <f>ROUND((Z556*'Data-CostAssumptions'!$G$5)*(1+'Data-CostAssumptions'!$G$3)^(AB556-'Data-CostAssumptions'!$G$4),-3)</f>
        <v>27000</v>
      </c>
      <c r="AF556" s="19">
        <f>ROUND((Z556)*(1+'Data-CostAssumptions'!$G$3)^(AD556-'Data-CostAssumptions'!$G$4),-3)</f>
        <v>121000</v>
      </c>
      <c r="AG556" s="170" t="str">
        <f t="shared" si="26"/>
        <v>No</v>
      </c>
    </row>
    <row r="557" spans="1:33" ht="15" customHeight="1" x14ac:dyDescent="0.2">
      <c r="B557" s="11" t="s">
        <v>1211</v>
      </c>
      <c r="D557" s="84" t="s">
        <v>276</v>
      </c>
      <c r="E557" s="104" t="s">
        <v>1538</v>
      </c>
      <c r="G557" s="20">
        <v>1398</v>
      </c>
      <c r="H557" s="13" t="s">
        <v>2155</v>
      </c>
      <c r="I557" s="13" t="str">
        <f t="shared" si="27"/>
        <v>NE 7TH Av  (NE 13TH ST  to NE 13TH ST )</v>
      </c>
      <c r="J557" s="12" t="s">
        <v>29</v>
      </c>
      <c r="K557" s="13" t="str">
        <f>VLOOKUP(J557,'Data-ProjectTypes'!A$3:B$13,2,FALSE)</f>
        <v>Program</v>
      </c>
      <c r="L557" s="12" t="s">
        <v>1667</v>
      </c>
      <c r="M557" s="105" t="s">
        <v>1716</v>
      </c>
      <c r="N557" s="12" t="s">
        <v>1716</v>
      </c>
      <c r="Q557" s="72">
        <v>0.2</v>
      </c>
      <c r="R557" s="23">
        <f>ROUND(Q557*'Data-CostAssumptions'!$C$25,-1)</f>
        <v>33680</v>
      </c>
      <c r="S557" s="21"/>
      <c r="T557" s="21"/>
      <c r="U557" s="21"/>
      <c r="V557" s="24"/>
      <c r="W557" s="24"/>
      <c r="X557" s="24"/>
      <c r="Y557" s="17"/>
      <c r="Z557" s="18">
        <f>ROUND(R557*'Data-CostAssumptions'!$C$3,-3)</f>
        <v>47000</v>
      </c>
      <c r="AA557" s="11">
        <f t="shared" si="25"/>
        <v>0</v>
      </c>
      <c r="AB557" s="11">
        <v>2041</v>
      </c>
      <c r="AC557" s="11">
        <v>2041</v>
      </c>
      <c r="AD557" s="11">
        <v>2041</v>
      </c>
      <c r="AE557" s="19">
        <f>ROUND((Z557*'Data-CostAssumptions'!$G$5)*(1+'Data-CostAssumptions'!$G$3)^(AB557-'Data-CostAssumptions'!$G$4),-3)</f>
        <v>27000</v>
      </c>
      <c r="AF557" s="19">
        <f>ROUND((Z557)*(1+'Data-CostAssumptions'!$G$3)^(AD557-'Data-CostAssumptions'!$G$4),-3)</f>
        <v>121000</v>
      </c>
      <c r="AG557" s="170" t="str">
        <f t="shared" si="26"/>
        <v>No</v>
      </c>
    </row>
    <row r="558" spans="1:33" ht="15" customHeight="1" x14ac:dyDescent="0.2">
      <c r="B558" s="11" t="s">
        <v>1211</v>
      </c>
      <c r="D558" s="84" t="s">
        <v>276</v>
      </c>
      <c r="E558" s="104" t="s">
        <v>1560</v>
      </c>
      <c r="G558" s="20">
        <v>1414</v>
      </c>
      <c r="H558" s="13" t="s">
        <v>1618</v>
      </c>
      <c r="I558" s="13" t="str">
        <f t="shared" si="27"/>
        <v>NW 19TH ST  (NE 7TH ST  to N POWERLINE RD )</v>
      </c>
      <c r="J558" s="12" t="s">
        <v>29</v>
      </c>
      <c r="K558" s="13" t="str">
        <f>VLOOKUP(J558,'Data-ProjectTypes'!A$3:B$13,2,FALSE)</f>
        <v>Program</v>
      </c>
      <c r="L558" s="12" t="s">
        <v>1667</v>
      </c>
      <c r="M558" s="105" t="s">
        <v>1606</v>
      </c>
      <c r="N558" s="12" t="s">
        <v>1730</v>
      </c>
      <c r="Q558" s="72">
        <v>0.2</v>
      </c>
      <c r="R558" s="23">
        <f>ROUND(Q558*'Data-CostAssumptions'!$C$25,-1)</f>
        <v>33680</v>
      </c>
      <c r="S558" s="21"/>
      <c r="T558" s="21"/>
      <c r="U558" s="21"/>
      <c r="V558" s="24"/>
      <c r="W558" s="24" t="s">
        <v>541</v>
      </c>
      <c r="X558" s="24"/>
      <c r="Y558" s="17" t="s">
        <v>538</v>
      </c>
      <c r="Z558" s="18">
        <f>ROUND(R558*'Data-CostAssumptions'!$C$3,-3)</f>
        <v>47000</v>
      </c>
      <c r="AA558" s="11">
        <f t="shared" si="25"/>
        <v>1</v>
      </c>
      <c r="AB558" s="11">
        <v>2041</v>
      </c>
      <c r="AC558" s="11">
        <v>2041</v>
      </c>
      <c r="AD558" s="11">
        <v>2041</v>
      </c>
      <c r="AE558" s="19">
        <f>ROUND((Z558*'Data-CostAssumptions'!$G$5)*(1+'Data-CostAssumptions'!$G$3)^(AB558-'Data-CostAssumptions'!$G$4),-3)</f>
        <v>27000</v>
      </c>
      <c r="AF558" s="19">
        <f>ROUND((Z558)*(1+'Data-CostAssumptions'!$G$3)^(AD558-'Data-CostAssumptions'!$G$4),-3)</f>
        <v>121000</v>
      </c>
      <c r="AG558" s="170" t="str">
        <f t="shared" si="26"/>
        <v>No</v>
      </c>
    </row>
    <row r="559" spans="1:33" ht="15" customHeight="1" x14ac:dyDescent="0.2">
      <c r="B559" s="11" t="s">
        <v>1211</v>
      </c>
      <c r="D559" s="84" t="s">
        <v>276</v>
      </c>
      <c r="E559" s="104" t="s">
        <v>1552</v>
      </c>
      <c r="G559" s="20">
        <v>1457</v>
      </c>
      <c r="H559" s="13" t="s">
        <v>2182</v>
      </c>
      <c r="I559" s="13" t="str">
        <f t="shared" si="27"/>
        <v>SE 8TH Av  (E LAS OLAS Bl  to E BROWARD Bl )</v>
      </c>
      <c r="J559" s="12" t="s">
        <v>29</v>
      </c>
      <c r="K559" s="13" t="str">
        <f>VLOOKUP(J559,'Data-ProjectTypes'!A$3:B$13,2,FALSE)</f>
        <v>Program</v>
      </c>
      <c r="L559" s="12" t="s">
        <v>1667</v>
      </c>
      <c r="M559" s="105" t="s">
        <v>2311</v>
      </c>
      <c r="N559" s="12" t="s">
        <v>2309</v>
      </c>
      <c r="Q559" s="72">
        <v>0.2</v>
      </c>
      <c r="R559" s="23">
        <f>ROUND(Q559*'Data-CostAssumptions'!$C$25,-1)</f>
        <v>33680</v>
      </c>
      <c r="S559" s="21"/>
      <c r="T559" s="21"/>
      <c r="U559" s="21"/>
      <c r="V559" s="24"/>
      <c r="W559" s="24"/>
      <c r="X559" s="24"/>
      <c r="Y559" s="17"/>
      <c r="Z559" s="18">
        <f>ROUND(R559*'Data-CostAssumptions'!$C$3,-3)</f>
        <v>47000</v>
      </c>
      <c r="AA559" s="11">
        <f t="shared" si="25"/>
        <v>0</v>
      </c>
      <c r="AB559" s="11">
        <v>2041</v>
      </c>
      <c r="AC559" s="11">
        <v>2041</v>
      </c>
      <c r="AD559" s="11">
        <v>2041</v>
      </c>
      <c r="AE559" s="19">
        <f>ROUND((Z559*'Data-CostAssumptions'!$G$5)*(1+'Data-CostAssumptions'!$G$3)^(AB559-'Data-CostAssumptions'!$G$4),-3)</f>
        <v>27000</v>
      </c>
      <c r="AF559" s="19">
        <f>ROUND((Z559)*(1+'Data-CostAssumptions'!$G$3)^(AD559-'Data-CostAssumptions'!$G$4),-3)</f>
        <v>121000</v>
      </c>
      <c r="AG559" s="170" t="str">
        <f t="shared" si="26"/>
        <v>No</v>
      </c>
    </row>
    <row r="560" spans="1:33" ht="15" customHeight="1" x14ac:dyDescent="0.2">
      <c r="B560" s="11" t="s">
        <v>1211</v>
      </c>
      <c r="D560" s="84" t="s">
        <v>276</v>
      </c>
      <c r="E560" s="104" t="s">
        <v>1479</v>
      </c>
      <c r="G560" s="20">
        <v>1470</v>
      </c>
      <c r="H560" s="13" t="s">
        <v>2710</v>
      </c>
      <c r="I560" s="13" t="str">
        <f t="shared" ref="I560:I578" si="28">IF(M560="@",H560&amp;" ("&amp;M560&amp;"  "&amp;N560&amp;")",H560&amp;" ("&amp;M560&amp;" to "&amp;N560&amp;")")</f>
        <v>SR 816/Oakland Park Bl (US 1 to N OCEAN Bl )</v>
      </c>
      <c r="J560" s="12" t="s">
        <v>29</v>
      </c>
      <c r="K560" s="13" t="str">
        <f>VLOOKUP(J560,'Data-ProjectTypes'!A$3:B$13,2,FALSE)</f>
        <v>Program</v>
      </c>
      <c r="L560" s="12" t="s">
        <v>1667</v>
      </c>
      <c r="M560" s="105" t="s">
        <v>98</v>
      </c>
      <c r="N560" s="12" t="s">
        <v>2307</v>
      </c>
      <c r="Q560" s="72">
        <v>0.2</v>
      </c>
      <c r="R560" s="23">
        <f>ROUND(Q560*'Data-CostAssumptions'!$C$25,-1)</f>
        <v>33680</v>
      </c>
      <c r="S560" s="21" t="s">
        <v>24</v>
      </c>
      <c r="T560" s="21"/>
      <c r="U560" s="21"/>
      <c r="V560" s="24"/>
      <c r="W560" s="24"/>
      <c r="X560" s="24"/>
      <c r="Y560" s="17" t="s">
        <v>538</v>
      </c>
      <c r="Z560" s="18">
        <f>ROUND(R560*'Data-CostAssumptions'!$C$3,-3)</f>
        <v>47000</v>
      </c>
      <c r="AA560" s="11">
        <f t="shared" si="25"/>
        <v>0</v>
      </c>
      <c r="AB560" s="11">
        <v>2041</v>
      </c>
      <c r="AC560" s="11">
        <v>2041</v>
      </c>
      <c r="AD560" s="11">
        <v>2041</v>
      </c>
      <c r="AE560" s="19">
        <f>ROUND((Z560*'Data-CostAssumptions'!$G$5)*(1+'Data-CostAssumptions'!$G$3)^(AB560-'Data-CostAssumptions'!$G$4),-3)</f>
        <v>27000</v>
      </c>
      <c r="AF560" s="19">
        <f>ROUND((Z560)*(1+'Data-CostAssumptions'!$G$3)^(AD560-'Data-CostAssumptions'!$G$4),-3)</f>
        <v>121000</v>
      </c>
      <c r="AG560" s="170" t="str">
        <f t="shared" si="26"/>
        <v>No</v>
      </c>
    </row>
    <row r="561" spans="1:33" ht="15" customHeight="1" x14ac:dyDescent="0.2">
      <c r="B561" s="11" t="s">
        <v>1211</v>
      </c>
      <c r="D561" s="84" t="s">
        <v>276</v>
      </c>
      <c r="E561" s="104" t="s">
        <v>1507</v>
      </c>
      <c r="G561" s="20">
        <v>1501</v>
      </c>
      <c r="H561" s="13" t="s">
        <v>1593</v>
      </c>
      <c r="I561" s="13" t="str">
        <f t="shared" si="28"/>
        <v>SW 34TH ST  (SW 34TH ST  to SW 2ND Av )</v>
      </c>
      <c r="J561" s="12" t="s">
        <v>29</v>
      </c>
      <c r="K561" s="13" t="str">
        <f>VLOOKUP(J561,'Data-ProjectTypes'!A$3:B$13,2,FALSE)</f>
        <v>Program</v>
      </c>
      <c r="L561" s="12" t="s">
        <v>1667</v>
      </c>
      <c r="M561" s="105" t="s">
        <v>1593</v>
      </c>
      <c r="N561" s="12" t="s">
        <v>2639</v>
      </c>
      <c r="Q561" s="72">
        <v>0.2</v>
      </c>
      <c r="R561" s="23">
        <f>ROUND(Q561*'Data-CostAssumptions'!$C$25,-1)</f>
        <v>33680</v>
      </c>
      <c r="S561" s="21"/>
      <c r="T561" s="21"/>
      <c r="U561" s="21"/>
      <c r="V561" s="24"/>
      <c r="W561" s="24"/>
      <c r="X561" s="34" t="s">
        <v>1174</v>
      </c>
      <c r="Y561" s="17" t="s">
        <v>1171</v>
      </c>
      <c r="Z561" s="18">
        <f>ROUND(R561*'Data-CostAssumptions'!$C$3,-3)</f>
        <v>47000</v>
      </c>
      <c r="AA561" s="11">
        <f t="shared" si="25"/>
        <v>0</v>
      </c>
      <c r="AB561" s="11">
        <v>2041</v>
      </c>
      <c r="AC561" s="11">
        <v>2041</v>
      </c>
      <c r="AD561" s="11">
        <v>2041</v>
      </c>
      <c r="AE561" s="19">
        <f>ROUND((Z561*'Data-CostAssumptions'!$G$5)*(1+'Data-CostAssumptions'!$G$3)^(AB561-'Data-CostAssumptions'!$G$4),-3)</f>
        <v>27000</v>
      </c>
      <c r="AF561" s="19">
        <f>ROUND((Z561)*(1+'Data-CostAssumptions'!$G$3)^(AD561-'Data-CostAssumptions'!$G$4),-3)</f>
        <v>121000</v>
      </c>
      <c r="AG561" s="170" t="str">
        <f t="shared" si="26"/>
        <v>No</v>
      </c>
    </row>
    <row r="562" spans="1:33" ht="15" customHeight="1" x14ac:dyDescent="0.2">
      <c r="B562" s="11" t="s">
        <v>1211</v>
      </c>
      <c r="D562" s="84" t="s">
        <v>276</v>
      </c>
      <c r="E562" s="104">
        <v>61</v>
      </c>
      <c r="G562" s="20">
        <v>1403</v>
      </c>
      <c r="H562" s="13" t="s">
        <v>1237</v>
      </c>
      <c r="I562" s="13" t="str">
        <f t="shared" si="28"/>
        <v>NE/NW 6TH ST (SR 5/US 1 to NW 7TH Av/AVE OF THE ARTS)</v>
      </c>
      <c r="J562" s="12" t="s">
        <v>29</v>
      </c>
      <c r="K562" s="13" t="str">
        <f>VLOOKUP(J562,'Data-ProjectTypes'!A$3:B$13,2,FALSE)</f>
        <v>Program</v>
      </c>
      <c r="L562" s="12" t="s">
        <v>1328</v>
      </c>
      <c r="M562" s="105" t="s">
        <v>1424</v>
      </c>
      <c r="N562" s="12" t="s">
        <v>2615</v>
      </c>
      <c r="Q562" s="72">
        <v>0.8</v>
      </c>
      <c r="R562" s="23">
        <v>31000</v>
      </c>
      <c r="S562" s="21" t="s">
        <v>24</v>
      </c>
      <c r="T562" s="21"/>
      <c r="U562" s="21"/>
      <c r="V562" s="24"/>
      <c r="W562" s="24"/>
      <c r="X562" s="24"/>
      <c r="Y562" s="17" t="s">
        <v>469</v>
      </c>
      <c r="Z562" s="18">
        <f>ROUND(R562*'Data-CostAssumptions'!$C$3,-3)</f>
        <v>43000</v>
      </c>
      <c r="AA562" s="11">
        <f t="shared" si="25"/>
        <v>0</v>
      </c>
      <c r="AB562" s="11">
        <v>2041</v>
      </c>
      <c r="AC562" s="11">
        <v>2041</v>
      </c>
      <c r="AD562" s="11">
        <v>2041</v>
      </c>
      <c r="AE562" s="19">
        <f>ROUND((Z562*'Data-CostAssumptions'!$G$5)*(1+'Data-CostAssumptions'!$G$3)^(AB562-'Data-CostAssumptions'!$G$4),-3)</f>
        <v>24000</v>
      </c>
      <c r="AF562" s="19">
        <f>ROUND((Z562)*(1+'Data-CostAssumptions'!$G$3)^(AD562-'Data-CostAssumptions'!$G$4),-3)</f>
        <v>110000</v>
      </c>
      <c r="AG562" s="170" t="str">
        <f t="shared" si="26"/>
        <v>No</v>
      </c>
    </row>
    <row r="563" spans="1:33" ht="15" customHeight="1" x14ac:dyDescent="0.2">
      <c r="B563" s="11" t="s">
        <v>1211</v>
      </c>
      <c r="D563" s="84" t="s">
        <v>276</v>
      </c>
      <c r="E563" s="104">
        <v>44</v>
      </c>
      <c r="G563" s="20">
        <v>1436</v>
      </c>
      <c r="H563" s="13" t="s">
        <v>1236</v>
      </c>
      <c r="I563" s="13" t="str">
        <f t="shared" si="28"/>
        <v>NW/NE 4TH ST (NW 7TH Av to US 1/SR 5/FEDERAL HWY)</v>
      </c>
      <c r="J563" s="12" t="s">
        <v>29</v>
      </c>
      <c r="K563" s="13" t="str">
        <f>VLOOKUP(J563,'Data-ProjectTypes'!A$3:B$13,2,FALSE)</f>
        <v>Program</v>
      </c>
      <c r="L563" s="12" t="s">
        <v>1324</v>
      </c>
      <c r="M563" s="105" t="s">
        <v>2601</v>
      </c>
      <c r="N563" s="12" t="s">
        <v>1425</v>
      </c>
      <c r="Q563" s="72">
        <v>0.8</v>
      </c>
      <c r="R563" s="23">
        <v>31000</v>
      </c>
      <c r="S563" s="21" t="s">
        <v>24</v>
      </c>
      <c r="T563" s="21" t="s">
        <v>684</v>
      </c>
      <c r="U563" s="21" t="s">
        <v>684</v>
      </c>
      <c r="V563" s="24"/>
      <c r="W563" s="24"/>
      <c r="X563" s="24"/>
      <c r="Y563" s="17" t="s">
        <v>685</v>
      </c>
      <c r="Z563" s="18">
        <f>ROUND(R563*'Data-CostAssumptions'!$C$3,-3)</f>
        <v>43000</v>
      </c>
      <c r="AA563" s="11">
        <f t="shared" si="25"/>
        <v>0</v>
      </c>
      <c r="AB563" s="11">
        <v>2041</v>
      </c>
      <c r="AC563" s="11">
        <v>2041</v>
      </c>
      <c r="AD563" s="11">
        <v>2041</v>
      </c>
      <c r="AE563" s="19">
        <f>ROUND((Z563*'Data-CostAssumptions'!$G$5)*(1+'Data-CostAssumptions'!$G$3)^(AB563-'Data-CostAssumptions'!$G$4),-3)</f>
        <v>24000</v>
      </c>
      <c r="AF563" s="19">
        <f>ROUND((Z563)*(1+'Data-CostAssumptions'!$G$3)^(AD563-'Data-CostAssumptions'!$G$4),-3)</f>
        <v>110000</v>
      </c>
      <c r="AG563" s="170" t="str">
        <f t="shared" si="26"/>
        <v>No</v>
      </c>
    </row>
    <row r="564" spans="1:33" ht="15" customHeight="1" x14ac:dyDescent="0.2">
      <c r="A564" s="11"/>
      <c r="B564" s="11" t="s">
        <v>1211</v>
      </c>
      <c r="C564" s="13">
        <v>897</v>
      </c>
      <c r="D564" s="13" t="s">
        <v>420</v>
      </c>
      <c r="E564" s="20">
        <v>136</v>
      </c>
      <c r="F564" s="20">
        <v>192</v>
      </c>
      <c r="G564" s="20">
        <v>274</v>
      </c>
      <c r="H564" s="13" t="s">
        <v>57</v>
      </c>
      <c r="I564" s="13" t="str">
        <f t="shared" si="28"/>
        <v>SR 7/US 441 (NW 53rd St to Lakeside Dr)</v>
      </c>
      <c r="J564" s="13" t="s">
        <v>29</v>
      </c>
      <c r="K564" s="13" t="str">
        <f>VLOOKUP(J564,'Data-ProjectTypes'!A$3:B$13,2,FALSE)</f>
        <v>Program</v>
      </c>
      <c r="L564" s="21" t="s">
        <v>348</v>
      </c>
      <c r="M564" s="13" t="s">
        <v>2516</v>
      </c>
      <c r="N564" s="13" t="s">
        <v>2679</v>
      </c>
      <c r="O564" s="13" t="s">
        <v>270</v>
      </c>
      <c r="P564" s="13" t="s">
        <v>270</v>
      </c>
      <c r="Q564" s="22">
        <v>0.1</v>
      </c>
      <c r="R564" s="23">
        <v>24925</v>
      </c>
      <c r="S564" s="21"/>
      <c r="T564" s="21"/>
      <c r="U564" s="21"/>
      <c r="V564" s="24"/>
      <c r="W564" s="24"/>
      <c r="X564" s="24"/>
      <c r="Y564" s="17"/>
      <c r="Z564" s="18">
        <f>ROUND(R564*'Data-CostAssumptions'!$C$3,-3)</f>
        <v>34000</v>
      </c>
      <c r="AA564" s="11">
        <f t="shared" si="25"/>
        <v>0</v>
      </c>
      <c r="AB564" s="11">
        <v>2041</v>
      </c>
      <c r="AC564" s="11">
        <v>2041</v>
      </c>
      <c r="AD564" s="11">
        <v>2041</v>
      </c>
      <c r="AE564" s="19">
        <f>ROUND((Z564*'Data-CostAssumptions'!$G$5)*(1+'Data-CostAssumptions'!$G$3)^(AB564-'Data-CostAssumptions'!$G$4),-3)</f>
        <v>19000</v>
      </c>
      <c r="AF564" s="19">
        <f>ROUND((Z564)*(1+'Data-CostAssumptions'!$G$3)^(AD564-'Data-CostAssumptions'!$G$4),-3)</f>
        <v>87000</v>
      </c>
      <c r="AG564" s="170" t="str">
        <f t="shared" si="26"/>
        <v>No</v>
      </c>
    </row>
    <row r="565" spans="1:33" ht="15" customHeight="1" x14ac:dyDescent="0.2">
      <c r="B565" s="11" t="s">
        <v>1211</v>
      </c>
      <c r="D565" s="84" t="s">
        <v>276</v>
      </c>
      <c r="E565" s="104">
        <v>49</v>
      </c>
      <c r="G565" s="20">
        <v>1401</v>
      </c>
      <c r="H565" s="13" t="s">
        <v>2156</v>
      </c>
      <c r="I565" s="13" t="str">
        <f t="shared" si="28"/>
        <v>NE 7TH ST/NE 20TH Av (VICTORIA PARK RD to SUNRISE Bl)</v>
      </c>
      <c r="J565" s="12" t="s">
        <v>29</v>
      </c>
      <c r="K565" s="13" t="str">
        <f>VLOOKUP(J565,'Data-ProjectTypes'!A$3:B$13,2,FALSE)</f>
        <v>Program</v>
      </c>
      <c r="L565" s="12" t="s">
        <v>1310</v>
      </c>
      <c r="M565" s="105" t="s">
        <v>1252</v>
      </c>
      <c r="N565" s="12" t="s">
        <v>2002</v>
      </c>
      <c r="Q565" s="72">
        <v>0.9</v>
      </c>
      <c r="R565" s="23">
        <v>21000</v>
      </c>
      <c r="S565" s="21" t="s">
        <v>24</v>
      </c>
      <c r="T565" s="21"/>
      <c r="U565" s="21"/>
      <c r="V565" s="24"/>
      <c r="W565" s="24"/>
      <c r="X565" s="24"/>
      <c r="Y565" s="17" t="s">
        <v>469</v>
      </c>
      <c r="Z565" s="18">
        <f>ROUND(R565*'Data-CostAssumptions'!$C$3,-3)</f>
        <v>29000</v>
      </c>
      <c r="AA565" s="11">
        <f t="shared" si="25"/>
        <v>0</v>
      </c>
      <c r="AB565" s="11">
        <v>2041</v>
      </c>
      <c r="AC565" s="11">
        <v>2041</v>
      </c>
      <c r="AD565" s="11">
        <v>2041</v>
      </c>
      <c r="AE565" s="19">
        <f>ROUND((Z565*'Data-CostAssumptions'!$G$5)*(1+'Data-CostAssumptions'!$G$3)^(AB565-'Data-CostAssumptions'!$G$4),-3)</f>
        <v>16000</v>
      </c>
      <c r="AF565" s="19">
        <f>ROUND((Z565)*(1+'Data-CostAssumptions'!$G$3)^(AD565-'Data-CostAssumptions'!$G$4),-3)</f>
        <v>74000</v>
      </c>
      <c r="AG565" s="170" t="str">
        <f t="shared" si="26"/>
        <v>No</v>
      </c>
    </row>
    <row r="566" spans="1:33" ht="15" customHeight="1" x14ac:dyDescent="0.2">
      <c r="A566" s="11"/>
      <c r="B566" s="11" t="s">
        <v>1211</v>
      </c>
      <c r="C566" s="11"/>
      <c r="D566" s="84" t="s">
        <v>276</v>
      </c>
      <c r="E566" s="14">
        <v>7</v>
      </c>
      <c r="F566" s="14"/>
      <c r="G566" s="20">
        <v>1478</v>
      </c>
      <c r="H566" s="13" t="s">
        <v>2798</v>
      </c>
      <c r="I566" s="13" t="str">
        <f t="shared" si="28"/>
        <v>SR 842/Broward Bl (NE/SE 15TH Av to SR-5/US-1)</v>
      </c>
      <c r="J566" s="11" t="s">
        <v>29</v>
      </c>
      <c r="K566" s="13" t="str">
        <f>VLOOKUP(J566,'Data-ProjectTypes'!A$3:B$13,2,FALSE)</f>
        <v>Program</v>
      </c>
      <c r="L566" s="11" t="s">
        <v>1254</v>
      </c>
      <c r="M566" s="106" t="s">
        <v>2600</v>
      </c>
      <c r="N566" s="84" t="s">
        <v>1423</v>
      </c>
      <c r="O566" s="11"/>
      <c r="P566" s="11"/>
      <c r="Q566" s="107">
        <v>0.5</v>
      </c>
      <c r="R566" s="23">
        <v>20000</v>
      </c>
      <c r="S566" s="21"/>
      <c r="T566" s="21"/>
      <c r="U566" s="21"/>
      <c r="V566" s="24"/>
      <c r="W566" s="24" t="s">
        <v>548</v>
      </c>
      <c r="X566" s="24"/>
      <c r="Y566" s="17" t="s">
        <v>538</v>
      </c>
      <c r="Z566" s="18">
        <f>ROUND(R566*'Data-CostAssumptions'!$C$3,-3)</f>
        <v>28000</v>
      </c>
      <c r="AA566" s="11">
        <f t="shared" si="25"/>
        <v>1</v>
      </c>
      <c r="AB566" s="11">
        <v>2041</v>
      </c>
      <c r="AC566" s="11">
        <v>2041</v>
      </c>
      <c r="AD566" s="11">
        <v>2041</v>
      </c>
      <c r="AE566" s="19">
        <f>ROUND((Z566*'Data-CostAssumptions'!$G$5)*(1+'Data-CostAssumptions'!$G$3)^(AB566-'Data-CostAssumptions'!$G$4),-3)</f>
        <v>16000</v>
      </c>
      <c r="AF566" s="19">
        <f>ROUND((Z566)*(1+'Data-CostAssumptions'!$G$3)^(AD566-'Data-CostAssumptions'!$G$4),-3)</f>
        <v>72000</v>
      </c>
      <c r="AG566" s="170" t="str">
        <f t="shared" si="26"/>
        <v>No</v>
      </c>
    </row>
    <row r="567" spans="1:33" ht="15" customHeight="1" x14ac:dyDescent="0.2">
      <c r="B567" s="11" t="s">
        <v>1211</v>
      </c>
      <c r="D567" s="84" t="s">
        <v>276</v>
      </c>
      <c r="E567" s="104">
        <v>95</v>
      </c>
      <c r="G567" s="20">
        <v>1512</v>
      </c>
      <c r="H567" s="13" t="s">
        <v>1247</v>
      </c>
      <c r="I567" s="13" t="str">
        <f t="shared" si="28"/>
        <v>SW/SE 2ND ST (BRICKELL Av to US 1)</v>
      </c>
      <c r="J567" s="12" t="s">
        <v>29</v>
      </c>
      <c r="K567" s="13" t="str">
        <f>VLOOKUP(J567,'Data-ProjectTypes'!A$3:B$13,2,FALSE)</f>
        <v>Program</v>
      </c>
      <c r="L567" s="12" t="s">
        <v>1396</v>
      </c>
      <c r="M567" s="105" t="s">
        <v>2608</v>
      </c>
      <c r="N567" s="12" t="s">
        <v>98</v>
      </c>
      <c r="Q567" s="72">
        <v>0.5</v>
      </c>
      <c r="R567" s="23">
        <v>17000</v>
      </c>
      <c r="S567" s="21"/>
      <c r="T567" s="21"/>
      <c r="U567" s="21"/>
      <c r="V567" s="24"/>
      <c r="W567" s="24"/>
      <c r="X567" s="24"/>
      <c r="Y567" s="17"/>
      <c r="Z567" s="18">
        <f>ROUND(R567*'Data-CostAssumptions'!$C$3,-3)</f>
        <v>24000</v>
      </c>
      <c r="AA567" s="11">
        <f t="shared" si="25"/>
        <v>0</v>
      </c>
      <c r="AB567" s="11">
        <v>2041</v>
      </c>
      <c r="AC567" s="11">
        <v>2041</v>
      </c>
      <c r="AD567" s="11">
        <v>2041</v>
      </c>
      <c r="AE567" s="19">
        <f>ROUND((Z567*'Data-CostAssumptions'!$G$5)*(1+'Data-CostAssumptions'!$G$3)^(AB567-'Data-CostAssumptions'!$G$4),-3)</f>
        <v>14000</v>
      </c>
      <c r="AF567" s="19">
        <f>ROUND((Z567)*(1+'Data-CostAssumptions'!$G$3)^(AD567-'Data-CostAssumptions'!$G$4),-3)</f>
        <v>62000</v>
      </c>
      <c r="AG567" s="170" t="str">
        <f t="shared" si="26"/>
        <v>No</v>
      </c>
    </row>
    <row r="568" spans="1:33" ht="15" customHeight="1" x14ac:dyDescent="0.2">
      <c r="B568" s="11" t="s">
        <v>1211</v>
      </c>
      <c r="D568" s="84" t="s">
        <v>276</v>
      </c>
      <c r="E568" s="104" t="s">
        <v>1535</v>
      </c>
      <c r="G568" s="20">
        <v>1397</v>
      </c>
      <c r="H568" s="13" t="s">
        <v>1605</v>
      </c>
      <c r="I568" s="13" t="str">
        <f t="shared" si="28"/>
        <v>NE 6TH TER (NE 6TH ST  to NE 8TH ST)</v>
      </c>
      <c r="J568" s="12" t="s">
        <v>29</v>
      </c>
      <c r="K568" s="13" t="str">
        <f>VLOOKUP(J568,'Data-ProjectTypes'!A$3:B$13,2,FALSE)</f>
        <v>Program</v>
      </c>
      <c r="L568" s="12" t="s">
        <v>1667</v>
      </c>
      <c r="M568" s="105" t="s">
        <v>1714</v>
      </c>
      <c r="N568" s="12" t="s">
        <v>1713</v>
      </c>
      <c r="Q568" s="72">
        <v>0.1</v>
      </c>
      <c r="R568" s="23">
        <f>ROUND(Q568*'Data-CostAssumptions'!$C$25,-1)</f>
        <v>16840</v>
      </c>
      <c r="S568" s="21"/>
      <c r="T568" s="21"/>
      <c r="U568" s="21"/>
      <c r="V568" s="24"/>
      <c r="W568" s="24"/>
      <c r="X568" s="24"/>
      <c r="Y568" s="17"/>
      <c r="Z568" s="18">
        <f>ROUND(R568*'Data-CostAssumptions'!$C$3,-3)</f>
        <v>23000</v>
      </c>
      <c r="AA568" s="11">
        <f t="shared" si="25"/>
        <v>0</v>
      </c>
      <c r="AB568" s="11">
        <v>2041</v>
      </c>
      <c r="AC568" s="11">
        <v>2041</v>
      </c>
      <c r="AD568" s="11">
        <v>2041</v>
      </c>
      <c r="AE568" s="19">
        <f>ROUND((Z568*'Data-CostAssumptions'!$G$5)*(1+'Data-CostAssumptions'!$G$3)^(AB568-'Data-CostAssumptions'!$G$4),-3)</f>
        <v>13000</v>
      </c>
      <c r="AF568" s="19">
        <f>ROUND((Z568)*(1+'Data-CostAssumptions'!$G$3)^(AD568-'Data-CostAssumptions'!$G$4),-3)</f>
        <v>59000</v>
      </c>
      <c r="AG568" s="170" t="str">
        <f t="shared" si="26"/>
        <v>No</v>
      </c>
    </row>
    <row r="569" spans="1:33" ht="15" customHeight="1" x14ac:dyDescent="0.2">
      <c r="A569" s="11"/>
      <c r="B569" s="11" t="s">
        <v>1211</v>
      </c>
      <c r="C569" s="11">
        <v>12281</v>
      </c>
      <c r="D569" s="84" t="s">
        <v>282</v>
      </c>
      <c r="E569" s="14"/>
      <c r="F569" s="14"/>
      <c r="G569" s="20">
        <v>1754</v>
      </c>
      <c r="H569" s="13" t="s">
        <v>1880</v>
      </c>
      <c r="I569" s="13" t="str">
        <f t="shared" si="28"/>
        <v>Johnson St (Federal Hwy to N 8th Av)</v>
      </c>
      <c r="J569" s="11" t="s">
        <v>29</v>
      </c>
      <c r="K569" s="13" t="str">
        <f>VLOOKUP(J569,'Data-ProjectTypes'!A$3:B$13,2,FALSE)</f>
        <v>Program</v>
      </c>
      <c r="L569" s="142" t="s">
        <v>620</v>
      </c>
      <c r="M569" s="11" t="s">
        <v>2595</v>
      </c>
      <c r="N569" s="11" t="s">
        <v>2228</v>
      </c>
      <c r="O569" s="11"/>
      <c r="P569" s="11"/>
      <c r="Q569" s="79">
        <v>1.4</v>
      </c>
      <c r="R569" s="143">
        <f>ROUND('Data-CostAssumptions'!$C$33*Q569,-1)</f>
        <v>14000</v>
      </c>
      <c r="S569" s="21" t="s">
        <v>24</v>
      </c>
      <c r="T569" s="21" t="s">
        <v>25</v>
      </c>
      <c r="U569" s="21"/>
      <c r="V569" s="24"/>
      <c r="W569" s="24"/>
      <c r="X569" s="24"/>
      <c r="Y569" s="17" t="s">
        <v>469</v>
      </c>
      <c r="Z569" s="18">
        <f>ROUND(R569*'Data-CostAssumptions'!$C$3,-3)</f>
        <v>19000</v>
      </c>
      <c r="AA569" s="11">
        <f t="shared" si="25"/>
        <v>0</v>
      </c>
      <c r="AB569" s="11">
        <v>2041</v>
      </c>
      <c r="AC569" s="11">
        <v>2041</v>
      </c>
      <c r="AD569" s="11">
        <v>2041</v>
      </c>
      <c r="AE569" s="19">
        <f>ROUND((Z569*'Data-CostAssumptions'!$G$5)*(1+'Data-CostAssumptions'!$G$3)^(AB569-'Data-CostAssumptions'!$G$4),-3)</f>
        <v>11000</v>
      </c>
      <c r="AF569" s="19">
        <f>ROUND((Z569)*(1+'Data-CostAssumptions'!$G$3)^(AD569-'Data-CostAssumptions'!$G$4),-3)</f>
        <v>49000</v>
      </c>
      <c r="AG569" s="170" t="str">
        <f t="shared" si="26"/>
        <v>No</v>
      </c>
    </row>
    <row r="570" spans="1:33" ht="15" customHeight="1" x14ac:dyDescent="0.2">
      <c r="A570" s="66"/>
      <c r="B570" s="66" t="s">
        <v>1211</v>
      </c>
      <c r="C570" s="66">
        <v>12286</v>
      </c>
      <c r="D570" s="86" t="s">
        <v>282</v>
      </c>
      <c r="E570" s="14"/>
      <c r="F570" s="14"/>
      <c r="G570" s="20">
        <v>1758</v>
      </c>
      <c r="H570" s="67" t="s">
        <v>1936</v>
      </c>
      <c r="I570" s="67" t="str">
        <f t="shared" si="28"/>
        <v>Polk St (Glenn Parkway to N Rainbow Dr)</v>
      </c>
      <c r="J570" s="66" t="s">
        <v>29</v>
      </c>
      <c r="K570" s="67" t="str">
        <f>VLOOKUP(J570,'Data-ProjectTypes'!A$3:B$13,2,FALSE)</f>
        <v>Program</v>
      </c>
      <c r="L570" s="87" t="s">
        <v>625</v>
      </c>
      <c r="M570" s="11" t="s">
        <v>617</v>
      </c>
      <c r="N570" s="11" t="s">
        <v>2671</v>
      </c>
      <c r="O570" s="11"/>
      <c r="P570" s="11"/>
      <c r="Q570" s="74">
        <v>1.1100000000000001</v>
      </c>
      <c r="R570" s="70">
        <f>ROUND(Q570*'Data-CostAssumptions'!C$33,2)</f>
        <v>11100</v>
      </c>
      <c r="S570" s="21"/>
      <c r="T570" s="21"/>
      <c r="U570" s="21"/>
      <c r="V570" s="24"/>
      <c r="W570" s="24"/>
      <c r="X570" s="24"/>
      <c r="Y570" s="17"/>
      <c r="Z570" s="18">
        <f>ROUND(R570*'Data-CostAssumptions'!$C$3,-3)</f>
        <v>15000</v>
      </c>
      <c r="AA570" s="11">
        <f t="shared" si="25"/>
        <v>0</v>
      </c>
      <c r="AB570" s="11">
        <v>2041</v>
      </c>
      <c r="AC570" s="11">
        <v>2041</v>
      </c>
      <c r="AD570" s="11">
        <v>2041</v>
      </c>
      <c r="AE570" s="19">
        <f>ROUND((Z570*'Data-CostAssumptions'!$G$5)*(1+'Data-CostAssumptions'!$G$3)^(AB570-'Data-CostAssumptions'!$G$4),-3)</f>
        <v>8000</v>
      </c>
      <c r="AF570" s="19">
        <f>ROUND((Z570)*(1+'Data-CostAssumptions'!$G$3)^(AD570-'Data-CostAssumptions'!$G$4),-3)</f>
        <v>38000</v>
      </c>
      <c r="AG570" s="170" t="str">
        <f t="shared" si="26"/>
        <v>No</v>
      </c>
    </row>
    <row r="571" spans="1:33" ht="15" customHeight="1" x14ac:dyDescent="0.2">
      <c r="A571" s="11"/>
      <c r="B571" s="11" t="s">
        <v>1211</v>
      </c>
      <c r="C571" s="13">
        <v>711</v>
      </c>
      <c r="D571" s="13" t="s">
        <v>420</v>
      </c>
      <c r="E571" s="20">
        <v>182</v>
      </c>
      <c r="F571" s="20">
        <v>182</v>
      </c>
      <c r="G571" s="20">
        <v>89</v>
      </c>
      <c r="H571" s="13" t="s">
        <v>2709</v>
      </c>
      <c r="I571" s="13" t="str">
        <f t="shared" si="28"/>
        <v>SR 817/University Dr (Griffin Rd to Orange Dr)</v>
      </c>
      <c r="J571" s="13" t="s">
        <v>29</v>
      </c>
      <c r="K571" s="13" t="str">
        <f>VLOOKUP(J571,'Data-ProjectTypes'!A$3:B$13,2,FALSE)</f>
        <v>Program</v>
      </c>
      <c r="L571" s="21" t="s">
        <v>348</v>
      </c>
      <c r="M571" s="13" t="s">
        <v>1750</v>
      </c>
      <c r="N571" s="13" t="s">
        <v>184</v>
      </c>
      <c r="O571" s="13" t="s">
        <v>279</v>
      </c>
      <c r="P571" s="13" t="s">
        <v>279</v>
      </c>
      <c r="Q571" s="22">
        <v>0</v>
      </c>
      <c r="R571" s="23">
        <v>10075</v>
      </c>
      <c r="S571" s="21" t="s">
        <v>24</v>
      </c>
      <c r="T571" s="21"/>
      <c r="U571" s="21"/>
      <c r="V571" s="24"/>
      <c r="W571" s="24"/>
      <c r="X571" s="24"/>
      <c r="Y571" s="17" t="s">
        <v>460</v>
      </c>
      <c r="Z571" s="18">
        <f>ROUND(R571*'Data-CostAssumptions'!$C$3,-3)</f>
        <v>14000</v>
      </c>
      <c r="AA571" s="11">
        <f t="shared" si="25"/>
        <v>0</v>
      </c>
      <c r="AB571" s="11">
        <v>2041</v>
      </c>
      <c r="AC571" s="11">
        <v>2041</v>
      </c>
      <c r="AD571" s="11">
        <v>2041</v>
      </c>
      <c r="AE571" s="19">
        <f>ROUND((Z571*'Data-CostAssumptions'!$G$5)*(1+'Data-CostAssumptions'!$G$3)^(AB571-'Data-CostAssumptions'!$G$4),-3)</f>
        <v>8000</v>
      </c>
      <c r="AF571" s="19">
        <f>ROUND((Z571)*(1+'Data-CostAssumptions'!$G$3)^(AD571-'Data-CostAssumptions'!$G$4),-3)</f>
        <v>36000</v>
      </c>
      <c r="AG571" s="170" t="str">
        <f t="shared" si="26"/>
        <v>No</v>
      </c>
    </row>
    <row r="572" spans="1:33" ht="15" customHeight="1" x14ac:dyDescent="0.2">
      <c r="A572" s="11"/>
      <c r="B572" s="11" t="s">
        <v>1211</v>
      </c>
      <c r="C572" s="11">
        <v>12299</v>
      </c>
      <c r="D572" s="84" t="s">
        <v>282</v>
      </c>
      <c r="E572" s="14"/>
      <c r="F572" s="14"/>
      <c r="G572" s="20">
        <v>1763</v>
      </c>
      <c r="H572" s="13" t="s">
        <v>2009</v>
      </c>
      <c r="I572" s="13" t="str">
        <f t="shared" si="28"/>
        <v>35th Av (S Rainbow Dr to Johnson St)</v>
      </c>
      <c r="J572" s="11" t="s">
        <v>29</v>
      </c>
      <c r="K572" s="13" t="str">
        <f>VLOOKUP(J572,'Data-ProjectTypes'!A$3:B$13,2,FALSE)</f>
        <v>Program</v>
      </c>
      <c r="L572" s="142" t="s">
        <v>636</v>
      </c>
      <c r="M572" s="11" t="s">
        <v>2644</v>
      </c>
      <c r="N572" s="11" t="s">
        <v>1880</v>
      </c>
      <c r="O572" s="11"/>
      <c r="P572" s="11"/>
      <c r="Q572" s="79">
        <v>1</v>
      </c>
      <c r="R572" s="143">
        <f>ROUND('Data-CostAssumptions'!$C$33*Q572,-1)</f>
        <v>10000</v>
      </c>
      <c r="S572" s="21"/>
      <c r="T572" s="21"/>
      <c r="U572" s="21"/>
      <c r="V572" s="24"/>
      <c r="W572" s="24"/>
      <c r="X572" s="24"/>
      <c r="Y572" s="17"/>
      <c r="Z572" s="18">
        <f>ROUND(R572*'Data-CostAssumptions'!$C$3,-3)</f>
        <v>14000</v>
      </c>
      <c r="AA572" s="11">
        <f t="shared" si="25"/>
        <v>0</v>
      </c>
      <c r="AB572" s="11">
        <v>2041</v>
      </c>
      <c r="AC572" s="11">
        <v>2041</v>
      </c>
      <c r="AD572" s="11">
        <v>2041</v>
      </c>
      <c r="AE572" s="19">
        <f>ROUND((Z572*'Data-CostAssumptions'!$G$5)*(1+'Data-CostAssumptions'!$G$3)^(AB572-'Data-CostAssumptions'!$G$4),-3)</f>
        <v>8000</v>
      </c>
      <c r="AF572" s="19">
        <f>ROUND((Z572)*(1+'Data-CostAssumptions'!$G$3)^(AD572-'Data-CostAssumptions'!$G$4),-3)</f>
        <v>36000</v>
      </c>
      <c r="AG572" s="170" t="str">
        <f t="shared" si="26"/>
        <v>No</v>
      </c>
    </row>
    <row r="573" spans="1:33" ht="15" customHeight="1" x14ac:dyDescent="0.2">
      <c r="A573" s="66"/>
      <c r="B573" s="66" t="s">
        <v>1211</v>
      </c>
      <c r="C573" s="66">
        <v>12277</v>
      </c>
      <c r="D573" s="86" t="s">
        <v>282</v>
      </c>
      <c r="E573" s="14"/>
      <c r="F573" s="14"/>
      <c r="G573" s="20">
        <v>1751</v>
      </c>
      <c r="H573" s="67" t="s">
        <v>1974</v>
      </c>
      <c r="I573" s="67" t="str">
        <f t="shared" si="28"/>
        <v>Columbus Pkwy (Hollywood Bl to Johnson St)</v>
      </c>
      <c r="J573" s="66" t="s">
        <v>29</v>
      </c>
      <c r="K573" s="67" t="str">
        <f>VLOOKUP(J573,'Data-ProjectTypes'!A$3:B$13,2,FALSE)</f>
        <v>Program</v>
      </c>
      <c r="L573" s="87" t="s">
        <v>616</v>
      </c>
      <c r="M573" s="11" t="s">
        <v>1820</v>
      </c>
      <c r="N573" s="11" t="s">
        <v>1880</v>
      </c>
      <c r="O573" s="11"/>
      <c r="P573" s="11"/>
      <c r="Q573" s="74">
        <v>0.7</v>
      </c>
      <c r="R573" s="70">
        <f>ROUND(Q573*'Data-CostAssumptions'!C$33,2)</f>
        <v>7000</v>
      </c>
      <c r="S573" s="21"/>
      <c r="T573" s="21"/>
      <c r="U573" s="21"/>
      <c r="V573" s="24"/>
      <c r="W573" s="24"/>
      <c r="X573" s="24"/>
      <c r="Y573" s="17"/>
      <c r="Z573" s="18">
        <f>ROUND(R573*'Data-CostAssumptions'!$C$3,-3)</f>
        <v>10000</v>
      </c>
      <c r="AA573" s="11">
        <f t="shared" si="25"/>
        <v>0</v>
      </c>
      <c r="AB573" s="11">
        <v>2041</v>
      </c>
      <c r="AC573" s="11">
        <v>2041</v>
      </c>
      <c r="AD573" s="11">
        <v>2041</v>
      </c>
      <c r="AE573" s="19">
        <f>ROUND((Z573*'Data-CostAssumptions'!$G$5)*(1+'Data-CostAssumptions'!$G$3)^(AB573-'Data-CostAssumptions'!$G$4),-3)</f>
        <v>6000</v>
      </c>
      <c r="AF573" s="19">
        <f>ROUND((Z573)*(1+'Data-CostAssumptions'!$G$3)^(AD573-'Data-CostAssumptions'!$G$4),-3)</f>
        <v>26000</v>
      </c>
      <c r="AG573" s="170" t="str">
        <f t="shared" si="26"/>
        <v>No</v>
      </c>
    </row>
    <row r="574" spans="1:33" ht="15" customHeight="1" x14ac:dyDescent="0.2">
      <c r="A574" s="66"/>
      <c r="B574" s="66" t="s">
        <v>1211</v>
      </c>
      <c r="C574" s="66">
        <v>12278</v>
      </c>
      <c r="D574" s="86" t="s">
        <v>282</v>
      </c>
      <c r="E574" s="14"/>
      <c r="F574" s="14"/>
      <c r="G574" s="20">
        <v>1752</v>
      </c>
      <c r="H574" s="67" t="s">
        <v>1976</v>
      </c>
      <c r="I574" s="67" t="str">
        <f t="shared" si="28"/>
        <v>Glenn Pkwy (Johnson St to Hollywood Bl)</v>
      </c>
      <c r="J574" s="66" t="s">
        <v>29</v>
      </c>
      <c r="K574" s="67" t="str">
        <f>VLOOKUP(J574,'Data-ProjectTypes'!A$3:B$13,2,FALSE)</f>
        <v>Program</v>
      </c>
      <c r="L574" s="87" t="s">
        <v>616</v>
      </c>
      <c r="M574" s="11" t="s">
        <v>1880</v>
      </c>
      <c r="N574" s="11" t="s">
        <v>1820</v>
      </c>
      <c r="O574" s="11"/>
      <c r="P574" s="11"/>
      <c r="Q574" s="74">
        <v>0.7</v>
      </c>
      <c r="R574" s="70">
        <f>ROUND(Q574*'Data-CostAssumptions'!C$33,2)</f>
        <v>7000</v>
      </c>
      <c r="S574" s="21"/>
      <c r="T574" s="21"/>
      <c r="U574" s="21"/>
      <c r="V574" s="24"/>
      <c r="W574" s="24"/>
      <c r="X574" s="24"/>
      <c r="Y574" s="17"/>
      <c r="Z574" s="18">
        <f>ROUND(R574*'Data-CostAssumptions'!$C$3,-3)</f>
        <v>10000</v>
      </c>
      <c r="AA574" s="11">
        <f t="shared" si="25"/>
        <v>0</v>
      </c>
      <c r="AB574" s="11">
        <v>2041</v>
      </c>
      <c r="AC574" s="11">
        <v>2041</v>
      </c>
      <c r="AD574" s="11">
        <v>2041</v>
      </c>
      <c r="AE574" s="19">
        <f>ROUND((Z574*'Data-CostAssumptions'!$G$5)*(1+'Data-CostAssumptions'!$G$3)^(AB574-'Data-CostAssumptions'!$G$4),-3)</f>
        <v>6000</v>
      </c>
      <c r="AF574" s="19">
        <f>ROUND((Z574)*(1+'Data-CostAssumptions'!$G$3)^(AD574-'Data-CostAssumptions'!$G$4),-3)</f>
        <v>26000</v>
      </c>
      <c r="AG574" s="170" t="str">
        <f t="shared" si="26"/>
        <v>No</v>
      </c>
    </row>
    <row r="575" spans="1:33" ht="15" customHeight="1" x14ac:dyDescent="0.2">
      <c r="A575" s="66"/>
      <c r="B575" s="66" t="s">
        <v>1211</v>
      </c>
      <c r="C575" s="66">
        <v>12287</v>
      </c>
      <c r="D575" s="86" t="s">
        <v>282</v>
      </c>
      <c r="E575" s="14"/>
      <c r="F575" s="14"/>
      <c r="G575" s="20">
        <v>1759</v>
      </c>
      <c r="H575" s="67" t="s">
        <v>1796</v>
      </c>
      <c r="I575" s="67" t="str">
        <f t="shared" si="28"/>
        <v>North Rainbow Dr (Polk St to Johnson St)</v>
      </c>
      <c r="J575" s="66" t="s">
        <v>29</v>
      </c>
      <c r="K575" s="67" t="str">
        <f>VLOOKUP(J575,'Data-ProjectTypes'!A$3:B$13,2,FALSE)</f>
        <v>Program</v>
      </c>
      <c r="L575" s="87" t="s">
        <v>626</v>
      </c>
      <c r="M575" s="11" t="s">
        <v>1936</v>
      </c>
      <c r="N575" s="11" t="s">
        <v>1880</v>
      </c>
      <c r="O575" s="11"/>
      <c r="P575" s="11"/>
      <c r="Q575" s="74">
        <v>0.66</v>
      </c>
      <c r="R575" s="70">
        <f>ROUND(Q575*'Data-CostAssumptions'!C$33,2)</f>
        <v>6600</v>
      </c>
      <c r="S575" s="21"/>
      <c r="T575" s="21"/>
      <c r="U575" s="21"/>
      <c r="V575" s="24"/>
      <c r="W575" s="24"/>
      <c r="X575" s="24"/>
      <c r="Y575" s="17"/>
      <c r="Z575" s="18">
        <f>ROUND(R575*'Data-CostAssumptions'!$C$3,-3)</f>
        <v>9000</v>
      </c>
      <c r="AA575" s="11">
        <f t="shared" si="25"/>
        <v>0</v>
      </c>
      <c r="AB575" s="11">
        <v>2041</v>
      </c>
      <c r="AC575" s="11">
        <v>2041</v>
      </c>
      <c r="AD575" s="11">
        <v>2041</v>
      </c>
      <c r="AE575" s="19">
        <f>ROUND((Z575*'Data-CostAssumptions'!$G$5)*(1+'Data-CostAssumptions'!$G$3)^(AB575-'Data-CostAssumptions'!$G$4),-3)</f>
        <v>5000</v>
      </c>
      <c r="AF575" s="19">
        <f>ROUND((Z575)*(1+'Data-CostAssumptions'!$G$3)^(AD575-'Data-CostAssumptions'!$G$4),-3)</f>
        <v>23000</v>
      </c>
      <c r="AG575" s="170" t="str">
        <f t="shared" si="26"/>
        <v>No</v>
      </c>
    </row>
    <row r="576" spans="1:33" ht="15" customHeight="1" x14ac:dyDescent="0.2">
      <c r="A576" s="66"/>
      <c r="B576" s="66" t="s">
        <v>1211</v>
      </c>
      <c r="C576" s="66">
        <v>12259</v>
      </c>
      <c r="D576" s="86" t="s">
        <v>282</v>
      </c>
      <c r="E576" s="14"/>
      <c r="F576" s="14"/>
      <c r="G576" s="20">
        <v>1744</v>
      </c>
      <c r="H576" s="67" t="s">
        <v>1880</v>
      </c>
      <c r="I576" s="67" t="str">
        <f t="shared" si="28"/>
        <v>Johnson St (N 35th Av to Park Rd)</v>
      </c>
      <c r="J576" s="66" t="s">
        <v>29</v>
      </c>
      <c r="K576" s="67" t="str">
        <f>VLOOKUP(J576,'Data-ProjectTypes'!A$3:B$13,2,FALSE)</f>
        <v>Program</v>
      </c>
      <c r="L576" s="87" t="s">
        <v>598</v>
      </c>
      <c r="M576" s="11" t="s">
        <v>2227</v>
      </c>
      <c r="N576" s="11" t="s">
        <v>1857</v>
      </c>
      <c r="O576" s="11"/>
      <c r="P576" s="11"/>
      <c r="Q576" s="74">
        <v>0.19</v>
      </c>
      <c r="R576" s="70">
        <v>5000</v>
      </c>
      <c r="S576" s="21" t="s">
        <v>24</v>
      </c>
      <c r="T576" s="21" t="s">
        <v>25</v>
      </c>
      <c r="U576" s="21"/>
      <c r="V576" s="24"/>
      <c r="W576" s="24"/>
      <c r="X576" s="24"/>
      <c r="Y576" s="17" t="s">
        <v>469</v>
      </c>
      <c r="Z576" s="18">
        <f>ROUND(R576*'Data-CostAssumptions'!$C$3,-3)</f>
        <v>7000</v>
      </c>
      <c r="AA576" s="11">
        <f t="shared" si="25"/>
        <v>0</v>
      </c>
      <c r="AB576" s="11">
        <v>2041</v>
      </c>
      <c r="AC576" s="11">
        <v>2041</v>
      </c>
      <c r="AD576" s="11">
        <v>2041</v>
      </c>
      <c r="AE576" s="19">
        <f>ROUND((Z576*'Data-CostAssumptions'!$G$5)*(1+'Data-CostAssumptions'!$G$3)^(AB576-'Data-CostAssumptions'!$G$4),-3)</f>
        <v>4000</v>
      </c>
      <c r="AF576" s="19">
        <f>ROUND((Z576)*(1+'Data-CostAssumptions'!$G$3)^(AD576-'Data-CostAssumptions'!$G$4),-3)</f>
        <v>18000</v>
      </c>
      <c r="AG576" s="170" t="str">
        <f t="shared" si="26"/>
        <v>No</v>
      </c>
    </row>
    <row r="577" spans="1:33" ht="15" customHeight="1" x14ac:dyDescent="0.2">
      <c r="A577" s="66"/>
      <c r="B577" s="66" t="s">
        <v>1211</v>
      </c>
      <c r="C577" s="66">
        <v>12285</v>
      </c>
      <c r="D577" s="86" t="s">
        <v>282</v>
      </c>
      <c r="E577" s="14"/>
      <c r="F577" s="14"/>
      <c r="G577" s="20">
        <v>1757</v>
      </c>
      <c r="H577" s="67" t="s">
        <v>2010</v>
      </c>
      <c r="I577" s="67" t="str">
        <f t="shared" si="28"/>
        <v>46th Av (Hollywood Bl to Johnson St)</v>
      </c>
      <c r="J577" s="66" t="s">
        <v>29</v>
      </c>
      <c r="K577" s="67" t="str">
        <f>VLOOKUP(J577,'Data-ProjectTypes'!A$3:B$13,2,FALSE)</f>
        <v>Program</v>
      </c>
      <c r="L577" s="87" t="s">
        <v>624</v>
      </c>
      <c r="M577" s="11" t="s">
        <v>1820</v>
      </c>
      <c r="N577" s="11" t="s">
        <v>1880</v>
      </c>
      <c r="O577" s="11"/>
      <c r="P577" s="11"/>
      <c r="Q577" s="74">
        <v>0.5</v>
      </c>
      <c r="R577" s="70">
        <f>ROUND(Q577*'Data-CostAssumptions'!C$33,2)</f>
        <v>5000</v>
      </c>
      <c r="S577" s="21"/>
      <c r="T577" s="21"/>
      <c r="U577" s="21"/>
      <c r="V577" s="24"/>
      <c r="W577" s="24"/>
      <c r="X577" s="28"/>
      <c r="Y577" s="17"/>
      <c r="Z577" s="18">
        <f>ROUND(R577*'Data-CostAssumptions'!$C$3,-3)</f>
        <v>7000</v>
      </c>
      <c r="AA577" s="11">
        <f t="shared" si="25"/>
        <v>0</v>
      </c>
      <c r="AB577" s="11">
        <v>2041</v>
      </c>
      <c r="AC577" s="11">
        <v>2041</v>
      </c>
      <c r="AD577" s="11">
        <v>2041</v>
      </c>
      <c r="AE577" s="19">
        <f>ROUND((Z577*'Data-CostAssumptions'!$G$5)*(1+'Data-CostAssumptions'!$G$3)^(AB577-'Data-CostAssumptions'!$G$4),-3)</f>
        <v>4000</v>
      </c>
      <c r="AF577" s="19">
        <f>ROUND((Z577)*(1+'Data-CostAssumptions'!$G$3)^(AD577-'Data-CostAssumptions'!$G$4),-3)</f>
        <v>18000</v>
      </c>
      <c r="AG577" s="170" t="str">
        <f t="shared" si="26"/>
        <v>No</v>
      </c>
    </row>
    <row r="578" spans="1:33" ht="15" customHeight="1" x14ac:dyDescent="0.2">
      <c r="A578" s="66"/>
      <c r="B578" s="66" t="s">
        <v>1211</v>
      </c>
      <c r="C578" s="66">
        <v>12288</v>
      </c>
      <c r="D578" s="86" t="s">
        <v>282</v>
      </c>
      <c r="E578" s="14"/>
      <c r="F578" s="14"/>
      <c r="G578" s="20">
        <v>1760</v>
      </c>
      <c r="H578" s="67" t="s">
        <v>1801</v>
      </c>
      <c r="I578" s="67" t="str">
        <f t="shared" si="28"/>
        <v>South Rainbow Dr (Van Buren St to Washington St)</v>
      </c>
      <c r="J578" s="66" t="s">
        <v>29</v>
      </c>
      <c r="K578" s="67" t="str">
        <f>VLOOKUP(J578,'Data-ProjectTypes'!A$3:B$13,2,FALSE)</f>
        <v>Program</v>
      </c>
      <c r="L578" s="87" t="s">
        <v>626</v>
      </c>
      <c r="M578" s="11" t="s">
        <v>1970</v>
      </c>
      <c r="N578" s="11" t="s">
        <v>1971</v>
      </c>
      <c r="O578" s="11"/>
      <c r="P578" s="11"/>
      <c r="Q578" s="74">
        <v>0.54</v>
      </c>
      <c r="R578" s="70">
        <f>ROUND(Q578*'Data-CostAssumptions'!C$33,2)</f>
        <v>5400</v>
      </c>
      <c r="S578" s="21"/>
      <c r="T578" s="21"/>
      <c r="U578" s="21"/>
      <c r="V578" s="24"/>
      <c r="W578" s="24"/>
      <c r="X578" s="24"/>
      <c r="Y578" s="17"/>
      <c r="Z578" s="18">
        <f>ROUND(R578*'Data-CostAssumptions'!$C$3,-3)</f>
        <v>7000</v>
      </c>
      <c r="AA578" s="11">
        <f t="shared" si="25"/>
        <v>0</v>
      </c>
      <c r="AB578" s="11">
        <v>2041</v>
      </c>
      <c r="AC578" s="11">
        <v>2041</v>
      </c>
      <c r="AD578" s="11">
        <v>2041</v>
      </c>
      <c r="AE578" s="19">
        <f>ROUND((Z578*'Data-CostAssumptions'!$G$5)*(1+'Data-CostAssumptions'!$G$3)^(AB578-'Data-CostAssumptions'!$G$4),-3)</f>
        <v>4000</v>
      </c>
      <c r="AF578" s="19">
        <f>ROUND((Z578)*(1+'Data-CostAssumptions'!$G$3)^(AD578-'Data-CostAssumptions'!$G$4),-3)</f>
        <v>18000</v>
      </c>
      <c r="AG578" s="170" t="str">
        <f t="shared" si="26"/>
        <v>No</v>
      </c>
    </row>
    <row r="579" spans="1:33" ht="15" customHeight="1" x14ac:dyDescent="0.2">
      <c r="H579" s="13"/>
      <c r="I579" s="13"/>
      <c r="Z579" s="49">
        <f>SUM(Z2:Z578)</f>
        <v>337905000</v>
      </c>
    </row>
    <row r="580" spans="1:33" ht="15" customHeight="1" x14ac:dyDescent="0.2">
      <c r="H580" s="13"/>
      <c r="I580" s="13"/>
    </row>
    <row r="581" spans="1:33" ht="15" customHeight="1" x14ac:dyDescent="0.2">
      <c r="H581" s="13"/>
      <c r="I581" s="13"/>
    </row>
    <row r="582" spans="1:33" ht="15" customHeight="1" x14ac:dyDescent="0.2">
      <c r="H582" s="13"/>
      <c r="I582" s="13"/>
    </row>
    <row r="583" spans="1:33" ht="15" customHeight="1" x14ac:dyDescent="0.2">
      <c r="H583" s="13"/>
      <c r="I583" s="13"/>
    </row>
    <row r="584" spans="1:33" ht="15" customHeight="1" x14ac:dyDescent="0.2">
      <c r="H584" s="13"/>
      <c r="I584" s="13"/>
    </row>
    <row r="585" spans="1:33" ht="15" customHeight="1" x14ac:dyDescent="0.2">
      <c r="H585" s="13"/>
      <c r="I585" s="13"/>
    </row>
    <row r="586" spans="1:33" ht="15" customHeight="1" x14ac:dyDescent="0.2">
      <c r="H586" s="13"/>
      <c r="I586" s="13"/>
    </row>
    <row r="587" spans="1:33" ht="15" customHeight="1" x14ac:dyDescent="0.2">
      <c r="H587" s="13"/>
      <c r="I587" s="13"/>
    </row>
    <row r="588" spans="1:33" ht="15" customHeight="1" x14ac:dyDescent="0.2">
      <c r="H588" s="13"/>
      <c r="I588" s="13"/>
    </row>
    <row r="589" spans="1:33" ht="15" customHeight="1" x14ac:dyDescent="0.2">
      <c r="H589" s="13"/>
      <c r="I589" s="13"/>
    </row>
    <row r="590" spans="1:33" ht="15" customHeight="1" x14ac:dyDescent="0.2">
      <c r="H590" s="13"/>
      <c r="I590" s="13"/>
    </row>
    <row r="591" spans="1:33" ht="15" customHeight="1" x14ac:dyDescent="0.2">
      <c r="H591" s="13"/>
      <c r="I591" s="13"/>
    </row>
    <row r="592" spans="1:33" ht="15" customHeight="1" x14ac:dyDescent="0.2">
      <c r="H592" s="13"/>
      <c r="I592" s="13"/>
    </row>
    <row r="593" spans="8:9" ht="15" customHeight="1" x14ac:dyDescent="0.2">
      <c r="H593" s="13"/>
      <c r="I593" s="13"/>
    </row>
    <row r="594" spans="8:9" ht="15" customHeight="1" x14ac:dyDescent="0.2">
      <c r="H594" s="13"/>
      <c r="I594" s="13"/>
    </row>
    <row r="595" spans="8:9" ht="15" customHeight="1" x14ac:dyDescent="0.2">
      <c r="H595" s="13"/>
      <c r="I595" s="13"/>
    </row>
    <row r="596" spans="8:9" ht="15" customHeight="1" x14ac:dyDescent="0.2">
      <c r="H596" s="13"/>
      <c r="I596" s="13"/>
    </row>
    <row r="597" spans="8:9" ht="15" customHeight="1" x14ac:dyDescent="0.2">
      <c r="H597" s="13"/>
      <c r="I597" s="13"/>
    </row>
    <row r="598" spans="8:9" ht="15" customHeight="1" x14ac:dyDescent="0.2">
      <c r="H598" s="13"/>
      <c r="I598" s="13"/>
    </row>
    <row r="599" spans="8:9" ht="15" customHeight="1" x14ac:dyDescent="0.2">
      <c r="H599" s="13"/>
      <c r="I599" s="13"/>
    </row>
    <row r="600" spans="8:9" ht="15" customHeight="1" x14ac:dyDescent="0.2">
      <c r="H600" s="13"/>
      <c r="I600" s="13"/>
    </row>
    <row r="601" spans="8:9" ht="15" customHeight="1" x14ac:dyDescent="0.2">
      <c r="H601" s="13"/>
      <c r="I601" s="13"/>
    </row>
    <row r="602" spans="8:9" ht="15" customHeight="1" x14ac:dyDescent="0.2">
      <c r="H602" s="13"/>
      <c r="I602" s="13"/>
    </row>
    <row r="603" spans="8:9" ht="15" customHeight="1" x14ac:dyDescent="0.2">
      <c r="H603" s="13"/>
      <c r="I603" s="13"/>
    </row>
  </sheetData>
  <sortState ref="A2:AG578">
    <sortCondition descending="1" ref="Z2:Z578"/>
  </sortState>
  <conditionalFormatting sqref="N364 N367 H2:I603">
    <cfRule type="expression" dxfId="110" priority="41">
      <formula>B2="KILL"</formula>
    </cfRule>
  </conditionalFormatting>
  <conditionalFormatting sqref="M364 M367">
    <cfRule type="expression" dxfId="109" priority="36">
      <formula>I364="KILL"</formula>
    </cfRule>
  </conditionalFormatting>
  <conditionalFormatting sqref="M37:N37 M283:N285">
    <cfRule type="expression" dxfId="108" priority="29">
      <formula>H37="KILL"</formula>
    </cfRule>
  </conditionalFormatting>
  <conditionalFormatting sqref="AB2:AD578">
    <cfRule type="cellIs" dxfId="107" priority="2" operator="lessThan">
      <formula>2041</formula>
    </cfRule>
  </conditionalFormatting>
  <conditionalFormatting sqref="AG2:AG578">
    <cfRule type="cellIs" dxfId="106" priority="1" operator="equal">
      <formula>"Yes"</formula>
    </cfRule>
  </conditionalFormatting>
  <pageMargins left="0.25" right="0.25" top="0.75" bottom="0.75" header="0.3" footer="0.3"/>
  <pageSetup scale="4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E0F7"/>
    <pageSetUpPr fitToPage="1"/>
  </sheetPr>
  <dimension ref="A1:AG587"/>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6.28515625" style="11" bestFit="1" customWidth="1"/>
    <col min="5" max="5" width="9.5703125" style="11" bestFit="1" customWidth="1"/>
    <col min="6" max="6" width="8.140625" style="11" bestFit="1" customWidth="1"/>
    <col min="7" max="7" width="8" style="11" bestFit="1" customWidth="1"/>
    <col min="8" max="8" width="70.85546875" style="11" bestFit="1" customWidth="1"/>
    <col min="9" max="9" width="107.5703125" style="11" bestFit="1" customWidth="1"/>
    <col min="10" max="10" width="10.140625" style="11" bestFit="1" customWidth="1"/>
    <col min="11" max="11" width="14" style="11" bestFit="1" customWidth="1"/>
    <col min="12" max="12" width="255.7109375" style="11" bestFit="1" customWidth="1"/>
    <col min="13" max="13" width="58.42578125" style="11" bestFit="1" customWidth="1"/>
    <col min="14" max="14" width="47.7109375" style="11" bestFit="1" customWidth="1"/>
    <col min="15" max="16" width="20.140625" style="11" bestFit="1" customWidth="1"/>
    <col min="17" max="17" width="12.28515625" style="11" bestFit="1" customWidth="1"/>
    <col min="18" max="18" width="13.42578125" style="11" bestFit="1" customWidth="1"/>
    <col min="19" max="19" width="29.28515625" style="11" bestFit="1" customWidth="1"/>
    <col min="20" max="20" width="78.140625" style="11" bestFit="1" customWidth="1"/>
    <col min="21" max="21" width="77.42578125" style="11" bestFit="1" customWidth="1"/>
    <col min="22" max="24" width="255.7109375" style="11" bestFit="1" customWidth="1"/>
    <col min="25" max="25" width="122.8554687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hidden="1" customWidth="1"/>
    <col min="34" max="16384" width="9.140625" style="11"/>
  </cols>
  <sheetData>
    <row r="1" spans="1:33" ht="15" customHeight="1" x14ac:dyDescent="0.2">
      <c r="A1" s="322" t="s">
        <v>1192</v>
      </c>
      <c r="B1" s="322" t="s">
        <v>1211</v>
      </c>
      <c r="C1" s="322" t="s">
        <v>1193</v>
      </c>
      <c r="D1" s="322" t="s">
        <v>419</v>
      </c>
      <c r="E1" s="323" t="s">
        <v>1217</v>
      </c>
      <c r="F1" s="323" t="s">
        <v>1218</v>
      </c>
      <c r="G1" s="323" t="s">
        <v>3105</v>
      </c>
      <c r="H1" s="322" t="s">
        <v>1</v>
      </c>
      <c r="I1" s="322" t="s">
        <v>1739</v>
      </c>
      <c r="J1" s="322" t="s">
        <v>299</v>
      </c>
      <c r="K1" s="324" t="s">
        <v>1209</v>
      </c>
      <c r="L1" s="322" t="s">
        <v>2</v>
      </c>
      <c r="M1" s="325" t="s">
        <v>1191</v>
      </c>
      <c r="N1" s="322" t="s">
        <v>1198</v>
      </c>
      <c r="O1" s="322" t="s">
        <v>1196</v>
      </c>
      <c r="P1" s="322" t="s">
        <v>1197</v>
      </c>
      <c r="Q1" s="326" t="s">
        <v>1194</v>
      </c>
      <c r="R1" s="322" t="s">
        <v>1195</v>
      </c>
      <c r="S1" s="322" t="s">
        <v>2705</v>
      </c>
      <c r="T1" s="327" t="s">
        <v>349</v>
      </c>
      <c r="U1" s="327" t="s">
        <v>358</v>
      </c>
      <c r="V1" s="327" t="s">
        <v>434</v>
      </c>
      <c r="W1" s="327" t="s">
        <v>3252</v>
      </c>
      <c r="X1" s="327" t="s">
        <v>360</v>
      </c>
      <c r="Y1" s="322" t="s">
        <v>2703</v>
      </c>
      <c r="Z1" s="328" t="s">
        <v>3045</v>
      </c>
      <c r="AA1" s="329" t="s">
        <v>3107</v>
      </c>
      <c r="AB1" s="330" t="s">
        <v>3167</v>
      </c>
      <c r="AC1" s="330" t="s">
        <v>3117</v>
      </c>
      <c r="AD1" s="330" t="s">
        <v>3118</v>
      </c>
      <c r="AE1" s="331" t="s">
        <v>3168</v>
      </c>
      <c r="AF1" s="331" t="s">
        <v>3125</v>
      </c>
      <c r="AG1" s="332" t="s">
        <v>3155</v>
      </c>
    </row>
    <row r="2" spans="1:33" ht="15" customHeight="1" x14ac:dyDescent="0.2">
      <c r="A2" s="12"/>
      <c r="B2" s="11" t="s">
        <v>1211</v>
      </c>
      <c r="C2" s="12"/>
      <c r="D2" s="84" t="s">
        <v>276</v>
      </c>
      <c r="E2" s="104" t="s">
        <v>1459</v>
      </c>
      <c r="F2" s="104"/>
      <c r="G2" s="20">
        <v>1533</v>
      </c>
      <c r="H2" s="13" t="s">
        <v>1562</v>
      </c>
      <c r="I2" s="13" t="str">
        <f t="shared" ref="I2:I33" si="0">IF(M2="@",H2&amp;" ("&amp;M2&amp;"  "&amp;N2&amp;")",H2&amp;" ("&amp;M2&amp;" to "&amp;N2&amp;")")</f>
        <v>CITY-WIDE PREMIUM TRANSIT CORRIDOR PEDESTRIAN ACCOMMODATIONS (CITY-WIDE to CITY-WIDE)</v>
      </c>
      <c r="J2" s="12" t="s">
        <v>27</v>
      </c>
      <c r="K2" s="13" t="str">
        <f>VLOOKUP(J2,'Data-ProjectTypes'!A$3:B$13,2,FALSE)</f>
        <v>Program</v>
      </c>
      <c r="L2" s="12" t="s">
        <v>1620</v>
      </c>
      <c r="M2" s="105" t="s">
        <v>1668</v>
      </c>
      <c r="N2" s="12" t="s">
        <v>1668</v>
      </c>
      <c r="O2" s="12"/>
      <c r="P2" s="12"/>
      <c r="Q2" s="72">
        <v>366</v>
      </c>
      <c r="R2" s="23">
        <v>53205521</v>
      </c>
      <c r="Y2" s="12"/>
      <c r="Z2" s="71">
        <f>ROUND(R2*'Data-CostAssumptions'!$C$8,-3)</f>
        <v>53206000</v>
      </c>
      <c r="AA2" s="11">
        <f t="shared" ref="AA2:AA65" si="1">IF(V2="",IF(W2="",0,1),1)</f>
        <v>0</v>
      </c>
      <c r="AB2" s="11">
        <v>2041</v>
      </c>
      <c r="AC2" s="11">
        <v>2041</v>
      </c>
      <c r="AD2" s="11">
        <v>2041</v>
      </c>
      <c r="AE2" s="19">
        <f>ROUND((Z2*'Data-CostAssumptions'!$G$5)*(1+'Data-CostAssumptions'!$G$3)^(AB2-'Data-CostAssumptions'!$G$4),-3)</f>
        <v>30012000</v>
      </c>
      <c r="AF2" s="19">
        <f>ROUND((Z2)*(1+'Data-CostAssumptions'!$G$3)^(AD2-'Data-CostAssumptions'!$G$4),-3)</f>
        <v>136417000</v>
      </c>
      <c r="AG2" s="170" t="str">
        <f t="shared" ref="AG2:AG65" si="2">IF(MIN(AC2:AD2)&lt;2041,"Yes","No")</f>
        <v>No</v>
      </c>
    </row>
    <row r="3" spans="1:33" ht="15" customHeight="1" x14ac:dyDescent="0.2">
      <c r="A3" s="12"/>
      <c r="B3" s="11" t="s">
        <v>1211</v>
      </c>
      <c r="C3" s="12"/>
      <c r="D3" s="84" t="s">
        <v>276</v>
      </c>
      <c r="E3" s="104" t="s">
        <v>1471</v>
      </c>
      <c r="F3" s="104"/>
      <c r="G3" s="20">
        <v>1534</v>
      </c>
      <c r="H3" s="13" t="s">
        <v>1565</v>
      </c>
      <c r="I3" s="13" t="str">
        <f t="shared" si="0"/>
        <v>CITY-WIDE SIDEWALKS, NON-PREMIUM TRANSIT CORRIDORS (CITY-WIDE to CITY-WIDE)</v>
      </c>
      <c r="J3" s="12" t="s">
        <v>27</v>
      </c>
      <c r="K3" s="13" t="str">
        <f>VLOOKUP(J3,'Data-ProjectTypes'!A$3:B$13,2,FALSE)</f>
        <v>Program</v>
      </c>
      <c r="L3" s="12" t="s">
        <v>1633</v>
      </c>
      <c r="M3" s="105" t="s">
        <v>1668</v>
      </c>
      <c r="N3" s="12" t="s">
        <v>1668</v>
      </c>
      <c r="O3" s="12"/>
      <c r="P3" s="12"/>
      <c r="Q3" s="72">
        <v>218</v>
      </c>
      <c r="R3" s="23">
        <v>31690718</v>
      </c>
      <c r="Y3" s="12"/>
      <c r="Z3" s="71">
        <f>ROUND(R3*'Data-CostAssumptions'!$C$8,-3)</f>
        <v>31691000</v>
      </c>
      <c r="AA3" s="11">
        <f t="shared" si="1"/>
        <v>0</v>
      </c>
      <c r="AB3" s="11">
        <v>2041</v>
      </c>
      <c r="AC3" s="11">
        <v>2041</v>
      </c>
      <c r="AD3" s="11">
        <v>2041</v>
      </c>
      <c r="AE3" s="19">
        <f>ROUND((Z3*'Data-CostAssumptions'!$G$5)*(1+'Data-CostAssumptions'!$G$3)^(AB3-'Data-CostAssumptions'!$G$4),-3)</f>
        <v>17876000</v>
      </c>
      <c r="AF3" s="19">
        <f>ROUND((Z3)*(1+'Data-CostAssumptions'!$G$3)^(AD3-'Data-CostAssumptions'!$G$4),-3)</f>
        <v>81254000</v>
      </c>
      <c r="AG3" s="170" t="str">
        <f t="shared" si="2"/>
        <v>No</v>
      </c>
    </row>
    <row r="4" spans="1:33" ht="15" customHeight="1" x14ac:dyDescent="0.2">
      <c r="A4" s="12"/>
      <c r="B4" s="11" t="s">
        <v>1211</v>
      </c>
      <c r="C4" s="12"/>
      <c r="D4" s="84" t="s">
        <v>276</v>
      </c>
      <c r="E4" s="104">
        <v>131</v>
      </c>
      <c r="F4" s="104"/>
      <c r="G4" s="20">
        <v>1552</v>
      </c>
      <c r="H4" s="13" t="s">
        <v>1567</v>
      </c>
      <c r="I4" s="13" t="str">
        <f t="shared" si="0"/>
        <v>LAS OLAS INTRACOASTAL PROMENADE (BIRCH RD to LAS OLAS CIRCLE)</v>
      </c>
      <c r="J4" s="12" t="s">
        <v>27</v>
      </c>
      <c r="K4" s="13" t="str">
        <f>VLOOKUP(J4,'Data-ProjectTypes'!A$3:B$13,2,FALSE)</f>
        <v>Program</v>
      </c>
      <c r="L4" s="12" t="s">
        <v>1643</v>
      </c>
      <c r="M4" s="105" t="s">
        <v>1677</v>
      </c>
      <c r="N4" s="12" t="s">
        <v>1676</v>
      </c>
      <c r="O4" s="12"/>
      <c r="P4" s="12"/>
      <c r="Q4" s="72">
        <v>0.4</v>
      </c>
      <c r="R4" s="23">
        <v>7280000</v>
      </c>
      <c r="Y4" s="12"/>
      <c r="Z4" s="18">
        <f>ROUND(R4*'Data-CostAssumptions'!$C$8,-3)</f>
        <v>7280000</v>
      </c>
      <c r="AA4" s="11">
        <f t="shared" si="1"/>
        <v>0</v>
      </c>
      <c r="AB4" s="11">
        <v>2041</v>
      </c>
      <c r="AC4" s="11">
        <v>2041</v>
      </c>
      <c r="AD4" s="11">
        <v>2041</v>
      </c>
      <c r="AE4" s="19">
        <f>ROUND((Z4*'Data-CostAssumptions'!$G$5)*(1+'Data-CostAssumptions'!$G$3)^(AB4-'Data-CostAssumptions'!$G$4),-3)</f>
        <v>4106000</v>
      </c>
      <c r="AF4" s="19">
        <f>ROUND((Z4)*(1+'Data-CostAssumptions'!$G$3)^(AD4-'Data-CostAssumptions'!$G$4),-3)</f>
        <v>18666000</v>
      </c>
      <c r="AG4" s="170" t="str">
        <f t="shared" si="2"/>
        <v>No</v>
      </c>
    </row>
    <row r="5" spans="1:33" ht="15" customHeight="1" x14ac:dyDescent="0.2">
      <c r="A5" s="12"/>
      <c r="B5" s="11" t="s">
        <v>1211</v>
      </c>
      <c r="C5" s="12"/>
      <c r="D5" s="84" t="s">
        <v>276</v>
      </c>
      <c r="E5" s="104">
        <v>108</v>
      </c>
      <c r="F5" s="104"/>
      <c r="G5" s="20">
        <v>1610</v>
      </c>
      <c r="H5" s="13" t="s">
        <v>2209</v>
      </c>
      <c r="I5" s="13" t="str">
        <f t="shared" si="0"/>
        <v>SR 5/ US 1 (NE 13TH ST to MCNAB RD)</v>
      </c>
      <c r="J5" s="12" t="s">
        <v>27</v>
      </c>
      <c r="K5" s="13" t="str">
        <f>VLOOKUP(J5,'Data-ProjectTypes'!A$3:B$13,2,FALSE)</f>
        <v>Program</v>
      </c>
      <c r="L5" s="12" t="s">
        <v>1409</v>
      </c>
      <c r="M5" s="105" t="s">
        <v>1432</v>
      </c>
      <c r="N5" s="12" t="s">
        <v>1227</v>
      </c>
      <c r="O5" s="12"/>
      <c r="P5" s="12"/>
      <c r="Q5" s="72">
        <v>5</v>
      </c>
      <c r="R5" s="23">
        <v>4553550</v>
      </c>
      <c r="X5" s="38"/>
      <c r="Y5" s="12"/>
      <c r="Z5" s="18">
        <f>ROUND(R5*'Data-CostAssumptions'!$C$3,-3)</f>
        <v>6302000</v>
      </c>
      <c r="AA5" s="11">
        <f t="shared" si="1"/>
        <v>0</v>
      </c>
      <c r="AB5" s="11">
        <v>2041</v>
      </c>
      <c r="AC5" s="11">
        <v>2041</v>
      </c>
      <c r="AD5" s="11">
        <v>2041</v>
      </c>
      <c r="AE5" s="19">
        <f>ROUND((Z5*'Data-CostAssumptions'!$G$5)*(1+'Data-CostAssumptions'!$G$3)^(AB5-'Data-CostAssumptions'!$G$4),-3)</f>
        <v>3555000</v>
      </c>
      <c r="AF5" s="19">
        <f>ROUND((Z5)*(1+'Data-CostAssumptions'!$G$3)^(AD5-'Data-CostAssumptions'!$G$4),-3)</f>
        <v>16158000</v>
      </c>
      <c r="AG5" s="170" t="str">
        <f t="shared" si="2"/>
        <v>No</v>
      </c>
    </row>
    <row r="6" spans="1:33" ht="15" customHeight="1" x14ac:dyDescent="0.2">
      <c r="A6" s="12"/>
      <c r="B6" s="11" t="s">
        <v>1211</v>
      </c>
      <c r="C6" s="12"/>
      <c r="D6" s="84" t="s">
        <v>276</v>
      </c>
      <c r="E6" s="104">
        <v>132</v>
      </c>
      <c r="F6" s="104"/>
      <c r="G6" s="20">
        <v>1532</v>
      </c>
      <c r="H6" s="13" t="s">
        <v>1568</v>
      </c>
      <c r="I6" s="13" t="str">
        <f t="shared" si="0"/>
        <v>CHANNEL SQUARE (CHANNEL SQUARE to CHANNEL SQUARE)</v>
      </c>
      <c r="J6" s="12" t="s">
        <v>27</v>
      </c>
      <c r="K6" s="13" t="str">
        <f>VLOOKUP(J6,'Data-ProjectTypes'!A$3:B$13,2,FALSE)</f>
        <v>Program</v>
      </c>
      <c r="L6" s="12" t="s">
        <v>1644</v>
      </c>
      <c r="M6" s="105" t="s">
        <v>1568</v>
      </c>
      <c r="N6" s="12" t="s">
        <v>1568</v>
      </c>
      <c r="O6" s="12"/>
      <c r="P6" s="12"/>
      <c r="Q6" s="72">
        <v>0.1</v>
      </c>
      <c r="R6" s="23">
        <v>4900100</v>
      </c>
      <c r="Y6" s="12" t="s">
        <v>3007</v>
      </c>
      <c r="Z6" s="18">
        <f>ROUND(R6*'Data-CostAssumptions'!$C$8,-3)</f>
        <v>4900000</v>
      </c>
      <c r="AA6" s="11">
        <f t="shared" si="1"/>
        <v>0</v>
      </c>
      <c r="AB6" s="11">
        <v>2041</v>
      </c>
      <c r="AC6" s="11">
        <v>2041</v>
      </c>
      <c r="AD6" s="11">
        <v>2041</v>
      </c>
      <c r="AE6" s="19">
        <f>ROUND((Z6*'Data-CostAssumptions'!$G$5)*(1+'Data-CostAssumptions'!$G$3)^(AB6-'Data-CostAssumptions'!$G$4),-3)</f>
        <v>2764000</v>
      </c>
      <c r="AF6" s="19">
        <f>ROUND((Z6)*(1+'Data-CostAssumptions'!$G$3)^(AD6-'Data-CostAssumptions'!$G$4),-3)</f>
        <v>12563000</v>
      </c>
      <c r="AG6" s="170" t="str">
        <f t="shared" si="2"/>
        <v>No</v>
      </c>
    </row>
    <row r="7" spans="1:33" ht="15" customHeight="1" x14ac:dyDescent="0.2">
      <c r="B7" s="11" t="s">
        <v>1211</v>
      </c>
      <c r="C7" s="11">
        <v>12750</v>
      </c>
      <c r="D7" s="84" t="s">
        <v>1212</v>
      </c>
      <c r="E7" s="14"/>
      <c r="F7" s="14"/>
      <c r="G7" s="20">
        <v>1861</v>
      </c>
      <c r="H7" s="13" t="s">
        <v>1807</v>
      </c>
      <c r="I7" s="13" t="str">
        <f t="shared" si="0"/>
        <v>Wilton Dr (Southern City limits at bridge over the south fork of Middle River to NE 26 St)</v>
      </c>
      <c r="J7" s="11" t="s">
        <v>27</v>
      </c>
      <c r="K7" s="13" t="str">
        <f>VLOOKUP(J7,'Data-ProjectTypes'!A$3:B$13,2,FALSE)</f>
        <v>Program</v>
      </c>
      <c r="L7" s="11" t="s">
        <v>851</v>
      </c>
      <c r="M7" s="11" t="s">
        <v>853</v>
      </c>
      <c r="N7" s="11" t="s">
        <v>2593</v>
      </c>
      <c r="Q7" s="15">
        <v>1</v>
      </c>
      <c r="R7" s="16">
        <f>4500000+85000+150000</f>
        <v>4735000</v>
      </c>
      <c r="S7" s="12"/>
      <c r="T7" s="12"/>
      <c r="U7" s="12"/>
      <c r="V7" s="12"/>
      <c r="W7" s="12"/>
      <c r="X7" s="12"/>
      <c r="Y7" s="12"/>
      <c r="Z7" s="18">
        <f>ROUND(R7*'Data-CostAssumptions'!$C$8,-3)</f>
        <v>4735000</v>
      </c>
      <c r="AA7" s="11">
        <f t="shared" si="1"/>
        <v>0</v>
      </c>
      <c r="AB7" s="11">
        <v>2041</v>
      </c>
      <c r="AC7" s="11">
        <v>2041</v>
      </c>
      <c r="AD7" s="11">
        <v>2041</v>
      </c>
      <c r="AE7" s="19">
        <f>ROUND((Z7*'Data-CostAssumptions'!$G$5)*(1+'Data-CostAssumptions'!$G$3)^(AB7-'Data-CostAssumptions'!$G$4),-3)</f>
        <v>2671000</v>
      </c>
      <c r="AF7" s="19">
        <f>ROUND((Z7)*(1+'Data-CostAssumptions'!$G$3)^(AD7-'Data-CostAssumptions'!$G$4),-3)</f>
        <v>12140000</v>
      </c>
      <c r="AG7" s="170" t="str">
        <f t="shared" si="2"/>
        <v>No</v>
      </c>
    </row>
    <row r="8" spans="1:33" ht="15" customHeight="1" x14ac:dyDescent="0.2">
      <c r="A8" s="12"/>
      <c r="B8" s="11" t="s">
        <v>1211</v>
      </c>
      <c r="C8" s="12"/>
      <c r="D8" s="84" t="s">
        <v>276</v>
      </c>
      <c r="E8" s="104">
        <v>133</v>
      </c>
      <c r="F8" s="104"/>
      <c r="G8" s="20">
        <v>1633</v>
      </c>
      <c r="H8" s="13" t="s">
        <v>110</v>
      </c>
      <c r="I8" s="13" t="str">
        <f t="shared" si="0"/>
        <v>SR A1A (SUNRISE Bl to FT LAUDERDALE BEACH PARK)</v>
      </c>
      <c r="J8" s="12" t="s">
        <v>27</v>
      </c>
      <c r="K8" s="13" t="str">
        <f>VLOOKUP(J8,'Data-ProjectTypes'!A$3:B$13,2,FALSE)</f>
        <v>Program</v>
      </c>
      <c r="L8" s="12" t="s">
        <v>1645</v>
      </c>
      <c r="M8" s="105" t="s">
        <v>2002</v>
      </c>
      <c r="N8" s="12" t="s">
        <v>1678</v>
      </c>
      <c r="O8" s="12"/>
      <c r="P8" s="12"/>
      <c r="Q8" s="72">
        <v>2</v>
      </c>
      <c r="R8" s="23">
        <v>3895336</v>
      </c>
      <c r="Y8" s="12"/>
      <c r="Z8" s="18">
        <f>ROUND(R8*'Data-CostAssumptions'!$C$8,-3)</f>
        <v>3895000</v>
      </c>
      <c r="AA8" s="11">
        <f t="shared" si="1"/>
        <v>0</v>
      </c>
      <c r="AB8" s="11">
        <v>2041</v>
      </c>
      <c r="AC8" s="11">
        <v>2041</v>
      </c>
      <c r="AD8" s="11">
        <v>2041</v>
      </c>
      <c r="AE8" s="19">
        <f>ROUND((Z8*'Data-CostAssumptions'!$G$5)*(1+'Data-CostAssumptions'!$G$3)^(AB8-'Data-CostAssumptions'!$G$4),-3)</f>
        <v>2197000</v>
      </c>
      <c r="AF8" s="19">
        <f>ROUND((Z8)*(1+'Data-CostAssumptions'!$G$3)^(AD8-'Data-CostAssumptions'!$G$4),-3)</f>
        <v>9987000</v>
      </c>
      <c r="AG8" s="170" t="str">
        <f t="shared" si="2"/>
        <v>No</v>
      </c>
    </row>
    <row r="9" spans="1:33" ht="15" customHeight="1" x14ac:dyDescent="0.2">
      <c r="B9" s="11" t="s">
        <v>1211</v>
      </c>
      <c r="D9" s="84" t="s">
        <v>276</v>
      </c>
      <c r="E9" s="14">
        <v>12</v>
      </c>
      <c r="F9" s="14"/>
      <c r="G9" s="20">
        <v>1628</v>
      </c>
      <c r="H9" s="13" t="s">
        <v>2803</v>
      </c>
      <c r="I9" s="13" t="str">
        <f t="shared" si="0"/>
        <v>SR 870/Commercial Bl (I-95 to SR 7)</v>
      </c>
      <c r="J9" s="11" t="s">
        <v>27</v>
      </c>
      <c r="K9" s="13" t="str">
        <f>VLOOKUP(J9,'Data-ProjectTypes'!A$3:B$13,2,FALSE)</f>
        <v>Program</v>
      </c>
      <c r="L9" s="11" t="s">
        <v>1270</v>
      </c>
      <c r="M9" s="106" t="s">
        <v>41</v>
      </c>
      <c r="N9" s="84" t="s">
        <v>53</v>
      </c>
      <c r="Q9" s="107">
        <v>3</v>
      </c>
      <c r="R9" s="23">
        <v>3429000</v>
      </c>
      <c r="Y9" s="12"/>
      <c r="Z9" s="18">
        <f>ROUND(R9*'Data-CostAssumptions'!$C$4,-3)</f>
        <v>3429000</v>
      </c>
      <c r="AA9" s="11">
        <f t="shared" si="1"/>
        <v>0</v>
      </c>
      <c r="AB9" s="11">
        <v>2041</v>
      </c>
      <c r="AC9" s="11">
        <v>2041</v>
      </c>
      <c r="AD9" s="11">
        <v>2041</v>
      </c>
      <c r="AE9" s="19">
        <f>ROUND((Z9*'Data-CostAssumptions'!$G$5)*(1+'Data-CostAssumptions'!$G$3)^(AB9-'Data-CostAssumptions'!$G$4),-3)</f>
        <v>1934000</v>
      </c>
      <c r="AF9" s="19">
        <f>ROUND((Z9)*(1+'Data-CostAssumptions'!$G$3)^(AD9-'Data-CostAssumptions'!$G$4),-3)</f>
        <v>8792000</v>
      </c>
      <c r="AG9" s="170" t="str">
        <f t="shared" si="2"/>
        <v>No</v>
      </c>
    </row>
    <row r="10" spans="1:33" ht="15" customHeight="1" x14ac:dyDescent="0.2">
      <c r="A10" s="12"/>
      <c r="B10" s="11" t="s">
        <v>1211</v>
      </c>
      <c r="C10" s="12"/>
      <c r="D10" s="84" t="s">
        <v>276</v>
      </c>
      <c r="E10" s="104">
        <v>135</v>
      </c>
      <c r="F10" s="104"/>
      <c r="G10" s="20">
        <v>1551</v>
      </c>
      <c r="H10" s="13" t="s">
        <v>2863</v>
      </c>
      <c r="I10" s="13" t="str">
        <f t="shared" si="0"/>
        <v>Las Olas Bl Safety Project (SE 15TH Av to ANDREWS Av)</v>
      </c>
      <c r="J10" s="12" t="s">
        <v>27</v>
      </c>
      <c r="K10" s="13" t="str">
        <f>VLOOKUP(J10,'Data-ProjectTypes'!A$3:B$13,2,FALSE)</f>
        <v>Program</v>
      </c>
      <c r="L10" s="12" t="s">
        <v>1647</v>
      </c>
      <c r="M10" s="105" t="s">
        <v>2607</v>
      </c>
      <c r="N10" s="12" t="s">
        <v>2139</v>
      </c>
      <c r="O10" s="12"/>
      <c r="P10" s="12"/>
      <c r="Q10" s="72">
        <v>0.9</v>
      </c>
      <c r="R10" s="23">
        <v>3341282</v>
      </c>
      <c r="Y10" s="12"/>
      <c r="Z10" s="18">
        <f>ROUND(R10*'Data-CostAssumptions'!$C$8,-3)</f>
        <v>3341000</v>
      </c>
      <c r="AA10" s="11">
        <f t="shared" si="1"/>
        <v>0</v>
      </c>
      <c r="AB10" s="11">
        <v>2041</v>
      </c>
      <c r="AC10" s="11">
        <v>2041</v>
      </c>
      <c r="AD10" s="11">
        <v>2041</v>
      </c>
      <c r="AE10" s="19">
        <f>ROUND((Z10*'Data-CostAssumptions'!$G$5)*(1+'Data-CostAssumptions'!$G$3)^(AB10-'Data-CostAssumptions'!$G$4),-3)</f>
        <v>1885000</v>
      </c>
      <c r="AF10" s="19">
        <f>ROUND((Z10)*(1+'Data-CostAssumptions'!$G$3)^(AD10-'Data-CostAssumptions'!$G$4),-3)</f>
        <v>8566000</v>
      </c>
      <c r="AG10" s="170" t="str">
        <f t="shared" si="2"/>
        <v>No</v>
      </c>
    </row>
    <row r="11" spans="1:33" ht="15" customHeight="1" x14ac:dyDescent="0.2">
      <c r="A11" s="12"/>
      <c r="B11" s="11" t="s">
        <v>1211</v>
      </c>
      <c r="C11" s="12"/>
      <c r="D11" s="84" t="s">
        <v>276</v>
      </c>
      <c r="E11" s="104">
        <v>92</v>
      </c>
      <c r="F11" s="104"/>
      <c r="G11" s="20">
        <v>1618</v>
      </c>
      <c r="H11" s="13" t="s">
        <v>2728</v>
      </c>
      <c r="I11" s="13" t="str">
        <f t="shared" si="0"/>
        <v>SR 838/Sunrise Bl (NW 24TH Av to US 1)</v>
      </c>
      <c r="J11" s="12" t="s">
        <v>27</v>
      </c>
      <c r="K11" s="13" t="str">
        <f>VLOOKUP(J11,'Data-ProjectTypes'!A$3:B$13,2,FALSE)</f>
        <v>Program</v>
      </c>
      <c r="L11" s="12" t="s">
        <v>1390</v>
      </c>
      <c r="M11" s="105" t="s">
        <v>2631</v>
      </c>
      <c r="N11" s="12" t="s">
        <v>98</v>
      </c>
      <c r="O11" s="12"/>
      <c r="P11" s="12"/>
      <c r="Q11" s="72">
        <v>1.9</v>
      </c>
      <c r="R11" s="23">
        <v>2336800</v>
      </c>
      <c r="Y11" s="12"/>
      <c r="Z11" s="71">
        <f>ROUND(R11*'Data-CostAssumptions'!$C$3,-3)</f>
        <v>3234000</v>
      </c>
      <c r="AA11" s="11">
        <f t="shared" si="1"/>
        <v>0</v>
      </c>
      <c r="AB11" s="11">
        <v>2041</v>
      </c>
      <c r="AC11" s="11">
        <v>2041</v>
      </c>
      <c r="AD11" s="11">
        <v>2041</v>
      </c>
      <c r="AE11" s="19">
        <f>ROUND((Z11*'Data-CostAssumptions'!$G$5)*(1+'Data-CostAssumptions'!$G$3)^(AB11-'Data-CostAssumptions'!$G$4),-3)</f>
        <v>1824000</v>
      </c>
      <c r="AF11" s="19">
        <f>ROUND((Z11)*(1+'Data-CostAssumptions'!$G$3)^(AD11-'Data-CostAssumptions'!$G$4),-3)</f>
        <v>8292000</v>
      </c>
      <c r="AG11" s="170" t="str">
        <f t="shared" si="2"/>
        <v>No</v>
      </c>
    </row>
    <row r="12" spans="1:33" ht="15" customHeight="1" x14ac:dyDescent="0.2">
      <c r="B12" s="11" t="s">
        <v>1211</v>
      </c>
      <c r="C12" s="11">
        <v>14005</v>
      </c>
      <c r="D12" s="84" t="s">
        <v>295</v>
      </c>
      <c r="E12" s="14"/>
      <c r="F12" s="14"/>
      <c r="G12" s="20">
        <v>1860</v>
      </c>
      <c r="H12" s="13" t="s">
        <v>2888</v>
      </c>
      <c r="I12" s="13" t="str">
        <f t="shared" si="0"/>
        <v>SW 48th Av (Pembroke Rd to Countyline Rd )</v>
      </c>
      <c r="J12" s="11" t="s">
        <v>27</v>
      </c>
      <c r="K12" s="13" t="str">
        <f>VLOOKUP(J12,'Data-ProjectTypes'!A$3:B$13,2,FALSE)</f>
        <v>Program</v>
      </c>
      <c r="L12" s="11" t="s">
        <v>1135</v>
      </c>
      <c r="M12" s="11" t="s">
        <v>1760</v>
      </c>
      <c r="N12" s="11" t="s">
        <v>2449</v>
      </c>
      <c r="O12" s="84" t="s">
        <v>295</v>
      </c>
      <c r="P12" s="84" t="s">
        <v>295</v>
      </c>
      <c r="Q12" s="15">
        <v>1.52</v>
      </c>
      <c r="R12" s="16">
        <v>3203450</v>
      </c>
      <c r="Y12" s="12"/>
      <c r="Z12" s="18">
        <f>ROUND(R12*'Data-CostAssumptions'!$C$8,-3)</f>
        <v>3203000</v>
      </c>
      <c r="AA12" s="11">
        <f t="shared" si="1"/>
        <v>0</v>
      </c>
      <c r="AB12" s="11">
        <v>2041</v>
      </c>
      <c r="AC12" s="11">
        <v>2041</v>
      </c>
      <c r="AD12" s="11">
        <v>2041</v>
      </c>
      <c r="AE12" s="19">
        <f>ROUND((Z12*'Data-CostAssumptions'!$G$5)*(1+'Data-CostAssumptions'!$G$3)^(AB12-'Data-CostAssumptions'!$G$4),-3)</f>
        <v>1807000</v>
      </c>
      <c r="AF12" s="19">
        <f>ROUND((Z12)*(1+'Data-CostAssumptions'!$G$3)^(AD12-'Data-CostAssumptions'!$G$4),-3)</f>
        <v>8212000</v>
      </c>
      <c r="AG12" s="170" t="str">
        <f t="shared" si="2"/>
        <v>No</v>
      </c>
    </row>
    <row r="13" spans="1:33" ht="15" customHeight="1" x14ac:dyDescent="0.2">
      <c r="A13" s="12"/>
      <c r="B13" s="11" t="s">
        <v>1211</v>
      </c>
      <c r="C13" s="12"/>
      <c r="D13" s="84" t="s">
        <v>276</v>
      </c>
      <c r="E13" s="104">
        <v>30</v>
      </c>
      <c r="F13" s="104"/>
      <c r="G13" s="20">
        <v>1553</v>
      </c>
      <c r="H13" s="13" t="s">
        <v>1854</v>
      </c>
      <c r="I13" s="13" t="str">
        <f t="shared" si="0"/>
        <v>McNab Rd (NW 31ST Av to NE 69TH ST)</v>
      </c>
      <c r="J13" s="12" t="s">
        <v>27</v>
      </c>
      <c r="K13" s="13" t="str">
        <f>VLOOKUP(J13,'Data-ProjectTypes'!A$3:B$13,2,FALSE)</f>
        <v>Program</v>
      </c>
      <c r="L13" s="12" t="s">
        <v>1298</v>
      </c>
      <c r="M13" s="105" t="s">
        <v>2167</v>
      </c>
      <c r="N13" s="12" t="s">
        <v>1435</v>
      </c>
      <c r="O13" s="12"/>
      <c r="P13" s="12"/>
      <c r="Q13" s="72">
        <v>2.5</v>
      </c>
      <c r="R13" s="23">
        <v>2852600</v>
      </c>
      <c r="Y13" s="12"/>
      <c r="Z13" s="18">
        <f>ROUND(R13*'Data-CostAssumptions'!$C$8,-3)</f>
        <v>2853000</v>
      </c>
      <c r="AA13" s="11">
        <f t="shared" si="1"/>
        <v>0</v>
      </c>
      <c r="AB13" s="11">
        <v>2041</v>
      </c>
      <c r="AC13" s="11">
        <v>2041</v>
      </c>
      <c r="AD13" s="11">
        <v>2041</v>
      </c>
      <c r="AE13" s="19">
        <f>ROUND((Z13*'Data-CostAssumptions'!$G$5)*(1+'Data-CostAssumptions'!$G$3)^(AB13-'Data-CostAssumptions'!$G$4),-3)</f>
        <v>1609000</v>
      </c>
      <c r="AF13" s="19">
        <f>ROUND((Z13)*(1+'Data-CostAssumptions'!$G$3)^(AD13-'Data-CostAssumptions'!$G$4),-3)</f>
        <v>7315000</v>
      </c>
      <c r="AG13" s="170" t="str">
        <f t="shared" si="2"/>
        <v>No</v>
      </c>
    </row>
    <row r="14" spans="1:33" ht="15" customHeight="1" x14ac:dyDescent="0.2">
      <c r="B14" s="11" t="s">
        <v>1211</v>
      </c>
      <c r="C14" s="13">
        <v>198</v>
      </c>
      <c r="D14" s="13" t="s">
        <v>420</v>
      </c>
      <c r="E14" s="20">
        <v>71</v>
      </c>
      <c r="F14" s="20">
        <v>151</v>
      </c>
      <c r="G14" s="20">
        <v>413</v>
      </c>
      <c r="H14" s="13" t="s">
        <v>1762</v>
      </c>
      <c r="I14" s="13" t="str">
        <f t="shared" si="0"/>
        <v>Perimeter Rd Loop (Terminal Dr Ramp to Terminal Dr Ramp)</v>
      </c>
      <c r="J14" s="13" t="s">
        <v>27</v>
      </c>
      <c r="K14" s="13" t="str">
        <f>VLOOKUP(J14,'Data-ProjectTypes'!A$3:B$13,2,FALSE)</f>
        <v>Program</v>
      </c>
      <c r="L14" s="21" t="s">
        <v>348</v>
      </c>
      <c r="M14" s="13" t="s">
        <v>2670</v>
      </c>
      <c r="N14" s="13" t="s">
        <v>2670</v>
      </c>
      <c r="O14" s="13" t="s">
        <v>273</v>
      </c>
      <c r="P14" s="13" t="s">
        <v>273</v>
      </c>
      <c r="Q14" s="22">
        <v>5.7</v>
      </c>
      <c r="R14" s="23">
        <v>2043381</v>
      </c>
      <c r="S14" s="21" t="s">
        <v>24</v>
      </c>
      <c r="T14" s="21" t="s">
        <v>25</v>
      </c>
      <c r="U14" s="21"/>
      <c r="V14" s="24"/>
      <c r="W14" s="24"/>
      <c r="X14" s="28"/>
      <c r="Y14" s="17" t="s">
        <v>469</v>
      </c>
      <c r="Z14" s="18">
        <f>ROUND(R14*'Data-CostAssumptions'!$C$3,-3)</f>
        <v>2828000</v>
      </c>
      <c r="AA14" s="11">
        <f t="shared" si="1"/>
        <v>0</v>
      </c>
      <c r="AB14" s="11">
        <v>2041</v>
      </c>
      <c r="AC14" s="11">
        <v>2041</v>
      </c>
      <c r="AD14" s="11">
        <v>2041</v>
      </c>
      <c r="AE14" s="19">
        <f>ROUND((Z14*'Data-CostAssumptions'!$G$5)*(1+'Data-CostAssumptions'!$G$3)^(AB14-'Data-CostAssumptions'!$G$4),-3)</f>
        <v>1595000</v>
      </c>
      <c r="AF14" s="19">
        <f>ROUND((Z14)*(1+'Data-CostAssumptions'!$G$3)^(AD14-'Data-CostAssumptions'!$G$4),-3)</f>
        <v>7251000</v>
      </c>
      <c r="AG14" s="170" t="str">
        <f t="shared" si="2"/>
        <v>No</v>
      </c>
    </row>
    <row r="15" spans="1:33" ht="15" customHeight="1" x14ac:dyDescent="0.2">
      <c r="A15" s="12"/>
      <c r="B15" s="11" t="s">
        <v>1211</v>
      </c>
      <c r="C15" s="12"/>
      <c r="D15" s="84" t="s">
        <v>276</v>
      </c>
      <c r="E15" s="104">
        <v>130</v>
      </c>
      <c r="F15" s="104"/>
      <c r="G15" s="20">
        <v>1524</v>
      </c>
      <c r="H15" s="13" t="s">
        <v>2926</v>
      </c>
      <c r="I15" s="13" t="str">
        <f t="shared" si="0"/>
        <v>Almond Av (LAS OLAS Bl to POINSETTA ST)</v>
      </c>
      <c r="J15" s="12" t="s">
        <v>27</v>
      </c>
      <c r="K15" s="13" t="str">
        <f>VLOOKUP(J15,'Data-ProjectTypes'!A$3:B$13,2,FALSE)</f>
        <v>Program</v>
      </c>
      <c r="L15" s="12" t="s">
        <v>1642</v>
      </c>
      <c r="M15" s="105" t="s">
        <v>1997</v>
      </c>
      <c r="N15" s="12" t="s">
        <v>1675</v>
      </c>
      <c r="O15" s="12"/>
      <c r="P15" s="12"/>
      <c r="Q15" s="72">
        <v>0.11</v>
      </c>
      <c r="R15" s="23">
        <v>2635500</v>
      </c>
      <c r="Y15" s="12"/>
      <c r="Z15" s="71">
        <f>ROUND(R15*'Data-CostAssumptions'!$C$8,-3)</f>
        <v>2636000</v>
      </c>
      <c r="AA15" s="11">
        <f t="shared" si="1"/>
        <v>0</v>
      </c>
      <c r="AB15" s="11">
        <v>2041</v>
      </c>
      <c r="AC15" s="11">
        <v>2041</v>
      </c>
      <c r="AD15" s="11">
        <v>2041</v>
      </c>
      <c r="AE15" s="19">
        <f>ROUND((Z15*'Data-CostAssumptions'!$G$5)*(1+'Data-CostAssumptions'!$G$3)^(AB15-'Data-CostAssumptions'!$G$4),-3)</f>
        <v>1487000</v>
      </c>
      <c r="AF15" s="19">
        <f>ROUND((Z15)*(1+'Data-CostAssumptions'!$G$3)^(AD15-'Data-CostAssumptions'!$G$4),-3)</f>
        <v>6759000</v>
      </c>
      <c r="AG15" s="170" t="str">
        <f t="shared" si="2"/>
        <v>No</v>
      </c>
    </row>
    <row r="16" spans="1:33" ht="15" customHeight="1" x14ac:dyDescent="0.2">
      <c r="A16" s="12"/>
      <c r="B16" s="11" t="s">
        <v>1211</v>
      </c>
      <c r="C16" s="12"/>
      <c r="D16" s="84" t="s">
        <v>276</v>
      </c>
      <c r="E16" s="104">
        <v>70</v>
      </c>
      <c r="F16" s="104"/>
      <c r="G16" s="20">
        <v>1594</v>
      </c>
      <c r="H16" s="13" t="s">
        <v>2173</v>
      </c>
      <c r="I16" s="13" t="str">
        <f t="shared" si="0"/>
        <v>NW 9TH Av/POWER-LINE RD (PROSPECT RD to MCNAB Rd)</v>
      </c>
      <c r="J16" s="12" t="s">
        <v>27</v>
      </c>
      <c r="K16" s="13" t="str">
        <f>VLOOKUP(J16,'Data-ProjectTypes'!A$3:B$13,2,FALSE)</f>
        <v>Program</v>
      </c>
      <c r="L16" s="12" t="s">
        <v>1341</v>
      </c>
      <c r="M16" s="105" t="s">
        <v>1242</v>
      </c>
      <c r="N16" s="12" t="s">
        <v>2400</v>
      </c>
      <c r="O16" s="12"/>
      <c r="P16" s="12"/>
      <c r="Q16" s="72">
        <v>2</v>
      </c>
      <c r="R16" s="23">
        <v>1876950</v>
      </c>
      <c r="Y16" s="12"/>
      <c r="Z16" s="18">
        <f>ROUND(R16*'Data-CostAssumptions'!$C$3,-3)</f>
        <v>2598000</v>
      </c>
      <c r="AA16" s="11">
        <f t="shared" si="1"/>
        <v>0</v>
      </c>
      <c r="AB16" s="11">
        <v>2041</v>
      </c>
      <c r="AC16" s="11">
        <v>2041</v>
      </c>
      <c r="AD16" s="11">
        <v>2041</v>
      </c>
      <c r="AE16" s="19">
        <f>ROUND((Z16*'Data-CostAssumptions'!$G$5)*(1+'Data-CostAssumptions'!$G$3)^(AB16-'Data-CostAssumptions'!$G$4),-3)</f>
        <v>1465000</v>
      </c>
      <c r="AF16" s="19">
        <f>ROUND((Z16)*(1+'Data-CostAssumptions'!$G$3)^(AD16-'Data-CostAssumptions'!$G$4),-3)</f>
        <v>6661000</v>
      </c>
      <c r="AG16" s="170" t="str">
        <f t="shared" si="2"/>
        <v>No</v>
      </c>
    </row>
    <row r="17" spans="1:33" ht="15" customHeight="1" x14ac:dyDescent="0.2">
      <c r="A17" s="12"/>
      <c r="B17" s="11" t="s">
        <v>1211</v>
      </c>
      <c r="C17" s="12"/>
      <c r="D17" s="84" t="s">
        <v>276</v>
      </c>
      <c r="E17" s="104">
        <v>53</v>
      </c>
      <c r="F17" s="104"/>
      <c r="G17" s="20">
        <v>1574</v>
      </c>
      <c r="H17" s="13" t="s">
        <v>1240</v>
      </c>
      <c r="I17" s="13" t="str">
        <f t="shared" si="0"/>
        <v>NW 19TH ST (NW 33RD Av to SR 9/I-95)</v>
      </c>
      <c r="J17" s="12" t="s">
        <v>27</v>
      </c>
      <c r="K17" s="13" t="str">
        <f>VLOOKUP(J17,'Data-ProjectTypes'!A$3:B$13,2,FALSE)</f>
        <v>Program</v>
      </c>
      <c r="L17" s="12" t="s">
        <v>1345</v>
      </c>
      <c r="M17" s="105" t="s">
        <v>2169</v>
      </c>
      <c r="N17" s="12" t="s">
        <v>1445</v>
      </c>
      <c r="O17" s="12"/>
      <c r="P17" s="12"/>
      <c r="Q17" s="72">
        <v>1.4</v>
      </c>
      <c r="R17" s="23">
        <v>1854000</v>
      </c>
      <c r="Y17" s="12"/>
      <c r="Z17" s="18">
        <f>ROUND(R17*'Data-CostAssumptions'!$C$3,-3)</f>
        <v>2566000</v>
      </c>
      <c r="AA17" s="11">
        <f t="shared" si="1"/>
        <v>0</v>
      </c>
      <c r="AB17" s="11">
        <v>2041</v>
      </c>
      <c r="AC17" s="11">
        <v>2041</v>
      </c>
      <c r="AD17" s="11">
        <v>2041</v>
      </c>
      <c r="AE17" s="19">
        <f>ROUND((Z17*'Data-CostAssumptions'!$G$5)*(1+'Data-CostAssumptions'!$G$3)^(AB17-'Data-CostAssumptions'!$G$4),-3)</f>
        <v>1447000</v>
      </c>
      <c r="AF17" s="19">
        <f>ROUND((Z17)*(1+'Data-CostAssumptions'!$G$3)^(AD17-'Data-CostAssumptions'!$G$4),-3)</f>
        <v>6579000</v>
      </c>
      <c r="AG17" s="170" t="str">
        <f t="shared" si="2"/>
        <v>No</v>
      </c>
    </row>
    <row r="18" spans="1:33" ht="15" customHeight="1" x14ac:dyDescent="0.2">
      <c r="A18" s="12"/>
      <c r="B18" s="11" t="s">
        <v>1211</v>
      </c>
      <c r="C18" s="12"/>
      <c r="D18" s="84" t="s">
        <v>276</v>
      </c>
      <c r="E18" s="104">
        <v>124</v>
      </c>
      <c r="F18" s="104"/>
      <c r="G18" s="20">
        <v>1623</v>
      </c>
      <c r="H18" s="13" t="s">
        <v>2798</v>
      </c>
      <c r="I18" s="13" t="str">
        <f t="shared" si="0"/>
        <v>SR 842/Broward Bl (MULTIPLE to MULTIPLE)</v>
      </c>
      <c r="J18" s="12" t="s">
        <v>27</v>
      </c>
      <c r="K18" s="13" t="str">
        <f>VLOOKUP(J18,'Data-ProjectTypes'!A$3:B$13,2,FALSE)</f>
        <v>Program</v>
      </c>
      <c r="L18" s="12" t="s">
        <v>1638</v>
      </c>
      <c r="M18" s="105" t="s">
        <v>1670</v>
      </c>
      <c r="N18" s="12" t="s">
        <v>1670</v>
      </c>
      <c r="O18" s="12"/>
      <c r="P18" s="12"/>
      <c r="Q18" s="72"/>
      <c r="R18" s="23">
        <v>2523000</v>
      </c>
      <c r="Y18" s="12"/>
      <c r="Z18" s="18">
        <f>ROUND(R18*'Data-CostAssumptions'!$C$4,-3)</f>
        <v>2523000</v>
      </c>
      <c r="AA18" s="11">
        <f t="shared" si="1"/>
        <v>0</v>
      </c>
      <c r="AB18" s="11">
        <v>2041</v>
      </c>
      <c r="AC18" s="11">
        <v>2041</v>
      </c>
      <c r="AD18" s="11">
        <v>2041</v>
      </c>
      <c r="AE18" s="19">
        <f>ROUND((Z18*'Data-CostAssumptions'!$G$5)*(1+'Data-CostAssumptions'!$G$3)^(AB18-'Data-CostAssumptions'!$G$4),-3)</f>
        <v>1423000</v>
      </c>
      <c r="AF18" s="19">
        <f>ROUND((Z18)*(1+'Data-CostAssumptions'!$G$3)^(AD18-'Data-CostAssumptions'!$G$4),-3)</f>
        <v>6469000</v>
      </c>
      <c r="AG18" s="170" t="str">
        <f t="shared" si="2"/>
        <v>No</v>
      </c>
    </row>
    <row r="19" spans="1:33" ht="15" customHeight="1" x14ac:dyDescent="0.2">
      <c r="A19" s="12"/>
      <c r="B19" s="11" t="s">
        <v>1211</v>
      </c>
      <c r="C19" s="12"/>
      <c r="D19" s="84" t="s">
        <v>276</v>
      </c>
      <c r="E19" s="104">
        <v>78</v>
      </c>
      <c r="F19" s="104"/>
      <c r="G19" s="20">
        <v>1600</v>
      </c>
      <c r="H19" s="13" t="s">
        <v>1767</v>
      </c>
      <c r="I19" s="13" t="str">
        <f t="shared" si="0"/>
        <v>Riverland Rd (SR 7/US 441 to DAVIE Bl)</v>
      </c>
      <c r="J19" s="12" t="s">
        <v>27</v>
      </c>
      <c r="K19" s="13" t="str">
        <f>VLOOKUP(J19,'Data-ProjectTypes'!A$3:B$13,2,FALSE)</f>
        <v>Program</v>
      </c>
      <c r="L19" s="12" t="s">
        <v>1367</v>
      </c>
      <c r="M19" s="105" t="s">
        <v>57</v>
      </c>
      <c r="N19" s="12" t="s">
        <v>1991</v>
      </c>
      <c r="O19" s="12"/>
      <c r="P19" s="12"/>
      <c r="Q19" s="72">
        <v>2.6</v>
      </c>
      <c r="R19" s="23">
        <v>1822100</v>
      </c>
      <c r="Y19" s="12"/>
      <c r="Z19" s="18">
        <f>ROUND(R19*'Data-CostAssumptions'!$C$3,-3)</f>
        <v>2522000</v>
      </c>
      <c r="AA19" s="11">
        <f t="shared" si="1"/>
        <v>0</v>
      </c>
      <c r="AB19" s="11">
        <v>2041</v>
      </c>
      <c r="AC19" s="11">
        <v>2041</v>
      </c>
      <c r="AD19" s="11">
        <v>2041</v>
      </c>
      <c r="AE19" s="19">
        <f>ROUND((Z19*'Data-CostAssumptions'!$G$5)*(1+'Data-CostAssumptions'!$G$3)^(AB19-'Data-CostAssumptions'!$G$4),-3)</f>
        <v>1423000</v>
      </c>
      <c r="AF19" s="19">
        <f>ROUND((Z19)*(1+'Data-CostAssumptions'!$G$3)^(AD19-'Data-CostAssumptions'!$G$4),-3)</f>
        <v>6466000</v>
      </c>
      <c r="AG19" s="170" t="str">
        <f t="shared" si="2"/>
        <v>No</v>
      </c>
    </row>
    <row r="20" spans="1:33" ht="15" customHeight="1" x14ac:dyDescent="0.2">
      <c r="A20" s="12"/>
      <c r="B20" s="11" t="s">
        <v>1211</v>
      </c>
      <c r="C20" s="12"/>
      <c r="D20" s="84" t="s">
        <v>276</v>
      </c>
      <c r="E20" s="104">
        <v>74</v>
      </c>
      <c r="F20" s="104"/>
      <c r="G20" s="20">
        <v>1599</v>
      </c>
      <c r="H20" s="13" t="s">
        <v>1859</v>
      </c>
      <c r="I20" s="13" t="str">
        <f t="shared" si="0"/>
        <v>Prospect Rd (POWERLINE RD/SR 845 to COMMERCIAL Bl/SR 870)</v>
      </c>
      <c r="J20" s="12" t="s">
        <v>27</v>
      </c>
      <c r="K20" s="13" t="str">
        <f>VLOOKUP(J20,'Data-ProjectTypes'!A$3:B$13,2,FALSE)</f>
        <v>Program</v>
      </c>
      <c r="L20" s="12" t="s">
        <v>1361</v>
      </c>
      <c r="M20" s="105" t="s">
        <v>1451</v>
      </c>
      <c r="N20" s="12" t="s">
        <v>2308</v>
      </c>
      <c r="O20" s="12"/>
      <c r="P20" s="12"/>
      <c r="Q20" s="72">
        <v>1.5</v>
      </c>
      <c r="R20" s="23">
        <v>1695550</v>
      </c>
      <c r="Y20" s="12"/>
      <c r="Z20" s="18">
        <f>ROUND(R20*'Data-CostAssumptions'!$C$3,-3)</f>
        <v>2347000</v>
      </c>
      <c r="AA20" s="11">
        <f t="shared" si="1"/>
        <v>0</v>
      </c>
      <c r="AB20" s="11">
        <v>2041</v>
      </c>
      <c r="AC20" s="11">
        <v>2041</v>
      </c>
      <c r="AD20" s="11">
        <v>2041</v>
      </c>
      <c r="AE20" s="19">
        <f>ROUND((Z20*'Data-CostAssumptions'!$G$5)*(1+'Data-CostAssumptions'!$G$3)^(AB20-'Data-CostAssumptions'!$G$4),-3)</f>
        <v>1324000</v>
      </c>
      <c r="AF20" s="19">
        <f>ROUND((Z20)*(1+'Data-CostAssumptions'!$G$3)^(AD20-'Data-CostAssumptions'!$G$4),-3)</f>
        <v>6018000</v>
      </c>
      <c r="AG20" s="170" t="str">
        <f t="shared" si="2"/>
        <v>No</v>
      </c>
    </row>
    <row r="21" spans="1:33" ht="15" customHeight="1" x14ac:dyDescent="0.2">
      <c r="A21" s="12"/>
      <c r="B21" s="11" t="s">
        <v>1211</v>
      </c>
      <c r="C21" s="12"/>
      <c r="D21" s="84" t="s">
        <v>276</v>
      </c>
      <c r="E21" s="104">
        <v>57</v>
      </c>
      <c r="F21" s="104"/>
      <c r="G21" s="20">
        <v>1578</v>
      </c>
      <c r="H21" s="13" t="s">
        <v>2166</v>
      </c>
      <c r="I21" s="13" t="str">
        <f t="shared" si="0"/>
        <v>NW 23RD Av/NW 21ST Av (SR 838 / Sunrise Bl to NW 26TH ST)</v>
      </c>
      <c r="J21" s="12" t="s">
        <v>27</v>
      </c>
      <c r="K21" s="13" t="str">
        <f>VLOOKUP(J21,'Data-ProjectTypes'!A$3:B$13,2,FALSE)</f>
        <v>Program</v>
      </c>
      <c r="L21" s="12" t="s">
        <v>1351</v>
      </c>
      <c r="M21" s="105" t="s">
        <v>2686</v>
      </c>
      <c r="N21" s="12" t="s">
        <v>1241</v>
      </c>
      <c r="O21" s="12"/>
      <c r="P21" s="12"/>
      <c r="Q21" s="72">
        <v>1.9</v>
      </c>
      <c r="R21" s="23">
        <v>1663000</v>
      </c>
      <c r="Y21" s="12"/>
      <c r="Z21" s="18">
        <f>ROUND(R21*'Data-CostAssumptions'!$C$3,-3)</f>
        <v>2302000</v>
      </c>
      <c r="AA21" s="11">
        <f t="shared" si="1"/>
        <v>0</v>
      </c>
      <c r="AB21" s="11">
        <v>2041</v>
      </c>
      <c r="AC21" s="11">
        <v>2041</v>
      </c>
      <c r="AD21" s="11">
        <v>2041</v>
      </c>
      <c r="AE21" s="19">
        <f>ROUND((Z21*'Data-CostAssumptions'!$G$5)*(1+'Data-CostAssumptions'!$G$3)^(AB21-'Data-CostAssumptions'!$G$4),-3)</f>
        <v>1298000</v>
      </c>
      <c r="AF21" s="19">
        <f>ROUND((Z21)*(1+'Data-CostAssumptions'!$G$3)^(AD21-'Data-CostAssumptions'!$G$4),-3)</f>
        <v>5902000</v>
      </c>
      <c r="AG21" s="170" t="str">
        <f t="shared" si="2"/>
        <v>No</v>
      </c>
    </row>
    <row r="22" spans="1:33" ht="15" customHeight="1" x14ac:dyDescent="0.2">
      <c r="A22" s="12"/>
      <c r="B22" s="11" t="s">
        <v>1211</v>
      </c>
      <c r="C22" s="12"/>
      <c r="D22" s="84" t="s">
        <v>276</v>
      </c>
      <c r="E22" s="104">
        <v>60</v>
      </c>
      <c r="F22" s="104"/>
      <c r="G22" s="20">
        <v>1583</v>
      </c>
      <c r="H22" s="13" t="s">
        <v>2167</v>
      </c>
      <c r="I22" s="13" t="str">
        <f t="shared" si="0"/>
        <v>NW 31ST Av (NW 26TH ST  to NW 13TH ST)</v>
      </c>
      <c r="J22" s="12" t="s">
        <v>27</v>
      </c>
      <c r="K22" s="13" t="str">
        <f>VLOOKUP(J22,'Data-ProjectTypes'!A$3:B$13,2,FALSE)</f>
        <v>Program</v>
      </c>
      <c r="L22" s="12" t="s">
        <v>1358</v>
      </c>
      <c r="M22" s="105" t="s">
        <v>1450</v>
      </c>
      <c r="N22" s="12" t="s">
        <v>1449</v>
      </c>
      <c r="O22" s="12"/>
      <c r="P22" s="12"/>
      <c r="Q22" s="72">
        <v>1.1000000000000001</v>
      </c>
      <c r="R22" s="23">
        <v>1559250</v>
      </c>
      <c r="Y22" s="12"/>
      <c r="Z22" s="18">
        <f>ROUND(R22*'Data-CostAssumptions'!$C$3,-3)</f>
        <v>2158000</v>
      </c>
      <c r="AA22" s="11">
        <f t="shared" si="1"/>
        <v>0</v>
      </c>
      <c r="AB22" s="11">
        <v>2041</v>
      </c>
      <c r="AC22" s="11">
        <v>2041</v>
      </c>
      <c r="AD22" s="11">
        <v>2041</v>
      </c>
      <c r="AE22" s="19">
        <f>ROUND((Z22*'Data-CostAssumptions'!$G$5)*(1+'Data-CostAssumptions'!$G$3)^(AB22-'Data-CostAssumptions'!$G$4),-3)</f>
        <v>1217000</v>
      </c>
      <c r="AF22" s="19">
        <f>ROUND((Z22)*(1+'Data-CostAssumptions'!$G$3)^(AD22-'Data-CostAssumptions'!$G$4),-3)</f>
        <v>5533000</v>
      </c>
      <c r="AG22" s="170" t="str">
        <f t="shared" si="2"/>
        <v>No</v>
      </c>
    </row>
    <row r="23" spans="1:33" ht="15" customHeight="1" x14ac:dyDescent="0.2">
      <c r="B23" s="11" t="s">
        <v>1211</v>
      </c>
      <c r="C23" s="11">
        <v>14000</v>
      </c>
      <c r="D23" s="84" t="s">
        <v>295</v>
      </c>
      <c r="E23" s="14"/>
      <c r="F23" s="14"/>
      <c r="G23" s="20">
        <v>1856</v>
      </c>
      <c r="H23" s="13" t="s">
        <v>2128</v>
      </c>
      <c r="I23" s="13" t="str">
        <f t="shared" si="0"/>
        <v>SW 56th Av (Pembroke Rd to Countyline Rd )</v>
      </c>
      <c r="J23" s="11" t="s">
        <v>27</v>
      </c>
      <c r="K23" s="13" t="str">
        <f>VLOOKUP(J23,'Data-ProjectTypes'!A$3:B$13,2,FALSE)</f>
        <v>Program</v>
      </c>
      <c r="L23" s="11" t="s">
        <v>1130</v>
      </c>
      <c r="M23" s="11" t="s">
        <v>1760</v>
      </c>
      <c r="N23" s="11" t="s">
        <v>2449</v>
      </c>
      <c r="O23" s="84" t="s">
        <v>295</v>
      </c>
      <c r="P23" s="84" t="s">
        <v>295</v>
      </c>
      <c r="Q23" s="15">
        <v>1.534</v>
      </c>
      <c r="R23" s="16">
        <v>2133626.34</v>
      </c>
      <c r="S23" s="12"/>
      <c r="T23" s="12"/>
      <c r="U23" s="12"/>
      <c r="V23" s="12"/>
      <c r="W23" s="12"/>
      <c r="X23" s="12"/>
      <c r="Y23" s="12"/>
      <c r="Z23" s="18">
        <f>ROUND(R23*'Data-CostAssumptions'!$C$8,-3)</f>
        <v>2134000</v>
      </c>
      <c r="AA23" s="11">
        <f t="shared" si="1"/>
        <v>0</v>
      </c>
      <c r="AB23" s="11">
        <v>2041</v>
      </c>
      <c r="AC23" s="11">
        <v>2041</v>
      </c>
      <c r="AD23" s="11">
        <v>2041</v>
      </c>
      <c r="AE23" s="19">
        <f>ROUND((Z23*'Data-CostAssumptions'!$G$5)*(1+'Data-CostAssumptions'!$G$3)^(AB23-'Data-CostAssumptions'!$G$4),-3)</f>
        <v>1204000</v>
      </c>
      <c r="AF23" s="19">
        <f>ROUND((Z23)*(1+'Data-CostAssumptions'!$G$3)^(AD23-'Data-CostAssumptions'!$G$4),-3)</f>
        <v>5471000</v>
      </c>
      <c r="AG23" s="170" t="str">
        <f t="shared" si="2"/>
        <v>No</v>
      </c>
    </row>
    <row r="24" spans="1:33" ht="15" customHeight="1" x14ac:dyDescent="0.2">
      <c r="B24" s="11" t="s">
        <v>1211</v>
      </c>
      <c r="D24" s="84" t="s">
        <v>276</v>
      </c>
      <c r="E24" s="14">
        <v>2</v>
      </c>
      <c r="F24" s="14"/>
      <c r="G24" s="20">
        <v>1526</v>
      </c>
      <c r="H24" s="13" t="s">
        <v>2014</v>
      </c>
      <c r="I24" s="13" t="str">
        <f t="shared" si="0"/>
        <v>Andrews Av (SE/SW 9TH ST to SUNRISE Bl)</v>
      </c>
      <c r="J24" s="11" t="s">
        <v>27</v>
      </c>
      <c r="K24" s="13" t="str">
        <f>VLOOKUP(J24,'Data-ProjectTypes'!A$3:B$13,2,FALSE)</f>
        <v>Program</v>
      </c>
      <c r="L24" s="11" t="s">
        <v>1253</v>
      </c>
      <c r="M24" s="106" t="s">
        <v>1420</v>
      </c>
      <c r="N24" s="84" t="s">
        <v>2002</v>
      </c>
      <c r="Q24" s="107">
        <v>1.8</v>
      </c>
      <c r="R24" s="23">
        <v>2057000</v>
      </c>
      <c r="Y24" s="12"/>
      <c r="Z24" s="71">
        <f>ROUND(R24*'Data-CostAssumptions'!$C$8,-3)</f>
        <v>2057000</v>
      </c>
      <c r="AA24" s="11">
        <f t="shared" si="1"/>
        <v>0</v>
      </c>
      <c r="AB24" s="11">
        <v>2041</v>
      </c>
      <c r="AC24" s="11">
        <v>2041</v>
      </c>
      <c r="AD24" s="11">
        <v>2041</v>
      </c>
      <c r="AE24" s="19">
        <f>ROUND((Z24*'Data-CostAssumptions'!$G$5)*(1+'Data-CostAssumptions'!$G$3)^(AB24-'Data-CostAssumptions'!$G$4),-3)</f>
        <v>1160000</v>
      </c>
      <c r="AF24" s="19">
        <f>ROUND((Z24)*(1+'Data-CostAssumptions'!$G$3)^(AD24-'Data-CostAssumptions'!$G$4),-3)</f>
        <v>5274000</v>
      </c>
      <c r="AG24" s="170" t="str">
        <f t="shared" si="2"/>
        <v>No</v>
      </c>
    </row>
    <row r="25" spans="1:33" ht="15" customHeight="1" x14ac:dyDescent="0.2">
      <c r="B25" s="11" t="s">
        <v>1211</v>
      </c>
      <c r="C25" s="11">
        <f>1+C24</f>
        <v>1</v>
      </c>
      <c r="D25" s="84" t="s">
        <v>295</v>
      </c>
      <c r="E25" s="14"/>
      <c r="F25" s="14"/>
      <c r="G25" s="20">
        <v>1855</v>
      </c>
      <c r="H25" s="13" t="s">
        <v>1958</v>
      </c>
      <c r="I25" s="13" t="str">
        <f t="shared" si="0"/>
        <v>SW 25th St (State Rd 7 (US 441) to S.W. 68th Av)</v>
      </c>
      <c r="J25" s="11" t="s">
        <v>27</v>
      </c>
      <c r="K25" s="13" t="str">
        <f>VLOOKUP(J25,'Data-ProjectTypes'!A$3:B$13,2,FALSE)</f>
        <v>Program</v>
      </c>
      <c r="L25" s="11" t="s">
        <v>1131</v>
      </c>
      <c r="M25" s="11" t="s">
        <v>2448</v>
      </c>
      <c r="N25" s="11" t="s">
        <v>2257</v>
      </c>
      <c r="O25" s="84" t="s">
        <v>295</v>
      </c>
      <c r="P25" s="84" t="s">
        <v>295</v>
      </c>
      <c r="Q25" s="15">
        <v>1.48</v>
      </c>
      <c r="R25" s="16">
        <v>2017999</v>
      </c>
      <c r="Y25" s="12"/>
      <c r="Z25" s="18">
        <f>ROUND(R25*'Data-CostAssumptions'!$C$8,-3)</f>
        <v>2018000</v>
      </c>
      <c r="AA25" s="11">
        <f t="shared" si="1"/>
        <v>0</v>
      </c>
      <c r="AB25" s="11">
        <v>2041</v>
      </c>
      <c r="AC25" s="11">
        <v>2041</v>
      </c>
      <c r="AD25" s="11">
        <v>2041</v>
      </c>
      <c r="AE25" s="19">
        <f>ROUND((Z25*'Data-CostAssumptions'!$G$5)*(1+'Data-CostAssumptions'!$G$3)^(AB25-'Data-CostAssumptions'!$G$4),-3)</f>
        <v>1138000</v>
      </c>
      <c r="AF25" s="19">
        <f>ROUND((Z25)*(1+'Data-CostAssumptions'!$G$3)^(AD25-'Data-CostAssumptions'!$G$4),-3)</f>
        <v>5174000</v>
      </c>
      <c r="AG25" s="170" t="str">
        <f t="shared" si="2"/>
        <v>No</v>
      </c>
    </row>
    <row r="26" spans="1:33" ht="15" customHeight="1" x14ac:dyDescent="0.2">
      <c r="B26" s="11" t="s">
        <v>1211</v>
      </c>
      <c r="C26" s="11">
        <v>12714</v>
      </c>
      <c r="D26" s="84" t="s">
        <v>278</v>
      </c>
      <c r="E26" s="14"/>
      <c r="F26" s="14"/>
      <c r="G26" s="20">
        <v>1848</v>
      </c>
      <c r="H26" s="13" t="s">
        <v>2728</v>
      </c>
      <c r="I26" s="13" t="str">
        <f t="shared" si="0"/>
        <v>SR 838/Sunrise Bl (Sawgrass Expressway (west) to Sawgrass Expressway (east))</v>
      </c>
      <c r="J26" s="152" t="s">
        <v>27</v>
      </c>
      <c r="K26" s="13" t="str">
        <f>VLOOKUP(J26,'Data-ProjectTypes'!A$3:B$13,2,FALSE)</f>
        <v>Program</v>
      </c>
      <c r="L26" s="152" t="s">
        <v>801</v>
      </c>
      <c r="M26" s="21" t="s">
        <v>1182</v>
      </c>
      <c r="N26" s="21" t="s">
        <v>1181</v>
      </c>
      <c r="Q26" s="150">
        <v>0.2</v>
      </c>
      <c r="R26" s="153">
        <v>2000000</v>
      </c>
      <c r="Y26" s="12"/>
      <c r="Z26" s="18">
        <f>ROUND(R26*'Data-CostAssumptions'!$C$8,-3)</f>
        <v>2000000</v>
      </c>
      <c r="AA26" s="11">
        <f t="shared" si="1"/>
        <v>0</v>
      </c>
      <c r="AB26" s="11">
        <v>2041</v>
      </c>
      <c r="AC26" s="11">
        <v>2041</v>
      </c>
      <c r="AD26" s="11">
        <v>2041</v>
      </c>
      <c r="AE26" s="19">
        <f>ROUND((Z26*'Data-CostAssumptions'!$G$5)*(1+'Data-CostAssumptions'!$G$3)^(AB26-'Data-CostAssumptions'!$G$4),-3)</f>
        <v>1128000</v>
      </c>
      <c r="AF26" s="19">
        <f>ROUND((Z26)*(1+'Data-CostAssumptions'!$G$3)^(AD26-'Data-CostAssumptions'!$G$4),-3)</f>
        <v>5128000</v>
      </c>
      <c r="AG26" s="170" t="str">
        <f t="shared" si="2"/>
        <v>No</v>
      </c>
    </row>
    <row r="27" spans="1:33" ht="15" customHeight="1" x14ac:dyDescent="0.2">
      <c r="B27" s="11" t="s">
        <v>1211</v>
      </c>
      <c r="C27" s="11">
        <v>12715</v>
      </c>
      <c r="D27" s="84" t="s">
        <v>278</v>
      </c>
      <c r="E27" s="14"/>
      <c r="F27" s="14"/>
      <c r="G27" s="20">
        <v>1849</v>
      </c>
      <c r="H27" s="13" t="s">
        <v>2803</v>
      </c>
      <c r="I27" s="13" t="str">
        <f t="shared" si="0"/>
        <v>SR 870/Commercial Bl (Sawgrass Expressway (west) to Sawgrass Expressway (east))</v>
      </c>
      <c r="J27" s="152" t="s">
        <v>27</v>
      </c>
      <c r="K27" s="13" t="str">
        <f>VLOOKUP(J27,'Data-ProjectTypes'!A$3:B$13,2,FALSE)</f>
        <v>Program</v>
      </c>
      <c r="L27" s="152" t="s">
        <v>801</v>
      </c>
      <c r="M27" s="21" t="s">
        <v>1182</v>
      </c>
      <c r="N27" s="21" t="s">
        <v>1181</v>
      </c>
      <c r="Q27" s="150">
        <v>0.2</v>
      </c>
      <c r="R27" s="153">
        <v>2000000</v>
      </c>
      <c r="Y27" s="12"/>
      <c r="Z27" s="18">
        <f>ROUND(R27*'Data-CostAssumptions'!$C$8,-3)</f>
        <v>2000000</v>
      </c>
      <c r="AA27" s="11">
        <f t="shared" si="1"/>
        <v>0</v>
      </c>
      <c r="AB27" s="11">
        <v>2041</v>
      </c>
      <c r="AC27" s="11">
        <v>2041</v>
      </c>
      <c r="AD27" s="11">
        <v>2041</v>
      </c>
      <c r="AE27" s="19">
        <f>ROUND((Z27*'Data-CostAssumptions'!$G$5)*(1+'Data-CostAssumptions'!$G$3)^(AB27-'Data-CostAssumptions'!$G$4),-3)</f>
        <v>1128000</v>
      </c>
      <c r="AF27" s="19">
        <f>ROUND((Z27)*(1+'Data-CostAssumptions'!$G$3)^(AD27-'Data-CostAssumptions'!$G$4),-3)</f>
        <v>5128000</v>
      </c>
      <c r="AG27" s="170" t="str">
        <f t="shared" si="2"/>
        <v>No</v>
      </c>
    </row>
    <row r="28" spans="1:33" ht="15" customHeight="1" x14ac:dyDescent="0.2">
      <c r="A28" s="12"/>
      <c r="B28" s="11" t="s">
        <v>1211</v>
      </c>
      <c r="C28" s="12"/>
      <c r="D28" s="84" t="s">
        <v>276</v>
      </c>
      <c r="E28" s="104">
        <v>26</v>
      </c>
      <c r="F28" s="104"/>
      <c r="G28" s="20">
        <v>1544</v>
      </c>
      <c r="H28" s="13" t="s">
        <v>1817</v>
      </c>
      <c r="I28" s="13" t="str">
        <f t="shared" si="0"/>
        <v>Eisenhower Bl (SE 17TH ST to ELLER DR)</v>
      </c>
      <c r="J28" s="12" t="s">
        <v>27</v>
      </c>
      <c r="K28" s="13" t="str">
        <f>VLOOKUP(J28,'Data-ProjectTypes'!A$3:B$13,2,FALSE)</f>
        <v>Program</v>
      </c>
      <c r="L28" s="12" t="s">
        <v>1293</v>
      </c>
      <c r="M28" s="105" t="s">
        <v>1245</v>
      </c>
      <c r="N28" s="12" t="s">
        <v>1434</v>
      </c>
      <c r="O28" s="12"/>
      <c r="P28" s="12"/>
      <c r="Q28" s="72">
        <v>2.4</v>
      </c>
      <c r="R28" s="23">
        <v>1939000</v>
      </c>
      <c r="Y28" s="12"/>
      <c r="Z28" s="71">
        <f>ROUND(R28*'Data-CostAssumptions'!$C$8,-3)</f>
        <v>1939000</v>
      </c>
      <c r="AA28" s="11">
        <f t="shared" si="1"/>
        <v>0</v>
      </c>
      <c r="AB28" s="11">
        <v>2041</v>
      </c>
      <c r="AC28" s="11">
        <v>2041</v>
      </c>
      <c r="AD28" s="11">
        <v>2041</v>
      </c>
      <c r="AE28" s="19">
        <f>ROUND((Z28*'Data-CostAssumptions'!$G$5)*(1+'Data-CostAssumptions'!$G$3)^(AB28-'Data-CostAssumptions'!$G$4),-3)</f>
        <v>1094000</v>
      </c>
      <c r="AF28" s="19">
        <f>ROUND((Z28)*(1+'Data-CostAssumptions'!$G$3)^(AD28-'Data-CostAssumptions'!$G$4),-3)</f>
        <v>4971000</v>
      </c>
      <c r="AG28" s="170" t="str">
        <f t="shared" si="2"/>
        <v>No</v>
      </c>
    </row>
    <row r="29" spans="1:33" ht="15" customHeight="1" x14ac:dyDescent="0.2">
      <c r="B29" s="11" t="s">
        <v>1211</v>
      </c>
      <c r="D29" s="84" t="s">
        <v>276</v>
      </c>
      <c r="E29" s="14">
        <v>4</v>
      </c>
      <c r="F29" s="14"/>
      <c r="G29" s="20">
        <v>1525</v>
      </c>
      <c r="H29" s="13" t="s">
        <v>2014</v>
      </c>
      <c r="I29" s="13" t="str">
        <f t="shared" si="0"/>
        <v>Andrews Av (NE 60th ST to MCNAB Rd)</v>
      </c>
      <c r="J29" s="11" t="s">
        <v>27</v>
      </c>
      <c r="K29" s="13" t="str">
        <f>VLOOKUP(J29,'Data-ProjectTypes'!A$3:B$13,2,FALSE)</f>
        <v>Program</v>
      </c>
      <c r="L29" s="11" t="s">
        <v>1256</v>
      </c>
      <c r="M29" s="106" t="s">
        <v>1421</v>
      </c>
      <c r="N29" s="84" t="s">
        <v>2400</v>
      </c>
      <c r="Q29" s="107">
        <v>0.8</v>
      </c>
      <c r="R29" s="23">
        <v>1836000</v>
      </c>
      <c r="Y29" s="12"/>
      <c r="Z29" s="71">
        <f>ROUND(R29*'Data-CostAssumptions'!$C$8,-3)</f>
        <v>1836000</v>
      </c>
      <c r="AA29" s="11">
        <f t="shared" si="1"/>
        <v>0</v>
      </c>
      <c r="AB29" s="11">
        <v>2041</v>
      </c>
      <c r="AC29" s="11">
        <v>2041</v>
      </c>
      <c r="AD29" s="11">
        <v>2041</v>
      </c>
      <c r="AE29" s="19">
        <f>ROUND((Z29*'Data-CostAssumptions'!$G$5)*(1+'Data-CostAssumptions'!$G$3)^(AB29-'Data-CostAssumptions'!$G$4),-3)</f>
        <v>1036000</v>
      </c>
      <c r="AF29" s="19">
        <f>ROUND((Z29)*(1+'Data-CostAssumptions'!$G$3)^(AD29-'Data-CostAssumptions'!$G$4),-3)</f>
        <v>4707000</v>
      </c>
      <c r="AG29" s="170" t="str">
        <f t="shared" si="2"/>
        <v>No</v>
      </c>
    </row>
    <row r="30" spans="1:33" ht="15" customHeight="1" x14ac:dyDescent="0.2">
      <c r="A30" s="12"/>
      <c r="B30" s="11" t="s">
        <v>1211</v>
      </c>
      <c r="C30" s="12"/>
      <c r="D30" s="84" t="s">
        <v>276</v>
      </c>
      <c r="E30" s="104">
        <v>69</v>
      </c>
      <c r="F30" s="104"/>
      <c r="G30" s="20">
        <v>1593</v>
      </c>
      <c r="H30" s="13" t="s">
        <v>2172</v>
      </c>
      <c r="I30" s="13" t="str">
        <f t="shared" si="0"/>
        <v>NW 9TH Av/POWERLINE RD (SUNRISE Bl to NW 23RD ST)</v>
      </c>
      <c r="J30" s="12" t="s">
        <v>27</v>
      </c>
      <c r="K30" s="13" t="str">
        <f>VLOOKUP(J30,'Data-ProjectTypes'!A$3:B$13,2,FALSE)</f>
        <v>Program</v>
      </c>
      <c r="L30" s="12" t="s">
        <v>1341</v>
      </c>
      <c r="M30" s="105" t="s">
        <v>2002</v>
      </c>
      <c r="N30" s="12" t="s">
        <v>1444</v>
      </c>
      <c r="O30" s="12"/>
      <c r="P30" s="12"/>
      <c r="Q30" s="72">
        <v>1.4</v>
      </c>
      <c r="R30" s="23">
        <v>1312650</v>
      </c>
      <c r="Y30" s="12"/>
      <c r="Z30" s="18">
        <f>ROUND(R30*'Data-CostAssumptions'!$C$3,-3)</f>
        <v>1817000</v>
      </c>
      <c r="AA30" s="11">
        <f t="shared" si="1"/>
        <v>0</v>
      </c>
      <c r="AB30" s="11">
        <v>2041</v>
      </c>
      <c r="AC30" s="11">
        <v>2041</v>
      </c>
      <c r="AD30" s="11">
        <v>2041</v>
      </c>
      <c r="AE30" s="19">
        <f>ROUND((Z30*'Data-CostAssumptions'!$G$5)*(1+'Data-CostAssumptions'!$G$3)^(AB30-'Data-CostAssumptions'!$G$4),-3)</f>
        <v>1025000</v>
      </c>
      <c r="AF30" s="19">
        <f>ROUND((Z30)*(1+'Data-CostAssumptions'!$G$3)^(AD30-'Data-CostAssumptions'!$G$4),-3)</f>
        <v>4659000</v>
      </c>
      <c r="AG30" s="170" t="str">
        <f t="shared" si="2"/>
        <v>No</v>
      </c>
    </row>
    <row r="31" spans="1:33" ht="15" customHeight="1" x14ac:dyDescent="0.2">
      <c r="A31" s="12"/>
      <c r="B31" s="11" t="s">
        <v>1211</v>
      </c>
      <c r="C31" s="12"/>
      <c r="D31" s="84" t="s">
        <v>276</v>
      </c>
      <c r="E31" s="104">
        <v>50</v>
      </c>
      <c r="F31" s="104"/>
      <c r="G31" s="20">
        <v>1570</v>
      </c>
      <c r="H31" s="13" t="s">
        <v>1904</v>
      </c>
      <c r="I31" s="13" t="str">
        <f t="shared" si="0"/>
        <v>NE/NW 13TH St (NW 9TH Av/POWER-LINE RD to US 1/FEDERAL HWY)</v>
      </c>
      <c r="J31" s="12" t="s">
        <v>27</v>
      </c>
      <c r="K31" s="13" t="str">
        <f>VLOOKUP(J31,'Data-ProjectTypes'!A$3:B$13,2,FALSE)</f>
        <v>Program</v>
      </c>
      <c r="L31" s="12" t="s">
        <v>1311</v>
      </c>
      <c r="M31" s="105" t="s">
        <v>2173</v>
      </c>
      <c r="N31" s="12" t="s">
        <v>1442</v>
      </c>
      <c r="O31" s="12"/>
      <c r="P31" s="12"/>
      <c r="Q31" s="72">
        <v>2.1</v>
      </c>
      <c r="R31" s="23">
        <v>1792350</v>
      </c>
      <c r="Y31" s="12"/>
      <c r="Z31" s="18">
        <f>ROUND(R31*'Data-CostAssumptions'!$C$8,-3)</f>
        <v>1792000</v>
      </c>
      <c r="AA31" s="11">
        <f t="shared" si="1"/>
        <v>0</v>
      </c>
      <c r="AB31" s="11">
        <v>2041</v>
      </c>
      <c r="AC31" s="11">
        <v>2041</v>
      </c>
      <c r="AD31" s="11">
        <v>2041</v>
      </c>
      <c r="AE31" s="19">
        <f>ROUND((Z31*'Data-CostAssumptions'!$G$5)*(1+'Data-CostAssumptions'!$G$3)^(AB31-'Data-CostAssumptions'!$G$4),-3)</f>
        <v>1011000</v>
      </c>
      <c r="AF31" s="19">
        <f>ROUND((Z31)*(1+'Data-CostAssumptions'!$G$3)^(AD31-'Data-CostAssumptions'!$G$4),-3)</f>
        <v>4595000</v>
      </c>
      <c r="AG31" s="170" t="str">
        <f t="shared" si="2"/>
        <v>No</v>
      </c>
    </row>
    <row r="32" spans="1:33" ht="15" customHeight="1" x14ac:dyDescent="0.2">
      <c r="A32" s="12"/>
      <c r="B32" s="11" t="s">
        <v>1211</v>
      </c>
      <c r="C32" s="12"/>
      <c r="D32" s="84" t="s">
        <v>276</v>
      </c>
      <c r="E32" s="104">
        <v>75</v>
      </c>
      <c r="F32" s="104"/>
      <c r="G32" s="20">
        <v>1598</v>
      </c>
      <c r="H32" s="13" t="s">
        <v>1859</v>
      </c>
      <c r="I32" s="13" t="str">
        <f t="shared" si="0"/>
        <v>Prospect Rd (NW 31ST Av to SR 7/US 441)</v>
      </c>
      <c r="J32" s="12" t="s">
        <v>27</v>
      </c>
      <c r="K32" s="13" t="str">
        <f>VLOOKUP(J32,'Data-ProjectTypes'!A$3:B$13,2,FALSE)</f>
        <v>Program</v>
      </c>
      <c r="L32" s="12" t="s">
        <v>1365</v>
      </c>
      <c r="M32" s="105" t="s">
        <v>2167</v>
      </c>
      <c r="N32" s="12" t="s">
        <v>57</v>
      </c>
      <c r="O32" s="12"/>
      <c r="P32" s="12"/>
      <c r="Q32" s="72">
        <v>1</v>
      </c>
      <c r="R32" s="23">
        <v>1284550</v>
      </c>
      <c r="Y32" s="12"/>
      <c r="Z32" s="18">
        <f>ROUND(R32*'Data-CostAssumptions'!$C$3,-3)</f>
        <v>1778000</v>
      </c>
      <c r="AA32" s="11">
        <f t="shared" si="1"/>
        <v>0</v>
      </c>
      <c r="AB32" s="11">
        <v>2041</v>
      </c>
      <c r="AC32" s="11">
        <v>2041</v>
      </c>
      <c r="AD32" s="11">
        <v>2041</v>
      </c>
      <c r="AE32" s="19">
        <f>ROUND((Z32*'Data-CostAssumptions'!$G$5)*(1+'Data-CostAssumptions'!$G$3)^(AB32-'Data-CostAssumptions'!$G$4),-3)</f>
        <v>1003000</v>
      </c>
      <c r="AF32" s="19">
        <f>ROUND((Z32)*(1+'Data-CostAssumptions'!$G$3)^(AD32-'Data-CostAssumptions'!$G$4),-3)</f>
        <v>4559000</v>
      </c>
      <c r="AG32" s="170" t="str">
        <f t="shared" si="2"/>
        <v>No</v>
      </c>
    </row>
    <row r="33" spans="1:33" ht="15" customHeight="1" x14ac:dyDescent="0.2">
      <c r="B33" s="11" t="s">
        <v>1211</v>
      </c>
      <c r="C33" s="13">
        <v>370</v>
      </c>
      <c r="D33" s="13" t="s">
        <v>420</v>
      </c>
      <c r="E33" s="20">
        <v>151</v>
      </c>
      <c r="F33" s="20">
        <v>161</v>
      </c>
      <c r="G33" s="20">
        <v>581</v>
      </c>
      <c r="H33" s="13" t="s">
        <v>2080</v>
      </c>
      <c r="I33" s="13" t="str">
        <f t="shared" si="0"/>
        <v>NW 80th Av/Lagos De Campo Bl (Pine Island Rd to Nob Hill Rd)</v>
      </c>
      <c r="J33" s="13" t="s">
        <v>27</v>
      </c>
      <c r="K33" s="13" t="str">
        <f>VLOOKUP(J33,'Data-ProjectTypes'!A$3:B$13,2,FALSE)</f>
        <v>Program</v>
      </c>
      <c r="L33" s="21" t="s">
        <v>348</v>
      </c>
      <c r="M33" s="13" t="s">
        <v>266</v>
      </c>
      <c r="N33" s="13" t="s">
        <v>1755</v>
      </c>
      <c r="O33" s="13" t="s">
        <v>280</v>
      </c>
      <c r="P33" s="13" t="s">
        <v>280</v>
      </c>
      <c r="Q33" s="22">
        <v>3.5</v>
      </c>
      <c r="R33" s="23">
        <v>1269952</v>
      </c>
      <c r="S33" s="21" t="s">
        <v>24</v>
      </c>
      <c r="T33" s="21"/>
      <c r="U33" s="21"/>
      <c r="V33" s="24"/>
      <c r="W33" s="24" t="s">
        <v>552</v>
      </c>
      <c r="X33" s="24"/>
      <c r="Y33" s="17" t="s">
        <v>538</v>
      </c>
      <c r="Z33" s="18">
        <f>ROUND(R33*'Data-CostAssumptions'!$C$3,-3)</f>
        <v>1758000</v>
      </c>
      <c r="AA33" s="11">
        <f t="shared" si="1"/>
        <v>1</v>
      </c>
      <c r="AB33" s="11">
        <v>2041</v>
      </c>
      <c r="AC33" s="11">
        <v>2041</v>
      </c>
      <c r="AD33" s="11">
        <v>2041</v>
      </c>
      <c r="AE33" s="19">
        <f>ROUND((Z33*'Data-CostAssumptions'!$G$5)*(1+'Data-CostAssumptions'!$G$3)^(AB33-'Data-CostAssumptions'!$G$4),-3)</f>
        <v>992000</v>
      </c>
      <c r="AF33" s="19">
        <f>ROUND((Z33)*(1+'Data-CostAssumptions'!$G$3)^(AD33-'Data-CostAssumptions'!$G$4),-3)</f>
        <v>4507000</v>
      </c>
      <c r="AG33" s="170" t="str">
        <f t="shared" si="2"/>
        <v>No</v>
      </c>
    </row>
    <row r="34" spans="1:33" ht="15" customHeight="1" x14ac:dyDescent="0.2">
      <c r="A34" s="12"/>
      <c r="B34" s="11" t="s">
        <v>1211</v>
      </c>
      <c r="C34" s="12"/>
      <c r="D34" s="84" t="s">
        <v>276</v>
      </c>
      <c r="E34" s="104">
        <v>76</v>
      </c>
      <c r="F34" s="104"/>
      <c r="G34" s="20">
        <v>1597</v>
      </c>
      <c r="H34" s="13" t="s">
        <v>1859</v>
      </c>
      <c r="I34" s="13" t="str">
        <f t="shared" ref="I34:I65" si="3">IF(M34="@",H34&amp;" ("&amp;M34&amp;"  "&amp;N34&amp;")",H34&amp;" ("&amp;M34&amp;" to "&amp;N34&amp;")")</f>
        <v>Prospect Rd (COMMERCIAL Bl/SR 870 to NW 31ST Av)</v>
      </c>
      <c r="J34" s="12" t="s">
        <v>27</v>
      </c>
      <c r="K34" s="13" t="str">
        <f>VLOOKUP(J34,'Data-ProjectTypes'!A$3:B$13,2,FALSE)</f>
        <v>Program</v>
      </c>
      <c r="L34" s="12" t="s">
        <v>1363</v>
      </c>
      <c r="M34" s="105" t="s">
        <v>2308</v>
      </c>
      <c r="N34" s="12" t="s">
        <v>2167</v>
      </c>
      <c r="O34" s="12"/>
      <c r="P34" s="12"/>
      <c r="Q34" s="72">
        <v>1.2</v>
      </c>
      <c r="R34" s="23">
        <v>1267350</v>
      </c>
      <c r="Y34" s="12"/>
      <c r="Z34" s="18">
        <f>ROUND(R34*'Data-CostAssumptions'!$C$3,-3)</f>
        <v>1754000</v>
      </c>
      <c r="AA34" s="11">
        <f t="shared" si="1"/>
        <v>0</v>
      </c>
      <c r="AB34" s="11">
        <v>2041</v>
      </c>
      <c r="AC34" s="11">
        <v>2041</v>
      </c>
      <c r="AD34" s="11">
        <v>2041</v>
      </c>
      <c r="AE34" s="19">
        <f>ROUND((Z34*'Data-CostAssumptions'!$G$5)*(1+'Data-CostAssumptions'!$G$3)^(AB34-'Data-CostAssumptions'!$G$4),-3)</f>
        <v>989000</v>
      </c>
      <c r="AF34" s="19">
        <f>ROUND((Z34)*(1+'Data-CostAssumptions'!$G$3)^(AD34-'Data-CostAssumptions'!$G$4),-3)</f>
        <v>4497000</v>
      </c>
      <c r="AG34" s="170" t="str">
        <f t="shared" si="2"/>
        <v>No</v>
      </c>
    </row>
    <row r="35" spans="1:33" ht="15" customHeight="1" x14ac:dyDescent="0.2">
      <c r="B35" s="11" t="s">
        <v>1211</v>
      </c>
      <c r="D35" s="84" t="s">
        <v>276</v>
      </c>
      <c r="E35" s="14">
        <v>111</v>
      </c>
      <c r="F35" s="14"/>
      <c r="G35" s="20">
        <v>1537</v>
      </c>
      <c r="H35" s="13" t="s">
        <v>1842</v>
      </c>
      <c r="I35" s="13" t="str">
        <f t="shared" si="3"/>
        <v>Cypress Creek Rd (NW 21ST Av to TURNPIKE)</v>
      </c>
      <c r="J35" s="11" t="s">
        <v>27</v>
      </c>
      <c r="K35" s="13" t="str">
        <f>VLOOKUP(J35,'Data-ProjectTypes'!A$3:B$13,2,FALSE)</f>
        <v>Program</v>
      </c>
      <c r="L35" s="11" t="s">
        <v>1276</v>
      </c>
      <c r="M35" s="106" t="s">
        <v>2164</v>
      </c>
      <c r="N35" s="84" t="s">
        <v>1429</v>
      </c>
      <c r="Q35" s="107">
        <v>1.8</v>
      </c>
      <c r="R35" s="23">
        <v>1743300</v>
      </c>
      <c r="Y35" s="12"/>
      <c r="Z35" s="71">
        <f>ROUND(R35*'Data-CostAssumptions'!$C$8,-3)</f>
        <v>1743000</v>
      </c>
      <c r="AA35" s="11">
        <f t="shared" si="1"/>
        <v>0</v>
      </c>
      <c r="AB35" s="11">
        <v>2041</v>
      </c>
      <c r="AC35" s="11">
        <v>2041</v>
      </c>
      <c r="AD35" s="11">
        <v>2041</v>
      </c>
      <c r="AE35" s="19">
        <f>ROUND((Z35*'Data-CostAssumptions'!$G$5)*(1+'Data-CostAssumptions'!$G$3)^(AB35-'Data-CostAssumptions'!$G$4),-3)</f>
        <v>983000</v>
      </c>
      <c r="AF35" s="19">
        <f>ROUND((Z35)*(1+'Data-CostAssumptions'!$G$3)^(AD35-'Data-CostAssumptions'!$G$4),-3)</f>
        <v>4469000</v>
      </c>
      <c r="AG35" s="170" t="str">
        <f t="shared" si="2"/>
        <v>No</v>
      </c>
    </row>
    <row r="36" spans="1:33" ht="15" customHeight="1" x14ac:dyDescent="0.2">
      <c r="A36" s="12"/>
      <c r="B36" s="11" t="s">
        <v>1211</v>
      </c>
      <c r="C36" s="12"/>
      <c r="D36" s="84" t="s">
        <v>276</v>
      </c>
      <c r="E36" s="104">
        <v>35</v>
      </c>
      <c r="F36" s="104"/>
      <c r="G36" s="20">
        <v>1558</v>
      </c>
      <c r="H36" s="13" t="s">
        <v>2143</v>
      </c>
      <c r="I36" s="13" t="str">
        <f t="shared" si="3"/>
        <v>NE 15TH Av (SUNRISE Bl to NE 19TH ST)</v>
      </c>
      <c r="J36" s="12" t="s">
        <v>27</v>
      </c>
      <c r="K36" s="13" t="str">
        <f>VLOOKUP(J36,'Data-ProjectTypes'!A$3:B$13,2,FALSE)</f>
        <v>Program</v>
      </c>
      <c r="L36" s="12" t="s">
        <v>1313</v>
      </c>
      <c r="M36" s="105" t="s">
        <v>2002</v>
      </c>
      <c r="N36" s="12" t="s">
        <v>1439</v>
      </c>
      <c r="O36" s="12"/>
      <c r="P36" s="12"/>
      <c r="Q36" s="72">
        <v>1</v>
      </c>
      <c r="R36" s="23">
        <v>1726150</v>
      </c>
      <c r="Y36" s="12"/>
      <c r="Z36" s="18">
        <f>ROUND(R36*'Data-CostAssumptions'!$C$8,-3)</f>
        <v>1726000</v>
      </c>
      <c r="AA36" s="11">
        <f t="shared" si="1"/>
        <v>0</v>
      </c>
      <c r="AB36" s="11">
        <v>2041</v>
      </c>
      <c r="AC36" s="11">
        <v>2041</v>
      </c>
      <c r="AD36" s="11">
        <v>2041</v>
      </c>
      <c r="AE36" s="19">
        <f>ROUND((Z36*'Data-CostAssumptions'!$G$5)*(1+'Data-CostAssumptions'!$G$3)^(AB36-'Data-CostAssumptions'!$G$4),-3)</f>
        <v>974000</v>
      </c>
      <c r="AF36" s="19">
        <f>ROUND((Z36)*(1+'Data-CostAssumptions'!$G$3)^(AD36-'Data-CostAssumptions'!$G$4),-3)</f>
        <v>4425000</v>
      </c>
      <c r="AG36" s="170" t="str">
        <f t="shared" si="2"/>
        <v>No</v>
      </c>
    </row>
    <row r="37" spans="1:33" ht="15" customHeight="1" x14ac:dyDescent="0.2">
      <c r="A37" s="12"/>
      <c r="B37" s="11" t="s">
        <v>1211</v>
      </c>
      <c r="C37" s="12"/>
      <c r="D37" s="84" t="s">
        <v>276</v>
      </c>
      <c r="E37" s="104">
        <v>125</v>
      </c>
      <c r="F37" s="104"/>
      <c r="G37" s="20">
        <v>1548</v>
      </c>
      <c r="H37" s="13" t="s">
        <v>1823</v>
      </c>
      <c r="I37" s="13" t="str">
        <f t="shared" si="3"/>
        <v>Las Olas Bl (SR 5/US 1 to SR 5/US 1)</v>
      </c>
      <c r="J37" s="12" t="s">
        <v>27</v>
      </c>
      <c r="K37" s="13" t="str">
        <f>VLOOKUP(J37,'Data-ProjectTypes'!A$3:B$13,2,FALSE)</f>
        <v>Program</v>
      </c>
      <c r="L37" s="12" t="s">
        <v>1639</v>
      </c>
      <c r="M37" s="105" t="s">
        <v>1424</v>
      </c>
      <c r="N37" s="12" t="s">
        <v>1424</v>
      </c>
      <c r="O37" s="12"/>
      <c r="P37" s="12"/>
      <c r="Q37" s="72">
        <v>0.02</v>
      </c>
      <c r="R37" s="23">
        <v>1638000</v>
      </c>
      <c r="Y37" s="12"/>
      <c r="Z37" s="18">
        <f>ROUND(R37*'Data-CostAssumptions'!$C$8,-3)</f>
        <v>1638000</v>
      </c>
      <c r="AA37" s="11">
        <f t="shared" si="1"/>
        <v>0</v>
      </c>
      <c r="AB37" s="11">
        <v>2041</v>
      </c>
      <c r="AC37" s="11">
        <v>2041</v>
      </c>
      <c r="AD37" s="11">
        <v>2041</v>
      </c>
      <c r="AE37" s="19">
        <f>ROUND((Z37*'Data-CostAssumptions'!$G$5)*(1+'Data-CostAssumptions'!$G$3)^(AB37-'Data-CostAssumptions'!$G$4),-3)</f>
        <v>924000</v>
      </c>
      <c r="AF37" s="19">
        <f>ROUND((Z37)*(1+'Data-CostAssumptions'!$G$3)^(AD37-'Data-CostAssumptions'!$G$4),-3)</f>
        <v>4200000</v>
      </c>
      <c r="AG37" s="170" t="str">
        <f t="shared" si="2"/>
        <v>No</v>
      </c>
    </row>
    <row r="38" spans="1:33" ht="15" customHeight="1" x14ac:dyDescent="0.2">
      <c r="A38" s="12"/>
      <c r="B38" s="11" t="s">
        <v>1211</v>
      </c>
      <c r="C38" s="12"/>
      <c r="D38" s="84" t="s">
        <v>276</v>
      </c>
      <c r="E38" s="104">
        <v>22</v>
      </c>
      <c r="F38" s="104"/>
      <c r="G38" s="20">
        <v>1615</v>
      </c>
      <c r="H38" s="13" t="s">
        <v>2755</v>
      </c>
      <c r="I38" s="13" t="str">
        <f t="shared" si="3"/>
        <v>SR 811/Dixie Hwy (NE 13TH ST to NE 20TH DR)</v>
      </c>
      <c r="J38" s="12" t="s">
        <v>27</v>
      </c>
      <c r="K38" s="13" t="str">
        <f>VLOOKUP(J38,'Data-ProjectTypes'!A$3:B$13,2,FALSE)</f>
        <v>Program</v>
      </c>
      <c r="L38" s="12" t="s">
        <v>1285</v>
      </c>
      <c r="M38" s="105" t="s">
        <v>1432</v>
      </c>
      <c r="N38" s="12" t="s">
        <v>1431</v>
      </c>
      <c r="O38" s="12"/>
      <c r="P38" s="12"/>
      <c r="Q38" s="72">
        <v>0.9</v>
      </c>
      <c r="R38" s="23">
        <v>1154000</v>
      </c>
      <c r="Y38" s="12"/>
      <c r="Z38" s="71">
        <f>ROUND(R38*'Data-CostAssumptions'!$C$3,-3)</f>
        <v>1597000</v>
      </c>
      <c r="AA38" s="11">
        <f t="shared" si="1"/>
        <v>0</v>
      </c>
      <c r="AB38" s="11">
        <v>2041</v>
      </c>
      <c r="AC38" s="11">
        <v>2041</v>
      </c>
      <c r="AD38" s="11">
        <v>2041</v>
      </c>
      <c r="AE38" s="19">
        <f>ROUND((Z38*'Data-CostAssumptions'!$G$5)*(1+'Data-CostAssumptions'!$G$3)^(AB38-'Data-CostAssumptions'!$G$4),-3)</f>
        <v>901000</v>
      </c>
      <c r="AF38" s="19">
        <f>ROUND((Z38)*(1+'Data-CostAssumptions'!$G$3)^(AD38-'Data-CostAssumptions'!$G$4),-3)</f>
        <v>4095000</v>
      </c>
      <c r="AG38" s="170" t="str">
        <f t="shared" si="2"/>
        <v>No</v>
      </c>
    </row>
    <row r="39" spans="1:33" ht="15" customHeight="1" x14ac:dyDescent="0.2">
      <c r="A39" s="12"/>
      <c r="B39" s="11" t="s">
        <v>1211</v>
      </c>
      <c r="C39" s="12"/>
      <c r="D39" s="84" t="s">
        <v>276</v>
      </c>
      <c r="E39" s="104">
        <v>89</v>
      </c>
      <c r="F39" s="104"/>
      <c r="G39" s="20">
        <v>1614</v>
      </c>
      <c r="H39" s="13" t="s">
        <v>57</v>
      </c>
      <c r="I39" s="13" t="str">
        <f t="shared" si="3"/>
        <v>SR 7/US 441 (I-595 to DAVIE Bl)</v>
      </c>
      <c r="J39" s="12" t="s">
        <v>27</v>
      </c>
      <c r="K39" s="13" t="str">
        <f>VLOOKUP(J39,'Data-ProjectTypes'!A$3:B$13,2,FALSE)</f>
        <v>Program</v>
      </c>
      <c r="L39" s="12" t="s">
        <v>1384</v>
      </c>
      <c r="M39" s="105" t="s">
        <v>34</v>
      </c>
      <c r="N39" s="12" t="s">
        <v>1991</v>
      </c>
      <c r="O39" s="12"/>
      <c r="P39" s="12"/>
      <c r="Q39" s="72">
        <v>1.4</v>
      </c>
      <c r="R39" s="23">
        <v>1144550</v>
      </c>
      <c r="Y39" s="12"/>
      <c r="Z39" s="18">
        <f>ROUND(R39*'Data-CostAssumptions'!$C$3,-3)</f>
        <v>1584000</v>
      </c>
      <c r="AA39" s="11">
        <f t="shared" si="1"/>
        <v>0</v>
      </c>
      <c r="AB39" s="11">
        <v>2041</v>
      </c>
      <c r="AC39" s="11">
        <v>2041</v>
      </c>
      <c r="AD39" s="11">
        <v>2041</v>
      </c>
      <c r="AE39" s="19">
        <f>ROUND((Z39*'Data-CostAssumptions'!$G$5)*(1+'Data-CostAssumptions'!$G$3)^(AB39-'Data-CostAssumptions'!$G$4),-3)</f>
        <v>893000</v>
      </c>
      <c r="AF39" s="19">
        <f>ROUND((Z39)*(1+'Data-CostAssumptions'!$G$3)^(AD39-'Data-CostAssumptions'!$G$4),-3)</f>
        <v>4061000</v>
      </c>
      <c r="AG39" s="170" t="str">
        <f t="shared" si="2"/>
        <v>No</v>
      </c>
    </row>
    <row r="40" spans="1:33" ht="15" customHeight="1" x14ac:dyDescent="0.2">
      <c r="B40" s="11" t="s">
        <v>1211</v>
      </c>
      <c r="D40" s="84" t="s">
        <v>276</v>
      </c>
      <c r="E40" s="14">
        <v>1</v>
      </c>
      <c r="F40" s="14"/>
      <c r="G40" s="20">
        <v>1527</v>
      </c>
      <c r="H40" s="13" t="s">
        <v>2014</v>
      </c>
      <c r="I40" s="13" t="str">
        <f t="shared" si="3"/>
        <v>Andrews Av (SR 84/SW 24TH ST to SE/SW 9TH ST)</v>
      </c>
      <c r="J40" s="11" t="s">
        <v>27</v>
      </c>
      <c r="K40" s="13" t="str">
        <f>VLOOKUP(J40,'Data-ProjectTypes'!A$3:B$13,2,FALSE)</f>
        <v>Program</v>
      </c>
      <c r="L40" s="11" t="s">
        <v>1253</v>
      </c>
      <c r="M40" s="106" t="s">
        <v>1419</v>
      </c>
      <c r="N40" s="84" t="s">
        <v>1420</v>
      </c>
      <c r="Q40" s="107">
        <v>1.3</v>
      </c>
      <c r="R40" s="23">
        <v>1562000</v>
      </c>
      <c r="Y40" s="12"/>
      <c r="Z40" s="71">
        <f>ROUND(R40*'Data-CostAssumptions'!$C$8,-3)</f>
        <v>1562000</v>
      </c>
      <c r="AA40" s="11">
        <f t="shared" si="1"/>
        <v>0</v>
      </c>
      <c r="AB40" s="11">
        <v>2041</v>
      </c>
      <c r="AC40" s="11">
        <v>2041</v>
      </c>
      <c r="AD40" s="11">
        <v>2041</v>
      </c>
      <c r="AE40" s="19">
        <f>ROUND((Z40*'Data-CostAssumptions'!$G$5)*(1+'Data-CostAssumptions'!$G$3)^(AB40-'Data-CostAssumptions'!$G$4),-3)</f>
        <v>881000</v>
      </c>
      <c r="AF40" s="19">
        <f>ROUND((Z40)*(1+'Data-CostAssumptions'!$G$3)^(AD40-'Data-CostAssumptions'!$G$4),-3)</f>
        <v>4005000</v>
      </c>
      <c r="AG40" s="170" t="str">
        <f t="shared" si="2"/>
        <v>No</v>
      </c>
    </row>
    <row r="41" spans="1:33" ht="15" customHeight="1" x14ac:dyDescent="0.2">
      <c r="A41" s="12"/>
      <c r="B41" s="11" t="s">
        <v>1211</v>
      </c>
      <c r="C41" s="12"/>
      <c r="D41" s="84" t="s">
        <v>276</v>
      </c>
      <c r="E41" s="104">
        <v>59</v>
      </c>
      <c r="F41" s="104"/>
      <c r="G41" s="20">
        <v>1582</v>
      </c>
      <c r="H41" s="13" t="s">
        <v>2167</v>
      </c>
      <c r="I41" s="13" t="str">
        <f t="shared" si="3"/>
        <v>NW 31ST Av (COMMERCIAL Bl to CYPRESS CREEK RD/NW 62ND ST)</v>
      </c>
      <c r="J41" s="12" t="s">
        <v>27</v>
      </c>
      <c r="K41" s="13" t="str">
        <f>VLOOKUP(J41,'Data-ProjectTypes'!A$3:B$13,2,FALSE)</f>
        <v>Program</v>
      </c>
      <c r="L41" s="12" t="s">
        <v>1356</v>
      </c>
      <c r="M41" s="105" t="s">
        <v>1990</v>
      </c>
      <c r="N41" s="12" t="s">
        <v>1448</v>
      </c>
      <c r="O41" s="12"/>
      <c r="P41" s="12"/>
      <c r="Q41" s="72">
        <v>1.1000000000000001</v>
      </c>
      <c r="R41" s="23">
        <v>1077450</v>
      </c>
      <c r="Y41" s="12"/>
      <c r="Z41" s="18">
        <f>ROUND(R41*'Data-CostAssumptions'!$C$3,-3)</f>
        <v>1491000</v>
      </c>
      <c r="AA41" s="11">
        <f t="shared" si="1"/>
        <v>0</v>
      </c>
      <c r="AB41" s="11">
        <v>2041</v>
      </c>
      <c r="AC41" s="11">
        <v>2041</v>
      </c>
      <c r="AD41" s="11">
        <v>2041</v>
      </c>
      <c r="AE41" s="19">
        <f>ROUND((Z41*'Data-CostAssumptions'!$G$5)*(1+'Data-CostAssumptions'!$G$3)^(AB41-'Data-CostAssumptions'!$G$4),-3)</f>
        <v>841000</v>
      </c>
      <c r="AF41" s="19">
        <f>ROUND((Z41)*(1+'Data-CostAssumptions'!$G$3)^(AD41-'Data-CostAssumptions'!$G$4),-3)</f>
        <v>3823000</v>
      </c>
      <c r="AG41" s="170" t="str">
        <f t="shared" si="2"/>
        <v>No</v>
      </c>
    </row>
    <row r="42" spans="1:33" ht="15" customHeight="1" x14ac:dyDescent="0.2">
      <c r="A42" s="12"/>
      <c r="B42" s="11" t="s">
        <v>1211</v>
      </c>
      <c r="C42" s="12"/>
      <c r="D42" s="84" t="s">
        <v>276</v>
      </c>
      <c r="E42" s="104">
        <v>36</v>
      </c>
      <c r="F42" s="104"/>
      <c r="G42" s="20">
        <v>1559</v>
      </c>
      <c r="H42" s="13" t="s">
        <v>2146</v>
      </c>
      <c r="I42" s="13" t="str">
        <f t="shared" si="3"/>
        <v>NE 18TH Av (COMMERCIAL Bl to MCNAB Rd)</v>
      </c>
      <c r="J42" s="12" t="s">
        <v>27</v>
      </c>
      <c r="K42" s="13" t="str">
        <f>VLOOKUP(J42,'Data-ProjectTypes'!A$3:B$13,2,FALSE)</f>
        <v>Program</v>
      </c>
      <c r="L42" s="12" t="s">
        <v>1315</v>
      </c>
      <c r="M42" s="105" t="s">
        <v>1990</v>
      </c>
      <c r="N42" s="12" t="s">
        <v>2400</v>
      </c>
      <c r="O42" s="12"/>
      <c r="P42" s="12"/>
      <c r="Q42" s="72">
        <v>1.3</v>
      </c>
      <c r="R42" s="23">
        <v>1485000</v>
      </c>
      <c r="Y42" s="12"/>
      <c r="Z42" s="18">
        <f>ROUND(R42*'Data-CostAssumptions'!$C$8,-3)</f>
        <v>1485000</v>
      </c>
      <c r="AA42" s="11">
        <f t="shared" si="1"/>
        <v>0</v>
      </c>
      <c r="AB42" s="11">
        <v>2041</v>
      </c>
      <c r="AC42" s="11">
        <v>2041</v>
      </c>
      <c r="AD42" s="11">
        <v>2041</v>
      </c>
      <c r="AE42" s="19">
        <f>ROUND((Z42*'Data-CostAssumptions'!$G$5)*(1+'Data-CostAssumptions'!$G$3)^(AB42-'Data-CostAssumptions'!$G$4),-3)</f>
        <v>838000</v>
      </c>
      <c r="AF42" s="19">
        <f>ROUND((Z42)*(1+'Data-CostAssumptions'!$G$3)^(AD42-'Data-CostAssumptions'!$G$4),-3)</f>
        <v>3807000</v>
      </c>
      <c r="AG42" s="170" t="str">
        <f t="shared" si="2"/>
        <v>No</v>
      </c>
    </row>
    <row r="43" spans="1:33" ht="15" customHeight="1" x14ac:dyDescent="0.2">
      <c r="A43" s="12"/>
      <c r="B43" s="11" t="s">
        <v>1211</v>
      </c>
      <c r="C43" s="12"/>
      <c r="D43" s="84" t="s">
        <v>276</v>
      </c>
      <c r="E43" s="104">
        <v>87</v>
      </c>
      <c r="F43" s="104"/>
      <c r="G43" s="20">
        <v>1632</v>
      </c>
      <c r="H43" s="13" t="s">
        <v>110</v>
      </c>
      <c r="I43" s="13" t="str">
        <f t="shared" si="3"/>
        <v>SR A1A (LAS OLAS Bl to FLAMINGO Av)</v>
      </c>
      <c r="J43" s="12" t="s">
        <v>27</v>
      </c>
      <c r="K43" s="13" t="str">
        <f>VLOOKUP(J43,'Data-ProjectTypes'!A$3:B$13,2,FALSE)</f>
        <v>Program</v>
      </c>
      <c r="L43" s="12" t="s">
        <v>1380</v>
      </c>
      <c r="M43" s="105" t="s">
        <v>1997</v>
      </c>
      <c r="N43" s="12" t="s">
        <v>2630</v>
      </c>
      <c r="O43" s="12"/>
      <c r="P43" s="12"/>
      <c r="Q43" s="72">
        <v>4.4000000000000004</v>
      </c>
      <c r="R43" s="23">
        <v>1409000</v>
      </c>
      <c r="S43" s="81"/>
      <c r="T43" s="81"/>
      <c r="U43" s="81"/>
      <c r="V43" s="81"/>
      <c r="W43" s="81"/>
      <c r="X43" s="81"/>
      <c r="Y43" s="27" t="s">
        <v>1734</v>
      </c>
      <c r="Z43" s="18">
        <f>ROUND(R43*'Data-CostAssumptions'!$C$8,-3)</f>
        <v>1409000</v>
      </c>
      <c r="AA43" s="11">
        <f t="shared" si="1"/>
        <v>0</v>
      </c>
      <c r="AB43" s="11">
        <v>2041</v>
      </c>
      <c r="AC43" s="11">
        <v>2041</v>
      </c>
      <c r="AD43" s="11">
        <v>2041</v>
      </c>
      <c r="AE43" s="19">
        <f>ROUND((Z43*'Data-CostAssumptions'!$G$5)*(1+'Data-CostAssumptions'!$G$3)^(AB43-'Data-CostAssumptions'!$G$4),-3)</f>
        <v>795000</v>
      </c>
      <c r="AF43" s="19">
        <f>ROUND((Z43)*(1+'Data-CostAssumptions'!$G$3)^(AD43-'Data-CostAssumptions'!$G$4),-3)</f>
        <v>3613000</v>
      </c>
      <c r="AG43" s="170" t="str">
        <f t="shared" si="2"/>
        <v>No</v>
      </c>
    </row>
    <row r="44" spans="1:33" ht="15" customHeight="1" x14ac:dyDescent="0.2">
      <c r="A44" s="12"/>
      <c r="B44" s="11" t="s">
        <v>1211</v>
      </c>
      <c r="C44" s="12"/>
      <c r="D44" s="84" t="s">
        <v>276</v>
      </c>
      <c r="E44" s="104">
        <v>80</v>
      </c>
      <c r="F44" s="104"/>
      <c r="G44" s="20">
        <v>1602</v>
      </c>
      <c r="H44" s="13" t="s">
        <v>1245</v>
      </c>
      <c r="I44" s="13" t="str">
        <f t="shared" si="3"/>
        <v>SE 17TH ST (US 1 to EISENHOWER Bl)</v>
      </c>
      <c r="J44" s="12" t="s">
        <v>27</v>
      </c>
      <c r="K44" s="13" t="str">
        <f>VLOOKUP(J44,'Data-ProjectTypes'!A$3:B$13,2,FALSE)</f>
        <v>Program</v>
      </c>
      <c r="L44" s="12" t="s">
        <v>1376</v>
      </c>
      <c r="M44" s="105" t="s">
        <v>98</v>
      </c>
      <c r="N44" s="12" t="s">
        <v>1993</v>
      </c>
      <c r="O44" s="12"/>
      <c r="P44" s="12"/>
      <c r="Q44" s="72">
        <v>0.8</v>
      </c>
      <c r="R44" s="23">
        <v>1008000</v>
      </c>
      <c r="Y44" s="12"/>
      <c r="Z44" s="18">
        <f>ROUND(R44*'Data-CostAssumptions'!$C$3,-3)</f>
        <v>1395000</v>
      </c>
      <c r="AA44" s="11">
        <f t="shared" si="1"/>
        <v>0</v>
      </c>
      <c r="AB44" s="11">
        <v>2041</v>
      </c>
      <c r="AC44" s="11">
        <v>2041</v>
      </c>
      <c r="AD44" s="11">
        <v>2041</v>
      </c>
      <c r="AE44" s="19">
        <f>ROUND((Z44*'Data-CostAssumptions'!$G$5)*(1+'Data-CostAssumptions'!$G$3)^(AB44-'Data-CostAssumptions'!$G$4),-3)</f>
        <v>787000</v>
      </c>
      <c r="AF44" s="19">
        <f>ROUND((Z44)*(1+'Data-CostAssumptions'!$G$3)^(AD44-'Data-CostAssumptions'!$G$4),-3)</f>
        <v>3577000</v>
      </c>
      <c r="AG44" s="170" t="str">
        <f t="shared" si="2"/>
        <v>No</v>
      </c>
    </row>
    <row r="45" spans="1:33" ht="15" customHeight="1" x14ac:dyDescent="0.2">
      <c r="B45" s="11" t="s">
        <v>1211</v>
      </c>
      <c r="C45" s="13">
        <v>373</v>
      </c>
      <c r="D45" s="13" t="s">
        <v>420</v>
      </c>
      <c r="E45" s="20">
        <v>192</v>
      </c>
      <c r="F45" s="20">
        <v>161</v>
      </c>
      <c r="G45" s="20">
        <v>584</v>
      </c>
      <c r="H45" s="13" t="s">
        <v>1951</v>
      </c>
      <c r="I45" s="13" t="str">
        <f t="shared" si="3"/>
        <v>Sheridan St (Flamingo Rd to Just west of I-75 west ramps)</v>
      </c>
      <c r="J45" s="13" t="s">
        <v>27</v>
      </c>
      <c r="K45" s="13" t="str">
        <f>VLOOKUP(J45,'Data-ProjectTypes'!A$3:B$13,2,FALSE)</f>
        <v>Program</v>
      </c>
      <c r="L45" s="21" t="s">
        <v>348</v>
      </c>
      <c r="M45" s="13" t="s">
        <v>159</v>
      </c>
      <c r="N45" s="13" t="s">
        <v>94</v>
      </c>
      <c r="O45" s="13" t="s">
        <v>273</v>
      </c>
      <c r="P45" s="13" t="s">
        <v>273</v>
      </c>
      <c r="Q45" s="22">
        <v>2.8</v>
      </c>
      <c r="R45" s="23">
        <v>992795</v>
      </c>
      <c r="S45" s="21" t="s">
        <v>24</v>
      </c>
      <c r="T45" s="21"/>
      <c r="U45" s="21"/>
      <c r="V45" s="24"/>
      <c r="W45" s="24" t="s">
        <v>552</v>
      </c>
      <c r="X45" s="28"/>
      <c r="Y45" s="17" t="s">
        <v>538</v>
      </c>
      <c r="Z45" s="18">
        <f>ROUND(R45*'Data-CostAssumptions'!$C$3,-3)</f>
        <v>1374000</v>
      </c>
      <c r="AA45" s="11">
        <f t="shared" si="1"/>
        <v>1</v>
      </c>
      <c r="AB45" s="11">
        <v>2041</v>
      </c>
      <c r="AC45" s="11">
        <v>2041</v>
      </c>
      <c r="AD45" s="11">
        <v>2041</v>
      </c>
      <c r="AE45" s="19">
        <f>ROUND((Z45*'Data-CostAssumptions'!$G$5)*(1+'Data-CostAssumptions'!$G$3)^(AB45-'Data-CostAssumptions'!$G$4),-3)</f>
        <v>775000</v>
      </c>
      <c r="AF45" s="19">
        <f>ROUND((Z45)*(1+'Data-CostAssumptions'!$G$3)^(AD45-'Data-CostAssumptions'!$G$4),-3)</f>
        <v>3523000</v>
      </c>
      <c r="AG45" s="170" t="str">
        <f t="shared" si="2"/>
        <v>No</v>
      </c>
    </row>
    <row r="46" spans="1:33" ht="15" customHeight="1" x14ac:dyDescent="0.2">
      <c r="B46" s="11" t="s">
        <v>1211</v>
      </c>
      <c r="C46" s="11">
        <v>14002</v>
      </c>
      <c r="D46" s="84" t="s">
        <v>295</v>
      </c>
      <c r="E46" s="14"/>
      <c r="F46" s="14"/>
      <c r="G46" s="20">
        <v>1857</v>
      </c>
      <c r="H46" s="13" t="s">
        <v>2124</v>
      </c>
      <c r="I46" s="13" t="str">
        <f t="shared" si="3"/>
        <v>SW 40th Av (S.W. 20th Court (southbound) to S.W. 25th St)</v>
      </c>
      <c r="J46" s="11" t="s">
        <v>27</v>
      </c>
      <c r="K46" s="13" t="str">
        <f>VLOOKUP(J46,'Data-ProjectTypes'!A$3:B$13,2,FALSE)</f>
        <v>Program</v>
      </c>
      <c r="L46" s="11" t="s">
        <v>1132</v>
      </c>
      <c r="M46" s="11" t="s">
        <v>1136</v>
      </c>
      <c r="N46" s="11" t="s">
        <v>1937</v>
      </c>
      <c r="O46" s="84" t="s">
        <v>295</v>
      </c>
      <c r="P46" s="84" t="s">
        <v>295</v>
      </c>
      <c r="Q46" s="15">
        <v>1.54</v>
      </c>
      <c r="R46" s="16">
        <v>1319000</v>
      </c>
      <c r="S46" s="12"/>
      <c r="T46" s="12"/>
      <c r="U46" s="12"/>
      <c r="V46" s="12"/>
      <c r="W46" s="12"/>
      <c r="X46" s="12"/>
      <c r="Y46" s="12"/>
      <c r="Z46" s="18">
        <f>ROUND(R46*'Data-CostAssumptions'!$C$8,-3)</f>
        <v>1319000</v>
      </c>
      <c r="AA46" s="11">
        <f t="shared" si="1"/>
        <v>0</v>
      </c>
      <c r="AB46" s="11">
        <v>2041</v>
      </c>
      <c r="AC46" s="11">
        <v>2041</v>
      </c>
      <c r="AD46" s="11">
        <v>2041</v>
      </c>
      <c r="AE46" s="19">
        <f>ROUND((Z46*'Data-CostAssumptions'!$G$5)*(1+'Data-CostAssumptions'!$G$3)^(AB46-'Data-CostAssumptions'!$G$4),-3)</f>
        <v>744000</v>
      </c>
      <c r="AF46" s="19">
        <f>ROUND((Z46)*(1+'Data-CostAssumptions'!$G$3)^(AD46-'Data-CostAssumptions'!$G$4),-3)</f>
        <v>3382000</v>
      </c>
      <c r="AG46" s="170" t="str">
        <f t="shared" si="2"/>
        <v>No</v>
      </c>
    </row>
    <row r="47" spans="1:33" ht="15" customHeight="1" x14ac:dyDescent="0.2">
      <c r="B47" s="11" t="s">
        <v>1211</v>
      </c>
      <c r="C47" s="13">
        <v>422</v>
      </c>
      <c r="D47" s="13" t="s">
        <v>420</v>
      </c>
      <c r="E47" s="20">
        <v>100</v>
      </c>
      <c r="F47" s="20">
        <v>164</v>
      </c>
      <c r="G47" s="20">
        <v>631</v>
      </c>
      <c r="H47" s="13" t="s">
        <v>2029</v>
      </c>
      <c r="I47" s="13" t="str">
        <f t="shared" si="3"/>
        <v>NE 23rd Av (NE 24th St to NE 22nd Av)</v>
      </c>
      <c r="J47" s="13" t="s">
        <v>27</v>
      </c>
      <c r="K47" s="13" t="str">
        <f>VLOOKUP(J47,'Data-ProjectTypes'!A$3:B$13,2,FALSE)</f>
        <v>Program</v>
      </c>
      <c r="L47" s="21" t="s">
        <v>348</v>
      </c>
      <c r="M47" s="13" t="s">
        <v>2511</v>
      </c>
      <c r="N47" s="13" t="s">
        <v>2217</v>
      </c>
      <c r="O47" s="13" t="s">
        <v>272</v>
      </c>
      <c r="P47" s="13" t="s">
        <v>272</v>
      </c>
      <c r="Q47" s="22">
        <v>2.6</v>
      </c>
      <c r="R47" s="23">
        <v>943441</v>
      </c>
      <c r="S47" s="21" t="s">
        <v>24</v>
      </c>
      <c r="T47" s="21" t="s">
        <v>684</v>
      </c>
      <c r="U47" s="21" t="s">
        <v>684</v>
      </c>
      <c r="V47" s="24"/>
      <c r="W47" s="24"/>
      <c r="X47" s="24"/>
      <c r="Y47" s="17" t="s">
        <v>685</v>
      </c>
      <c r="Z47" s="18">
        <f>ROUND(R47*'Data-CostAssumptions'!$C$3,-3)</f>
        <v>1306000</v>
      </c>
      <c r="AA47" s="11">
        <f t="shared" si="1"/>
        <v>0</v>
      </c>
      <c r="AB47" s="11">
        <v>2041</v>
      </c>
      <c r="AC47" s="11">
        <v>2041</v>
      </c>
      <c r="AD47" s="11">
        <v>2041</v>
      </c>
      <c r="AE47" s="19">
        <f>ROUND((Z47*'Data-CostAssumptions'!$G$5)*(1+'Data-CostAssumptions'!$G$3)^(AB47-'Data-CostAssumptions'!$G$4),-3)</f>
        <v>737000</v>
      </c>
      <c r="AF47" s="19">
        <f>ROUND((Z47)*(1+'Data-CostAssumptions'!$G$3)^(AD47-'Data-CostAssumptions'!$G$4),-3)</f>
        <v>3349000</v>
      </c>
      <c r="AG47" s="170" t="str">
        <f t="shared" si="2"/>
        <v>No</v>
      </c>
    </row>
    <row r="48" spans="1:33" ht="15" customHeight="1" x14ac:dyDescent="0.2">
      <c r="A48" s="12"/>
      <c r="B48" s="11" t="s">
        <v>1211</v>
      </c>
      <c r="C48" s="12"/>
      <c r="D48" s="84" t="s">
        <v>276</v>
      </c>
      <c r="E48" s="104">
        <v>102</v>
      </c>
      <c r="F48" s="104"/>
      <c r="G48" s="20">
        <v>1644</v>
      </c>
      <c r="H48" s="13" t="s">
        <v>1250</v>
      </c>
      <c r="I48" s="13" t="str">
        <f t="shared" si="3"/>
        <v>SW/SE 17TH ST (SW 4TH Av to US 1/SR 5)</v>
      </c>
      <c r="J48" s="12" t="s">
        <v>27</v>
      </c>
      <c r="K48" s="13" t="str">
        <f>VLOOKUP(J48,'Data-ProjectTypes'!A$3:B$13,2,FALSE)</f>
        <v>Program</v>
      </c>
      <c r="L48" s="12" t="s">
        <v>1404</v>
      </c>
      <c r="M48" s="105" t="s">
        <v>2194</v>
      </c>
      <c r="N48" s="12" t="s">
        <v>1422</v>
      </c>
      <c r="O48" s="12"/>
      <c r="P48" s="12"/>
      <c r="Q48" s="72">
        <v>0.7</v>
      </c>
      <c r="R48" s="23">
        <v>1301600</v>
      </c>
      <c r="Y48" s="12" t="s">
        <v>3009</v>
      </c>
      <c r="Z48" s="71">
        <f>ROUND(R48*'Data-CostAssumptions'!$C$8,-3)</f>
        <v>1302000</v>
      </c>
      <c r="AA48" s="11">
        <f t="shared" si="1"/>
        <v>0</v>
      </c>
      <c r="AB48" s="11">
        <v>2041</v>
      </c>
      <c r="AC48" s="11">
        <v>2041</v>
      </c>
      <c r="AD48" s="11">
        <v>2041</v>
      </c>
      <c r="AE48" s="19">
        <f>ROUND((Z48*'Data-CostAssumptions'!$G$5)*(1+'Data-CostAssumptions'!$G$3)^(AB48-'Data-CostAssumptions'!$G$4),-3)</f>
        <v>734000</v>
      </c>
      <c r="AF48" s="19">
        <f>ROUND((Z48)*(1+'Data-CostAssumptions'!$G$3)^(AD48-'Data-CostAssumptions'!$G$4),-3)</f>
        <v>3338000</v>
      </c>
      <c r="AG48" s="170" t="str">
        <f t="shared" si="2"/>
        <v>No</v>
      </c>
    </row>
    <row r="49" spans="1:33" ht="15" customHeight="1" x14ac:dyDescent="0.2">
      <c r="A49" s="12"/>
      <c r="B49" s="11" t="s">
        <v>1211</v>
      </c>
      <c r="C49" s="12"/>
      <c r="D49" s="84" t="s">
        <v>276</v>
      </c>
      <c r="E49" s="104">
        <v>86</v>
      </c>
      <c r="F49" s="104"/>
      <c r="G49" s="20">
        <v>1621</v>
      </c>
      <c r="H49" s="13" t="s">
        <v>45</v>
      </c>
      <c r="I49" s="13" t="str">
        <f t="shared" si="3"/>
        <v>SR 84 (US 1 to I-95)</v>
      </c>
      <c r="J49" s="12" t="s">
        <v>27</v>
      </c>
      <c r="K49" s="13" t="str">
        <f>VLOOKUP(J49,'Data-ProjectTypes'!A$3:B$13,2,FALSE)</f>
        <v>Program</v>
      </c>
      <c r="L49" s="12" t="s">
        <v>1388</v>
      </c>
      <c r="M49" s="105" t="s">
        <v>98</v>
      </c>
      <c r="N49" s="12" t="s">
        <v>41</v>
      </c>
      <c r="O49" s="12"/>
      <c r="P49" s="12"/>
      <c r="Q49" s="72">
        <v>2</v>
      </c>
      <c r="R49" s="23">
        <v>1298000</v>
      </c>
      <c r="Y49" s="12"/>
      <c r="Z49" s="18">
        <f>ROUND(R49*'Data-CostAssumptions'!$C$4,-3)</f>
        <v>1298000</v>
      </c>
      <c r="AA49" s="11">
        <f t="shared" si="1"/>
        <v>0</v>
      </c>
      <c r="AB49" s="11">
        <v>2041</v>
      </c>
      <c r="AC49" s="11">
        <v>2041</v>
      </c>
      <c r="AD49" s="11">
        <v>2041</v>
      </c>
      <c r="AE49" s="19">
        <f>ROUND((Z49*'Data-CostAssumptions'!$G$5)*(1+'Data-CostAssumptions'!$G$3)^(AB49-'Data-CostAssumptions'!$G$4),-3)</f>
        <v>732000</v>
      </c>
      <c r="AF49" s="19">
        <f>ROUND((Z49)*(1+'Data-CostAssumptions'!$G$3)^(AD49-'Data-CostAssumptions'!$G$4),-3)</f>
        <v>3328000</v>
      </c>
      <c r="AG49" s="170" t="str">
        <f t="shared" si="2"/>
        <v>No</v>
      </c>
    </row>
    <row r="50" spans="1:33" ht="15" customHeight="1" x14ac:dyDescent="0.2">
      <c r="A50" s="12"/>
      <c r="B50" s="11" t="s">
        <v>1211</v>
      </c>
      <c r="C50" s="12"/>
      <c r="D50" s="84" t="s">
        <v>276</v>
      </c>
      <c r="E50" s="104">
        <v>85</v>
      </c>
      <c r="F50" s="104"/>
      <c r="G50" s="20">
        <v>1620</v>
      </c>
      <c r="H50" s="13" t="s">
        <v>45</v>
      </c>
      <c r="I50" s="13" t="str">
        <f t="shared" si="3"/>
        <v>SR 84 (PORT ENTRANCE to US 1)</v>
      </c>
      <c r="J50" s="12" t="s">
        <v>27</v>
      </c>
      <c r="K50" s="13" t="str">
        <f>VLOOKUP(J50,'Data-ProjectTypes'!A$3:B$13,2,FALSE)</f>
        <v>Program</v>
      </c>
      <c r="L50" s="12" t="s">
        <v>1386</v>
      </c>
      <c r="M50" s="105" t="s">
        <v>1454</v>
      </c>
      <c r="N50" s="12" t="s">
        <v>98</v>
      </c>
      <c r="O50" s="12"/>
      <c r="P50" s="12"/>
      <c r="Q50" s="72">
        <v>0.8</v>
      </c>
      <c r="R50" s="23">
        <v>1293000</v>
      </c>
      <c r="Y50" s="12"/>
      <c r="Z50" s="18">
        <f>ROUND(R50*'Data-CostAssumptions'!$C$4,-3)</f>
        <v>1293000</v>
      </c>
      <c r="AA50" s="11">
        <f t="shared" si="1"/>
        <v>0</v>
      </c>
      <c r="AB50" s="11">
        <v>2041</v>
      </c>
      <c r="AC50" s="11">
        <v>2041</v>
      </c>
      <c r="AD50" s="11">
        <v>2041</v>
      </c>
      <c r="AE50" s="19">
        <f>ROUND((Z50*'Data-CostAssumptions'!$G$5)*(1+'Data-CostAssumptions'!$G$3)^(AB50-'Data-CostAssumptions'!$G$4),-3)</f>
        <v>729000</v>
      </c>
      <c r="AF50" s="19">
        <f>ROUND((Z50)*(1+'Data-CostAssumptions'!$G$3)^(AD50-'Data-CostAssumptions'!$G$4),-3)</f>
        <v>3315000</v>
      </c>
      <c r="AG50" s="170" t="str">
        <f t="shared" si="2"/>
        <v>No</v>
      </c>
    </row>
    <row r="51" spans="1:33" ht="15" customHeight="1" x14ac:dyDescent="0.2">
      <c r="A51" s="12"/>
      <c r="B51" s="11" t="s">
        <v>1211</v>
      </c>
      <c r="C51" s="12"/>
      <c r="D51" s="84" t="s">
        <v>276</v>
      </c>
      <c r="E51" s="104">
        <v>104</v>
      </c>
      <c r="F51" s="104"/>
      <c r="G51" s="20">
        <v>1608</v>
      </c>
      <c r="H51" s="13" t="s">
        <v>2209</v>
      </c>
      <c r="I51" s="13" t="str">
        <f t="shared" si="3"/>
        <v>SR 5/ US 1 (DAVIE Bl to BROWARD Bl)</v>
      </c>
      <c r="J51" s="12" t="s">
        <v>27</v>
      </c>
      <c r="K51" s="13" t="str">
        <f>VLOOKUP(J51,'Data-ProjectTypes'!A$3:B$13,2,FALSE)</f>
        <v>Program</v>
      </c>
      <c r="L51" s="12" t="s">
        <v>1410</v>
      </c>
      <c r="M51" s="105" t="s">
        <v>1991</v>
      </c>
      <c r="N51" s="12" t="s">
        <v>1988</v>
      </c>
      <c r="O51" s="12"/>
      <c r="P51" s="12"/>
      <c r="Q51" s="72">
        <v>1</v>
      </c>
      <c r="R51" s="23">
        <v>931050</v>
      </c>
      <c r="Y51" s="12"/>
      <c r="Z51" s="18">
        <f>ROUND(R51*'Data-CostAssumptions'!$C$3,-3)</f>
        <v>1289000</v>
      </c>
      <c r="AA51" s="11">
        <f t="shared" si="1"/>
        <v>0</v>
      </c>
      <c r="AB51" s="11">
        <v>2041</v>
      </c>
      <c r="AC51" s="11">
        <v>2041</v>
      </c>
      <c r="AD51" s="11">
        <v>2041</v>
      </c>
      <c r="AE51" s="19">
        <f>ROUND((Z51*'Data-CostAssumptions'!$G$5)*(1+'Data-CostAssumptions'!$G$3)^(AB51-'Data-CostAssumptions'!$G$4),-3)</f>
        <v>727000</v>
      </c>
      <c r="AF51" s="19">
        <f>ROUND((Z51)*(1+'Data-CostAssumptions'!$G$3)^(AD51-'Data-CostAssumptions'!$G$4),-3)</f>
        <v>3305000</v>
      </c>
      <c r="AG51" s="170" t="str">
        <f t="shared" si="2"/>
        <v>No</v>
      </c>
    </row>
    <row r="52" spans="1:33" ht="15" customHeight="1" x14ac:dyDescent="0.2">
      <c r="A52" s="12"/>
      <c r="B52" s="11" t="s">
        <v>1211</v>
      </c>
      <c r="C52" s="12"/>
      <c r="D52" s="84" t="s">
        <v>276</v>
      </c>
      <c r="E52" s="104">
        <v>103</v>
      </c>
      <c r="F52" s="104"/>
      <c r="G52" s="20">
        <v>1613</v>
      </c>
      <c r="H52" s="13" t="s">
        <v>2209</v>
      </c>
      <c r="I52" s="13" t="str">
        <f t="shared" si="3"/>
        <v>SR 5/ US 1 (SR 84 to DAVIE Bl)</v>
      </c>
      <c r="J52" s="12" t="s">
        <v>27</v>
      </c>
      <c r="K52" s="13" t="str">
        <f>VLOOKUP(J52,'Data-ProjectTypes'!A$3:B$13,2,FALSE)</f>
        <v>Program</v>
      </c>
      <c r="L52" s="12" t="s">
        <v>1409</v>
      </c>
      <c r="M52" s="105" t="s">
        <v>45</v>
      </c>
      <c r="N52" s="12" t="s">
        <v>1991</v>
      </c>
      <c r="O52" s="12"/>
      <c r="P52" s="12"/>
      <c r="Q52" s="72">
        <v>1</v>
      </c>
      <c r="R52" s="23">
        <v>931050</v>
      </c>
      <c r="Y52" s="12"/>
      <c r="Z52" s="71">
        <f>ROUND(R52*'Data-CostAssumptions'!$C$3,-3)</f>
        <v>1289000</v>
      </c>
      <c r="AA52" s="11">
        <f t="shared" si="1"/>
        <v>0</v>
      </c>
      <c r="AB52" s="11">
        <v>2041</v>
      </c>
      <c r="AC52" s="11">
        <v>2041</v>
      </c>
      <c r="AD52" s="11">
        <v>2041</v>
      </c>
      <c r="AE52" s="19">
        <f>ROUND((Z52*'Data-CostAssumptions'!$G$5)*(1+'Data-CostAssumptions'!$G$3)^(AB52-'Data-CostAssumptions'!$G$4),-3)</f>
        <v>727000</v>
      </c>
      <c r="AF52" s="19">
        <f>ROUND((Z52)*(1+'Data-CostAssumptions'!$G$3)^(AD52-'Data-CostAssumptions'!$G$4),-3)</f>
        <v>3305000</v>
      </c>
      <c r="AG52" s="170" t="str">
        <f t="shared" si="2"/>
        <v>No</v>
      </c>
    </row>
    <row r="53" spans="1:33" ht="15" customHeight="1" x14ac:dyDescent="0.2">
      <c r="A53" s="12"/>
      <c r="B53" s="11" t="s">
        <v>1211</v>
      </c>
      <c r="C53" s="12"/>
      <c r="D53" s="84" t="s">
        <v>276</v>
      </c>
      <c r="E53" s="104">
        <v>71</v>
      </c>
      <c r="F53" s="104"/>
      <c r="G53" s="20">
        <v>1616</v>
      </c>
      <c r="H53" s="13" t="s">
        <v>2710</v>
      </c>
      <c r="I53" s="13" t="str">
        <f t="shared" si="3"/>
        <v>SR 816/Oakland Park Bl (US 1/SR 5 to SR A1A/OCEAN Bl)</v>
      </c>
      <c r="J53" s="12" t="s">
        <v>27</v>
      </c>
      <c r="K53" s="13" t="str">
        <f>VLOOKUP(J53,'Data-ProjectTypes'!A$3:B$13,2,FALSE)</f>
        <v>Program</v>
      </c>
      <c r="L53" s="12" t="s">
        <v>1359</v>
      </c>
      <c r="M53" s="105" t="s">
        <v>1422</v>
      </c>
      <c r="N53" s="12" t="s">
        <v>2306</v>
      </c>
      <c r="O53" s="12"/>
      <c r="P53" s="12"/>
      <c r="Q53" s="72">
        <v>1</v>
      </c>
      <c r="R53" s="23">
        <v>931050</v>
      </c>
      <c r="Y53" s="12"/>
      <c r="Z53" s="71">
        <f>ROUND(R53*'Data-CostAssumptions'!$C$3,-3)</f>
        <v>1289000</v>
      </c>
      <c r="AA53" s="11">
        <f t="shared" si="1"/>
        <v>0</v>
      </c>
      <c r="AB53" s="11">
        <v>2041</v>
      </c>
      <c r="AC53" s="11">
        <v>2041</v>
      </c>
      <c r="AD53" s="11">
        <v>2041</v>
      </c>
      <c r="AE53" s="19">
        <f>ROUND((Z53*'Data-CostAssumptions'!$G$5)*(1+'Data-CostAssumptions'!$G$3)^(AB53-'Data-CostAssumptions'!$G$4),-3)</f>
        <v>727000</v>
      </c>
      <c r="AF53" s="19">
        <f>ROUND((Z53)*(1+'Data-CostAssumptions'!$G$3)^(AD53-'Data-CostAssumptions'!$G$4),-3)</f>
        <v>3305000</v>
      </c>
      <c r="AG53" s="170" t="str">
        <f t="shared" si="2"/>
        <v>No</v>
      </c>
    </row>
    <row r="54" spans="1:33" ht="15" customHeight="1" x14ac:dyDescent="0.2">
      <c r="B54" s="11" t="s">
        <v>1211</v>
      </c>
      <c r="D54" s="84" t="s">
        <v>276</v>
      </c>
      <c r="E54" s="14">
        <v>5</v>
      </c>
      <c r="F54" s="14"/>
      <c r="G54" s="20">
        <v>1530</v>
      </c>
      <c r="H54" s="13" t="s">
        <v>1781</v>
      </c>
      <c r="I54" s="13" t="str">
        <f t="shared" si="3"/>
        <v>Bayview Dr (OAKLAND PARK Bl/SR 816 to US 1/SR 5)</v>
      </c>
      <c r="J54" s="11" t="s">
        <v>27</v>
      </c>
      <c r="K54" s="13" t="str">
        <f>VLOOKUP(J54,'Data-ProjectTypes'!A$3:B$13,2,FALSE)</f>
        <v>Program</v>
      </c>
      <c r="L54" s="11" t="s">
        <v>1259</v>
      </c>
      <c r="M54" s="106" t="s">
        <v>2293</v>
      </c>
      <c r="N54" s="84" t="s">
        <v>1422</v>
      </c>
      <c r="Q54" s="107">
        <v>2.7</v>
      </c>
      <c r="R54" s="23">
        <v>1287000</v>
      </c>
      <c r="Y54" s="12"/>
      <c r="Z54" s="71">
        <f>ROUND(R54*'Data-CostAssumptions'!$C$8,-3)</f>
        <v>1287000</v>
      </c>
      <c r="AA54" s="11">
        <f t="shared" si="1"/>
        <v>0</v>
      </c>
      <c r="AB54" s="11">
        <v>2041</v>
      </c>
      <c r="AC54" s="11">
        <v>2041</v>
      </c>
      <c r="AD54" s="11">
        <v>2041</v>
      </c>
      <c r="AE54" s="19">
        <f>ROUND((Z54*'Data-CostAssumptions'!$G$5)*(1+'Data-CostAssumptions'!$G$3)^(AB54-'Data-CostAssumptions'!$G$4),-3)</f>
        <v>726000</v>
      </c>
      <c r="AF54" s="19">
        <f>ROUND((Z54)*(1+'Data-CostAssumptions'!$G$3)^(AD54-'Data-CostAssumptions'!$G$4),-3)</f>
        <v>3300000</v>
      </c>
      <c r="AG54" s="170" t="str">
        <f t="shared" si="2"/>
        <v>No</v>
      </c>
    </row>
    <row r="55" spans="1:33" ht="15" customHeight="1" x14ac:dyDescent="0.2">
      <c r="B55" s="11" t="s">
        <v>1211</v>
      </c>
      <c r="C55" s="13">
        <v>488</v>
      </c>
      <c r="D55" s="13" t="s">
        <v>420</v>
      </c>
      <c r="E55" s="20">
        <v>7</v>
      </c>
      <c r="F55" s="20">
        <v>168</v>
      </c>
      <c r="G55" s="20">
        <v>693</v>
      </c>
      <c r="H55" s="13" t="s">
        <v>1800</v>
      </c>
      <c r="I55" s="13" t="str">
        <f t="shared" si="3"/>
        <v>Shotgun Rd/Orange Dr (SW 143rd Av to SW 14th St)</v>
      </c>
      <c r="J55" s="13" t="s">
        <v>27</v>
      </c>
      <c r="K55" s="13" t="str">
        <f>VLOOKUP(J55,'Data-ProjectTypes'!A$3:B$13,2,FALSE)</f>
        <v>Program</v>
      </c>
      <c r="L55" s="21" t="s">
        <v>348</v>
      </c>
      <c r="M55" s="13" t="s">
        <v>2384</v>
      </c>
      <c r="N55" s="13" t="s">
        <v>2560</v>
      </c>
      <c r="O55" s="13" t="s">
        <v>279</v>
      </c>
      <c r="P55" s="13" t="s">
        <v>279</v>
      </c>
      <c r="Q55" s="22">
        <v>3.5</v>
      </c>
      <c r="R55" s="23">
        <v>1243941</v>
      </c>
      <c r="S55" s="21"/>
      <c r="T55" s="21"/>
      <c r="U55" s="21"/>
      <c r="V55" s="24"/>
      <c r="W55" s="24"/>
      <c r="X55" s="24"/>
      <c r="Y55" s="17"/>
      <c r="Z55" s="18">
        <f>ROUND(R55*'Data-CostAssumptions'!$C$8,-3)</f>
        <v>1244000</v>
      </c>
      <c r="AA55" s="11">
        <f t="shared" si="1"/>
        <v>0</v>
      </c>
      <c r="AB55" s="11">
        <v>2041</v>
      </c>
      <c r="AC55" s="11">
        <v>2041</v>
      </c>
      <c r="AD55" s="11">
        <v>2041</v>
      </c>
      <c r="AE55" s="19">
        <f>ROUND((Z55*'Data-CostAssumptions'!$G$5)*(1+'Data-CostAssumptions'!$G$3)^(AB55-'Data-CostAssumptions'!$G$4),-3)</f>
        <v>702000</v>
      </c>
      <c r="AF55" s="19">
        <f>ROUND((Z55)*(1+'Data-CostAssumptions'!$G$3)^(AD55-'Data-CostAssumptions'!$G$4),-3)</f>
        <v>3190000</v>
      </c>
      <c r="AG55" s="170" t="str">
        <f t="shared" si="2"/>
        <v>No</v>
      </c>
    </row>
    <row r="56" spans="1:33" ht="15" customHeight="1" x14ac:dyDescent="0.2">
      <c r="B56" s="11" t="s">
        <v>1211</v>
      </c>
      <c r="C56" s="13">
        <v>580</v>
      </c>
      <c r="D56" s="13" t="s">
        <v>420</v>
      </c>
      <c r="E56" s="20">
        <v>401</v>
      </c>
      <c r="F56" s="20">
        <v>174</v>
      </c>
      <c r="G56" s="20">
        <v>785</v>
      </c>
      <c r="H56" s="13" t="s">
        <v>2007</v>
      </c>
      <c r="I56" s="13" t="str">
        <f t="shared" si="3"/>
        <v>196th Av (SW 55th St to Pines Bl)</v>
      </c>
      <c r="J56" s="13" t="s">
        <v>27</v>
      </c>
      <c r="K56" s="13" t="str">
        <f>VLOOKUP(J56,'Data-ProjectTypes'!A$3:B$13,2,FALSE)</f>
        <v>Program</v>
      </c>
      <c r="L56" s="21" t="s">
        <v>348</v>
      </c>
      <c r="M56" s="13" t="s">
        <v>2473</v>
      </c>
      <c r="N56" s="13" t="s">
        <v>1826</v>
      </c>
      <c r="O56" s="13" t="s">
        <v>272</v>
      </c>
      <c r="P56" s="13" t="s">
        <v>272</v>
      </c>
      <c r="Q56" s="22">
        <v>3.5</v>
      </c>
      <c r="R56" s="23">
        <v>1240343</v>
      </c>
      <c r="V56" s="85" t="s">
        <v>457</v>
      </c>
      <c r="X56" s="11" t="s">
        <v>464</v>
      </c>
      <c r="Y56" s="12"/>
      <c r="Z56" s="18">
        <f>ROUND(R56*'Data-CostAssumptions'!$C$4,-3)</f>
        <v>1240000</v>
      </c>
      <c r="AA56" s="11">
        <f t="shared" si="1"/>
        <v>1</v>
      </c>
      <c r="AB56" s="11">
        <v>2041</v>
      </c>
      <c r="AC56" s="11">
        <v>2041</v>
      </c>
      <c r="AD56" s="11">
        <v>2041</v>
      </c>
      <c r="AE56" s="19">
        <f>ROUND((Z56*'Data-CostAssumptions'!$G$5)*(1+'Data-CostAssumptions'!$G$3)^(AB56-'Data-CostAssumptions'!$G$4),-3)</f>
        <v>699000</v>
      </c>
      <c r="AF56" s="19">
        <f>ROUND((Z56)*(1+'Data-CostAssumptions'!$G$3)^(AD56-'Data-CostAssumptions'!$G$4),-3)</f>
        <v>3179000</v>
      </c>
      <c r="AG56" s="170" t="str">
        <f t="shared" si="2"/>
        <v>No</v>
      </c>
    </row>
    <row r="57" spans="1:33" ht="15" customHeight="1" x14ac:dyDescent="0.2">
      <c r="B57" s="11" t="s">
        <v>1211</v>
      </c>
      <c r="C57" s="13">
        <v>346</v>
      </c>
      <c r="D57" s="13" t="s">
        <v>420</v>
      </c>
      <c r="E57" s="20">
        <v>3</v>
      </c>
      <c r="F57" s="20">
        <v>160</v>
      </c>
      <c r="G57" s="20">
        <v>557</v>
      </c>
      <c r="H57" s="13" t="s">
        <v>2108</v>
      </c>
      <c r="I57" s="13" t="str">
        <f t="shared" si="3"/>
        <v>SW 160th Av/Weston Rd (Arvida Parkway to Blatt Bl)</v>
      </c>
      <c r="J57" s="13" t="s">
        <v>27</v>
      </c>
      <c r="K57" s="13" t="str">
        <f>VLOOKUP(J57,'Data-ProjectTypes'!A$3:B$13,2,FALSE)</f>
        <v>Program</v>
      </c>
      <c r="L57" s="21" t="s">
        <v>833</v>
      </c>
      <c r="M57" s="13" t="s">
        <v>38</v>
      </c>
      <c r="N57" s="13" t="s">
        <v>2287</v>
      </c>
      <c r="O57" s="13" t="s">
        <v>272</v>
      </c>
      <c r="P57" s="13" t="s">
        <v>272</v>
      </c>
      <c r="Q57" s="22">
        <v>2.5</v>
      </c>
      <c r="R57" s="23">
        <v>878561</v>
      </c>
      <c r="S57" s="21"/>
      <c r="T57" s="21"/>
      <c r="U57" s="21"/>
      <c r="V57" s="24"/>
      <c r="W57" s="24"/>
      <c r="X57" s="24"/>
      <c r="Y57" s="17"/>
      <c r="Z57" s="18">
        <f>ROUND(R57*'Data-CostAssumptions'!$C$3,-3)</f>
        <v>1216000</v>
      </c>
      <c r="AA57" s="11">
        <f t="shared" si="1"/>
        <v>0</v>
      </c>
      <c r="AB57" s="11">
        <v>2041</v>
      </c>
      <c r="AC57" s="11">
        <v>2041</v>
      </c>
      <c r="AD57" s="11">
        <v>2041</v>
      </c>
      <c r="AE57" s="19">
        <f>ROUND((Z57*'Data-CostAssumptions'!$G$5)*(1+'Data-CostAssumptions'!$G$3)^(AB57-'Data-CostAssumptions'!$G$4),-3)</f>
        <v>686000</v>
      </c>
      <c r="AF57" s="19">
        <f>ROUND((Z57)*(1+'Data-CostAssumptions'!$G$3)^(AD57-'Data-CostAssumptions'!$G$4),-3)</f>
        <v>3118000</v>
      </c>
      <c r="AG57" s="170" t="str">
        <f t="shared" si="2"/>
        <v>No</v>
      </c>
    </row>
    <row r="58" spans="1:33" ht="15" customHeight="1" x14ac:dyDescent="0.2">
      <c r="B58" s="11" t="s">
        <v>1211</v>
      </c>
      <c r="C58" s="13">
        <v>296</v>
      </c>
      <c r="D58" s="13" t="s">
        <v>420</v>
      </c>
      <c r="E58" s="20">
        <v>139</v>
      </c>
      <c r="F58" s="20">
        <v>157</v>
      </c>
      <c r="G58" s="20">
        <v>508</v>
      </c>
      <c r="H58" s="13" t="s">
        <v>1956</v>
      </c>
      <c r="I58" s="13" t="str">
        <f t="shared" si="3"/>
        <v>SW 15th St (NW 29th Av to Rock Island Rd)</v>
      </c>
      <c r="J58" s="13" t="s">
        <v>27</v>
      </c>
      <c r="K58" s="13" t="str">
        <f>VLOOKUP(J58,'Data-ProjectTypes'!A$3:B$13,2,FALSE)</f>
        <v>Program</v>
      </c>
      <c r="L58" s="21" t="s">
        <v>348</v>
      </c>
      <c r="M58" s="13" t="s">
        <v>2389</v>
      </c>
      <c r="N58" s="13" t="s">
        <v>1768</v>
      </c>
      <c r="O58" s="13" t="s">
        <v>273</v>
      </c>
      <c r="P58" s="13" t="s">
        <v>273</v>
      </c>
      <c r="Q58" s="22">
        <v>2.4</v>
      </c>
      <c r="R58" s="23">
        <v>854427</v>
      </c>
      <c r="S58" s="21"/>
      <c r="T58" s="21"/>
      <c r="U58" s="21"/>
      <c r="V58" s="24"/>
      <c r="W58" s="24"/>
      <c r="X58" s="24"/>
      <c r="Y58" s="17"/>
      <c r="Z58" s="18">
        <f>ROUND(R58*'Data-CostAssumptions'!$C$3,-3)</f>
        <v>1183000</v>
      </c>
      <c r="AA58" s="11">
        <f t="shared" si="1"/>
        <v>0</v>
      </c>
      <c r="AB58" s="11">
        <v>2041</v>
      </c>
      <c r="AC58" s="11">
        <v>2041</v>
      </c>
      <c r="AD58" s="11">
        <v>2041</v>
      </c>
      <c r="AE58" s="19">
        <f>ROUND((Z58*'Data-CostAssumptions'!$G$5)*(1+'Data-CostAssumptions'!$G$3)^(AB58-'Data-CostAssumptions'!$G$4),-3)</f>
        <v>667000</v>
      </c>
      <c r="AF58" s="19">
        <f>ROUND((Z58)*(1+'Data-CostAssumptions'!$G$3)^(AD58-'Data-CostAssumptions'!$G$4),-3)</f>
        <v>3033000</v>
      </c>
      <c r="AG58" s="170" t="str">
        <f t="shared" si="2"/>
        <v>No</v>
      </c>
    </row>
    <row r="59" spans="1:33" ht="15" customHeight="1" x14ac:dyDescent="0.2">
      <c r="B59" s="11" t="s">
        <v>1211</v>
      </c>
      <c r="D59" s="84" t="s">
        <v>276</v>
      </c>
      <c r="E59" s="14">
        <v>11</v>
      </c>
      <c r="F59" s="14"/>
      <c r="G59" s="20">
        <v>1629</v>
      </c>
      <c r="H59" s="13" t="s">
        <v>2803</v>
      </c>
      <c r="I59" s="13" t="str">
        <f t="shared" si="3"/>
        <v>SR 870/Commercial Bl (SR A1A/OCEAN DR to US 1/SR 5/FEDERAL HWY)</v>
      </c>
      <c r="J59" s="11" t="s">
        <v>27</v>
      </c>
      <c r="K59" s="13" t="str">
        <f>VLOOKUP(J59,'Data-ProjectTypes'!A$3:B$13,2,FALSE)</f>
        <v>Program</v>
      </c>
      <c r="L59" s="11" t="s">
        <v>1265</v>
      </c>
      <c r="M59" s="106" t="s">
        <v>1426</v>
      </c>
      <c r="N59" s="84" t="s">
        <v>1425</v>
      </c>
      <c r="Q59" s="107">
        <v>1.1000000000000001</v>
      </c>
      <c r="R59" s="23">
        <v>1164150</v>
      </c>
      <c r="Y59" s="12"/>
      <c r="Z59" s="18">
        <f>ROUND(R59*'Data-CostAssumptions'!$C$4,-3)</f>
        <v>1164000</v>
      </c>
      <c r="AA59" s="11">
        <f t="shared" si="1"/>
        <v>0</v>
      </c>
      <c r="AB59" s="11">
        <v>2041</v>
      </c>
      <c r="AC59" s="11">
        <v>2041</v>
      </c>
      <c r="AD59" s="11">
        <v>2041</v>
      </c>
      <c r="AE59" s="19">
        <f>ROUND((Z59*'Data-CostAssumptions'!$G$5)*(1+'Data-CostAssumptions'!$G$3)^(AB59-'Data-CostAssumptions'!$G$4),-3)</f>
        <v>657000</v>
      </c>
      <c r="AF59" s="19">
        <f>ROUND((Z59)*(1+'Data-CostAssumptions'!$G$3)^(AD59-'Data-CostAssumptions'!$G$4),-3)</f>
        <v>2984000</v>
      </c>
      <c r="AG59" s="170" t="str">
        <f t="shared" si="2"/>
        <v>No</v>
      </c>
    </row>
    <row r="60" spans="1:33" ht="15" customHeight="1" x14ac:dyDescent="0.2">
      <c r="A60" s="12"/>
      <c r="B60" s="11" t="s">
        <v>1211</v>
      </c>
      <c r="C60" s="12"/>
      <c r="D60" s="84" t="s">
        <v>276</v>
      </c>
      <c r="E60" s="104">
        <v>46</v>
      </c>
      <c r="F60" s="104"/>
      <c r="G60" s="20">
        <v>1565</v>
      </c>
      <c r="H60" s="13" t="s">
        <v>1232</v>
      </c>
      <c r="I60" s="13" t="str">
        <f t="shared" si="3"/>
        <v>NE 56TH ST (DIXIE HWY to US 1/SR 5/FEDERAL HWY)</v>
      </c>
      <c r="J60" s="12" t="s">
        <v>27</v>
      </c>
      <c r="K60" s="13" t="str">
        <f>VLOOKUP(J60,'Data-ProjectTypes'!A$3:B$13,2,FALSE)</f>
        <v>Program</v>
      </c>
      <c r="L60" s="12" t="s">
        <v>1318</v>
      </c>
      <c r="M60" s="105" t="s">
        <v>1225</v>
      </c>
      <c r="N60" s="12" t="s">
        <v>1425</v>
      </c>
      <c r="O60" s="12"/>
      <c r="P60" s="12"/>
      <c r="Q60" s="72">
        <v>1.3</v>
      </c>
      <c r="R60" s="23">
        <v>1159050</v>
      </c>
      <c r="Y60" s="12"/>
      <c r="Z60" s="18">
        <f>ROUND(R60*'Data-CostAssumptions'!$C$8,-3)</f>
        <v>1159000</v>
      </c>
      <c r="AA60" s="11">
        <f t="shared" si="1"/>
        <v>0</v>
      </c>
      <c r="AB60" s="11">
        <v>2041</v>
      </c>
      <c r="AC60" s="11">
        <v>2041</v>
      </c>
      <c r="AD60" s="11">
        <v>2041</v>
      </c>
      <c r="AE60" s="19">
        <f>ROUND((Z60*'Data-CostAssumptions'!$G$5)*(1+'Data-CostAssumptions'!$G$3)^(AB60-'Data-CostAssumptions'!$G$4),-3)</f>
        <v>654000</v>
      </c>
      <c r="AF60" s="19">
        <f>ROUND((Z60)*(1+'Data-CostAssumptions'!$G$3)^(AD60-'Data-CostAssumptions'!$G$4),-3)</f>
        <v>2972000</v>
      </c>
      <c r="AG60" s="170" t="str">
        <f t="shared" si="2"/>
        <v>No</v>
      </c>
    </row>
    <row r="61" spans="1:33" ht="15" customHeight="1" x14ac:dyDescent="0.2">
      <c r="B61" s="11" t="s">
        <v>1211</v>
      </c>
      <c r="D61" s="84" t="s">
        <v>276</v>
      </c>
      <c r="E61" s="14">
        <v>15</v>
      </c>
      <c r="F61" s="14"/>
      <c r="G61" s="20">
        <v>1536</v>
      </c>
      <c r="H61" s="13" t="s">
        <v>1842</v>
      </c>
      <c r="I61" s="13" t="str">
        <f t="shared" si="3"/>
        <v>Cypress Creek Rd (NE 18TH Av to NE 6TH Av)</v>
      </c>
      <c r="J61" s="11" t="s">
        <v>27</v>
      </c>
      <c r="K61" s="13" t="str">
        <f>VLOOKUP(J61,'Data-ProjectTypes'!A$3:B$13,2,FALSE)</f>
        <v>Program</v>
      </c>
      <c r="L61" s="11" t="s">
        <v>1274</v>
      </c>
      <c r="M61" s="106" t="s">
        <v>2146</v>
      </c>
      <c r="N61" s="84" t="s">
        <v>2606</v>
      </c>
      <c r="Q61" s="107">
        <v>0.8</v>
      </c>
      <c r="R61" s="23">
        <v>1153800</v>
      </c>
      <c r="Y61" s="12"/>
      <c r="Z61" s="71">
        <f>ROUND(R61*'Data-CostAssumptions'!$C$8,-3)</f>
        <v>1154000</v>
      </c>
      <c r="AA61" s="11">
        <f t="shared" si="1"/>
        <v>0</v>
      </c>
      <c r="AB61" s="11">
        <v>2041</v>
      </c>
      <c r="AC61" s="11">
        <v>2041</v>
      </c>
      <c r="AD61" s="11">
        <v>2041</v>
      </c>
      <c r="AE61" s="19">
        <f>ROUND((Z61*'Data-CostAssumptions'!$G$5)*(1+'Data-CostAssumptions'!$G$3)^(AB61-'Data-CostAssumptions'!$G$4),-3)</f>
        <v>651000</v>
      </c>
      <c r="AF61" s="19">
        <f>ROUND((Z61)*(1+'Data-CostAssumptions'!$G$3)^(AD61-'Data-CostAssumptions'!$G$4),-3)</f>
        <v>2959000</v>
      </c>
      <c r="AG61" s="170" t="str">
        <f t="shared" si="2"/>
        <v>No</v>
      </c>
    </row>
    <row r="62" spans="1:33" ht="15" customHeight="1" x14ac:dyDescent="0.2">
      <c r="A62" s="12"/>
      <c r="B62" s="11" t="s">
        <v>1211</v>
      </c>
      <c r="C62" s="12"/>
      <c r="D62" s="84" t="s">
        <v>276</v>
      </c>
      <c r="E62" s="104">
        <v>100</v>
      </c>
      <c r="F62" s="104"/>
      <c r="G62" s="20">
        <v>1641</v>
      </c>
      <c r="H62" s="13" t="s">
        <v>2196</v>
      </c>
      <c r="I62" s="13" t="str">
        <f t="shared" si="3"/>
        <v>SW 9TH Av (SR 84 to DAVIE Bl)</v>
      </c>
      <c r="J62" s="12" t="s">
        <v>27</v>
      </c>
      <c r="K62" s="13" t="str">
        <f>VLOOKUP(J62,'Data-ProjectTypes'!A$3:B$13,2,FALSE)</f>
        <v>Program</v>
      </c>
      <c r="L62" s="12" t="s">
        <v>1400</v>
      </c>
      <c r="M62" s="105" t="s">
        <v>45</v>
      </c>
      <c r="N62" s="12" t="s">
        <v>1991</v>
      </c>
      <c r="O62" s="12"/>
      <c r="P62" s="12"/>
      <c r="Q62" s="72">
        <v>1.4</v>
      </c>
      <c r="R62" s="23">
        <v>1140000</v>
      </c>
      <c r="Y62" s="12"/>
      <c r="Z62" s="18">
        <f>ROUND(R62*'Data-CostAssumptions'!$C$8,-3)</f>
        <v>1140000</v>
      </c>
      <c r="AA62" s="11">
        <f t="shared" si="1"/>
        <v>0</v>
      </c>
      <c r="AB62" s="11">
        <v>2041</v>
      </c>
      <c r="AC62" s="11">
        <v>2041</v>
      </c>
      <c r="AD62" s="11">
        <v>2041</v>
      </c>
      <c r="AE62" s="19">
        <f>ROUND((Z62*'Data-CostAssumptions'!$G$5)*(1+'Data-CostAssumptions'!$G$3)^(AB62-'Data-CostAssumptions'!$G$4),-3)</f>
        <v>643000</v>
      </c>
      <c r="AF62" s="19">
        <f>ROUND((Z62)*(1+'Data-CostAssumptions'!$G$3)^(AD62-'Data-CostAssumptions'!$G$4),-3)</f>
        <v>2923000</v>
      </c>
      <c r="AG62" s="170" t="str">
        <f t="shared" si="2"/>
        <v>No</v>
      </c>
    </row>
    <row r="63" spans="1:33" ht="15" customHeight="1" x14ac:dyDescent="0.2">
      <c r="A63" s="12"/>
      <c r="B63" s="11" t="s">
        <v>1211</v>
      </c>
      <c r="C63" s="12"/>
      <c r="D63" s="84" t="s">
        <v>276</v>
      </c>
      <c r="E63" s="104">
        <v>52</v>
      </c>
      <c r="F63" s="104"/>
      <c r="G63" s="20">
        <v>1573</v>
      </c>
      <c r="H63" s="13" t="s">
        <v>1239</v>
      </c>
      <c r="I63" s="13" t="str">
        <f t="shared" si="3"/>
        <v>NW 16TH ST (NW 9TH Av to DIXIE HWY)</v>
      </c>
      <c r="J63" s="12" t="s">
        <v>27</v>
      </c>
      <c r="K63" s="13" t="str">
        <f>VLOOKUP(J63,'Data-ProjectTypes'!A$3:B$13,2,FALSE)</f>
        <v>Program</v>
      </c>
      <c r="L63" s="12" t="s">
        <v>1344</v>
      </c>
      <c r="M63" s="105" t="s">
        <v>2617</v>
      </c>
      <c r="N63" s="12" t="s">
        <v>1225</v>
      </c>
      <c r="O63" s="12"/>
      <c r="P63" s="12"/>
      <c r="Q63" s="72">
        <v>1.2</v>
      </c>
      <c r="R63" s="23">
        <v>812000</v>
      </c>
      <c r="Y63" s="12"/>
      <c r="Z63" s="18">
        <f>ROUND(R63*'Data-CostAssumptions'!$C$3,-3)</f>
        <v>1124000</v>
      </c>
      <c r="AA63" s="11">
        <f t="shared" si="1"/>
        <v>0</v>
      </c>
      <c r="AB63" s="11">
        <v>2041</v>
      </c>
      <c r="AC63" s="11">
        <v>2041</v>
      </c>
      <c r="AD63" s="11">
        <v>2041</v>
      </c>
      <c r="AE63" s="19">
        <f>ROUND((Z63*'Data-CostAssumptions'!$G$5)*(1+'Data-CostAssumptions'!$G$3)^(AB63-'Data-CostAssumptions'!$G$4),-3)</f>
        <v>634000</v>
      </c>
      <c r="AF63" s="19">
        <f>ROUND((Z63)*(1+'Data-CostAssumptions'!$G$3)^(AD63-'Data-CostAssumptions'!$G$4),-3)</f>
        <v>2882000</v>
      </c>
      <c r="AG63" s="170" t="str">
        <f t="shared" si="2"/>
        <v>No</v>
      </c>
    </row>
    <row r="64" spans="1:33" ht="15" customHeight="1" x14ac:dyDescent="0.2">
      <c r="A64" s="12"/>
      <c r="B64" s="11" t="s">
        <v>1211</v>
      </c>
      <c r="C64" s="12"/>
      <c r="D64" s="84" t="s">
        <v>276</v>
      </c>
      <c r="E64" s="104">
        <v>34</v>
      </c>
      <c r="F64" s="104"/>
      <c r="G64" s="20">
        <v>1557</v>
      </c>
      <c r="H64" s="13" t="s">
        <v>2143</v>
      </c>
      <c r="I64" s="13" t="str">
        <f t="shared" si="3"/>
        <v>NE 15TH Av (LAS OLAS Bl to SUNRISE Bl)</v>
      </c>
      <c r="J64" s="12" t="s">
        <v>27</v>
      </c>
      <c r="K64" s="13" t="str">
        <f>VLOOKUP(J64,'Data-ProjectTypes'!A$3:B$13,2,FALSE)</f>
        <v>Program</v>
      </c>
      <c r="L64" s="12" t="s">
        <v>1308</v>
      </c>
      <c r="M64" s="105" t="s">
        <v>1997</v>
      </c>
      <c r="N64" s="12" t="s">
        <v>2002</v>
      </c>
      <c r="O64" s="12"/>
      <c r="P64" s="12"/>
      <c r="Q64" s="72">
        <v>1.3</v>
      </c>
      <c r="R64" s="23">
        <v>1071000</v>
      </c>
      <c r="X64" s="38"/>
      <c r="Y64" s="12"/>
      <c r="Z64" s="18">
        <f>ROUND(R64*'Data-CostAssumptions'!$C$8,-3)</f>
        <v>1071000</v>
      </c>
      <c r="AA64" s="11">
        <f t="shared" si="1"/>
        <v>0</v>
      </c>
      <c r="AB64" s="11">
        <v>2041</v>
      </c>
      <c r="AC64" s="11">
        <v>2041</v>
      </c>
      <c r="AD64" s="11">
        <v>2041</v>
      </c>
      <c r="AE64" s="19">
        <f>ROUND((Z64*'Data-CostAssumptions'!$G$5)*(1+'Data-CostAssumptions'!$G$3)^(AB64-'Data-CostAssumptions'!$G$4),-3)</f>
        <v>604000</v>
      </c>
      <c r="AF64" s="19">
        <f>ROUND((Z64)*(1+'Data-CostAssumptions'!$G$3)^(AD64-'Data-CostAssumptions'!$G$4),-3)</f>
        <v>2746000</v>
      </c>
      <c r="AG64" s="170" t="str">
        <f t="shared" si="2"/>
        <v>No</v>
      </c>
    </row>
    <row r="65" spans="1:33" ht="15" customHeight="1" x14ac:dyDescent="0.2">
      <c r="A65" s="12"/>
      <c r="B65" s="11" t="s">
        <v>1211</v>
      </c>
      <c r="C65" s="12"/>
      <c r="D65" s="84" t="s">
        <v>276</v>
      </c>
      <c r="E65" s="104">
        <v>106</v>
      </c>
      <c r="F65" s="104"/>
      <c r="G65" s="20">
        <v>1612</v>
      </c>
      <c r="H65" s="13" t="s">
        <v>2209</v>
      </c>
      <c r="I65" s="13" t="str">
        <f t="shared" si="3"/>
        <v>SR 5/ US 1 (NE 6TH ST to NE 15TH Av)</v>
      </c>
      <c r="J65" s="12" t="s">
        <v>27</v>
      </c>
      <c r="K65" s="13" t="str">
        <f>VLOOKUP(J65,'Data-ProjectTypes'!A$3:B$13,2,FALSE)</f>
        <v>Program</v>
      </c>
      <c r="L65" s="12" t="s">
        <v>1414</v>
      </c>
      <c r="M65" s="105" t="s">
        <v>1230</v>
      </c>
      <c r="N65" s="12" t="s">
        <v>2143</v>
      </c>
      <c r="O65" s="12"/>
      <c r="P65" s="12"/>
      <c r="Q65" s="72">
        <v>0.9</v>
      </c>
      <c r="R65" s="23">
        <v>772200</v>
      </c>
      <c r="Y65" s="12"/>
      <c r="Z65" s="18">
        <f>ROUND(R65*'Data-CostAssumptions'!$C$3,-3)</f>
        <v>1069000</v>
      </c>
      <c r="AA65" s="11">
        <f t="shared" si="1"/>
        <v>0</v>
      </c>
      <c r="AB65" s="11">
        <v>2041</v>
      </c>
      <c r="AC65" s="11">
        <v>2041</v>
      </c>
      <c r="AD65" s="11">
        <v>2041</v>
      </c>
      <c r="AE65" s="19">
        <f>ROUND((Z65*'Data-CostAssumptions'!$G$5)*(1+'Data-CostAssumptions'!$G$3)^(AB65-'Data-CostAssumptions'!$G$4),-3)</f>
        <v>603000</v>
      </c>
      <c r="AF65" s="19">
        <f>ROUND((Z65)*(1+'Data-CostAssumptions'!$G$3)^(AD65-'Data-CostAssumptions'!$G$4),-3)</f>
        <v>2741000</v>
      </c>
      <c r="AG65" s="170" t="str">
        <f t="shared" si="2"/>
        <v>No</v>
      </c>
    </row>
    <row r="66" spans="1:33" ht="15" customHeight="1" x14ac:dyDescent="0.2">
      <c r="A66" s="12"/>
      <c r="B66" s="11" t="s">
        <v>1211</v>
      </c>
      <c r="C66" s="12"/>
      <c r="D66" s="84" t="s">
        <v>276</v>
      </c>
      <c r="E66" s="104">
        <v>54</v>
      </c>
      <c r="F66" s="104"/>
      <c r="G66" s="20">
        <v>1575</v>
      </c>
      <c r="H66" s="13" t="s">
        <v>1240</v>
      </c>
      <c r="I66" s="13" t="str">
        <f t="shared" ref="I66:I70" si="4">IF(M66="@",H66&amp;" ("&amp;M66&amp;"  "&amp;N66&amp;")",H66&amp;" ("&amp;M66&amp;" to "&amp;N66&amp;")")</f>
        <v>NW 19TH ST (SR 9/I-95 to NW 9TH Av/Powerline Rd)</v>
      </c>
      <c r="J66" s="12" t="s">
        <v>27</v>
      </c>
      <c r="K66" s="13" t="str">
        <f>VLOOKUP(J66,'Data-ProjectTypes'!A$3:B$13,2,FALSE)</f>
        <v>Program</v>
      </c>
      <c r="L66" s="12" t="s">
        <v>1347</v>
      </c>
      <c r="M66" s="105" t="s">
        <v>1445</v>
      </c>
      <c r="N66" s="12" t="s">
        <v>2685</v>
      </c>
      <c r="O66" s="12"/>
      <c r="P66" s="12"/>
      <c r="Q66" s="72">
        <v>0.8</v>
      </c>
      <c r="R66" s="23">
        <v>767700</v>
      </c>
      <c r="Y66" s="12"/>
      <c r="Z66" s="18">
        <f>ROUND(R66*'Data-CostAssumptions'!$C$3,-3)</f>
        <v>1062000</v>
      </c>
      <c r="AA66" s="11">
        <f t="shared" ref="AA66:AA129" si="5">IF(V66="",IF(W66="",0,1),1)</f>
        <v>0</v>
      </c>
      <c r="AB66" s="11">
        <v>2041</v>
      </c>
      <c r="AC66" s="11">
        <v>2041</v>
      </c>
      <c r="AD66" s="11">
        <v>2041</v>
      </c>
      <c r="AE66" s="19">
        <f>ROUND((Z66*'Data-CostAssumptions'!$G$5)*(1+'Data-CostAssumptions'!$G$3)^(AB66-'Data-CostAssumptions'!$G$4),-3)</f>
        <v>599000</v>
      </c>
      <c r="AF66" s="19">
        <f>ROUND((Z66)*(1+'Data-CostAssumptions'!$G$3)^(AD66-'Data-CostAssumptions'!$G$4),-3)</f>
        <v>2723000</v>
      </c>
      <c r="AG66" s="170" t="str">
        <f t="shared" ref="AG66:AG129" si="6">IF(MIN(AC66:AD66)&lt;2041,"Yes","No")</f>
        <v>No</v>
      </c>
    </row>
    <row r="67" spans="1:33" ht="15" customHeight="1" x14ac:dyDescent="0.2">
      <c r="A67" s="12"/>
      <c r="B67" s="11" t="s">
        <v>1211</v>
      </c>
      <c r="C67" s="12"/>
      <c r="D67" s="84" t="s">
        <v>276</v>
      </c>
      <c r="E67" s="104">
        <v>107</v>
      </c>
      <c r="F67" s="104"/>
      <c r="G67" s="20">
        <v>1611</v>
      </c>
      <c r="H67" s="13" t="s">
        <v>2209</v>
      </c>
      <c r="I67" s="13" t="str">
        <f t="shared" si="4"/>
        <v>SR 5/ US 1 (NE 15TH Av to NE 13TH ST)</v>
      </c>
      <c r="J67" s="12" t="s">
        <v>27</v>
      </c>
      <c r="K67" s="13" t="str">
        <f>VLOOKUP(J67,'Data-ProjectTypes'!A$3:B$13,2,FALSE)</f>
        <v>Program</v>
      </c>
      <c r="L67" s="12" t="s">
        <v>1416</v>
      </c>
      <c r="M67" s="105" t="s">
        <v>2143</v>
      </c>
      <c r="N67" s="12" t="s">
        <v>1432</v>
      </c>
      <c r="O67" s="12"/>
      <c r="P67" s="12"/>
      <c r="Q67" s="72">
        <v>1</v>
      </c>
      <c r="R67" s="23">
        <v>740250</v>
      </c>
      <c r="X67" s="38"/>
      <c r="Y67" s="12"/>
      <c r="Z67" s="18">
        <f>ROUND(R67*'Data-CostAssumptions'!$C$3,-3)</f>
        <v>1025000</v>
      </c>
      <c r="AA67" s="11">
        <f t="shared" si="5"/>
        <v>0</v>
      </c>
      <c r="AB67" s="11">
        <v>2041</v>
      </c>
      <c r="AC67" s="11">
        <v>2041</v>
      </c>
      <c r="AD67" s="11">
        <v>2041</v>
      </c>
      <c r="AE67" s="19">
        <f>ROUND((Z67*'Data-CostAssumptions'!$G$5)*(1+'Data-CostAssumptions'!$G$3)^(AB67-'Data-CostAssumptions'!$G$4),-3)</f>
        <v>578000</v>
      </c>
      <c r="AF67" s="19">
        <f>ROUND((Z67)*(1+'Data-CostAssumptions'!$G$3)^(AD67-'Data-CostAssumptions'!$G$4),-3)</f>
        <v>2628000</v>
      </c>
      <c r="AG67" s="170" t="str">
        <f t="shared" si="6"/>
        <v>No</v>
      </c>
    </row>
    <row r="68" spans="1:33" ht="15" customHeight="1" x14ac:dyDescent="0.2">
      <c r="B68" s="11" t="s">
        <v>1211</v>
      </c>
      <c r="D68" s="84" t="s">
        <v>276</v>
      </c>
      <c r="E68" s="14">
        <v>6</v>
      </c>
      <c r="F68" s="14"/>
      <c r="G68" s="20">
        <v>1531</v>
      </c>
      <c r="H68" s="13" t="s">
        <v>1781</v>
      </c>
      <c r="I68" s="13" t="str">
        <f t="shared" si="4"/>
        <v>Bayview Dr (SUNRISE Bl/SR 838 to OAKLAND PARK Bl/SR 816)</v>
      </c>
      <c r="J68" s="11" t="s">
        <v>27</v>
      </c>
      <c r="K68" s="13" t="str">
        <f>VLOOKUP(J68,'Data-ProjectTypes'!A$3:B$13,2,FALSE)</f>
        <v>Program</v>
      </c>
      <c r="L68" s="11" t="s">
        <v>1258</v>
      </c>
      <c r="M68" s="106" t="s">
        <v>2305</v>
      </c>
      <c r="N68" s="84" t="s">
        <v>2293</v>
      </c>
      <c r="Q68" s="107">
        <v>2.2000000000000002</v>
      </c>
      <c r="R68" s="23">
        <v>1017000</v>
      </c>
      <c r="Y68" s="12"/>
      <c r="Z68" s="71">
        <f>ROUND(R68*'Data-CostAssumptions'!$C$8,-3)</f>
        <v>1017000</v>
      </c>
      <c r="AA68" s="11">
        <f t="shared" si="5"/>
        <v>0</v>
      </c>
      <c r="AB68" s="11">
        <v>2041</v>
      </c>
      <c r="AC68" s="11">
        <v>2041</v>
      </c>
      <c r="AD68" s="11">
        <v>2041</v>
      </c>
      <c r="AE68" s="19">
        <f>ROUND((Z68*'Data-CostAssumptions'!$G$5)*(1+'Data-CostAssumptions'!$G$3)^(AB68-'Data-CostAssumptions'!$G$4),-3)</f>
        <v>574000</v>
      </c>
      <c r="AF68" s="19">
        <f>ROUND((Z68)*(1+'Data-CostAssumptions'!$G$3)^(AD68-'Data-CostAssumptions'!$G$4),-3)</f>
        <v>2608000</v>
      </c>
      <c r="AG68" s="170" t="str">
        <f t="shared" si="6"/>
        <v>No</v>
      </c>
    </row>
    <row r="69" spans="1:33" ht="15" customHeight="1" x14ac:dyDescent="0.2">
      <c r="B69" s="11" t="s">
        <v>1211</v>
      </c>
      <c r="C69" s="13">
        <v>357</v>
      </c>
      <c r="D69" s="13" t="s">
        <v>420</v>
      </c>
      <c r="E69" s="20">
        <v>82</v>
      </c>
      <c r="F69" s="20">
        <v>160</v>
      </c>
      <c r="G69" s="20">
        <v>568</v>
      </c>
      <c r="H69" s="13" t="s">
        <v>1884</v>
      </c>
      <c r="I69" s="13" t="str">
        <f t="shared" si="4"/>
        <v>NE 12th St/Middle River Dr (NE 11th St to Oakland Park Bl)</v>
      </c>
      <c r="J69" s="13" t="s">
        <v>27</v>
      </c>
      <c r="K69" s="13" t="str">
        <f>VLOOKUP(J69,'Data-ProjectTypes'!A$3:B$13,2,FALSE)</f>
        <v>Program</v>
      </c>
      <c r="L69" s="21" t="s">
        <v>348</v>
      </c>
      <c r="M69" s="13" t="s">
        <v>2503</v>
      </c>
      <c r="N69" s="13" t="s">
        <v>1825</v>
      </c>
      <c r="O69" s="13" t="s">
        <v>276</v>
      </c>
      <c r="P69" s="13" t="s">
        <v>276</v>
      </c>
      <c r="Q69" s="22">
        <v>2</v>
      </c>
      <c r="R69" s="23">
        <v>731431</v>
      </c>
      <c r="S69" s="21"/>
      <c r="T69" s="21"/>
      <c r="U69" s="21"/>
      <c r="V69" s="24"/>
      <c r="W69" s="24"/>
      <c r="X69" s="24"/>
      <c r="Y69" s="17"/>
      <c r="Z69" s="18">
        <f>ROUND(R69*'Data-CostAssumptions'!$C$3,-3)</f>
        <v>1012000</v>
      </c>
      <c r="AA69" s="11">
        <f t="shared" si="5"/>
        <v>0</v>
      </c>
      <c r="AB69" s="11">
        <v>2041</v>
      </c>
      <c r="AC69" s="11">
        <v>2041</v>
      </c>
      <c r="AD69" s="11">
        <v>2041</v>
      </c>
      <c r="AE69" s="19">
        <f>ROUND((Z69*'Data-CostAssumptions'!$G$5)*(1+'Data-CostAssumptions'!$G$3)^(AB69-'Data-CostAssumptions'!$G$4),-3)</f>
        <v>571000</v>
      </c>
      <c r="AF69" s="19">
        <f>ROUND((Z69)*(1+'Data-CostAssumptions'!$G$3)^(AD69-'Data-CostAssumptions'!$G$4),-3)</f>
        <v>2595000</v>
      </c>
      <c r="AG69" s="170" t="str">
        <f t="shared" si="6"/>
        <v>No</v>
      </c>
    </row>
    <row r="70" spans="1:33" ht="15" customHeight="1" x14ac:dyDescent="0.2">
      <c r="A70" s="12"/>
      <c r="B70" s="11" t="s">
        <v>1211</v>
      </c>
      <c r="C70" s="12"/>
      <c r="D70" s="84" t="s">
        <v>276</v>
      </c>
      <c r="E70" s="104">
        <v>27</v>
      </c>
      <c r="F70" s="104"/>
      <c r="G70" s="20">
        <v>1546</v>
      </c>
      <c r="H70" s="13" t="s">
        <v>1847</v>
      </c>
      <c r="I70" s="13" t="str">
        <f t="shared" si="4"/>
        <v>Floranada Rd (SR 811/OLD DIXIE HWY to US 1/SR 5)</v>
      </c>
      <c r="J70" s="12" t="s">
        <v>27</v>
      </c>
      <c r="K70" s="13" t="str">
        <f>VLOOKUP(J70,'Data-ProjectTypes'!A$3:B$13,2,FALSE)</f>
        <v>Program</v>
      </c>
      <c r="L70" s="12" t="s">
        <v>1295</v>
      </c>
      <c r="M70" s="105" t="s">
        <v>2850</v>
      </c>
      <c r="N70" s="12" t="s">
        <v>1422</v>
      </c>
      <c r="O70" s="12"/>
      <c r="P70" s="12"/>
      <c r="Q70" s="72">
        <v>1</v>
      </c>
      <c r="R70" s="23">
        <v>1010000</v>
      </c>
      <c r="Y70" s="12"/>
      <c r="Z70" s="71">
        <f>ROUND(R70*'Data-CostAssumptions'!$C$8,-3)</f>
        <v>1010000</v>
      </c>
      <c r="AA70" s="11">
        <f t="shared" si="5"/>
        <v>0</v>
      </c>
      <c r="AB70" s="11">
        <v>2041</v>
      </c>
      <c r="AC70" s="11">
        <v>2041</v>
      </c>
      <c r="AD70" s="11">
        <v>2041</v>
      </c>
      <c r="AE70" s="19">
        <f>ROUND((Z70*'Data-CostAssumptions'!$G$5)*(1+'Data-CostAssumptions'!$G$3)^(AB70-'Data-CostAssumptions'!$G$4),-3)</f>
        <v>570000</v>
      </c>
      <c r="AF70" s="19">
        <f>ROUND((Z70)*(1+'Data-CostAssumptions'!$G$3)^(AD70-'Data-CostAssumptions'!$G$4),-3)</f>
        <v>2590000</v>
      </c>
      <c r="AG70" s="170" t="str">
        <f t="shared" si="6"/>
        <v>No</v>
      </c>
    </row>
    <row r="71" spans="1:33" ht="15" customHeight="1" x14ac:dyDescent="0.2">
      <c r="A71" s="109"/>
      <c r="B71" s="11" t="s">
        <v>1211</v>
      </c>
      <c r="C71" s="109"/>
      <c r="D71" s="109" t="s">
        <v>276</v>
      </c>
      <c r="E71" s="110"/>
      <c r="F71" s="110">
        <v>139</v>
      </c>
      <c r="G71" s="20">
        <v>1649</v>
      </c>
      <c r="H71" s="111" t="s">
        <v>3028</v>
      </c>
      <c r="I71" s="111" t="s">
        <v>3033</v>
      </c>
      <c r="J71" s="109" t="s">
        <v>27</v>
      </c>
      <c r="K71" s="109" t="s">
        <v>1208</v>
      </c>
      <c r="L71" s="111" t="s">
        <v>3036</v>
      </c>
      <c r="M71" s="112" t="s">
        <v>3030</v>
      </c>
      <c r="N71" s="113" t="s">
        <v>3030</v>
      </c>
      <c r="O71" s="12"/>
      <c r="P71" s="12"/>
      <c r="Q71" s="114">
        <v>0.1</v>
      </c>
      <c r="R71" s="115">
        <v>1000000</v>
      </c>
      <c r="S71" s="12"/>
      <c r="T71" s="12"/>
      <c r="U71" s="12"/>
      <c r="V71" s="12"/>
      <c r="W71" s="12"/>
      <c r="X71" s="34"/>
      <c r="Y71" s="12"/>
      <c r="Z71" s="18">
        <f>ROUND(R71*'Data-CostAssumptions'!$C$8,-3)</f>
        <v>1000000</v>
      </c>
      <c r="AA71" s="11">
        <f t="shared" si="5"/>
        <v>0</v>
      </c>
      <c r="AB71" s="11">
        <v>2041</v>
      </c>
      <c r="AC71" s="11">
        <v>2041</v>
      </c>
      <c r="AD71" s="11">
        <v>2041</v>
      </c>
      <c r="AE71" s="19">
        <f>ROUND((Z71*'Data-CostAssumptions'!$G$5)*(1+'Data-CostAssumptions'!$G$3)^(AB71-'Data-CostAssumptions'!$G$4),-3)</f>
        <v>564000</v>
      </c>
      <c r="AF71" s="19">
        <f>ROUND((Z71)*(1+'Data-CostAssumptions'!$G$3)^(AD71-'Data-CostAssumptions'!$G$4),-3)</f>
        <v>2564000</v>
      </c>
      <c r="AG71" s="170" t="str">
        <f t="shared" si="6"/>
        <v>No</v>
      </c>
    </row>
    <row r="72" spans="1:33" ht="15" customHeight="1" x14ac:dyDescent="0.2">
      <c r="A72" s="12"/>
      <c r="B72" s="11" t="s">
        <v>1211</v>
      </c>
      <c r="C72" s="12"/>
      <c r="D72" s="84" t="s">
        <v>276</v>
      </c>
      <c r="E72" s="104">
        <v>20</v>
      </c>
      <c r="F72" s="104"/>
      <c r="G72" s="20">
        <v>1542</v>
      </c>
      <c r="H72" s="13" t="s">
        <v>1816</v>
      </c>
      <c r="I72" s="13" t="str">
        <f t="shared" ref="I72:I135" si="7">IF(M72="@",H72&amp;" ("&amp;M72&amp;"  "&amp;N72&amp;")",H72&amp;" ("&amp;M72&amp;" to "&amp;N72&amp;")")</f>
        <v>Davie Bl (SW 4TH Av to I-95)</v>
      </c>
      <c r="J72" s="12" t="s">
        <v>27</v>
      </c>
      <c r="K72" s="13" t="str">
        <f>VLOOKUP(J72,'Data-ProjectTypes'!A$3:B$13,2,FALSE)</f>
        <v>Program</v>
      </c>
      <c r="L72" s="12" t="s">
        <v>1279</v>
      </c>
      <c r="M72" s="105" t="s">
        <v>2194</v>
      </c>
      <c r="N72" s="12" t="s">
        <v>41</v>
      </c>
      <c r="O72" s="12"/>
      <c r="P72" s="12"/>
      <c r="Q72" s="72">
        <v>1.3</v>
      </c>
      <c r="R72" s="23">
        <v>995000</v>
      </c>
      <c r="Y72" s="12"/>
      <c r="Z72" s="71">
        <f>ROUND(R72*'Data-CostAssumptions'!$C$8,-3)</f>
        <v>995000</v>
      </c>
      <c r="AA72" s="11">
        <f t="shared" si="5"/>
        <v>0</v>
      </c>
      <c r="AB72" s="11">
        <v>2041</v>
      </c>
      <c r="AC72" s="11">
        <v>2041</v>
      </c>
      <c r="AD72" s="11">
        <v>2041</v>
      </c>
      <c r="AE72" s="19">
        <f>ROUND((Z72*'Data-CostAssumptions'!$G$5)*(1+'Data-CostAssumptions'!$G$3)^(AB72-'Data-CostAssumptions'!$G$4),-3)</f>
        <v>561000</v>
      </c>
      <c r="AF72" s="19">
        <f>ROUND((Z72)*(1+'Data-CostAssumptions'!$G$3)^(AD72-'Data-CostAssumptions'!$G$4),-3)</f>
        <v>2551000</v>
      </c>
      <c r="AG72" s="170" t="str">
        <f t="shared" si="6"/>
        <v>No</v>
      </c>
    </row>
    <row r="73" spans="1:33" ht="15" customHeight="1" x14ac:dyDescent="0.2">
      <c r="B73" s="11" t="s">
        <v>1211</v>
      </c>
      <c r="D73" s="84" t="s">
        <v>276</v>
      </c>
      <c r="E73" s="14">
        <v>8</v>
      </c>
      <c r="F73" s="14"/>
      <c r="G73" s="20">
        <v>1625</v>
      </c>
      <c r="H73" s="13" t="s">
        <v>2798</v>
      </c>
      <c r="I73" s="13" t="str">
        <f t="shared" si="7"/>
        <v>SR 842/Broward Bl (NW 7TH Av to I-95)</v>
      </c>
      <c r="J73" s="11" t="s">
        <v>27</v>
      </c>
      <c r="K73" s="13" t="str">
        <f>VLOOKUP(J73,'Data-ProjectTypes'!A$3:B$13,2,FALSE)</f>
        <v>Program</v>
      </c>
      <c r="L73" s="11" t="s">
        <v>1265</v>
      </c>
      <c r="M73" s="106" t="s">
        <v>2601</v>
      </c>
      <c r="N73" s="84" t="s">
        <v>41</v>
      </c>
      <c r="Q73" s="107">
        <v>1.2</v>
      </c>
      <c r="R73" s="23">
        <v>990450</v>
      </c>
      <c r="Y73" s="12"/>
      <c r="Z73" s="18">
        <f>ROUND(R73*'Data-CostAssumptions'!$C$4,-3)</f>
        <v>990000</v>
      </c>
      <c r="AA73" s="11">
        <f t="shared" si="5"/>
        <v>0</v>
      </c>
      <c r="AB73" s="11">
        <v>2041</v>
      </c>
      <c r="AC73" s="11">
        <v>2041</v>
      </c>
      <c r="AD73" s="11">
        <v>2041</v>
      </c>
      <c r="AE73" s="19">
        <f>ROUND((Z73*'Data-CostAssumptions'!$G$5)*(1+'Data-CostAssumptions'!$G$3)^(AB73-'Data-CostAssumptions'!$G$4),-3)</f>
        <v>558000</v>
      </c>
      <c r="AF73" s="19">
        <f>ROUND((Z73)*(1+'Data-CostAssumptions'!$G$3)^(AD73-'Data-CostAssumptions'!$G$4),-3)</f>
        <v>2538000</v>
      </c>
      <c r="AG73" s="170" t="str">
        <f t="shared" si="6"/>
        <v>No</v>
      </c>
    </row>
    <row r="74" spans="1:33" ht="15" customHeight="1" x14ac:dyDescent="0.2">
      <c r="A74" s="12"/>
      <c r="B74" s="11" t="s">
        <v>1211</v>
      </c>
      <c r="C74" s="12"/>
      <c r="D74" s="84" t="s">
        <v>276</v>
      </c>
      <c r="E74" s="104">
        <v>77</v>
      </c>
      <c r="F74" s="104"/>
      <c r="G74" s="20">
        <v>1609</v>
      </c>
      <c r="H74" s="13" t="s">
        <v>2209</v>
      </c>
      <c r="I74" s="13" t="str">
        <f t="shared" si="7"/>
        <v>SR 5/ US 1 (I-595 to SE 24TH ST/SR 84)</v>
      </c>
      <c r="J74" s="12" t="s">
        <v>27</v>
      </c>
      <c r="K74" s="13" t="str">
        <f>VLOOKUP(J74,'Data-ProjectTypes'!A$3:B$13,2,FALSE)</f>
        <v>Program</v>
      </c>
      <c r="L74" s="12" t="s">
        <v>1407</v>
      </c>
      <c r="M74" s="105" t="s">
        <v>34</v>
      </c>
      <c r="N74" s="12" t="s">
        <v>1437</v>
      </c>
      <c r="O74" s="12"/>
      <c r="P74" s="12"/>
      <c r="Q74" s="72">
        <v>0.8</v>
      </c>
      <c r="R74" s="23">
        <v>710550</v>
      </c>
      <c r="Y74" s="12"/>
      <c r="Z74" s="18">
        <f>ROUND(R74*'Data-CostAssumptions'!$C$3,-3)</f>
        <v>983000</v>
      </c>
      <c r="AA74" s="11">
        <f t="shared" si="5"/>
        <v>0</v>
      </c>
      <c r="AB74" s="11">
        <v>2041</v>
      </c>
      <c r="AC74" s="11">
        <v>2041</v>
      </c>
      <c r="AD74" s="11">
        <v>2041</v>
      </c>
      <c r="AE74" s="19">
        <f>ROUND((Z74*'Data-CostAssumptions'!$G$5)*(1+'Data-CostAssumptions'!$G$3)^(AB74-'Data-CostAssumptions'!$G$4),-3)</f>
        <v>554000</v>
      </c>
      <c r="AF74" s="19">
        <f>ROUND((Z74)*(1+'Data-CostAssumptions'!$G$3)^(AD74-'Data-CostAssumptions'!$G$4),-3)</f>
        <v>2520000</v>
      </c>
      <c r="AG74" s="170" t="str">
        <f t="shared" si="6"/>
        <v>No</v>
      </c>
    </row>
    <row r="75" spans="1:33" ht="15" customHeight="1" x14ac:dyDescent="0.2">
      <c r="A75" s="12"/>
      <c r="B75" s="11" t="s">
        <v>1211</v>
      </c>
      <c r="C75" s="12"/>
      <c r="D75" s="84" t="s">
        <v>276</v>
      </c>
      <c r="E75" s="104">
        <v>82</v>
      </c>
      <c r="F75" s="104"/>
      <c r="G75" s="20">
        <v>1605</v>
      </c>
      <c r="H75" s="13" t="s">
        <v>2183</v>
      </c>
      <c r="I75" s="13" t="str">
        <f t="shared" si="7"/>
        <v>SE/NE 3RD Av (DAVIE Bl to NE 6TH ST)</v>
      </c>
      <c r="J75" s="12" t="s">
        <v>27</v>
      </c>
      <c r="K75" s="13" t="str">
        <f>VLOOKUP(J75,'Data-ProjectTypes'!A$3:B$13,2,FALSE)</f>
        <v>Program</v>
      </c>
      <c r="L75" s="12" t="s">
        <v>1373</v>
      </c>
      <c r="M75" s="105" t="s">
        <v>1991</v>
      </c>
      <c r="N75" s="12" t="s">
        <v>1230</v>
      </c>
      <c r="O75" s="12"/>
      <c r="P75" s="12"/>
      <c r="Q75" s="72">
        <v>1.5</v>
      </c>
      <c r="R75" s="23">
        <v>695700</v>
      </c>
      <c r="X75" s="38"/>
      <c r="Y75" s="12"/>
      <c r="Z75" s="18">
        <f>ROUND(R75*'Data-CostAssumptions'!$C$3,-3)</f>
        <v>963000</v>
      </c>
      <c r="AA75" s="11">
        <f t="shared" si="5"/>
        <v>0</v>
      </c>
      <c r="AB75" s="11">
        <v>2041</v>
      </c>
      <c r="AC75" s="11">
        <v>2041</v>
      </c>
      <c r="AD75" s="11">
        <v>2041</v>
      </c>
      <c r="AE75" s="19">
        <f>ROUND((Z75*'Data-CostAssumptions'!$G$5)*(1+'Data-CostAssumptions'!$G$3)^(AB75-'Data-CostAssumptions'!$G$4),-3)</f>
        <v>543000</v>
      </c>
      <c r="AF75" s="19">
        <f>ROUND((Z75)*(1+'Data-CostAssumptions'!$G$3)^(AD75-'Data-CostAssumptions'!$G$4),-3)</f>
        <v>2469000</v>
      </c>
      <c r="AG75" s="170" t="str">
        <f t="shared" si="6"/>
        <v>No</v>
      </c>
    </row>
    <row r="76" spans="1:33" ht="15" customHeight="1" x14ac:dyDescent="0.2">
      <c r="B76" s="11" t="s">
        <v>1211</v>
      </c>
      <c r="C76" s="13">
        <v>356</v>
      </c>
      <c r="D76" s="13" t="s">
        <v>420</v>
      </c>
      <c r="E76" s="20">
        <v>81</v>
      </c>
      <c r="F76" s="20">
        <v>160</v>
      </c>
      <c r="G76" s="20">
        <v>567</v>
      </c>
      <c r="H76" s="13" t="s">
        <v>1781</v>
      </c>
      <c r="I76" s="13" t="str">
        <f t="shared" si="7"/>
        <v>Bayview Dr (Middle River Dr to NE 30th Place)</v>
      </c>
      <c r="J76" s="13" t="s">
        <v>27</v>
      </c>
      <c r="K76" s="13" t="str">
        <f>VLOOKUP(J76,'Data-ProjectTypes'!A$3:B$13,2,FALSE)</f>
        <v>Program</v>
      </c>
      <c r="L76" s="21" t="s">
        <v>348</v>
      </c>
      <c r="M76" s="13" t="s">
        <v>2646</v>
      </c>
      <c r="N76" s="13" t="s">
        <v>216</v>
      </c>
      <c r="O76" s="13" t="s">
        <v>276</v>
      </c>
      <c r="P76" s="13" t="s">
        <v>276</v>
      </c>
      <c r="Q76" s="22">
        <v>1.9</v>
      </c>
      <c r="R76" s="23">
        <v>693756</v>
      </c>
      <c r="S76" s="21" t="s">
        <v>24</v>
      </c>
      <c r="T76" s="21" t="s">
        <v>25</v>
      </c>
      <c r="U76" s="21" t="s">
        <v>25</v>
      </c>
      <c r="V76" s="24" t="s">
        <v>691</v>
      </c>
      <c r="W76" s="24"/>
      <c r="X76" s="24"/>
      <c r="Y76" s="17" t="s">
        <v>685</v>
      </c>
      <c r="Z76" s="18">
        <f>ROUND(R76*'Data-CostAssumptions'!$C$3,-3)</f>
        <v>960000</v>
      </c>
      <c r="AA76" s="11">
        <f t="shared" si="5"/>
        <v>1</v>
      </c>
      <c r="AB76" s="11">
        <v>2041</v>
      </c>
      <c r="AC76" s="11">
        <v>2041</v>
      </c>
      <c r="AD76" s="11">
        <v>2041</v>
      </c>
      <c r="AE76" s="19">
        <f>ROUND((Z76*'Data-CostAssumptions'!$G$5)*(1+'Data-CostAssumptions'!$G$3)^(AB76-'Data-CostAssumptions'!$G$4),-3)</f>
        <v>542000</v>
      </c>
      <c r="AF76" s="19">
        <f>ROUND((Z76)*(1+'Data-CostAssumptions'!$G$3)^(AD76-'Data-CostAssumptions'!$G$4),-3)</f>
        <v>2461000</v>
      </c>
      <c r="AG76" s="170" t="str">
        <f t="shared" si="6"/>
        <v>No</v>
      </c>
    </row>
    <row r="77" spans="1:33" ht="15" customHeight="1" x14ac:dyDescent="0.2">
      <c r="B77" s="11" t="s">
        <v>1211</v>
      </c>
      <c r="C77" s="13">
        <v>300</v>
      </c>
      <c r="D77" s="13" t="s">
        <v>420</v>
      </c>
      <c r="E77" s="20">
        <v>170</v>
      </c>
      <c r="F77" s="20">
        <v>157</v>
      </c>
      <c r="G77" s="20">
        <v>512</v>
      </c>
      <c r="H77" s="13" t="s">
        <v>2404</v>
      </c>
      <c r="I77" s="13" t="str">
        <f t="shared" si="7"/>
        <v>Holmberg Rd (Just west of Access Rd to Riverside Dr)</v>
      </c>
      <c r="J77" s="13" t="s">
        <v>27</v>
      </c>
      <c r="K77" s="13" t="str">
        <f>VLOOKUP(J77,'Data-ProjectTypes'!A$3:B$13,2,FALSE)</f>
        <v>Program</v>
      </c>
      <c r="L77" s="47" t="s">
        <v>736</v>
      </c>
      <c r="M77" s="13" t="s">
        <v>2417</v>
      </c>
      <c r="N77" s="13" t="s">
        <v>1799</v>
      </c>
      <c r="O77" s="13" t="s">
        <v>272</v>
      </c>
      <c r="P77" s="13" t="s">
        <v>272</v>
      </c>
      <c r="Q77" s="22">
        <v>1.9</v>
      </c>
      <c r="R77" s="23">
        <v>682122</v>
      </c>
      <c r="S77" s="21" t="s">
        <v>24</v>
      </c>
      <c r="T77" s="21" t="s">
        <v>25</v>
      </c>
      <c r="U77" s="21" t="s">
        <v>24</v>
      </c>
      <c r="V77" s="24" t="s">
        <v>808</v>
      </c>
      <c r="W77" s="24"/>
      <c r="X77" s="24" t="s">
        <v>812</v>
      </c>
      <c r="Y77" s="17" t="s">
        <v>806</v>
      </c>
      <c r="Z77" s="18">
        <f>ROUND(R77*'Data-CostAssumptions'!$C$3,-3)</f>
        <v>944000</v>
      </c>
      <c r="AA77" s="11">
        <f t="shared" si="5"/>
        <v>1</v>
      </c>
      <c r="AB77" s="11">
        <v>2041</v>
      </c>
      <c r="AC77" s="11">
        <v>2041</v>
      </c>
      <c r="AD77" s="11">
        <v>2041</v>
      </c>
      <c r="AE77" s="19">
        <f>ROUND((Z77*'Data-CostAssumptions'!$G$5)*(1+'Data-CostAssumptions'!$G$3)^(AB77-'Data-CostAssumptions'!$G$4),-3)</f>
        <v>532000</v>
      </c>
      <c r="AF77" s="19">
        <f>ROUND((Z77)*(1+'Data-CostAssumptions'!$G$3)^(AD77-'Data-CostAssumptions'!$G$4),-3)</f>
        <v>2420000</v>
      </c>
      <c r="AG77" s="170" t="str">
        <f t="shared" si="6"/>
        <v>No</v>
      </c>
    </row>
    <row r="78" spans="1:33" ht="15" customHeight="1" x14ac:dyDescent="0.2">
      <c r="A78" s="12"/>
      <c r="B78" s="11" t="s">
        <v>1211</v>
      </c>
      <c r="C78" s="12"/>
      <c r="D78" s="84" t="s">
        <v>276</v>
      </c>
      <c r="E78" s="104">
        <v>58</v>
      </c>
      <c r="F78" s="104"/>
      <c r="G78" s="20">
        <v>1579</v>
      </c>
      <c r="H78" s="13" t="s">
        <v>1241</v>
      </c>
      <c r="I78" s="13" t="str">
        <f t="shared" si="7"/>
        <v>NW 26TH ST (NW 31ST Av/MLK JR Av to NW 21ST Av)</v>
      </c>
      <c r="J78" s="12" t="s">
        <v>27</v>
      </c>
      <c r="K78" s="13" t="str">
        <f>VLOOKUP(J78,'Data-ProjectTypes'!A$3:B$13,2,FALSE)</f>
        <v>Program</v>
      </c>
      <c r="L78" s="12" t="s">
        <v>1305</v>
      </c>
      <c r="M78" s="105" t="s">
        <v>2619</v>
      </c>
      <c r="N78" s="12" t="s">
        <v>2164</v>
      </c>
      <c r="O78" s="12"/>
      <c r="P78" s="12"/>
      <c r="Q78" s="72">
        <v>1</v>
      </c>
      <c r="R78" s="23">
        <v>682000</v>
      </c>
      <c r="Y78" s="12"/>
      <c r="Z78" s="18">
        <f>ROUND(R78*'Data-CostAssumptions'!$C$3,-3)</f>
        <v>944000</v>
      </c>
      <c r="AA78" s="11">
        <f t="shared" si="5"/>
        <v>0</v>
      </c>
      <c r="AB78" s="11">
        <v>2041</v>
      </c>
      <c r="AC78" s="11">
        <v>2041</v>
      </c>
      <c r="AD78" s="11">
        <v>2041</v>
      </c>
      <c r="AE78" s="19">
        <f>ROUND((Z78*'Data-CostAssumptions'!$G$5)*(1+'Data-CostAssumptions'!$G$3)^(AB78-'Data-CostAssumptions'!$G$4),-3)</f>
        <v>532000</v>
      </c>
      <c r="AF78" s="19">
        <f>ROUND((Z78)*(1+'Data-CostAssumptions'!$G$3)^(AD78-'Data-CostAssumptions'!$G$4),-3)</f>
        <v>2420000</v>
      </c>
      <c r="AG78" s="170" t="str">
        <f t="shared" si="6"/>
        <v>No</v>
      </c>
    </row>
    <row r="79" spans="1:33" ht="15" customHeight="1" x14ac:dyDescent="0.2">
      <c r="A79" s="12"/>
      <c r="B79" s="11" t="s">
        <v>1211</v>
      </c>
      <c r="C79" s="12"/>
      <c r="D79" s="84" t="s">
        <v>276</v>
      </c>
      <c r="E79" s="104">
        <v>64</v>
      </c>
      <c r="F79" s="104"/>
      <c r="G79" s="20">
        <v>1590</v>
      </c>
      <c r="H79" s="13" t="s">
        <v>1982</v>
      </c>
      <c r="I79" s="13" t="str">
        <f t="shared" si="7"/>
        <v>NW 7th Av (SUNRISE Bl/SR 838 to NW 19TH ST)</v>
      </c>
      <c r="J79" s="12" t="s">
        <v>27</v>
      </c>
      <c r="K79" s="13" t="str">
        <f>VLOOKUP(J79,'Data-ProjectTypes'!A$3:B$13,2,FALSE)</f>
        <v>Program</v>
      </c>
      <c r="L79" s="12" t="s">
        <v>1338</v>
      </c>
      <c r="M79" s="105" t="s">
        <v>2305</v>
      </c>
      <c r="N79" s="12" t="s">
        <v>1240</v>
      </c>
      <c r="O79" s="12"/>
      <c r="P79" s="12"/>
      <c r="Q79" s="72">
        <v>1</v>
      </c>
      <c r="R79" s="23">
        <v>680000</v>
      </c>
      <c r="Y79" s="12"/>
      <c r="Z79" s="18">
        <f>ROUND(R79*'Data-CostAssumptions'!$C$3,-3)</f>
        <v>941000</v>
      </c>
      <c r="AA79" s="11">
        <f t="shared" si="5"/>
        <v>0</v>
      </c>
      <c r="AB79" s="11">
        <v>2041</v>
      </c>
      <c r="AC79" s="11">
        <v>2041</v>
      </c>
      <c r="AD79" s="11">
        <v>2041</v>
      </c>
      <c r="AE79" s="19">
        <f>ROUND((Z79*'Data-CostAssumptions'!$G$5)*(1+'Data-CostAssumptions'!$G$3)^(AB79-'Data-CostAssumptions'!$G$4),-3)</f>
        <v>531000</v>
      </c>
      <c r="AF79" s="19">
        <f>ROUND((Z79)*(1+'Data-CostAssumptions'!$G$3)^(AD79-'Data-CostAssumptions'!$G$4),-3)</f>
        <v>2413000</v>
      </c>
      <c r="AG79" s="170" t="str">
        <f t="shared" si="6"/>
        <v>No</v>
      </c>
    </row>
    <row r="80" spans="1:33" ht="15" customHeight="1" x14ac:dyDescent="0.2">
      <c r="B80" s="11" t="s">
        <v>1211</v>
      </c>
      <c r="C80" s="13">
        <v>349</v>
      </c>
      <c r="D80" s="13" t="s">
        <v>420</v>
      </c>
      <c r="E80" s="20">
        <v>36</v>
      </c>
      <c r="F80" s="20">
        <v>160</v>
      </c>
      <c r="G80" s="20">
        <v>560</v>
      </c>
      <c r="H80" s="13" t="s">
        <v>1968</v>
      </c>
      <c r="I80" s="13" t="str">
        <f t="shared" si="7"/>
        <v>Taft St (NW 93rd Av to Hiatus Rd)</v>
      </c>
      <c r="J80" s="13" t="s">
        <v>27</v>
      </c>
      <c r="K80" s="13" t="str">
        <f>VLOOKUP(J80,'Data-ProjectTypes'!A$3:B$13,2,FALSE)</f>
        <v>Program</v>
      </c>
      <c r="L80" s="21" t="s">
        <v>348</v>
      </c>
      <c r="M80" s="13" t="s">
        <v>2395</v>
      </c>
      <c r="N80" s="13" t="s">
        <v>1752</v>
      </c>
      <c r="O80" s="13" t="s">
        <v>271</v>
      </c>
      <c r="P80" s="13" t="s">
        <v>271</v>
      </c>
      <c r="Q80" s="22">
        <v>1.9</v>
      </c>
      <c r="R80" s="23">
        <v>679043</v>
      </c>
      <c r="S80" s="21" t="s">
        <v>24</v>
      </c>
      <c r="T80" s="21"/>
      <c r="U80" s="21"/>
      <c r="V80" s="24"/>
      <c r="W80" s="24" t="s">
        <v>578</v>
      </c>
      <c r="X80" s="24" t="s">
        <v>579</v>
      </c>
      <c r="Y80" s="17" t="s">
        <v>547</v>
      </c>
      <c r="Z80" s="18">
        <f>ROUND(R80*'Data-CostAssumptions'!$C$3,-3)</f>
        <v>940000</v>
      </c>
      <c r="AA80" s="11">
        <f t="shared" si="5"/>
        <v>1</v>
      </c>
      <c r="AB80" s="11">
        <v>2041</v>
      </c>
      <c r="AC80" s="11">
        <v>2041</v>
      </c>
      <c r="AD80" s="11">
        <v>2041</v>
      </c>
      <c r="AE80" s="19">
        <f>ROUND((Z80*'Data-CostAssumptions'!$G$5)*(1+'Data-CostAssumptions'!$G$3)^(AB80-'Data-CostAssumptions'!$G$4),-3)</f>
        <v>530000</v>
      </c>
      <c r="AF80" s="19">
        <f>ROUND((Z80)*(1+'Data-CostAssumptions'!$G$3)^(AD80-'Data-CostAssumptions'!$G$4),-3)</f>
        <v>2410000</v>
      </c>
      <c r="AG80" s="170" t="str">
        <f t="shared" si="6"/>
        <v>No</v>
      </c>
    </row>
    <row r="81" spans="1:33" ht="15" customHeight="1" x14ac:dyDescent="0.2">
      <c r="A81" s="12"/>
      <c r="B81" s="11" t="s">
        <v>1211</v>
      </c>
      <c r="C81" s="12"/>
      <c r="D81" s="84" t="s">
        <v>276</v>
      </c>
      <c r="E81" s="104">
        <v>88</v>
      </c>
      <c r="F81" s="104"/>
      <c r="G81" s="20">
        <v>1631</v>
      </c>
      <c r="H81" s="13" t="s">
        <v>110</v>
      </c>
      <c r="I81" s="13" t="str">
        <f t="shared" si="7"/>
        <v>SR A1A (EISENHOWER Bl to LAS OLAS Bl)</v>
      </c>
      <c r="J81" s="12" t="s">
        <v>27</v>
      </c>
      <c r="K81" s="13" t="str">
        <f>VLOOKUP(J81,'Data-ProjectTypes'!A$3:B$13,2,FALSE)</f>
        <v>Program</v>
      </c>
      <c r="L81" s="12" t="s">
        <v>1382</v>
      </c>
      <c r="M81" s="105" t="s">
        <v>1993</v>
      </c>
      <c r="N81" s="12" t="s">
        <v>1997</v>
      </c>
      <c r="O81" s="12"/>
      <c r="P81" s="12"/>
      <c r="Q81" s="72">
        <v>2.2000000000000002</v>
      </c>
      <c r="R81" s="23">
        <v>940000</v>
      </c>
      <c r="Y81" s="12"/>
      <c r="Z81" s="18">
        <f>ROUND(R81*'Data-CostAssumptions'!$C$4,-3)</f>
        <v>940000</v>
      </c>
      <c r="AA81" s="11">
        <f t="shared" si="5"/>
        <v>0</v>
      </c>
      <c r="AB81" s="11">
        <v>2041</v>
      </c>
      <c r="AC81" s="11">
        <v>2041</v>
      </c>
      <c r="AD81" s="11">
        <v>2041</v>
      </c>
      <c r="AE81" s="19">
        <f>ROUND((Z81*'Data-CostAssumptions'!$G$5)*(1+'Data-CostAssumptions'!$G$3)^(AB81-'Data-CostAssumptions'!$G$4),-3)</f>
        <v>530000</v>
      </c>
      <c r="AF81" s="19">
        <f>ROUND((Z81)*(1+'Data-CostAssumptions'!$G$3)^(AD81-'Data-CostAssumptions'!$G$4),-3)</f>
        <v>2410000</v>
      </c>
      <c r="AG81" s="170" t="str">
        <f t="shared" si="6"/>
        <v>No</v>
      </c>
    </row>
    <row r="82" spans="1:33" ht="15" customHeight="1" x14ac:dyDescent="0.2">
      <c r="A82" s="12"/>
      <c r="B82" s="11" t="s">
        <v>1211</v>
      </c>
      <c r="C82" s="12"/>
      <c r="D82" s="84" t="s">
        <v>276</v>
      </c>
      <c r="E82" s="104">
        <v>96</v>
      </c>
      <c r="F82" s="104"/>
      <c r="G82" s="20">
        <v>1636</v>
      </c>
      <c r="H82" s="13" t="s">
        <v>2191</v>
      </c>
      <c r="I82" s="13" t="str">
        <f t="shared" si="7"/>
        <v>SW 31ST Av (RIVERLAND RD to BROWARD Bl)</v>
      </c>
      <c r="J82" s="12" t="s">
        <v>27</v>
      </c>
      <c r="K82" s="13" t="str">
        <f>VLOOKUP(J82,'Data-ProjectTypes'!A$3:B$13,2,FALSE)</f>
        <v>Program</v>
      </c>
      <c r="L82" s="12" t="s">
        <v>1406</v>
      </c>
      <c r="M82" s="105" t="s">
        <v>1243</v>
      </c>
      <c r="N82" s="12" t="s">
        <v>1988</v>
      </c>
      <c r="O82" s="12"/>
      <c r="P82" s="12"/>
      <c r="Q82" s="72">
        <v>0.9</v>
      </c>
      <c r="R82" s="23">
        <v>928300</v>
      </c>
      <c r="Y82" s="12"/>
      <c r="Z82" s="18">
        <f>ROUND(R82*'Data-CostAssumptions'!$C$8,-3)</f>
        <v>928000</v>
      </c>
      <c r="AA82" s="11">
        <f t="shared" si="5"/>
        <v>0</v>
      </c>
      <c r="AB82" s="11">
        <v>2041</v>
      </c>
      <c r="AC82" s="11">
        <v>2041</v>
      </c>
      <c r="AD82" s="11">
        <v>2041</v>
      </c>
      <c r="AE82" s="19">
        <f>ROUND((Z82*'Data-CostAssumptions'!$G$5)*(1+'Data-CostAssumptions'!$G$3)^(AB82-'Data-CostAssumptions'!$G$4),-3)</f>
        <v>523000</v>
      </c>
      <c r="AF82" s="19">
        <f>ROUND((Z82)*(1+'Data-CostAssumptions'!$G$3)^(AD82-'Data-CostAssumptions'!$G$4),-3)</f>
        <v>2379000</v>
      </c>
      <c r="AG82" s="170" t="str">
        <f t="shared" si="6"/>
        <v>No</v>
      </c>
    </row>
    <row r="83" spans="1:33" ht="15" customHeight="1" x14ac:dyDescent="0.2">
      <c r="B83" s="11" t="s">
        <v>1211</v>
      </c>
      <c r="C83" s="13">
        <v>251</v>
      </c>
      <c r="D83" s="13" t="s">
        <v>420</v>
      </c>
      <c r="E83" s="20">
        <v>272</v>
      </c>
      <c r="F83" s="20">
        <v>154</v>
      </c>
      <c r="G83" s="20">
        <v>463</v>
      </c>
      <c r="H83" s="13" t="s">
        <v>2784</v>
      </c>
      <c r="I83" s="13" t="str">
        <f t="shared" si="7"/>
        <v>SR 818/Griffin Rd (University Dr to Nob Hill Rd)</v>
      </c>
      <c r="J83" s="13" t="s">
        <v>27</v>
      </c>
      <c r="K83" s="13" t="str">
        <f>VLOOKUP(J83,'Data-ProjectTypes'!A$3:B$13,2,FALSE)</f>
        <v>Program</v>
      </c>
      <c r="L83" s="21" t="s">
        <v>348</v>
      </c>
      <c r="M83" s="13" t="s">
        <v>1804</v>
      </c>
      <c r="N83" s="13" t="s">
        <v>1755</v>
      </c>
      <c r="O83" s="13" t="s">
        <v>270</v>
      </c>
      <c r="P83" s="13" t="s">
        <v>270</v>
      </c>
      <c r="Q83" s="22">
        <v>1.9</v>
      </c>
      <c r="R83" s="23">
        <v>664962</v>
      </c>
      <c r="S83" s="21" t="s">
        <v>24</v>
      </c>
      <c r="T83" s="21"/>
      <c r="U83" s="21"/>
      <c r="V83" s="24"/>
      <c r="W83" s="24"/>
      <c r="X83" s="44" t="s">
        <v>1176</v>
      </c>
      <c r="Y83" s="17" t="s">
        <v>1175</v>
      </c>
      <c r="Z83" s="18">
        <f>ROUND(R83*'Data-CostAssumptions'!$C$3,-3)</f>
        <v>920000</v>
      </c>
      <c r="AA83" s="11">
        <f t="shared" si="5"/>
        <v>0</v>
      </c>
      <c r="AB83" s="11">
        <v>2041</v>
      </c>
      <c r="AC83" s="11">
        <v>2041</v>
      </c>
      <c r="AD83" s="11">
        <v>2041</v>
      </c>
      <c r="AE83" s="19">
        <f>ROUND((Z83*'Data-CostAssumptions'!$G$5)*(1+'Data-CostAssumptions'!$G$3)^(AB83-'Data-CostAssumptions'!$G$4),-3)</f>
        <v>519000</v>
      </c>
      <c r="AF83" s="19">
        <f>ROUND((Z83)*(1+'Data-CostAssumptions'!$G$3)^(AD83-'Data-CostAssumptions'!$G$4),-3)</f>
        <v>2359000</v>
      </c>
      <c r="AG83" s="170" t="str">
        <f t="shared" si="6"/>
        <v>No</v>
      </c>
    </row>
    <row r="84" spans="1:33" ht="15" customHeight="1" x14ac:dyDescent="0.2">
      <c r="B84" s="11" t="s">
        <v>1211</v>
      </c>
      <c r="C84" s="13">
        <v>318</v>
      </c>
      <c r="D84" s="13" t="s">
        <v>420</v>
      </c>
      <c r="E84" s="20">
        <v>259</v>
      </c>
      <c r="F84" s="20">
        <v>158</v>
      </c>
      <c r="G84" s="20">
        <v>529</v>
      </c>
      <c r="H84" s="13" t="s">
        <v>266</v>
      </c>
      <c r="I84" s="13" t="str">
        <f t="shared" si="7"/>
        <v>Pine Island Rd (SW 36th St to I-595)</v>
      </c>
      <c r="J84" s="13" t="s">
        <v>27</v>
      </c>
      <c r="K84" s="13" t="str">
        <f>VLOOKUP(J84,'Data-ProjectTypes'!A$3:B$13,2,FALSE)</f>
        <v>Program</v>
      </c>
      <c r="L84" s="21" t="s">
        <v>348</v>
      </c>
      <c r="M84" s="13" t="s">
        <v>2552</v>
      </c>
      <c r="N84" s="13" t="s">
        <v>34</v>
      </c>
      <c r="O84" s="13" t="s">
        <v>273</v>
      </c>
      <c r="P84" s="13" t="s">
        <v>273</v>
      </c>
      <c r="Q84" s="22">
        <v>1.8</v>
      </c>
      <c r="R84" s="23">
        <v>662394</v>
      </c>
      <c r="S84" s="21" t="s">
        <v>24</v>
      </c>
      <c r="T84" s="21"/>
      <c r="U84" s="21"/>
      <c r="V84" s="24"/>
      <c r="W84" s="24" t="s">
        <v>491</v>
      </c>
      <c r="X84" s="24"/>
      <c r="Y84" s="17" t="s">
        <v>492</v>
      </c>
      <c r="Z84" s="18">
        <f>ROUND(R84*'Data-CostAssumptions'!$C$3,-3)</f>
        <v>917000</v>
      </c>
      <c r="AA84" s="11">
        <f t="shared" si="5"/>
        <v>1</v>
      </c>
      <c r="AB84" s="11">
        <v>2041</v>
      </c>
      <c r="AC84" s="11">
        <v>2041</v>
      </c>
      <c r="AD84" s="11">
        <v>2041</v>
      </c>
      <c r="AE84" s="19">
        <f>ROUND((Z84*'Data-CostAssumptions'!$G$5)*(1+'Data-CostAssumptions'!$G$3)^(AB84-'Data-CostAssumptions'!$G$4),-3)</f>
        <v>517000</v>
      </c>
      <c r="AF84" s="19">
        <f>ROUND((Z84)*(1+'Data-CostAssumptions'!$G$3)^(AD84-'Data-CostAssumptions'!$G$4),-3)</f>
        <v>2351000</v>
      </c>
      <c r="AG84" s="170" t="str">
        <f t="shared" si="6"/>
        <v>No</v>
      </c>
    </row>
    <row r="85" spans="1:33" ht="15" customHeight="1" x14ac:dyDescent="0.2">
      <c r="B85" s="11" t="s">
        <v>1211</v>
      </c>
      <c r="C85" s="13">
        <v>427</v>
      </c>
      <c r="D85" s="13" t="s">
        <v>420</v>
      </c>
      <c r="E85" s="20">
        <v>123</v>
      </c>
      <c r="F85" s="20">
        <v>165</v>
      </c>
      <c r="G85" s="20">
        <v>637</v>
      </c>
      <c r="H85" s="13" t="s">
        <v>2121</v>
      </c>
      <c r="I85" s="13" t="str">
        <f t="shared" si="7"/>
        <v>SW 36th Av/North Palm Aire Dr (Powerline Rd to McNab Rd)</v>
      </c>
      <c r="J85" s="13" t="s">
        <v>27</v>
      </c>
      <c r="K85" s="13" t="str">
        <f>VLOOKUP(J85,'Data-ProjectTypes'!A$3:B$13,2,FALSE)</f>
        <v>Program</v>
      </c>
      <c r="L85" s="21" t="s">
        <v>348</v>
      </c>
      <c r="M85" s="13" t="s">
        <v>1858</v>
      </c>
      <c r="N85" s="13" t="s">
        <v>1854</v>
      </c>
      <c r="O85" s="13" t="s">
        <v>275</v>
      </c>
      <c r="P85" s="13" t="s">
        <v>275</v>
      </c>
      <c r="Q85" s="22">
        <v>1.8</v>
      </c>
      <c r="R85" s="23">
        <v>662646</v>
      </c>
      <c r="S85" s="21"/>
      <c r="T85" s="21"/>
      <c r="U85" s="21"/>
      <c r="V85" s="24"/>
      <c r="W85" s="24"/>
      <c r="X85" s="24"/>
      <c r="Y85" s="17"/>
      <c r="Z85" s="18">
        <f>ROUND(R85*'Data-CostAssumptions'!$C$3,-3)</f>
        <v>917000</v>
      </c>
      <c r="AA85" s="11">
        <f t="shared" si="5"/>
        <v>0</v>
      </c>
      <c r="AB85" s="11">
        <v>2041</v>
      </c>
      <c r="AC85" s="11">
        <v>2041</v>
      </c>
      <c r="AD85" s="11">
        <v>2041</v>
      </c>
      <c r="AE85" s="19">
        <f>ROUND((Z85*'Data-CostAssumptions'!$G$5)*(1+'Data-CostAssumptions'!$G$3)^(AB85-'Data-CostAssumptions'!$G$4),-3)</f>
        <v>517000</v>
      </c>
      <c r="AF85" s="19">
        <f>ROUND((Z85)*(1+'Data-CostAssumptions'!$G$3)^(AD85-'Data-CostAssumptions'!$G$4),-3)</f>
        <v>2351000</v>
      </c>
      <c r="AG85" s="170" t="str">
        <f t="shared" si="6"/>
        <v>No</v>
      </c>
    </row>
    <row r="86" spans="1:33" ht="15" customHeight="1" x14ac:dyDescent="0.2">
      <c r="B86" s="11" t="s">
        <v>1211</v>
      </c>
      <c r="C86" s="13">
        <v>450</v>
      </c>
      <c r="D86" s="13" t="s">
        <v>420</v>
      </c>
      <c r="E86" s="20">
        <v>274</v>
      </c>
      <c r="F86" s="20">
        <v>166</v>
      </c>
      <c r="G86" s="20">
        <v>658</v>
      </c>
      <c r="H86" s="13" t="s">
        <v>2784</v>
      </c>
      <c r="I86" s="13" t="str">
        <f t="shared" si="7"/>
        <v>SR 818/Griffin Rd (Just west of Flamingo Rd to I-75 Ramp)</v>
      </c>
      <c r="J86" s="13" t="s">
        <v>27</v>
      </c>
      <c r="K86" s="13" t="str">
        <f>VLOOKUP(J86,'Data-ProjectTypes'!A$3:B$13,2,FALSE)</f>
        <v>Program</v>
      </c>
      <c r="L86" s="21" t="s">
        <v>348</v>
      </c>
      <c r="M86" s="13" t="s">
        <v>2412</v>
      </c>
      <c r="N86" s="13" t="s">
        <v>93</v>
      </c>
      <c r="O86" s="13" t="s">
        <v>273</v>
      </c>
      <c r="P86" s="13" t="s">
        <v>273</v>
      </c>
      <c r="Q86" s="22">
        <v>2.5</v>
      </c>
      <c r="R86" s="23">
        <v>907522</v>
      </c>
      <c r="S86" s="21"/>
      <c r="T86" s="21"/>
      <c r="U86" s="21"/>
      <c r="V86" s="24"/>
      <c r="W86" s="24" t="s">
        <v>715</v>
      </c>
      <c r="X86" s="24"/>
      <c r="Y86" s="17" t="s">
        <v>538</v>
      </c>
      <c r="Z86" s="18">
        <f>ROUND(R86*'Data-CostAssumptions'!$C$8,-3)</f>
        <v>908000</v>
      </c>
      <c r="AA86" s="11">
        <f t="shared" si="5"/>
        <v>1</v>
      </c>
      <c r="AB86" s="11">
        <v>2041</v>
      </c>
      <c r="AC86" s="11">
        <v>2041</v>
      </c>
      <c r="AD86" s="11">
        <v>2041</v>
      </c>
      <c r="AE86" s="19">
        <f>ROUND((Z86*'Data-CostAssumptions'!$G$5)*(1+'Data-CostAssumptions'!$G$3)^(AB86-'Data-CostAssumptions'!$G$4),-3)</f>
        <v>512000</v>
      </c>
      <c r="AF86" s="19">
        <f>ROUND((Z86)*(1+'Data-CostAssumptions'!$G$3)^(AD86-'Data-CostAssumptions'!$G$4),-3)</f>
        <v>2328000</v>
      </c>
      <c r="AG86" s="170" t="str">
        <f t="shared" si="6"/>
        <v>No</v>
      </c>
    </row>
    <row r="87" spans="1:33" ht="15" customHeight="1" x14ac:dyDescent="0.2">
      <c r="B87" s="11" t="s">
        <v>1211</v>
      </c>
      <c r="D87" s="84" t="s">
        <v>276</v>
      </c>
      <c r="E87" s="14">
        <v>17</v>
      </c>
      <c r="F87" s="14"/>
      <c r="G87" s="20">
        <v>1538</v>
      </c>
      <c r="H87" s="13" t="s">
        <v>1842</v>
      </c>
      <c r="I87" s="13" t="str">
        <f t="shared" si="7"/>
        <v>Cypress Creek Rd (SR 845/POWER-LINE RD to NW 21ST Av)</v>
      </c>
      <c r="J87" s="11" t="s">
        <v>27</v>
      </c>
      <c r="K87" s="13" t="str">
        <f>VLOOKUP(J87,'Data-ProjectTypes'!A$3:B$13,2,FALSE)</f>
        <v>Program</v>
      </c>
      <c r="L87" s="11" t="s">
        <v>1275</v>
      </c>
      <c r="M87" s="106" t="s">
        <v>1428</v>
      </c>
      <c r="N87" s="84" t="s">
        <v>2164</v>
      </c>
      <c r="Q87" s="107">
        <v>1</v>
      </c>
      <c r="R87" s="23">
        <v>901350</v>
      </c>
      <c r="Y87" s="12"/>
      <c r="Z87" s="71">
        <f>ROUND(R87*'Data-CostAssumptions'!$C$8,-3)</f>
        <v>901000</v>
      </c>
      <c r="AA87" s="11">
        <f t="shared" si="5"/>
        <v>0</v>
      </c>
      <c r="AB87" s="11">
        <v>2041</v>
      </c>
      <c r="AC87" s="11">
        <v>2041</v>
      </c>
      <c r="AD87" s="11">
        <v>2041</v>
      </c>
      <c r="AE87" s="19">
        <f>ROUND((Z87*'Data-CostAssumptions'!$G$5)*(1+'Data-CostAssumptions'!$G$3)^(AB87-'Data-CostAssumptions'!$G$4),-3)</f>
        <v>508000</v>
      </c>
      <c r="AF87" s="19">
        <f>ROUND((Z87)*(1+'Data-CostAssumptions'!$G$3)^(AD87-'Data-CostAssumptions'!$G$4),-3)</f>
        <v>2310000</v>
      </c>
      <c r="AG87" s="170" t="str">
        <f t="shared" si="6"/>
        <v>No</v>
      </c>
    </row>
    <row r="88" spans="1:33" ht="15" customHeight="1" x14ac:dyDescent="0.2">
      <c r="B88" s="11" t="s">
        <v>1211</v>
      </c>
      <c r="C88" s="13">
        <v>247</v>
      </c>
      <c r="D88" s="13" t="s">
        <v>420</v>
      </c>
      <c r="E88" s="20">
        <v>260</v>
      </c>
      <c r="F88" s="20">
        <v>154</v>
      </c>
      <c r="G88" s="20">
        <v>460</v>
      </c>
      <c r="H88" s="13" t="s">
        <v>45</v>
      </c>
      <c r="I88" s="13" t="str">
        <f t="shared" si="7"/>
        <v>SR 84 (State Rd 7/US 441 to Davie Rd)</v>
      </c>
      <c r="J88" s="13" t="s">
        <v>27</v>
      </c>
      <c r="K88" s="13" t="str">
        <f>VLOOKUP(J88,'Data-ProjectTypes'!A$3:B$13,2,FALSE)</f>
        <v>Program</v>
      </c>
      <c r="L88" s="21" t="s">
        <v>348</v>
      </c>
      <c r="M88" s="13" t="s">
        <v>1773</v>
      </c>
      <c r="N88" s="13" t="s">
        <v>1845</v>
      </c>
      <c r="O88" s="13" t="s">
        <v>270</v>
      </c>
      <c r="P88" s="13" t="s">
        <v>270</v>
      </c>
      <c r="Q88" s="22">
        <v>1.8</v>
      </c>
      <c r="R88" s="23">
        <v>647654</v>
      </c>
      <c r="S88" s="21"/>
      <c r="T88" s="21"/>
      <c r="U88" s="21"/>
      <c r="V88" s="24"/>
      <c r="W88" s="24"/>
      <c r="X88" s="28"/>
      <c r="Y88" s="17"/>
      <c r="Z88" s="18">
        <f>ROUND(R88*'Data-CostAssumptions'!$C$3,-3)</f>
        <v>896000</v>
      </c>
      <c r="AA88" s="11">
        <f t="shared" si="5"/>
        <v>0</v>
      </c>
      <c r="AB88" s="11">
        <v>2041</v>
      </c>
      <c r="AC88" s="11">
        <v>2041</v>
      </c>
      <c r="AD88" s="11">
        <v>2041</v>
      </c>
      <c r="AE88" s="19">
        <f>ROUND((Z88*'Data-CostAssumptions'!$G$5)*(1+'Data-CostAssumptions'!$G$3)^(AB88-'Data-CostAssumptions'!$G$4),-3)</f>
        <v>505000</v>
      </c>
      <c r="AF88" s="19">
        <f>ROUND((Z88)*(1+'Data-CostAssumptions'!$G$3)^(AD88-'Data-CostAssumptions'!$G$4),-3)</f>
        <v>2297000</v>
      </c>
      <c r="AG88" s="170" t="str">
        <f t="shared" si="6"/>
        <v>No</v>
      </c>
    </row>
    <row r="89" spans="1:33" ht="15" customHeight="1" x14ac:dyDescent="0.2">
      <c r="A89" s="12"/>
      <c r="B89" s="11" t="s">
        <v>1211</v>
      </c>
      <c r="C89" s="12"/>
      <c r="D89" s="84" t="s">
        <v>276</v>
      </c>
      <c r="E89" s="104">
        <v>44</v>
      </c>
      <c r="F89" s="104"/>
      <c r="G89" s="20">
        <v>1596</v>
      </c>
      <c r="H89" s="13" t="s">
        <v>1236</v>
      </c>
      <c r="I89" s="13" t="str">
        <f t="shared" si="7"/>
        <v>NW/NE 4TH ST (NW 7TH Av to US 1/SR 5/FEDERAL HWY)</v>
      </c>
      <c r="J89" s="12" t="s">
        <v>27</v>
      </c>
      <c r="K89" s="13" t="str">
        <f>VLOOKUP(J89,'Data-ProjectTypes'!A$3:B$13,2,FALSE)</f>
        <v>Program</v>
      </c>
      <c r="L89" s="12" t="s">
        <v>1323</v>
      </c>
      <c r="M89" s="105" t="s">
        <v>2601</v>
      </c>
      <c r="N89" s="12" t="s">
        <v>1425</v>
      </c>
      <c r="O89" s="12"/>
      <c r="P89" s="12"/>
      <c r="Q89" s="72">
        <v>0.8</v>
      </c>
      <c r="R89" s="23">
        <v>642000</v>
      </c>
      <c r="Y89" s="12"/>
      <c r="Z89" s="18">
        <f>ROUND(R89*'Data-CostAssumptions'!$C$3,-3)</f>
        <v>889000</v>
      </c>
      <c r="AA89" s="11">
        <f t="shared" si="5"/>
        <v>0</v>
      </c>
      <c r="AB89" s="11">
        <v>2041</v>
      </c>
      <c r="AC89" s="11">
        <v>2041</v>
      </c>
      <c r="AD89" s="11">
        <v>2041</v>
      </c>
      <c r="AE89" s="19">
        <f>ROUND((Z89*'Data-CostAssumptions'!$G$5)*(1+'Data-CostAssumptions'!$G$3)^(AB89-'Data-CostAssumptions'!$G$4),-3)</f>
        <v>501000</v>
      </c>
      <c r="AF89" s="19">
        <f>ROUND((Z89)*(1+'Data-CostAssumptions'!$G$3)^(AD89-'Data-CostAssumptions'!$G$4),-3)</f>
        <v>2279000</v>
      </c>
      <c r="AG89" s="170" t="str">
        <f t="shared" si="6"/>
        <v>No</v>
      </c>
    </row>
    <row r="90" spans="1:33" ht="15" customHeight="1" x14ac:dyDescent="0.2">
      <c r="B90" s="11" t="s">
        <v>1211</v>
      </c>
      <c r="D90" s="84" t="s">
        <v>276</v>
      </c>
      <c r="E90" s="14">
        <v>110</v>
      </c>
      <c r="F90" s="14"/>
      <c r="G90" s="20">
        <v>1529</v>
      </c>
      <c r="H90" s="13" t="s">
        <v>2014</v>
      </c>
      <c r="I90" s="13" t="str">
        <f t="shared" si="7"/>
        <v>Andrews Av (US1/SE 6TH Av to SR 84/SW 24TH ST)</v>
      </c>
      <c r="J90" s="11" t="s">
        <v>27</v>
      </c>
      <c r="K90" s="13" t="str">
        <f>VLOOKUP(J90,'Data-ProjectTypes'!A$3:B$13,2,FALSE)</f>
        <v>Program</v>
      </c>
      <c r="L90" s="11" t="s">
        <v>1253</v>
      </c>
      <c r="M90" s="106" t="s">
        <v>2599</v>
      </c>
      <c r="N90" s="84" t="s">
        <v>1419</v>
      </c>
      <c r="Q90" s="107">
        <v>0.7</v>
      </c>
      <c r="R90" s="23">
        <v>877000</v>
      </c>
      <c r="Y90" s="12"/>
      <c r="Z90" s="71">
        <f>ROUND(R90*'Data-CostAssumptions'!$C$8,-3)</f>
        <v>877000</v>
      </c>
      <c r="AA90" s="11">
        <f t="shared" si="5"/>
        <v>0</v>
      </c>
      <c r="AB90" s="11">
        <v>2041</v>
      </c>
      <c r="AC90" s="11">
        <v>2041</v>
      </c>
      <c r="AD90" s="11">
        <v>2041</v>
      </c>
      <c r="AE90" s="19">
        <f>ROUND((Z90*'Data-CostAssumptions'!$G$5)*(1+'Data-CostAssumptions'!$G$3)^(AB90-'Data-CostAssumptions'!$G$4),-3)</f>
        <v>495000</v>
      </c>
      <c r="AF90" s="19">
        <f>ROUND((Z90)*(1+'Data-CostAssumptions'!$G$3)^(AD90-'Data-CostAssumptions'!$G$4),-3)</f>
        <v>2249000</v>
      </c>
      <c r="AG90" s="170" t="str">
        <f t="shared" si="6"/>
        <v>No</v>
      </c>
    </row>
    <row r="91" spans="1:33" ht="15" customHeight="1" x14ac:dyDescent="0.2">
      <c r="B91" s="11" t="s">
        <v>1211</v>
      </c>
      <c r="C91" s="13">
        <v>316</v>
      </c>
      <c r="D91" s="13" t="s">
        <v>420</v>
      </c>
      <c r="E91" s="20">
        <v>256</v>
      </c>
      <c r="F91" s="20">
        <v>158</v>
      </c>
      <c r="G91" s="20">
        <v>527</v>
      </c>
      <c r="H91" s="13" t="s">
        <v>57</v>
      </c>
      <c r="I91" s="13" t="str">
        <f t="shared" si="7"/>
        <v>SR 7/US 441 (Orange Dr to Ramp north of I-595)</v>
      </c>
      <c r="J91" s="13" t="s">
        <v>27</v>
      </c>
      <c r="K91" s="13" t="str">
        <f>VLOOKUP(J91,'Data-ProjectTypes'!A$3:B$13,2,FALSE)</f>
        <v>Program</v>
      </c>
      <c r="L91" s="21" t="s">
        <v>348</v>
      </c>
      <c r="M91" s="13" t="s">
        <v>184</v>
      </c>
      <c r="N91" s="13" t="s">
        <v>251</v>
      </c>
      <c r="O91" s="13" t="s">
        <v>270</v>
      </c>
      <c r="P91" s="13" t="s">
        <v>270</v>
      </c>
      <c r="Q91" s="22">
        <v>1.7</v>
      </c>
      <c r="R91" s="23">
        <v>626351</v>
      </c>
      <c r="S91" s="21"/>
      <c r="T91" s="21"/>
      <c r="U91" s="21"/>
      <c r="V91" s="24"/>
      <c r="W91" s="24"/>
      <c r="X91" s="24"/>
      <c r="Y91" s="17"/>
      <c r="Z91" s="18">
        <f>ROUND(R91*'Data-CostAssumptions'!$C$3,-3)</f>
        <v>867000</v>
      </c>
      <c r="AA91" s="11">
        <f t="shared" si="5"/>
        <v>0</v>
      </c>
      <c r="AB91" s="11">
        <v>2041</v>
      </c>
      <c r="AC91" s="11">
        <v>2041</v>
      </c>
      <c r="AD91" s="11">
        <v>2041</v>
      </c>
      <c r="AE91" s="19">
        <f>ROUND((Z91*'Data-CostAssumptions'!$G$5)*(1+'Data-CostAssumptions'!$G$3)^(AB91-'Data-CostAssumptions'!$G$4),-3)</f>
        <v>489000</v>
      </c>
      <c r="AF91" s="19">
        <f>ROUND((Z91)*(1+'Data-CostAssumptions'!$G$3)^(AD91-'Data-CostAssumptions'!$G$4),-3)</f>
        <v>2223000</v>
      </c>
      <c r="AG91" s="170" t="str">
        <f t="shared" si="6"/>
        <v>No</v>
      </c>
    </row>
    <row r="92" spans="1:33" ht="15" customHeight="1" x14ac:dyDescent="0.2">
      <c r="B92" s="11" t="s">
        <v>1211</v>
      </c>
      <c r="C92" s="13">
        <v>404</v>
      </c>
      <c r="D92" s="13" t="s">
        <v>420</v>
      </c>
      <c r="E92" s="20">
        <v>30</v>
      </c>
      <c r="F92" s="20">
        <v>163</v>
      </c>
      <c r="G92" s="20">
        <v>612</v>
      </c>
      <c r="H92" s="13" t="s">
        <v>2787</v>
      </c>
      <c r="I92" s="13" t="str">
        <f t="shared" si="7"/>
        <v>SR 822/Sheridan St (Palm Av to Lake Bl)</v>
      </c>
      <c r="J92" s="13" t="s">
        <v>27</v>
      </c>
      <c r="K92" s="13" t="str">
        <f>VLOOKUP(J92,'Data-ProjectTypes'!A$3:B$13,2,FALSE)</f>
        <v>Program</v>
      </c>
      <c r="L92" s="21" t="s">
        <v>348</v>
      </c>
      <c r="M92" s="13" t="s">
        <v>2083</v>
      </c>
      <c r="N92" s="13" t="s">
        <v>2282</v>
      </c>
      <c r="O92" s="13" t="s">
        <v>271</v>
      </c>
      <c r="P92" s="13" t="s">
        <v>271</v>
      </c>
      <c r="Q92" s="22">
        <v>1.7</v>
      </c>
      <c r="R92" s="23">
        <v>623245</v>
      </c>
      <c r="Y92" s="17"/>
      <c r="Z92" s="18">
        <f>ROUND(R92*'Data-CostAssumptions'!$C$3,-3)</f>
        <v>863000</v>
      </c>
      <c r="AA92" s="11">
        <f t="shared" si="5"/>
        <v>0</v>
      </c>
      <c r="AB92" s="11">
        <v>2041</v>
      </c>
      <c r="AC92" s="11">
        <v>2041</v>
      </c>
      <c r="AD92" s="11">
        <v>2041</v>
      </c>
      <c r="AE92" s="19">
        <f>ROUND((Z92*'Data-CostAssumptions'!$G$5)*(1+'Data-CostAssumptions'!$G$3)^(AB92-'Data-CostAssumptions'!$G$4),-3)</f>
        <v>487000</v>
      </c>
      <c r="AF92" s="19">
        <f>ROUND((Z92)*(1+'Data-CostAssumptions'!$G$3)^(AD92-'Data-CostAssumptions'!$G$4),-3)</f>
        <v>2213000</v>
      </c>
      <c r="AG92" s="170" t="str">
        <f t="shared" si="6"/>
        <v>No</v>
      </c>
    </row>
    <row r="93" spans="1:33" ht="15" customHeight="1" x14ac:dyDescent="0.2">
      <c r="B93" s="11" t="s">
        <v>1211</v>
      </c>
      <c r="C93" s="13">
        <v>489</v>
      </c>
      <c r="D93" s="13" t="s">
        <v>420</v>
      </c>
      <c r="E93" s="20">
        <v>8</v>
      </c>
      <c r="F93" s="20">
        <v>168</v>
      </c>
      <c r="G93" s="20">
        <v>694</v>
      </c>
      <c r="H93" s="13" t="s">
        <v>97</v>
      </c>
      <c r="I93" s="13" t="str">
        <f t="shared" si="7"/>
        <v>SW 185th/SW 186th Way (Sheridan St to Griffin Rd)</v>
      </c>
      <c r="J93" s="13" t="s">
        <v>27</v>
      </c>
      <c r="K93" s="13" t="str">
        <f>VLOOKUP(J93,'Data-ProjectTypes'!A$3:B$13,2,FALSE)</f>
        <v>Program</v>
      </c>
      <c r="L93" s="21" t="s">
        <v>348</v>
      </c>
      <c r="M93" s="13" t="s">
        <v>1951</v>
      </c>
      <c r="N93" s="13" t="s">
        <v>1750</v>
      </c>
      <c r="O93" s="13" t="s">
        <v>294</v>
      </c>
      <c r="P93" s="13" t="s">
        <v>294</v>
      </c>
      <c r="Q93" s="22">
        <v>2.4</v>
      </c>
      <c r="R93" s="23">
        <v>856847</v>
      </c>
      <c r="S93" s="21" t="s">
        <v>24</v>
      </c>
      <c r="T93" s="21"/>
      <c r="U93" s="21"/>
      <c r="V93" s="24"/>
      <c r="W93" s="24"/>
      <c r="X93" s="24"/>
      <c r="Y93" s="17" t="s">
        <v>460</v>
      </c>
      <c r="Z93" s="18">
        <f>ROUND(R93*'Data-CostAssumptions'!$C$8,-3)</f>
        <v>857000</v>
      </c>
      <c r="AA93" s="11">
        <f t="shared" si="5"/>
        <v>0</v>
      </c>
      <c r="AB93" s="11">
        <v>2041</v>
      </c>
      <c r="AC93" s="11">
        <v>2041</v>
      </c>
      <c r="AD93" s="11">
        <v>2041</v>
      </c>
      <c r="AE93" s="19">
        <f>ROUND((Z93*'Data-CostAssumptions'!$G$5)*(1+'Data-CostAssumptions'!$G$3)^(AB93-'Data-CostAssumptions'!$G$4),-3)</f>
        <v>483000</v>
      </c>
      <c r="AF93" s="19">
        <f>ROUND((Z93)*(1+'Data-CostAssumptions'!$G$3)^(AD93-'Data-CostAssumptions'!$G$4),-3)</f>
        <v>2197000</v>
      </c>
      <c r="AG93" s="170" t="str">
        <f t="shared" si="6"/>
        <v>No</v>
      </c>
    </row>
    <row r="94" spans="1:33" ht="15" customHeight="1" x14ac:dyDescent="0.2">
      <c r="A94" s="12"/>
      <c r="B94" s="11" t="s">
        <v>1211</v>
      </c>
      <c r="C94" s="12"/>
      <c r="D94" s="84" t="s">
        <v>276</v>
      </c>
      <c r="E94" s="104">
        <v>84</v>
      </c>
      <c r="F94" s="104"/>
      <c r="G94" s="20">
        <v>1606</v>
      </c>
      <c r="H94" s="13" t="s">
        <v>2000</v>
      </c>
      <c r="I94" s="13" t="str">
        <f t="shared" si="7"/>
        <v>SEABREEZE Bl (SR A1A SOUTHBOUND) (SEVILLA ST to BAHIA MAR HOTEL/SR A1A)</v>
      </c>
      <c r="J94" s="12" t="s">
        <v>27</v>
      </c>
      <c r="K94" s="13" t="str">
        <f>VLOOKUP(J94,'Data-ProjectTypes'!A$3:B$13,2,FALSE)</f>
        <v>Program</v>
      </c>
      <c r="L94" s="12" t="s">
        <v>1379</v>
      </c>
      <c r="M94" s="105" t="s">
        <v>1453</v>
      </c>
      <c r="N94" s="12" t="s">
        <v>1452</v>
      </c>
      <c r="O94" s="12"/>
      <c r="P94" s="12"/>
      <c r="Q94" s="72">
        <v>0.9</v>
      </c>
      <c r="R94" s="23">
        <v>617000</v>
      </c>
      <c r="Y94" s="12"/>
      <c r="Z94" s="18">
        <f>ROUND(R94*'Data-CostAssumptions'!$C$3,-3)</f>
        <v>854000</v>
      </c>
      <c r="AA94" s="11">
        <f t="shared" si="5"/>
        <v>0</v>
      </c>
      <c r="AB94" s="11">
        <v>2041</v>
      </c>
      <c r="AC94" s="11">
        <v>2041</v>
      </c>
      <c r="AD94" s="11">
        <v>2041</v>
      </c>
      <c r="AE94" s="19">
        <f>ROUND((Z94*'Data-CostAssumptions'!$G$5)*(1+'Data-CostAssumptions'!$G$3)^(AB94-'Data-CostAssumptions'!$G$4),-3)</f>
        <v>482000</v>
      </c>
      <c r="AF94" s="19">
        <f>ROUND((Z94)*(1+'Data-CostAssumptions'!$G$3)^(AD94-'Data-CostAssumptions'!$G$4),-3)</f>
        <v>2190000</v>
      </c>
      <c r="AG94" s="170" t="str">
        <f t="shared" si="6"/>
        <v>No</v>
      </c>
    </row>
    <row r="95" spans="1:33" ht="15" customHeight="1" x14ac:dyDescent="0.2">
      <c r="A95" s="12"/>
      <c r="B95" s="11" t="s">
        <v>1211</v>
      </c>
      <c r="C95" s="12"/>
      <c r="D95" s="84" t="s">
        <v>276</v>
      </c>
      <c r="E95" s="104">
        <v>39</v>
      </c>
      <c r="F95" s="104"/>
      <c r="G95" s="20">
        <v>1595</v>
      </c>
      <c r="H95" s="13" t="s">
        <v>1234</v>
      </c>
      <c r="I95" s="13" t="str">
        <f t="shared" si="7"/>
        <v>NW/NE 2ND ST (NW 7TH Av/AVE OF THE ARTS to US 1/SR 5/FEDERAL HWY)</v>
      </c>
      <c r="J95" s="12" t="s">
        <v>27</v>
      </c>
      <c r="K95" s="13" t="str">
        <f>VLOOKUP(J95,'Data-ProjectTypes'!A$3:B$13,2,FALSE)</f>
        <v>Program</v>
      </c>
      <c r="L95" s="12" t="s">
        <v>1320</v>
      </c>
      <c r="M95" s="105" t="s">
        <v>2615</v>
      </c>
      <c r="N95" s="12" t="s">
        <v>1425</v>
      </c>
      <c r="O95" s="12"/>
      <c r="P95" s="12"/>
      <c r="Q95" s="72">
        <v>0.8</v>
      </c>
      <c r="R95" s="23">
        <v>613300</v>
      </c>
      <c r="Y95" s="12"/>
      <c r="Z95" s="18">
        <f>ROUND(R95*'Data-CostAssumptions'!$C$3,-3)</f>
        <v>849000</v>
      </c>
      <c r="AA95" s="11">
        <f t="shared" si="5"/>
        <v>0</v>
      </c>
      <c r="AB95" s="11">
        <v>2041</v>
      </c>
      <c r="AC95" s="11">
        <v>2041</v>
      </c>
      <c r="AD95" s="11">
        <v>2041</v>
      </c>
      <c r="AE95" s="19">
        <f>ROUND((Z95*'Data-CostAssumptions'!$G$5)*(1+'Data-CostAssumptions'!$G$3)^(AB95-'Data-CostAssumptions'!$G$4),-3)</f>
        <v>479000</v>
      </c>
      <c r="AF95" s="19">
        <f>ROUND((Z95)*(1+'Data-CostAssumptions'!$G$3)^(AD95-'Data-CostAssumptions'!$G$4),-3)</f>
        <v>2177000</v>
      </c>
      <c r="AG95" s="170" t="str">
        <f t="shared" si="6"/>
        <v>No</v>
      </c>
    </row>
    <row r="96" spans="1:33" ht="15" customHeight="1" x14ac:dyDescent="0.2">
      <c r="A96" s="12"/>
      <c r="B96" s="11" t="s">
        <v>1211</v>
      </c>
      <c r="C96" s="12"/>
      <c r="D96" s="84" t="s">
        <v>276</v>
      </c>
      <c r="E96" s="104">
        <v>114</v>
      </c>
      <c r="F96" s="104"/>
      <c r="G96" s="20">
        <v>1643</v>
      </c>
      <c r="H96" s="13" t="s">
        <v>1248</v>
      </c>
      <c r="I96" s="13" t="str">
        <f t="shared" si="7"/>
        <v>SW 9TH ST (SW 4TH Av to US 1)</v>
      </c>
      <c r="J96" s="12" t="s">
        <v>27</v>
      </c>
      <c r="K96" s="13" t="str">
        <f>VLOOKUP(J96,'Data-ProjectTypes'!A$3:B$13,2,FALSE)</f>
        <v>Program</v>
      </c>
      <c r="L96" s="12" t="s">
        <v>1400</v>
      </c>
      <c r="M96" s="105" t="s">
        <v>2194</v>
      </c>
      <c r="N96" s="12" t="s">
        <v>98</v>
      </c>
      <c r="O96" s="12"/>
      <c r="P96" s="12"/>
      <c r="Q96" s="72">
        <v>1</v>
      </c>
      <c r="R96" s="23">
        <v>848000</v>
      </c>
      <c r="Y96" s="12"/>
      <c r="Z96" s="18">
        <f>ROUND(R96*'Data-CostAssumptions'!$C$8,-3)</f>
        <v>848000</v>
      </c>
      <c r="AA96" s="11">
        <f t="shared" si="5"/>
        <v>0</v>
      </c>
      <c r="AB96" s="11">
        <v>2041</v>
      </c>
      <c r="AC96" s="11">
        <v>2041</v>
      </c>
      <c r="AD96" s="11">
        <v>2041</v>
      </c>
      <c r="AE96" s="19">
        <f>ROUND((Z96*'Data-CostAssumptions'!$G$5)*(1+'Data-CostAssumptions'!$G$3)^(AB96-'Data-CostAssumptions'!$G$4),-3)</f>
        <v>478000</v>
      </c>
      <c r="AF96" s="19">
        <f>ROUND((Z96)*(1+'Data-CostAssumptions'!$G$3)^(AD96-'Data-CostAssumptions'!$G$4),-3)</f>
        <v>2174000</v>
      </c>
      <c r="AG96" s="170" t="str">
        <f t="shared" si="6"/>
        <v>No</v>
      </c>
    </row>
    <row r="97" spans="1:33" ht="15" customHeight="1" x14ac:dyDescent="0.2">
      <c r="B97" s="11" t="s">
        <v>1211</v>
      </c>
      <c r="C97" s="13">
        <v>229</v>
      </c>
      <c r="D97" s="13" t="s">
        <v>420</v>
      </c>
      <c r="E97" s="20">
        <v>66</v>
      </c>
      <c r="F97" s="20">
        <v>153</v>
      </c>
      <c r="G97" s="20">
        <v>443</v>
      </c>
      <c r="H97" s="13" t="s">
        <v>2785</v>
      </c>
      <c r="I97" s="13" t="str">
        <f t="shared" si="7"/>
        <v>SR 818/Griffin Rd/Taylor Rd (NE 7th Av to Just west of NW 14th Av)</v>
      </c>
      <c r="J97" s="13" t="s">
        <v>27</v>
      </c>
      <c r="K97" s="13" t="str">
        <f>VLOOKUP(J97,'Data-ProjectTypes'!A$3:B$13,2,FALSE)</f>
        <v>Program</v>
      </c>
      <c r="L97" s="21" t="s">
        <v>348</v>
      </c>
      <c r="M97" s="13" t="s">
        <v>2037</v>
      </c>
      <c r="N97" s="13" t="s">
        <v>2221</v>
      </c>
      <c r="O97" s="13" t="s">
        <v>270</v>
      </c>
      <c r="P97" s="13" t="s">
        <v>270</v>
      </c>
      <c r="Q97" s="22">
        <v>1.7</v>
      </c>
      <c r="R97" s="23">
        <v>604487</v>
      </c>
      <c r="S97" s="21"/>
      <c r="T97" s="21"/>
      <c r="U97" s="21"/>
      <c r="V97" s="24"/>
      <c r="W97" s="24"/>
      <c r="X97" s="24"/>
      <c r="Y97" s="17"/>
      <c r="Z97" s="18">
        <f>ROUND(R97*'Data-CostAssumptions'!$C$3,-3)</f>
        <v>837000</v>
      </c>
      <c r="AA97" s="11">
        <f t="shared" si="5"/>
        <v>0</v>
      </c>
      <c r="AB97" s="11">
        <v>2041</v>
      </c>
      <c r="AC97" s="11">
        <v>2041</v>
      </c>
      <c r="AD97" s="11">
        <v>2041</v>
      </c>
      <c r="AE97" s="19">
        <f>ROUND((Z97*'Data-CostAssumptions'!$G$5)*(1+'Data-CostAssumptions'!$G$3)^(AB97-'Data-CostAssumptions'!$G$4),-3)</f>
        <v>472000</v>
      </c>
      <c r="AF97" s="19">
        <f>ROUND((Z97)*(1+'Data-CostAssumptions'!$G$3)^(AD97-'Data-CostAssumptions'!$G$4),-3)</f>
        <v>2146000</v>
      </c>
      <c r="AG97" s="170" t="str">
        <f t="shared" si="6"/>
        <v>No</v>
      </c>
    </row>
    <row r="98" spans="1:33" ht="15" customHeight="1" x14ac:dyDescent="0.2">
      <c r="A98" s="12"/>
      <c r="B98" s="11" t="s">
        <v>1211</v>
      </c>
      <c r="C98" s="12"/>
      <c r="D98" s="84" t="s">
        <v>276</v>
      </c>
      <c r="E98" s="104">
        <v>25</v>
      </c>
      <c r="F98" s="104"/>
      <c r="G98" s="20">
        <v>1549</v>
      </c>
      <c r="H98" s="13" t="s">
        <v>1823</v>
      </c>
      <c r="I98" s="13" t="str">
        <f t="shared" si="7"/>
        <v>Las Olas Bl (SR A1A NB to SE 15TH Av)</v>
      </c>
      <c r="J98" s="12" t="s">
        <v>27</v>
      </c>
      <c r="K98" s="13" t="str">
        <f>VLOOKUP(J98,'Data-ProjectTypes'!A$3:B$13,2,FALSE)</f>
        <v>Program</v>
      </c>
      <c r="L98" s="12" t="s">
        <v>1287</v>
      </c>
      <c r="M98" s="105" t="s">
        <v>1433</v>
      </c>
      <c r="N98" s="12" t="s">
        <v>2607</v>
      </c>
      <c r="O98" s="12"/>
      <c r="P98" s="12"/>
      <c r="Q98" s="72">
        <v>1.5</v>
      </c>
      <c r="R98" s="23">
        <v>835000</v>
      </c>
      <c r="Y98" s="12"/>
      <c r="Z98" s="18">
        <f>ROUND(R98*'Data-CostAssumptions'!$C$8,-3)</f>
        <v>835000</v>
      </c>
      <c r="AA98" s="11">
        <f t="shared" si="5"/>
        <v>0</v>
      </c>
      <c r="AB98" s="11">
        <v>2041</v>
      </c>
      <c r="AC98" s="11">
        <v>2041</v>
      </c>
      <c r="AD98" s="11">
        <v>2041</v>
      </c>
      <c r="AE98" s="19">
        <f>ROUND((Z98*'Data-CostAssumptions'!$G$5)*(1+'Data-CostAssumptions'!$G$3)^(AB98-'Data-CostAssumptions'!$G$4),-3)</f>
        <v>471000</v>
      </c>
      <c r="AF98" s="19">
        <f>ROUND((Z98)*(1+'Data-CostAssumptions'!$G$3)^(AD98-'Data-CostAssumptions'!$G$4),-3)</f>
        <v>2141000</v>
      </c>
      <c r="AG98" s="170" t="str">
        <f t="shared" si="6"/>
        <v>No</v>
      </c>
    </row>
    <row r="99" spans="1:33" ht="15" customHeight="1" x14ac:dyDescent="0.2">
      <c r="B99" s="11" t="s">
        <v>1211</v>
      </c>
      <c r="C99" s="13">
        <v>306</v>
      </c>
      <c r="D99" s="13" t="s">
        <v>420</v>
      </c>
      <c r="E99" s="20">
        <v>209</v>
      </c>
      <c r="F99" s="20">
        <v>157</v>
      </c>
      <c r="G99" s="20">
        <v>517</v>
      </c>
      <c r="H99" s="13" t="s">
        <v>1951</v>
      </c>
      <c r="I99" s="13" t="str">
        <f t="shared" si="7"/>
        <v>Sheridan St (NW 78th Av to NW 94th Av)</v>
      </c>
      <c r="J99" s="13" t="s">
        <v>27</v>
      </c>
      <c r="K99" s="13" t="str">
        <f>VLOOKUP(J99,'Data-ProjectTypes'!A$3:B$13,2,FALSE)</f>
        <v>Program</v>
      </c>
      <c r="L99" s="21" t="s">
        <v>348</v>
      </c>
      <c r="M99" s="13" t="s">
        <v>2380</v>
      </c>
      <c r="N99" s="13" t="s">
        <v>2246</v>
      </c>
      <c r="O99" s="13" t="s">
        <v>272</v>
      </c>
      <c r="P99" s="13" t="s">
        <v>272</v>
      </c>
      <c r="Q99" s="22">
        <v>1.7</v>
      </c>
      <c r="R99" s="23">
        <v>601844</v>
      </c>
      <c r="S99" s="21"/>
      <c r="T99" s="21"/>
      <c r="U99" s="21"/>
      <c r="V99" s="24"/>
      <c r="W99" s="24"/>
      <c r="X99" s="24"/>
      <c r="Y99" s="17"/>
      <c r="Z99" s="18">
        <f>ROUND(R99*'Data-CostAssumptions'!$C$3,-3)</f>
        <v>833000</v>
      </c>
      <c r="AA99" s="11">
        <f t="shared" si="5"/>
        <v>0</v>
      </c>
      <c r="AB99" s="11">
        <v>2041</v>
      </c>
      <c r="AC99" s="11">
        <v>2041</v>
      </c>
      <c r="AD99" s="11">
        <v>2041</v>
      </c>
      <c r="AE99" s="19">
        <f>ROUND((Z99*'Data-CostAssumptions'!$G$5)*(1+'Data-CostAssumptions'!$G$3)^(AB99-'Data-CostAssumptions'!$G$4),-3)</f>
        <v>470000</v>
      </c>
      <c r="AF99" s="19">
        <f>ROUND((Z99)*(1+'Data-CostAssumptions'!$G$3)^(AD99-'Data-CostAssumptions'!$G$4),-3)</f>
        <v>2136000</v>
      </c>
      <c r="AG99" s="170" t="str">
        <f t="shared" si="6"/>
        <v>No</v>
      </c>
    </row>
    <row r="100" spans="1:33" ht="15" customHeight="1" x14ac:dyDescent="0.2">
      <c r="B100" s="11" t="s">
        <v>1211</v>
      </c>
      <c r="C100" s="13">
        <v>246</v>
      </c>
      <c r="D100" s="13" t="s">
        <v>420</v>
      </c>
      <c r="E100" s="20">
        <v>247</v>
      </c>
      <c r="F100" s="20">
        <v>154</v>
      </c>
      <c r="G100" s="20">
        <v>459</v>
      </c>
      <c r="H100" s="13" t="s">
        <v>2126</v>
      </c>
      <c r="I100" s="13" t="str">
        <f t="shared" si="7"/>
        <v>SW 46th Av/SW 43rd Way Loop (SW 21st Mnr to Peters Rd)</v>
      </c>
      <c r="J100" s="13" t="s">
        <v>27</v>
      </c>
      <c r="K100" s="13" t="str">
        <f>VLOOKUP(J100,'Data-ProjectTypes'!A$3:B$13,2,FALSE)</f>
        <v>Program</v>
      </c>
      <c r="L100" s="21" t="s">
        <v>348</v>
      </c>
      <c r="M100" s="13" t="s">
        <v>64</v>
      </c>
      <c r="N100" s="13" t="s">
        <v>1763</v>
      </c>
      <c r="O100" s="13" t="s">
        <v>273</v>
      </c>
      <c r="P100" s="13" t="s">
        <v>273</v>
      </c>
      <c r="Q100" s="22">
        <v>1.7</v>
      </c>
      <c r="R100" s="23">
        <v>596084</v>
      </c>
      <c r="S100" s="21"/>
      <c r="T100" s="21"/>
      <c r="U100" s="21"/>
      <c r="V100" s="24"/>
      <c r="W100" s="24"/>
      <c r="X100" s="24"/>
      <c r="Y100" s="17"/>
      <c r="Z100" s="18">
        <f>ROUND(R100*'Data-CostAssumptions'!$C$3,-3)</f>
        <v>825000</v>
      </c>
      <c r="AA100" s="11">
        <f t="shared" si="5"/>
        <v>0</v>
      </c>
      <c r="AB100" s="11">
        <v>2041</v>
      </c>
      <c r="AC100" s="11">
        <v>2041</v>
      </c>
      <c r="AD100" s="11">
        <v>2041</v>
      </c>
      <c r="AE100" s="19">
        <f>ROUND((Z100*'Data-CostAssumptions'!$G$5)*(1+'Data-CostAssumptions'!$G$3)^(AB100-'Data-CostAssumptions'!$G$4),-3)</f>
        <v>465000</v>
      </c>
      <c r="AF100" s="19">
        <f>ROUND((Z100)*(1+'Data-CostAssumptions'!$G$3)^(AD100-'Data-CostAssumptions'!$G$4),-3)</f>
        <v>2115000</v>
      </c>
      <c r="AG100" s="170" t="str">
        <f t="shared" si="6"/>
        <v>No</v>
      </c>
    </row>
    <row r="101" spans="1:33" ht="15" customHeight="1" x14ac:dyDescent="0.2">
      <c r="B101" s="11" t="s">
        <v>1211</v>
      </c>
      <c r="C101" s="11">
        <v>12204</v>
      </c>
      <c r="D101" s="84" t="s">
        <v>297</v>
      </c>
      <c r="E101" s="14"/>
      <c r="F101" s="14"/>
      <c r="G101" s="20">
        <v>1729</v>
      </c>
      <c r="H101" s="13" t="s">
        <v>1946</v>
      </c>
      <c r="I101" s="13" t="str">
        <f t="shared" si="7"/>
        <v>SE 3rd St Corridor Bypass (US 1 to Dixie Hwy)</v>
      </c>
      <c r="J101" s="11" t="s">
        <v>27</v>
      </c>
      <c r="K101" s="13" t="str">
        <f>VLOOKUP(J101,'Data-ProjectTypes'!A$3:B$13,2,FALSE)</f>
        <v>Program</v>
      </c>
      <c r="L101" s="85" t="s">
        <v>523</v>
      </c>
      <c r="M101" s="11" t="s">
        <v>98</v>
      </c>
      <c r="N101" s="11" t="s">
        <v>728</v>
      </c>
      <c r="Q101" s="15">
        <v>0.4</v>
      </c>
      <c r="R101" s="16">
        <v>825000</v>
      </c>
      <c r="Y101" s="12"/>
      <c r="Z101" s="18">
        <f>ROUND(R101*'Data-CostAssumptions'!$C$8,-3)</f>
        <v>825000</v>
      </c>
      <c r="AA101" s="11">
        <f t="shared" si="5"/>
        <v>0</v>
      </c>
      <c r="AB101" s="11">
        <v>2041</v>
      </c>
      <c r="AC101" s="11">
        <v>2041</v>
      </c>
      <c r="AD101" s="11">
        <v>2041</v>
      </c>
      <c r="AE101" s="19">
        <f>ROUND((Z101*'Data-CostAssumptions'!$G$5)*(1+'Data-CostAssumptions'!$G$3)^(AB101-'Data-CostAssumptions'!$G$4),-3)</f>
        <v>465000</v>
      </c>
      <c r="AF101" s="19">
        <f>ROUND((Z101)*(1+'Data-CostAssumptions'!$G$3)^(AD101-'Data-CostAssumptions'!$G$4),-3)</f>
        <v>2115000</v>
      </c>
      <c r="AG101" s="170" t="str">
        <f t="shared" si="6"/>
        <v>No</v>
      </c>
    </row>
    <row r="102" spans="1:33" ht="15" customHeight="1" x14ac:dyDescent="0.2">
      <c r="B102" s="11" t="s">
        <v>1211</v>
      </c>
      <c r="C102" s="11">
        <v>12205</v>
      </c>
      <c r="D102" s="84" t="s">
        <v>297</v>
      </c>
      <c r="E102" s="14"/>
      <c r="F102" s="14"/>
      <c r="G102" s="20">
        <v>1730</v>
      </c>
      <c r="H102" s="13" t="s">
        <v>1947</v>
      </c>
      <c r="I102" s="13" t="str">
        <f t="shared" si="7"/>
        <v>SE 5th St Corridor (US 1 to Dixie Hwy)</v>
      </c>
      <c r="J102" s="11" t="s">
        <v>27</v>
      </c>
      <c r="K102" s="13" t="str">
        <f>VLOOKUP(J102,'Data-ProjectTypes'!A$3:B$13,2,FALSE)</f>
        <v>Program</v>
      </c>
      <c r="L102" s="85" t="s">
        <v>523</v>
      </c>
      <c r="M102" s="11" t="s">
        <v>98</v>
      </c>
      <c r="N102" s="11" t="s">
        <v>728</v>
      </c>
      <c r="Q102" s="15">
        <v>0.4</v>
      </c>
      <c r="R102" s="16">
        <v>825000</v>
      </c>
      <c r="Y102" s="12"/>
      <c r="Z102" s="18">
        <f>ROUND(R102*'Data-CostAssumptions'!$C$8,-3)</f>
        <v>825000</v>
      </c>
      <c r="AA102" s="11">
        <f t="shared" si="5"/>
        <v>0</v>
      </c>
      <c r="AB102" s="11">
        <v>2041</v>
      </c>
      <c r="AC102" s="11">
        <v>2041</v>
      </c>
      <c r="AD102" s="11">
        <v>2041</v>
      </c>
      <c r="AE102" s="19">
        <f>ROUND((Z102*'Data-CostAssumptions'!$G$5)*(1+'Data-CostAssumptions'!$G$3)^(AB102-'Data-CostAssumptions'!$G$4),-3)</f>
        <v>465000</v>
      </c>
      <c r="AF102" s="19">
        <f>ROUND((Z102)*(1+'Data-CostAssumptions'!$G$3)^(AD102-'Data-CostAssumptions'!$G$4),-3)</f>
        <v>2115000</v>
      </c>
      <c r="AG102" s="170" t="str">
        <f t="shared" si="6"/>
        <v>No</v>
      </c>
    </row>
    <row r="103" spans="1:33" ht="15" customHeight="1" x14ac:dyDescent="0.2">
      <c r="B103" s="11" t="s">
        <v>1211</v>
      </c>
      <c r="C103" s="11">
        <v>12206</v>
      </c>
      <c r="D103" s="84" t="s">
        <v>297</v>
      </c>
      <c r="E103" s="14"/>
      <c r="F103" s="14"/>
      <c r="G103" s="20">
        <v>1731</v>
      </c>
      <c r="H103" s="13" t="s">
        <v>1949</v>
      </c>
      <c r="I103" s="13" t="str">
        <f t="shared" si="7"/>
        <v>SE 7th St Corridor (US 1 to Dixie Hwy)</v>
      </c>
      <c r="J103" s="11" t="s">
        <v>27</v>
      </c>
      <c r="K103" s="13" t="str">
        <f>VLOOKUP(J103,'Data-ProjectTypes'!A$3:B$13,2,FALSE)</f>
        <v>Program</v>
      </c>
      <c r="L103" s="85" t="s">
        <v>523</v>
      </c>
      <c r="M103" s="11" t="s">
        <v>98</v>
      </c>
      <c r="N103" s="11" t="s">
        <v>728</v>
      </c>
      <c r="Q103" s="15">
        <v>0.4</v>
      </c>
      <c r="R103" s="16">
        <v>825000</v>
      </c>
      <c r="Y103" s="12"/>
      <c r="Z103" s="18">
        <f>ROUND(R103*'Data-CostAssumptions'!$C$8,-3)</f>
        <v>825000</v>
      </c>
      <c r="AA103" s="11">
        <f t="shared" si="5"/>
        <v>0</v>
      </c>
      <c r="AB103" s="11">
        <v>2041</v>
      </c>
      <c r="AC103" s="11">
        <v>2041</v>
      </c>
      <c r="AD103" s="11">
        <v>2041</v>
      </c>
      <c r="AE103" s="19">
        <f>ROUND((Z103*'Data-CostAssumptions'!$G$5)*(1+'Data-CostAssumptions'!$G$3)^(AB103-'Data-CostAssumptions'!$G$4),-3)</f>
        <v>465000</v>
      </c>
      <c r="AF103" s="19">
        <f>ROUND((Z103)*(1+'Data-CostAssumptions'!$G$3)^(AD103-'Data-CostAssumptions'!$G$4),-3)</f>
        <v>2115000</v>
      </c>
      <c r="AG103" s="170" t="str">
        <f t="shared" si="6"/>
        <v>No</v>
      </c>
    </row>
    <row r="104" spans="1:33" ht="15" customHeight="1" x14ac:dyDescent="0.2">
      <c r="A104" s="12"/>
      <c r="B104" s="11" t="s">
        <v>1211</v>
      </c>
      <c r="C104" s="12"/>
      <c r="D104" s="84" t="s">
        <v>276</v>
      </c>
      <c r="E104" s="104">
        <v>79</v>
      </c>
      <c r="F104" s="104"/>
      <c r="G104" s="20">
        <v>1635</v>
      </c>
      <c r="H104" s="13" t="s">
        <v>2190</v>
      </c>
      <c r="I104" s="13" t="str">
        <f t="shared" si="7"/>
        <v>SW 27TH Av (DAVIE Bl to BROWARD Bl)</v>
      </c>
      <c r="J104" s="12" t="s">
        <v>27</v>
      </c>
      <c r="K104" s="13" t="str">
        <f>VLOOKUP(J104,'Data-ProjectTypes'!A$3:B$13,2,FALSE)</f>
        <v>Program</v>
      </c>
      <c r="L104" s="12" t="s">
        <v>1369</v>
      </c>
      <c r="M104" s="105" t="s">
        <v>1991</v>
      </c>
      <c r="N104" s="12" t="s">
        <v>1988</v>
      </c>
      <c r="O104" s="12"/>
      <c r="P104" s="12"/>
      <c r="Q104" s="72">
        <v>1</v>
      </c>
      <c r="R104" s="23">
        <v>816750</v>
      </c>
      <c r="Y104" s="12"/>
      <c r="Z104" s="18">
        <f>ROUND(R104*'Data-CostAssumptions'!$C$8,-3)</f>
        <v>817000</v>
      </c>
      <c r="AA104" s="11">
        <f t="shared" si="5"/>
        <v>0</v>
      </c>
      <c r="AB104" s="11">
        <v>2041</v>
      </c>
      <c r="AC104" s="11">
        <v>2041</v>
      </c>
      <c r="AD104" s="11">
        <v>2041</v>
      </c>
      <c r="AE104" s="19">
        <f>ROUND((Z104*'Data-CostAssumptions'!$G$5)*(1+'Data-CostAssumptions'!$G$3)^(AB104-'Data-CostAssumptions'!$G$4),-3)</f>
        <v>461000</v>
      </c>
      <c r="AF104" s="19">
        <f>ROUND((Z104)*(1+'Data-CostAssumptions'!$G$3)^(AD104-'Data-CostAssumptions'!$G$4),-3)</f>
        <v>2095000</v>
      </c>
      <c r="AG104" s="170" t="str">
        <f t="shared" si="6"/>
        <v>No</v>
      </c>
    </row>
    <row r="105" spans="1:33" ht="15" customHeight="1" x14ac:dyDescent="0.2">
      <c r="B105" s="11" t="s">
        <v>1211</v>
      </c>
      <c r="C105" s="13">
        <v>423</v>
      </c>
      <c r="D105" s="13" t="s">
        <v>420</v>
      </c>
      <c r="E105" s="20">
        <v>102</v>
      </c>
      <c r="F105" s="20">
        <v>164</v>
      </c>
      <c r="G105" s="20">
        <v>632</v>
      </c>
      <c r="H105" s="13" t="s">
        <v>2089</v>
      </c>
      <c r="I105" s="13" t="str">
        <f t="shared" si="7"/>
        <v>SE 12th Av (NE 49th St to Hillboro Bl)</v>
      </c>
      <c r="J105" s="13" t="s">
        <v>27</v>
      </c>
      <c r="K105" s="13" t="str">
        <f>VLOOKUP(J105,'Data-ProjectTypes'!A$3:B$13,2,FALSE)</f>
        <v>Program</v>
      </c>
      <c r="L105" s="21" t="s">
        <v>348</v>
      </c>
      <c r="M105" s="13" t="s">
        <v>1896</v>
      </c>
      <c r="N105" s="13" t="s">
        <v>2281</v>
      </c>
      <c r="O105" s="13" t="s">
        <v>272</v>
      </c>
      <c r="P105" s="13" t="s">
        <v>272</v>
      </c>
      <c r="Q105" s="22">
        <v>1.6</v>
      </c>
      <c r="R105" s="23">
        <v>587499</v>
      </c>
      <c r="S105" s="21" t="s">
        <v>24</v>
      </c>
      <c r="T105" s="21" t="s">
        <v>684</v>
      </c>
      <c r="U105" s="21" t="s">
        <v>684</v>
      </c>
      <c r="V105" s="24"/>
      <c r="W105" s="24"/>
      <c r="X105" s="24"/>
      <c r="Y105" s="17" t="s">
        <v>685</v>
      </c>
      <c r="Z105" s="18">
        <f>ROUND(R105*'Data-CostAssumptions'!$C$3,-3)</f>
        <v>813000</v>
      </c>
      <c r="AA105" s="11">
        <f t="shared" si="5"/>
        <v>0</v>
      </c>
      <c r="AB105" s="11">
        <v>2041</v>
      </c>
      <c r="AC105" s="11">
        <v>2041</v>
      </c>
      <c r="AD105" s="11">
        <v>2041</v>
      </c>
      <c r="AE105" s="19">
        <f>ROUND((Z105*'Data-CostAssumptions'!$G$5)*(1+'Data-CostAssumptions'!$G$3)^(AB105-'Data-CostAssumptions'!$G$4),-3)</f>
        <v>459000</v>
      </c>
      <c r="AF105" s="19">
        <f>ROUND((Z105)*(1+'Data-CostAssumptions'!$G$3)^(AD105-'Data-CostAssumptions'!$G$4),-3)</f>
        <v>2084000</v>
      </c>
      <c r="AG105" s="170" t="str">
        <f t="shared" si="6"/>
        <v>No</v>
      </c>
    </row>
    <row r="106" spans="1:33" ht="15" customHeight="1" x14ac:dyDescent="0.2">
      <c r="B106" s="11" t="s">
        <v>1211</v>
      </c>
      <c r="C106" s="13">
        <v>440</v>
      </c>
      <c r="D106" s="13" t="s">
        <v>420</v>
      </c>
      <c r="E106" s="20">
        <v>195</v>
      </c>
      <c r="F106" s="20">
        <v>166</v>
      </c>
      <c r="G106" s="20">
        <v>648</v>
      </c>
      <c r="H106" s="13" t="s">
        <v>2735</v>
      </c>
      <c r="I106" s="13" t="str">
        <f t="shared" si="7"/>
        <v>SR 842/West Broward Bl (Just east of Wimbledon Lakes Dr to Just east of NW 122nd Terrace)</v>
      </c>
      <c r="J106" s="13" t="s">
        <v>27</v>
      </c>
      <c r="K106" s="13" t="str">
        <f>VLOOKUP(J106,'Data-ProjectTypes'!A$3:B$13,2,FALSE)</f>
        <v>Program</v>
      </c>
      <c r="L106" s="21" t="s">
        <v>348</v>
      </c>
      <c r="M106" s="13" t="s">
        <v>2683</v>
      </c>
      <c r="N106" s="13" t="s">
        <v>126</v>
      </c>
      <c r="O106" s="13" t="s">
        <v>273</v>
      </c>
      <c r="P106" s="13" t="s">
        <v>273</v>
      </c>
      <c r="Q106" s="22">
        <v>2.2999999999999998</v>
      </c>
      <c r="R106" s="23">
        <v>810138</v>
      </c>
      <c r="S106" s="21"/>
      <c r="T106" s="21"/>
      <c r="U106" s="21"/>
      <c r="V106" s="24"/>
      <c r="W106" s="24"/>
      <c r="X106" s="24"/>
      <c r="Y106" s="17"/>
      <c r="Z106" s="18">
        <f>ROUND(R106*'Data-CostAssumptions'!$C$8,-3)</f>
        <v>810000</v>
      </c>
      <c r="AA106" s="11">
        <f t="shared" si="5"/>
        <v>0</v>
      </c>
      <c r="AB106" s="11">
        <v>2041</v>
      </c>
      <c r="AC106" s="11">
        <v>2041</v>
      </c>
      <c r="AD106" s="11">
        <v>2041</v>
      </c>
      <c r="AE106" s="19">
        <f>ROUND((Z106*'Data-CostAssumptions'!$G$5)*(1+'Data-CostAssumptions'!$G$3)^(AB106-'Data-CostAssumptions'!$G$4),-3)</f>
        <v>457000</v>
      </c>
      <c r="AF106" s="19">
        <f>ROUND((Z106)*(1+'Data-CostAssumptions'!$G$3)^(AD106-'Data-CostAssumptions'!$G$4),-3)</f>
        <v>2077000</v>
      </c>
      <c r="AG106" s="170" t="str">
        <f t="shared" si="6"/>
        <v>No</v>
      </c>
    </row>
    <row r="107" spans="1:33" ht="15" customHeight="1" x14ac:dyDescent="0.2">
      <c r="A107" s="12"/>
      <c r="B107" s="11" t="s">
        <v>1211</v>
      </c>
      <c r="C107" s="12"/>
      <c r="D107" s="84" t="s">
        <v>276</v>
      </c>
      <c r="E107" s="104">
        <v>98</v>
      </c>
      <c r="F107" s="104"/>
      <c r="G107" s="20">
        <v>1639</v>
      </c>
      <c r="H107" s="13" t="s">
        <v>2194</v>
      </c>
      <c r="I107" s="13" t="str">
        <f t="shared" si="7"/>
        <v>SW 4TH Av (SR 84/SW 24TH ST to DAVIE Bl)</v>
      </c>
      <c r="J107" s="12" t="s">
        <v>27</v>
      </c>
      <c r="K107" s="13" t="str">
        <f>VLOOKUP(J107,'Data-ProjectTypes'!A$3:B$13,2,FALSE)</f>
        <v>Program</v>
      </c>
      <c r="L107" s="12" t="s">
        <v>1398</v>
      </c>
      <c r="M107" s="105" t="s">
        <v>1419</v>
      </c>
      <c r="N107" s="12" t="s">
        <v>1991</v>
      </c>
      <c r="O107" s="12"/>
      <c r="P107" s="12"/>
      <c r="Q107" s="72">
        <v>1</v>
      </c>
      <c r="R107" s="23">
        <v>799200</v>
      </c>
      <c r="Y107" s="12"/>
      <c r="Z107" s="18">
        <f>ROUND(R107*'Data-CostAssumptions'!$C$16,-3)</f>
        <v>799000</v>
      </c>
      <c r="AA107" s="11">
        <f t="shared" si="5"/>
        <v>0</v>
      </c>
      <c r="AB107" s="11">
        <v>2041</v>
      </c>
      <c r="AC107" s="11">
        <v>2041</v>
      </c>
      <c r="AD107" s="11">
        <v>2041</v>
      </c>
      <c r="AE107" s="19">
        <f>ROUND((Z107*'Data-CostAssumptions'!$G$5)*(1+'Data-CostAssumptions'!$G$3)^(AB107-'Data-CostAssumptions'!$G$4),-3)</f>
        <v>451000</v>
      </c>
      <c r="AF107" s="19">
        <f>ROUND((Z107)*(1+'Data-CostAssumptions'!$G$3)^(AD107-'Data-CostAssumptions'!$G$4),-3)</f>
        <v>2049000</v>
      </c>
      <c r="AG107" s="170" t="str">
        <f t="shared" si="6"/>
        <v>No</v>
      </c>
    </row>
    <row r="108" spans="1:33" ht="15" customHeight="1" x14ac:dyDescent="0.2">
      <c r="A108" s="12"/>
      <c r="B108" s="11" t="s">
        <v>1211</v>
      </c>
      <c r="C108" s="12"/>
      <c r="D108" s="84" t="s">
        <v>276</v>
      </c>
      <c r="E108" s="104">
        <v>18</v>
      </c>
      <c r="F108" s="104"/>
      <c r="G108" s="20">
        <v>1541</v>
      </c>
      <c r="H108" s="13" t="s">
        <v>1816</v>
      </c>
      <c r="I108" s="13" t="str">
        <f t="shared" si="7"/>
        <v>Davie Bl (SW 31ST Av to US 441/SR 7)</v>
      </c>
      <c r="J108" s="12" t="s">
        <v>27</v>
      </c>
      <c r="K108" s="13" t="str">
        <f>VLOOKUP(J108,'Data-ProjectTypes'!A$3:B$13,2,FALSE)</f>
        <v>Program</v>
      </c>
      <c r="L108" s="12" t="s">
        <v>1283</v>
      </c>
      <c r="M108" s="105" t="s">
        <v>2191</v>
      </c>
      <c r="N108" s="12" t="s">
        <v>1430</v>
      </c>
      <c r="O108" s="12"/>
      <c r="P108" s="12"/>
      <c r="Q108" s="72">
        <v>1</v>
      </c>
      <c r="R108" s="23">
        <v>787000</v>
      </c>
      <c r="Y108" s="12"/>
      <c r="Z108" s="71">
        <f>ROUND(R108*'Data-CostAssumptions'!$C$8,-3)</f>
        <v>787000</v>
      </c>
      <c r="AA108" s="11">
        <f t="shared" si="5"/>
        <v>0</v>
      </c>
      <c r="AB108" s="11">
        <v>2041</v>
      </c>
      <c r="AC108" s="11">
        <v>2041</v>
      </c>
      <c r="AD108" s="11">
        <v>2041</v>
      </c>
      <c r="AE108" s="19">
        <f>ROUND((Z108*'Data-CostAssumptions'!$G$5)*(1+'Data-CostAssumptions'!$G$3)^(AB108-'Data-CostAssumptions'!$G$4),-3)</f>
        <v>444000</v>
      </c>
      <c r="AF108" s="19">
        <f>ROUND((Z108)*(1+'Data-CostAssumptions'!$G$3)^(AD108-'Data-CostAssumptions'!$G$4),-3)</f>
        <v>2018000</v>
      </c>
      <c r="AG108" s="170" t="str">
        <f t="shared" si="6"/>
        <v>No</v>
      </c>
    </row>
    <row r="109" spans="1:33" ht="15" customHeight="1" x14ac:dyDescent="0.2">
      <c r="A109" s="12"/>
      <c r="B109" s="11" t="s">
        <v>1211</v>
      </c>
      <c r="C109" s="12"/>
      <c r="D109" s="84" t="s">
        <v>276</v>
      </c>
      <c r="E109" s="104">
        <v>19</v>
      </c>
      <c r="F109" s="104"/>
      <c r="G109" s="20">
        <v>1540</v>
      </c>
      <c r="H109" s="13" t="s">
        <v>1816</v>
      </c>
      <c r="I109" s="13" t="str">
        <f t="shared" si="7"/>
        <v>Davie Bl (I-95 to SW 31ST Av)</v>
      </c>
      <c r="J109" s="12" t="s">
        <v>27</v>
      </c>
      <c r="K109" s="13" t="str">
        <f>VLOOKUP(J109,'Data-ProjectTypes'!A$3:B$13,2,FALSE)</f>
        <v>Program</v>
      </c>
      <c r="L109" s="12" t="s">
        <v>1281</v>
      </c>
      <c r="M109" s="105" t="s">
        <v>41</v>
      </c>
      <c r="N109" s="12" t="s">
        <v>2191</v>
      </c>
      <c r="O109" s="12"/>
      <c r="P109" s="12"/>
      <c r="Q109" s="72">
        <v>1.1000000000000001</v>
      </c>
      <c r="R109" s="23">
        <v>778000</v>
      </c>
      <c r="Y109" s="12"/>
      <c r="Z109" s="71">
        <f>ROUND(R109*'Data-CostAssumptions'!$C$8,-3)</f>
        <v>778000</v>
      </c>
      <c r="AA109" s="11">
        <f t="shared" si="5"/>
        <v>0</v>
      </c>
      <c r="AB109" s="11">
        <v>2041</v>
      </c>
      <c r="AC109" s="11">
        <v>2041</v>
      </c>
      <c r="AD109" s="11">
        <v>2041</v>
      </c>
      <c r="AE109" s="19">
        <f>ROUND((Z109*'Data-CostAssumptions'!$G$5)*(1+'Data-CostAssumptions'!$G$3)^(AB109-'Data-CostAssumptions'!$G$4),-3)</f>
        <v>439000</v>
      </c>
      <c r="AF109" s="19">
        <f>ROUND((Z109)*(1+'Data-CostAssumptions'!$G$3)^(AD109-'Data-CostAssumptions'!$G$4),-3)</f>
        <v>1995000</v>
      </c>
      <c r="AG109" s="170" t="str">
        <f t="shared" si="6"/>
        <v>No</v>
      </c>
    </row>
    <row r="110" spans="1:33" ht="15" customHeight="1" x14ac:dyDescent="0.2">
      <c r="B110" s="11" t="s">
        <v>1211</v>
      </c>
      <c r="D110" s="84" t="s">
        <v>276</v>
      </c>
      <c r="E110" s="14">
        <v>10</v>
      </c>
      <c r="F110" s="14"/>
      <c r="G110" s="20">
        <v>1622</v>
      </c>
      <c r="H110" s="13" t="s">
        <v>2798</v>
      </c>
      <c r="I110" s="13" t="str">
        <f t="shared" si="7"/>
        <v>SR 842/Broward Bl (I-95 to SR 7/US 441)</v>
      </c>
      <c r="J110" s="11" t="s">
        <v>27</v>
      </c>
      <c r="K110" s="13" t="str">
        <f>VLOOKUP(J110,'Data-ProjectTypes'!A$3:B$13,2,FALSE)</f>
        <v>Program</v>
      </c>
      <c r="L110" s="11" t="s">
        <v>1265</v>
      </c>
      <c r="M110" s="106" t="s">
        <v>41</v>
      </c>
      <c r="N110" s="84" t="s">
        <v>57</v>
      </c>
      <c r="Q110" s="107">
        <v>2.1</v>
      </c>
      <c r="R110" s="23">
        <v>778050</v>
      </c>
      <c r="Y110" s="12"/>
      <c r="Z110" s="18">
        <f>ROUND(R110*'Data-CostAssumptions'!$C$4,-3)</f>
        <v>778000</v>
      </c>
      <c r="AA110" s="11">
        <f t="shared" si="5"/>
        <v>0</v>
      </c>
      <c r="AB110" s="11">
        <v>2041</v>
      </c>
      <c r="AC110" s="11">
        <v>2041</v>
      </c>
      <c r="AD110" s="11">
        <v>2041</v>
      </c>
      <c r="AE110" s="19">
        <f>ROUND((Z110*'Data-CostAssumptions'!$G$5)*(1+'Data-CostAssumptions'!$G$3)^(AB110-'Data-CostAssumptions'!$G$4),-3)</f>
        <v>439000</v>
      </c>
      <c r="AF110" s="19">
        <f>ROUND((Z110)*(1+'Data-CostAssumptions'!$G$3)^(AD110-'Data-CostAssumptions'!$G$4),-3)</f>
        <v>1995000</v>
      </c>
      <c r="AG110" s="170" t="str">
        <f t="shared" si="6"/>
        <v>No</v>
      </c>
    </row>
    <row r="111" spans="1:33" ht="15" customHeight="1" x14ac:dyDescent="0.2">
      <c r="B111" s="11" t="s">
        <v>1211</v>
      </c>
      <c r="C111" s="13">
        <v>434</v>
      </c>
      <c r="D111" s="13" t="s">
        <v>420</v>
      </c>
      <c r="E111" s="20">
        <v>159</v>
      </c>
      <c r="F111" s="20">
        <v>165</v>
      </c>
      <c r="G111" s="20">
        <v>644</v>
      </c>
      <c r="H111" s="13" t="s">
        <v>1829</v>
      </c>
      <c r="I111" s="13" t="str">
        <f t="shared" si="7"/>
        <v>Southgate Bl (Pine Island Rd to Just west of Sanibel Dr)</v>
      </c>
      <c r="J111" s="13" t="s">
        <v>27</v>
      </c>
      <c r="K111" s="13" t="str">
        <f>VLOOKUP(J111,'Data-ProjectTypes'!A$3:B$13,2,FALSE)</f>
        <v>Program</v>
      </c>
      <c r="L111" s="21" t="s">
        <v>348</v>
      </c>
      <c r="M111" s="13" t="s">
        <v>266</v>
      </c>
      <c r="N111" s="13" t="s">
        <v>2676</v>
      </c>
      <c r="O111" s="13" t="s">
        <v>280</v>
      </c>
      <c r="P111" s="13" t="s">
        <v>280</v>
      </c>
      <c r="Q111" s="22">
        <v>1.6</v>
      </c>
      <c r="R111" s="23">
        <v>561115</v>
      </c>
      <c r="S111" s="21"/>
      <c r="T111" s="21"/>
      <c r="U111" s="21"/>
      <c r="V111" s="24"/>
      <c r="W111" s="24"/>
      <c r="X111" s="28"/>
      <c r="Y111" s="17"/>
      <c r="Z111" s="18">
        <f>ROUND(R111*'Data-CostAssumptions'!$C$3,-3)</f>
        <v>777000</v>
      </c>
      <c r="AA111" s="11">
        <f t="shared" si="5"/>
        <v>0</v>
      </c>
      <c r="AB111" s="11">
        <v>2041</v>
      </c>
      <c r="AC111" s="11">
        <v>2041</v>
      </c>
      <c r="AD111" s="11">
        <v>2041</v>
      </c>
      <c r="AE111" s="19">
        <f>ROUND((Z111*'Data-CostAssumptions'!$G$5)*(1+'Data-CostAssumptions'!$G$3)^(AB111-'Data-CostAssumptions'!$G$4),-3)</f>
        <v>438000</v>
      </c>
      <c r="AF111" s="19">
        <f>ROUND((Z111)*(1+'Data-CostAssumptions'!$G$3)^(AD111-'Data-CostAssumptions'!$G$4),-3)</f>
        <v>1992000</v>
      </c>
      <c r="AG111" s="170" t="str">
        <f t="shared" si="6"/>
        <v>No</v>
      </c>
    </row>
    <row r="112" spans="1:33" ht="15" customHeight="1" x14ac:dyDescent="0.2">
      <c r="B112" s="11" t="s">
        <v>1211</v>
      </c>
      <c r="C112" s="13">
        <v>527</v>
      </c>
      <c r="D112" s="13" t="s">
        <v>420</v>
      </c>
      <c r="E112" s="20">
        <v>273</v>
      </c>
      <c r="F112" s="20">
        <v>170</v>
      </c>
      <c r="G112" s="20">
        <v>731</v>
      </c>
      <c r="H112" s="13" t="s">
        <v>2784</v>
      </c>
      <c r="I112" s="13" t="str">
        <f t="shared" si="7"/>
        <v>SR 818/Griffin Rd (Nob Hill Rd to Flamingo Rd)</v>
      </c>
      <c r="J112" s="13" t="s">
        <v>27</v>
      </c>
      <c r="K112" s="13" t="str">
        <f>VLOOKUP(J112,'Data-ProjectTypes'!A$3:B$13,2,FALSE)</f>
        <v>Program</v>
      </c>
      <c r="L112" s="21" t="s">
        <v>348</v>
      </c>
      <c r="M112" s="13" t="s">
        <v>1755</v>
      </c>
      <c r="N112" s="13" t="s">
        <v>159</v>
      </c>
      <c r="O112" s="13" t="s">
        <v>270</v>
      </c>
      <c r="P112" s="13" t="s">
        <v>270</v>
      </c>
      <c r="Q112" s="22">
        <v>2.2000000000000002</v>
      </c>
      <c r="R112" s="23">
        <v>777069</v>
      </c>
      <c r="S112" s="21"/>
      <c r="T112" s="21"/>
      <c r="U112" s="21"/>
      <c r="V112" s="24"/>
      <c r="W112" s="24" t="s">
        <v>715</v>
      </c>
      <c r="X112" s="24"/>
      <c r="Y112" s="17" t="s">
        <v>538</v>
      </c>
      <c r="Z112" s="18">
        <f>ROUND(R112*'Data-CostAssumptions'!$C$8,-3)</f>
        <v>777000</v>
      </c>
      <c r="AA112" s="11">
        <f t="shared" si="5"/>
        <v>1</v>
      </c>
      <c r="AB112" s="11">
        <v>2041</v>
      </c>
      <c r="AC112" s="11">
        <v>2041</v>
      </c>
      <c r="AD112" s="11">
        <v>2041</v>
      </c>
      <c r="AE112" s="19">
        <f>ROUND((Z112*'Data-CostAssumptions'!$G$5)*(1+'Data-CostAssumptions'!$G$3)^(AB112-'Data-CostAssumptions'!$G$4),-3)</f>
        <v>438000</v>
      </c>
      <c r="AF112" s="19">
        <f>ROUND((Z112)*(1+'Data-CostAssumptions'!$G$3)^(AD112-'Data-CostAssumptions'!$G$4),-3)</f>
        <v>1992000</v>
      </c>
      <c r="AG112" s="170" t="str">
        <f t="shared" si="6"/>
        <v>No</v>
      </c>
    </row>
    <row r="113" spans="1:33" ht="15" customHeight="1" x14ac:dyDescent="0.2">
      <c r="A113" s="12"/>
      <c r="B113" s="11" t="s">
        <v>1211</v>
      </c>
      <c r="C113" s="12"/>
      <c r="D113" s="84" t="s">
        <v>276</v>
      </c>
      <c r="E113" s="104">
        <v>101</v>
      </c>
      <c r="F113" s="104"/>
      <c r="G113" s="20">
        <v>1640</v>
      </c>
      <c r="H113" s="13" t="s">
        <v>1251</v>
      </c>
      <c r="I113" s="13" t="str">
        <f t="shared" si="7"/>
        <v>SW 7TH ST (SW 4TH Av to US 1)</v>
      </c>
      <c r="J113" s="12" t="s">
        <v>27</v>
      </c>
      <c r="K113" s="13" t="str">
        <f>VLOOKUP(J113,'Data-ProjectTypes'!A$3:B$13,2,FALSE)</f>
        <v>Program</v>
      </c>
      <c r="L113" s="12" t="s">
        <v>1400</v>
      </c>
      <c r="M113" s="105" t="s">
        <v>2194</v>
      </c>
      <c r="N113" s="12" t="s">
        <v>98</v>
      </c>
      <c r="O113" s="12"/>
      <c r="P113" s="12"/>
      <c r="Q113" s="72">
        <v>1</v>
      </c>
      <c r="R113" s="23">
        <v>775000</v>
      </c>
      <c r="X113" s="233"/>
      <c r="Y113" s="103"/>
      <c r="Z113" s="18">
        <f>ROUND(R113*'Data-CostAssumptions'!$C$8,-3)</f>
        <v>775000</v>
      </c>
      <c r="AA113" s="11">
        <f t="shared" si="5"/>
        <v>0</v>
      </c>
      <c r="AB113" s="11">
        <v>2041</v>
      </c>
      <c r="AC113" s="11">
        <v>2041</v>
      </c>
      <c r="AD113" s="11">
        <v>2041</v>
      </c>
      <c r="AE113" s="19">
        <f>ROUND((Z113*'Data-CostAssumptions'!$G$5)*(1+'Data-CostAssumptions'!$G$3)^(AB113-'Data-CostAssumptions'!$G$4),-3)</f>
        <v>437000</v>
      </c>
      <c r="AF113" s="19">
        <f>ROUND((Z113)*(1+'Data-CostAssumptions'!$G$3)^(AD113-'Data-CostAssumptions'!$G$4),-3)</f>
        <v>1987000</v>
      </c>
      <c r="AG113" s="170" t="str">
        <f t="shared" si="6"/>
        <v>No</v>
      </c>
    </row>
    <row r="114" spans="1:33" ht="15" customHeight="1" x14ac:dyDescent="0.2">
      <c r="B114" s="11" t="s">
        <v>1211</v>
      </c>
      <c r="C114" s="13">
        <v>220</v>
      </c>
      <c r="D114" s="13" t="s">
        <v>420</v>
      </c>
      <c r="E114" s="20">
        <v>12</v>
      </c>
      <c r="F114" s="20">
        <v>152</v>
      </c>
      <c r="G114" s="20">
        <v>434</v>
      </c>
      <c r="H114" s="13" t="s">
        <v>2717</v>
      </c>
      <c r="I114" s="13" t="str">
        <f t="shared" si="7"/>
        <v>SR 820/Pines Bl (North bound on-ramp east of I-75 to Just east of Dykes Rd)</v>
      </c>
      <c r="J114" s="13" t="s">
        <v>27</v>
      </c>
      <c r="K114" s="13" t="str">
        <f>VLOOKUP(J114,'Data-ProjectTypes'!A$3:B$13,2,FALSE)</f>
        <v>Program</v>
      </c>
      <c r="L114" s="21" t="s">
        <v>348</v>
      </c>
      <c r="M114" s="13" t="s">
        <v>133</v>
      </c>
      <c r="N114" s="13" t="s">
        <v>2443</v>
      </c>
      <c r="O114" s="13" t="s">
        <v>270</v>
      </c>
      <c r="P114" s="13" t="s">
        <v>270</v>
      </c>
      <c r="Q114" s="22">
        <v>1.6</v>
      </c>
      <c r="R114" s="23">
        <v>557688</v>
      </c>
      <c r="S114" s="21" t="s">
        <v>24</v>
      </c>
      <c r="T114" s="21" t="s">
        <v>25</v>
      </c>
      <c r="U114" s="21" t="s">
        <v>24</v>
      </c>
      <c r="V114" s="24"/>
      <c r="W114" s="24"/>
      <c r="X114" s="24"/>
      <c r="Y114" s="17" t="s">
        <v>492</v>
      </c>
      <c r="Z114" s="18">
        <f>ROUND(R114*'Data-CostAssumptions'!$C$3,-3)</f>
        <v>772000</v>
      </c>
      <c r="AA114" s="11">
        <f t="shared" si="5"/>
        <v>0</v>
      </c>
      <c r="AB114" s="11">
        <v>2041</v>
      </c>
      <c r="AC114" s="11">
        <v>2041</v>
      </c>
      <c r="AD114" s="11">
        <v>2041</v>
      </c>
      <c r="AE114" s="19">
        <f>ROUND((Z114*'Data-CostAssumptions'!$G$5)*(1+'Data-CostAssumptions'!$G$3)^(AB114-'Data-CostAssumptions'!$G$4),-3)</f>
        <v>435000</v>
      </c>
      <c r="AF114" s="19">
        <f>ROUND((Z114)*(1+'Data-CostAssumptions'!$G$3)^(AD114-'Data-CostAssumptions'!$G$4),-3)</f>
        <v>1979000</v>
      </c>
      <c r="AG114" s="170" t="str">
        <f t="shared" si="6"/>
        <v>No</v>
      </c>
    </row>
    <row r="115" spans="1:33" ht="15" customHeight="1" x14ac:dyDescent="0.2">
      <c r="A115" s="12"/>
      <c r="B115" s="11" t="s">
        <v>1211</v>
      </c>
      <c r="C115" s="12"/>
      <c r="D115" s="84" t="s">
        <v>276</v>
      </c>
      <c r="E115" s="104" t="s">
        <v>1462</v>
      </c>
      <c r="F115" s="104"/>
      <c r="G115" s="20">
        <v>1601</v>
      </c>
      <c r="H115" s="13" t="s">
        <v>2884</v>
      </c>
      <c r="I115" s="13" t="str">
        <f t="shared" si="7"/>
        <v>Riverwalk Streetscape SEAWALL PEDESTRIAN IMPROVEMENT PROJECT (LAS OLAS Bl to NEW RIVER DR)</v>
      </c>
      <c r="J115" s="12" t="s">
        <v>27</v>
      </c>
      <c r="K115" s="13" t="str">
        <f>VLOOKUP(J115,'Data-ProjectTypes'!A$3:B$13,2,FALSE)</f>
        <v>Program</v>
      </c>
      <c r="L115" s="12" t="s">
        <v>1623</v>
      </c>
      <c r="M115" s="105" t="s">
        <v>1997</v>
      </c>
      <c r="N115" s="12" t="s">
        <v>1669</v>
      </c>
      <c r="O115" s="12"/>
      <c r="P115" s="12"/>
      <c r="Q115" s="72"/>
      <c r="R115" s="23">
        <v>550000</v>
      </c>
      <c r="Y115" s="12"/>
      <c r="Z115" s="18">
        <f>ROUND(R115*'Data-CostAssumptions'!$C$3,-3)</f>
        <v>761000</v>
      </c>
      <c r="AA115" s="11">
        <f t="shared" si="5"/>
        <v>0</v>
      </c>
      <c r="AB115" s="11">
        <v>2041</v>
      </c>
      <c r="AC115" s="11">
        <v>2041</v>
      </c>
      <c r="AD115" s="11">
        <v>2041</v>
      </c>
      <c r="AE115" s="19">
        <f>ROUND((Z115*'Data-CostAssumptions'!$G$5)*(1+'Data-CostAssumptions'!$G$3)^(AB115-'Data-CostAssumptions'!$G$4),-3)</f>
        <v>429000</v>
      </c>
      <c r="AF115" s="19">
        <f>ROUND((Z115)*(1+'Data-CostAssumptions'!$G$3)^(AD115-'Data-CostAssumptions'!$G$4),-3)</f>
        <v>1951000</v>
      </c>
      <c r="AG115" s="170" t="str">
        <f t="shared" si="6"/>
        <v>No</v>
      </c>
    </row>
    <row r="116" spans="1:33" ht="15" customHeight="1" x14ac:dyDescent="0.2">
      <c r="B116" s="11" t="s">
        <v>1211</v>
      </c>
      <c r="D116" s="84" t="s">
        <v>276</v>
      </c>
      <c r="E116" s="14">
        <v>3</v>
      </c>
      <c r="F116" s="14"/>
      <c r="G116" s="20">
        <v>1528</v>
      </c>
      <c r="H116" s="13" t="s">
        <v>2014</v>
      </c>
      <c r="I116" s="13" t="str">
        <f t="shared" si="7"/>
        <v>Andrews Av (SUNRISE Bl to NW 19TH ST)</v>
      </c>
      <c r="J116" s="11" t="s">
        <v>27</v>
      </c>
      <c r="K116" s="13" t="str">
        <f>VLOOKUP(J116,'Data-ProjectTypes'!A$3:B$13,2,FALSE)</f>
        <v>Program</v>
      </c>
      <c r="L116" s="11" t="s">
        <v>1255</v>
      </c>
      <c r="M116" s="106" t="s">
        <v>2002</v>
      </c>
      <c r="N116" s="84" t="s">
        <v>1240</v>
      </c>
      <c r="Q116" s="107">
        <v>1</v>
      </c>
      <c r="R116" s="23">
        <v>756000</v>
      </c>
      <c r="Y116" s="12"/>
      <c r="Z116" s="71">
        <f>ROUND(R116*'Data-CostAssumptions'!$C$8,-3)</f>
        <v>756000</v>
      </c>
      <c r="AA116" s="11">
        <f t="shared" si="5"/>
        <v>0</v>
      </c>
      <c r="AB116" s="11">
        <v>2041</v>
      </c>
      <c r="AC116" s="11">
        <v>2041</v>
      </c>
      <c r="AD116" s="11">
        <v>2041</v>
      </c>
      <c r="AE116" s="19">
        <f>ROUND((Z116*'Data-CostAssumptions'!$G$5)*(1+'Data-CostAssumptions'!$G$3)^(AB116-'Data-CostAssumptions'!$G$4),-3)</f>
        <v>426000</v>
      </c>
      <c r="AF116" s="19">
        <f>ROUND((Z116)*(1+'Data-CostAssumptions'!$G$3)^(AD116-'Data-CostAssumptions'!$G$4),-3)</f>
        <v>1938000</v>
      </c>
      <c r="AG116" s="170" t="str">
        <f t="shared" si="6"/>
        <v>No</v>
      </c>
    </row>
    <row r="117" spans="1:33" ht="15" customHeight="1" x14ac:dyDescent="0.2">
      <c r="A117" s="12"/>
      <c r="B117" s="11" t="s">
        <v>1211</v>
      </c>
      <c r="C117" s="12"/>
      <c r="D117" s="84" t="s">
        <v>276</v>
      </c>
      <c r="E117" s="104">
        <v>105</v>
      </c>
      <c r="F117" s="104"/>
      <c r="G117" s="20">
        <v>1607</v>
      </c>
      <c r="H117" s="13" t="s">
        <v>2209</v>
      </c>
      <c r="I117" s="13" t="str">
        <f t="shared" si="7"/>
        <v>SR 5/ US 1 (BROWARD Bl to NE 6TH ST)</v>
      </c>
      <c r="J117" s="12" t="s">
        <v>27</v>
      </c>
      <c r="K117" s="13" t="str">
        <f>VLOOKUP(J117,'Data-ProjectTypes'!A$3:B$13,2,FALSE)</f>
        <v>Program</v>
      </c>
      <c r="L117" s="12" t="s">
        <v>1412</v>
      </c>
      <c r="M117" s="105" t="s">
        <v>1988</v>
      </c>
      <c r="N117" s="12" t="s">
        <v>1230</v>
      </c>
      <c r="O117" s="12"/>
      <c r="P117" s="12"/>
      <c r="Q117" s="72">
        <v>0.5</v>
      </c>
      <c r="R117" s="23">
        <v>544950</v>
      </c>
      <c r="X117" s="38"/>
      <c r="Y117" s="12"/>
      <c r="Z117" s="18">
        <f>ROUND(R117*'Data-CostAssumptions'!$C$3,-3)</f>
        <v>754000</v>
      </c>
      <c r="AA117" s="11">
        <f t="shared" si="5"/>
        <v>0</v>
      </c>
      <c r="AB117" s="11">
        <v>2041</v>
      </c>
      <c r="AC117" s="11">
        <v>2041</v>
      </c>
      <c r="AD117" s="11">
        <v>2041</v>
      </c>
      <c r="AE117" s="19">
        <f>ROUND((Z117*'Data-CostAssumptions'!$G$5)*(1+'Data-CostAssumptions'!$G$3)^(AB117-'Data-CostAssumptions'!$G$4),-3)</f>
        <v>425000</v>
      </c>
      <c r="AF117" s="19">
        <f>ROUND((Z117)*(1+'Data-CostAssumptions'!$G$3)^(AD117-'Data-CostAssumptions'!$G$4),-3)</f>
        <v>1933000</v>
      </c>
      <c r="AG117" s="170" t="str">
        <f t="shared" si="6"/>
        <v>No</v>
      </c>
    </row>
    <row r="118" spans="1:33" ht="15" customHeight="1" x14ac:dyDescent="0.2">
      <c r="B118" s="11" t="s">
        <v>1211</v>
      </c>
      <c r="C118" s="13">
        <v>413</v>
      </c>
      <c r="D118" s="13" t="s">
        <v>420</v>
      </c>
      <c r="E118" s="20">
        <v>49</v>
      </c>
      <c r="F118" s="20">
        <v>164</v>
      </c>
      <c r="G118" s="20">
        <v>621</v>
      </c>
      <c r="H118" s="13" t="s">
        <v>2044</v>
      </c>
      <c r="I118" s="13" t="str">
        <f t="shared" si="7"/>
        <v>North 68th Av (Douglas Rd to Taft St)</v>
      </c>
      <c r="J118" s="13" t="s">
        <v>27</v>
      </c>
      <c r="K118" s="13" t="str">
        <f>VLOOKUP(J118,'Data-ProjectTypes'!A$3:B$13,2,FALSE)</f>
        <v>Program</v>
      </c>
      <c r="L118" s="21" t="s">
        <v>543</v>
      </c>
      <c r="M118" s="13" t="s">
        <v>2425</v>
      </c>
      <c r="N118" s="13" t="s">
        <v>1968</v>
      </c>
      <c r="O118" s="13" t="s">
        <v>282</v>
      </c>
      <c r="P118" s="13" t="s">
        <v>282</v>
      </c>
      <c r="Q118" s="22">
        <v>1.5</v>
      </c>
      <c r="R118" s="23">
        <v>534540</v>
      </c>
      <c r="Y118" s="17"/>
      <c r="Z118" s="18">
        <f>ROUND(R118*'Data-CostAssumptions'!$C$3,-3)</f>
        <v>740000</v>
      </c>
      <c r="AA118" s="11">
        <f t="shared" si="5"/>
        <v>0</v>
      </c>
      <c r="AB118" s="11">
        <v>2041</v>
      </c>
      <c r="AC118" s="11">
        <v>2041</v>
      </c>
      <c r="AD118" s="11">
        <v>2041</v>
      </c>
      <c r="AE118" s="19">
        <f>ROUND((Z118*'Data-CostAssumptions'!$G$5)*(1+'Data-CostAssumptions'!$G$3)^(AB118-'Data-CostAssumptions'!$G$4),-3)</f>
        <v>417000</v>
      </c>
      <c r="AF118" s="19">
        <f>ROUND((Z118)*(1+'Data-CostAssumptions'!$G$3)^(AD118-'Data-CostAssumptions'!$G$4),-3)</f>
        <v>1897000</v>
      </c>
      <c r="AG118" s="170" t="str">
        <f t="shared" si="6"/>
        <v>No</v>
      </c>
    </row>
    <row r="119" spans="1:33" ht="15" customHeight="1" x14ac:dyDescent="0.2">
      <c r="B119" s="11" t="s">
        <v>1211</v>
      </c>
      <c r="C119" s="13">
        <v>352</v>
      </c>
      <c r="D119" s="13" t="s">
        <v>420</v>
      </c>
      <c r="E119" s="20">
        <v>67</v>
      </c>
      <c r="F119" s="20">
        <v>160</v>
      </c>
      <c r="G119" s="20">
        <v>563</v>
      </c>
      <c r="H119" s="13" t="s">
        <v>2037</v>
      </c>
      <c r="I119" s="13" t="str">
        <f t="shared" si="7"/>
        <v>NE 7th Av (Just south of Taylor Lane to Eller Dr)</v>
      </c>
      <c r="J119" s="13" t="s">
        <v>27</v>
      </c>
      <c r="K119" s="13" t="str">
        <f>VLOOKUP(J119,'Data-ProjectTypes'!A$3:B$13,2,FALSE)</f>
        <v>Program</v>
      </c>
      <c r="L119" s="21" t="s">
        <v>348</v>
      </c>
      <c r="M119" s="13" t="s">
        <v>257</v>
      </c>
      <c r="N119" s="13" t="s">
        <v>1789</v>
      </c>
      <c r="O119" s="13" t="s">
        <v>286</v>
      </c>
      <c r="P119" s="13" t="s">
        <v>286</v>
      </c>
      <c r="Q119" s="22">
        <v>1.5</v>
      </c>
      <c r="R119" s="23">
        <v>531720</v>
      </c>
      <c r="S119" s="21" t="s">
        <v>24</v>
      </c>
      <c r="T119" s="21" t="s">
        <v>25</v>
      </c>
      <c r="U119" s="21" t="s">
        <v>25</v>
      </c>
      <c r="V119" s="24"/>
      <c r="W119" s="24"/>
      <c r="X119" s="28"/>
      <c r="Y119" s="17" t="s">
        <v>685</v>
      </c>
      <c r="Z119" s="18">
        <f>ROUND(R119*'Data-CostAssumptions'!$C$3,-3)</f>
        <v>736000</v>
      </c>
      <c r="AA119" s="11">
        <f t="shared" si="5"/>
        <v>0</v>
      </c>
      <c r="AB119" s="11">
        <v>2041</v>
      </c>
      <c r="AC119" s="11">
        <v>2041</v>
      </c>
      <c r="AD119" s="11">
        <v>2041</v>
      </c>
      <c r="AE119" s="19">
        <f>ROUND((Z119*'Data-CostAssumptions'!$G$5)*(1+'Data-CostAssumptions'!$G$3)^(AB119-'Data-CostAssumptions'!$G$4),-3)</f>
        <v>415000</v>
      </c>
      <c r="AF119" s="19">
        <f>ROUND((Z119)*(1+'Data-CostAssumptions'!$G$3)^(AD119-'Data-CostAssumptions'!$G$4),-3)</f>
        <v>1887000</v>
      </c>
      <c r="AG119" s="170" t="str">
        <f t="shared" si="6"/>
        <v>No</v>
      </c>
    </row>
    <row r="120" spans="1:33" ht="15" customHeight="1" x14ac:dyDescent="0.2">
      <c r="B120" s="11" t="s">
        <v>1211</v>
      </c>
      <c r="C120" s="13">
        <v>320</v>
      </c>
      <c r="D120" s="13" t="s">
        <v>420</v>
      </c>
      <c r="E120" s="20">
        <v>269</v>
      </c>
      <c r="F120" s="20">
        <v>158</v>
      </c>
      <c r="G120" s="20">
        <v>531</v>
      </c>
      <c r="H120" s="13" t="s">
        <v>1963</v>
      </c>
      <c r="I120" s="13" t="str">
        <f t="shared" si="7"/>
        <v>SW 45th St (Just east of 66th Av to Pine Island Rd)</v>
      </c>
      <c r="J120" s="13" t="s">
        <v>27</v>
      </c>
      <c r="K120" s="13" t="str">
        <f>VLOOKUP(J120,'Data-ProjectTypes'!A$3:B$13,2,FALSE)</f>
        <v>Program</v>
      </c>
      <c r="L120" s="21" t="s">
        <v>348</v>
      </c>
      <c r="M120" s="13" t="s">
        <v>2394</v>
      </c>
      <c r="N120" s="13" t="s">
        <v>266</v>
      </c>
      <c r="O120" s="13" t="s">
        <v>279</v>
      </c>
      <c r="P120" s="13" t="s">
        <v>279</v>
      </c>
      <c r="Q120" s="22">
        <v>1.5</v>
      </c>
      <c r="R120" s="23">
        <v>530390</v>
      </c>
      <c r="S120" s="21"/>
      <c r="T120" s="21"/>
      <c r="U120" s="21"/>
      <c r="V120" s="24"/>
      <c r="W120" s="24"/>
      <c r="X120" s="28"/>
      <c r="Y120" s="17"/>
      <c r="Z120" s="18">
        <f>ROUND(R120*'Data-CostAssumptions'!$C$3,-3)</f>
        <v>734000</v>
      </c>
      <c r="AA120" s="11">
        <f t="shared" si="5"/>
        <v>0</v>
      </c>
      <c r="AB120" s="11">
        <v>2041</v>
      </c>
      <c r="AC120" s="11">
        <v>2041</v>
      </c>
      <c r="AD120" s="11">
        <v>2041</v>
      </c>
      <c r="AE120" s="19">
        <f>ROUND((Z120*'Data-CostAssumptions'!$G$5)*(1+'Data-CostAssumptions'!$G$3)^(AB120-'Data-CostAssumptions'!$G$4),-3)</f>
        <v>414000</v>
      </c>
      <c r="AF120" s="19">
        <f>ROUND((Z120)*(1+'Data-CostAssumptions'!$G$3)^(AD120-'Data-CostAssumptions'!$G$4),-3)</f>
        <v>1882000</v>
      </c>
      <c r="AG120" s="170" t="str">
        <f t="shared" si="6"/>
        <v>No</v>
      </c>
    </row>
    <row r="121" spans="1:33" ht="15" customHeight="1" x14ac:dyDescent="0.2">
      <c r="A121" s="12"/>
      <c r="B121" s="11" t="s">
        <v>1211</v>
      </c>
      <c r="C121" s="12"/>
      <c r="D121" s="84" t="s">
        <v>276</v>
      </c>
      <c r="E121" s="104">
        <v>51</v>
      </c>
      <c r="F121" s="104"/>
      <c r="G121" s="20">
        <v>1572</v>
      </c>
      <c r="H121" s="13" t="s">
        <v>2160</v>
      </c>
      <c r="I121" s="13" t="str">
        <f t="shared" si="7"/>
        <v>NW 15TH Av (SR 838/SUNRISE Bl to NW 19TH ST)</v>
      </c>
      <c r="J121" s="12" t="s">
        <v>27</v>
      </c>
      <c r="K121" s="13" t="str">
        <f>VLOOKUP(J121,'Data-ProjectTypes'!A$3:B$13,2,FALSE)</f>
        <v>Program</v>
      </c>
      <c r="L121" s="12" t="s">
        <v>1277</v>
      </c>
      <c r="M121" s="105" t="s">
        <v>2302</v>
      </c>
      <c r="N121" s="12" t="s">
        <v>1240</v>
      </c>
      <c r="O121" s="12"/>
      <c r="P121" s="12"/>
      <c r="Q121" s="72">
        <v>1</v>
      </c>
      <c r="R121" s="23">
        <v>733700</v>
      </c>
      <c r="Y121" s="12"/>
      <c r="Z121" s="18">
        <f>ROUND(R121*'Data-CostAssumptions'!$C$8,-3)</f>
        <v>734000</v>
      </c>
      <c r="AA121" s="11">
        <f t="shared" si="5"/>
        <v>0</v>
      </c>
      <c r="AB121" s="11">
        <v>2041</v>
      </c>
      <c r="AC121" s="11">
        <v>2041</v>
      </c>
      <c r="AD121" s="11">
        <v>2041</v>
      </c>
      <c r="AE121" s="19">
        <f>ROUND((Z121*'Data-CostAssumptions'!$G$5)*(1+'Data-CostAssumptions'!$G$3)^(AB121-'Data-CostAssumptions'!$G$4),-3)</f>
        <v>414000</v>
      </c>
      <c r="AF121" s="19">
        <f>ROUND((Z121)*(1+'Data-CostAssumptions'!$G$3)^(AD121-'Data-CostAssumptions'!$G$4),-3)</f>
        <v>1882000</v>
      </c>
      <c r="AG121" s="170" t="str">
        <f t="shared" si="6"/>
        <v>No</v>
      </c>
    </row>
    <row r="122" spans="1:33" ht="15" customHeight="1" x14ac:dyDescent="0.2">
      <c r="A122" s="12"/>
      <c r="B122" s="11" t="s">
        <v>1211</v>
      </c>
      <c r="C122" s="12"/>
      <c r="D122" s="84" t="s">
        <v>276</v>
      </c>
      <c r="E122" s="104">
        <v>99</v>
      </c>
      <c r="F122" s="104"/>
      <c r="G122" s="20">
        <v>1637</v>
      </c>
      <c r="H122" s="13" t="s">
        <v>2194</v>
      </c>
      <c r="I122" s="13" t="str">
        <f t="shared" si="7"/>
        <v>SW 4TH Av (DAVIE Bl to BROWARD Bl)</v>
      </c>
      <c r="J122" s="12" t="s">
        <v>27</v>
      </c>
      <c r="K122" s="13" t="str">
        <f>VLOOKUP(J122,'Data-ProjectTypes'!A$3:B$13,2,FALSE)</f>
        <v>Program</v>
      </c>
      <c r="L122" s="12" t="s">
        <v>1399</v>
      </c>
      <c r="M122" s="105" t="s">
        <v>1991</v>
      </c>
      <c r="N122" s="12" t="s">
        <v>1988</v>
      </c>
      <c r="O122" s="12"/>
      <c r="P122" s="12"/>
      <c r="Q122" s="72">
        <v>1.1000000000000001</v>
      </c>
      <c r="R122" s="23">
        <v>733700</v>
      </c>
      <c r="Y122" s="12"/>
      <c r="Z122" s="18">
        <f>ROUND(R122*'Data-CostAssumptions'!$C$8,-3)</f>
        <v>734000</v>
      </c>
      <c r="AA122" s="11">
        <f t="shared" si="5"/>
        <v>0</v>
      </c>
      <c r="AB122" s="11">
        <v>2041</v>
      </c>
      <c r="AC122" s="11">
        <v>2041</v>
      </c>
      <c r="AD122" s="11">
        <v>2041</v>
      </c>
      <c r="AE122" s="19">
        <f>ROUND((Z122*'Data-CostAssumptions'!$G$5)*(1+'Data-CostAssumptions'!$G$3)^(AB122-'Data-CostAssumptions'!$G$4),-3)</f>
        <v>414000</v>
      </c>
      <c r="AF122" s="19">
        <f>ROUND((Z122)*(1+'Data-CostAssumptions'!$G$3)^(AD122-'Data-CostAssumptions'!$G$4),-3)</f>
        <v>1882000</v>
      </c>
      <c r="AG122" s="170" t="str">
        <f t="shared" si="6"/>
        <v>No</v>
      </c>
    </row>
    <row r="123" spans="1:33" ht="15" customHeight="1" x14ac:dyDescent="0.2">
      <c r="B123" s="11" t="s">
        <v>1211</v>
      </c>
      <c r="C123" s="13">
        <v>359</v>
      </c>
      <c r="D123" s="13" t="s">
        <v>420</v>
      </c>
      <c r="E123" s="20">
        <v>94</v>
      </c>
      <c r="F123" s="20">
        <v>161</v>
      </c>
      <c r="G123" s="20">
        <v>570</v>
      </c>
      <c r="H123" s="13" t="s">
        <v>1948</v>
      </c>
      <c r="I123" s="13" t="str">
        <f t="shared" si="7"/>
        <v>SE 6th St/SE 5th Court (Just east of SE 10th Av to Cypress Rd)</v>
      </c>
      <c r="J123" s="13" t="s">
        <v>27</v>
      </c>
      <c r="K123" s="13" t="str">
        <f>VLOOKUP(J123,'Data-ProjectTypes'!A$3:B$13,2,FALSE)</f>
        <v>Program</v>
      </c>
      <c r="L123" s="21" t="s">
        <v>348</v>
      </c>
      <c r="M123" s="13" t="s">
        <v>2378</v>
      </c>
      <c r="N123" s="13" t="s">
        <v>1843</v>
      </c>
      <c r="O123" s="13" t="s">
        <v>275</v>
      </c>
      <c r="P123" s="13" t="s">
        <v>275</v>
      </c>
      <c r="Q123" s="22">
        <v>1.4</v>
      </c>
      <c r="R123" s="23">
        <v>519108</v>
      </c>
      <c r="S123" s="21"/>
      <c r="T123" s="21"/>
      <c r="U123" s="21"/>
      <c r="V123" s="24"/>
      <c r="W123" s="24"/>
      <c r="X123" s="24"/>
      <c r="Y123" s="17"/>
      <c r="Z123" s="18">
        <f>ROUND(R123*'Data-CostAssumptions'!$C$3,-3)</f>
        <v>718000</v>
      </c>
      <c r="AA123" s="11">
        <f t="shared" si="5"/>
        <v>0</v>
      </c>
      <c r="AB123" s="11">
        <v>2041</v>
      </c>
      <c r="AC123" s="11">
        <v>2041</v>
      </c>
      <c r="AD123" s="11">
        <v>2041</v>
      </c>
      <c r="AE123" s="19">
        <f>ROUND((Z123*'Data-CostAssumptions'!$G$5)*(1+'Data-CostAssumptions'!$G$3)^(AB123-'Data-CostAssumptions'!$G$4),-3)</f>
        <v>405000</v>
      </c>
      <c r="AF123" s="19">
        <f>ROUND((Z123)*(1+'Data-CostAssumptions'!$G$3)^(AD123-'Data-CostAssumptions'!$G$4),-3)</f>
        <v>1841000</v>
      </c>
      <c r="AG123" s="170" t="str">
        <f t="shared" si="6"/>
        <v>No</v>
      </c>
    </row>
    <row r="124" spans="1:33" ht="15" customHeight="1" x14ac:dyDescent="0.2">
      <c r="B124" s="11" t="s">
        <v>1211</v>
      </c>
      <c r="C124" s="13">
        <v>303</v>
      </c>
      <c r="D124" s="13" t="s">
        <v>420</v>
      </c>
      <c r="E124" s="20">
        <v>194</v>
      </c>
      <c r="F124" s="20">
        <v>157</v>
      </c>
      <c r="G124" s="20">
        <v>514</v>
      </c>
      <c r="H124" s="13" t="s">
        <v>1758</v>
      </c>
      <c r="I124" s="13" t="str">
        <f t="shared" si="7"/>
        <v>North Nob Hill Rd (State Rd 84 to Just north of Central Park Place)</v>
      </c>
      <c r="J124" s="13" t="s">
        <v>27</v>
      </c>
      <c r="K124" s="13" t="str">
        <f>VLOOKUP(J124,'Data-ProjectTypes'!A$3:B$13,2,FALSE)</f>
        <v>Program</v>
      </c>
      <c r="L124" s="21" t="s">
        <v>348</v>
      </c>
      <c r="M124" s="13" t="s">
        <v>1774</v>
      </c>
      <c r="N124" s="13" t="s">
        <v>65</v>
      </c>
      <c r="O124" s="13" t="s">
        <v>273</v>
      </c>
      <c r="P124" s="13" t="s">
        <v>273</v>
      </c>
      <c r="Q124" s="22">
        <v>1.4</v>
      </c>
      <c r="R124" s="23">
        <v>517146</v>
      </c>
      <c r="S124" s="21" t="s">
        <v>24</v>
      </c>
      <c r="T124" s="21"/>
      <c r="U124" s="21"/>
      <c r="V124" s="24"/>
      <c r="W124" s="24" t="s">
        <v>789</v>
      </c>
      <c r="X124" s="37" t="s">
        <v>3241</v>
      </c>
      <c r="Y124" s="17" t="s">
        <v>782</v>
      </c>
      <c r="Z124" s="18">
        <f>ROUND(R124*'Data-CostAssumptions'!$C$3,-3)</f>
        <v>716000</v>
      </c>
      <c r="AA124" s="11">
        <f t="shared" si="5"/>
        <v>1</v>
      </c>
      <c r="AB124" s="11">
        <v>2041</v>
      </c>
      <c r="AC124" s="11">
        <v>2041</v>
      </c>
      <c r="AD124" s="11">
        <v>2041</v>
      </c>
      <c r="AE124" s="19">
        <f>ROUND((Z124*'Data-CostAssumptions'!$G$5)*(1+'Data-CostAssumptions'!$G$3)^(AB124-'Data-CostAssumptions'!$G$4),-3)</f>
        <v>404000</v>
      </c>
      <c r="AF124" s="19">
        <f>ROUND((Z124)*(1+'Data-CostAssumptions'!$G$3)^(AD124-'Data-CostAssumptions'!$G$4),-3)</f>
        <v>1836000</v>
      </c>
      <c r="AG124" s="170" t="str">
        <f t="shared" si="6"/>
        <v>No</v>
      </c>
    </row>
    <row r="125" spans="1:33" ht="15" customHeight="1" x14ac:dyDescent="0.2">
      <c r="B125" s="11" t="s">
        <v>1211</v>
      </c>
      <c r="C125" s="13">
        <v>528</v>
      </c>
      <c r="D125" s="13" t="s">
        <v>420</v>
      </c>
      <c r="E125" s="20">
        <v>276</v>
      </c>
      <c r="F125" s="20">
        <v>171</v>
      </c>
      <c r="G125" s="20">
        <v>732</v>
      </c>
      <c r="H125" s="13" t="s">
        <v>177</v>
      </c>
      <c r="I125" s="13" t="str">
        <f t="shared" si="7"/>
        <v>Stirling Rd (Flamingo Rd to SW 148th Av)</v>
      </c>
      <c r="J125" s="13" t="s">
        <v>27</v>
      </c>
      <c r="K125" s="13" t="str">
        <f>VLOOKUP(J125,'Data-ProjectTypes'!A$3:B$13,2,FALSE)</f>
        <v>Program</v>
      </c>
      <c r="L125" s="21" t="s">
        <v>348</v>
      </c>
      <c r="M125" s="13" t="s">
        <v>159</v>
      </c>
      <c r="N125" s="13" t="s">
        <v>2104</v>
      </c>
      <c r="O125" s="13" t="s">
        <v>272</v>
      </c>
      <c r="P125" s="13" t="s">
        <v>272</v>
      </c>
      <c r="Q125" s="22">
        <v>2</v>
      </c>
      <c r="R125" s="23">
        <v>713434</v>
      </c>
      <c r="S125" s="21"/>
      <c r="T125" s="21"/>
      <c r="U125" s="21"/>
      <c r="V125" s="24"/>
      <c r="W125" s="24"/>
      <c r="X125" s="24"/>
      <c r="Y125" s="17"/>
      <c r="Z125" s="18">
        <f>ROUND(R125*'Data-CostAssumptions'!$C$8,-3)</f>
        <v>713000</v>
      </c>
      <c r="AA125" s="11">
        <f t="shared" si="5"/>
        <v>0</v>
      </c>
      <c r="AB125" s="11">
        <v>2041</v>
      </c>
      <c r="AC125" s="11">
        <v>2041</v>
      </c>
      <c r="AD125" s="11">
        <v>2041</v>
      </c>
      <c r="AE125" s="19">
        <f>ROUND((Z125*'Data-CostAssumptions'!$G$5)*(1+'Data-CostAssumptions'!$G$3)^(AB125-'Data-CostAssumptions'!$G$4),-3)</f>
        <v>402000</v>
      </c>
      <c r="AF125" s="19">
        <f>ROUND((Z125)*(1+'Data-CostAssumptions'!$G$3)^(AD125-'Data-CostAssumptions'!$G$4),-3)</f>
        <v>1828000</v>
      </c>
      <c r="AG125" s="170" t="str">
        <f t="shared" si="6"/>
        <v>No</v>
      </c>
    </row>
    <row r="126" spans="1:33" ht="15" customHeight="1" x14ac:dyDescent="0.2">
      <c r="A126" s="12"/>
      <c r="B126" s="11" t="s">
        <v>1211</v>
      </c>
      <c r="C126" s="12"/>
      <c r="D126" s="84" t="s">
        <v>276</v>
      </c>
      <c r="E126" s="104">
        <v>90</v>
      </c>
      <c r="F126" s="104"/>
      <c r="G126" s="20">
        <v>1619</v>
      </c>
      <c r="H126" s="13" t="s">
        <v>2728</v>
      </c>
      <c r="I126" s="13" t="str">
        <f t="shared" si="7"/>
        <v>SR 838/Sunrise Bl (US 1  to NE 26TH Av)</v>
      </c>
      <c r="J126" s="12" t="s">
        <v>27</v>
      </c>
      <c r="K126" s="13" t="str">
        <f>VLOOKUP(J126,'Data-ProjectTypes'!A$3:B$13,2,FALSE)</f>
        <v>Program</v>
      </c>
      <c r="L126" s="12" t="s">
        <v>1392</v>
      </c>
      <c r="M126" s="105" t="s">
        <v>1455</v>
      </c>
      <c r="N126" s="12" t="s">
        <v>2632</v>
      </c>
      <c r="O126" s="12"/>
      <c r="P126" s="12"/>
      <c r="Q126" s="72">
        <v>2.1</v>
      </c>
      <c r="R126" s="23">
        <v>711650</v>
      </c>
      <c r="Y126" s="12"/>
      <c r="Z126" s="18">
        <f>ROUND(R126*'Data-CostAssumptions'!$C$4,-3)</f>
        <v>712000</v>
      </c>
      <c r="AA126" s="11">
        <f t="shared" si="5"/>
        <v>0</v>
      </c>
      <c r="AB126" s="11">
        <v>2041</v>
      </c>
      <c r="AC126" s="11">
        <v>2041</v>
      </c>
      <c r="AD126" s="11">
        <v>2041</v>
      </c>
      <c r="AE126" s="19">
        <f>ROUND((Z126*'Data-CostAssumptions'!$G$5)*(1+'Data-CostAssumptions'!$G$3)^(AB126-'Data-CostAssumptions'!$G$4),-3)</f>
        <v>402000</v>
      </c>
      <c r="AF126" s="19">
        <f>ROUND((Z126)*(1+'Data-CostAssumptions'!$G$3)^(AD126-'Data-CostAssumptions'!$G$4),-3)</f>
        <v>1826000</v>
      </c>
      <c r="AG126" s="170" t="str">
        <f t="shared" si="6"/>
        <v>No</v>
      </c>
    </row>
    <row r="127" spans="1:33" ht="15" customHeight="1" x14ac:dyDescent="0.2">
      <c r="B127" s="11" t="s">
        <v>1211</v>
      </c>
      <c r="C127" s="13">
        <v>311</v>
      </c>
      <c r="D127" s="13" t="s">
        <v>420</v>
      </c>
      <c r="E127" s="20">
        <v>245</v>
      </c>
      <c r="F127" s="20">
        <v>158</v>
      </c>
      <c r="G127" s="20">
        <v>522</v>
      </c>
      <c r="H127" s="13" t="s">
        <v>2125</v>
      </c>
      <c r="I127" s="13" t="str">
        <f t="shared" si="7"/>
        <v>SW 46th Av/East Country Club Circle (Peters Rd to Broward Bl)</v>
      </c>
      <c r="J127" s="13" t="s">
        <v>27</v>
      </c>
      <c r="K127" s="13" t="str">
        <f>VLOOKUP(J127,'Data-ProjectTypes'!A$3:B$13,2,FALSE)</f>
        <v>Program</v>
      </c>
      <c r="L127" s="21" t="s">
        <v>348</v>
      </c>
      <c r="M127" s="13" t="s">
        <v>1763</v>
      </c>
      <c r="N127" s="13" t="s">
        <v>1811</v>
      </c>
      <c r="O127" s="13" t="s">
        <v>284</v>
      </c>
      <c r="P127" s="13" t="s">
        <v>284</v>
      </c>
      <c r="Q127" s="22">
        <v>1.4</v>
      </c>
      <c r="R127" s="23">
        <v>514023</v>
      </c>
      <c r="S127" s="21"/>
      <c r="T127" s="21"/>
      <c r="U127" s="21"/>
      <c r="V127" s="24"/>
      <c r="W127" s="24"/>
      <c r="X127" s="24" t="s">
        <v>764</v>
      </c>
      <c r="Y127" s="17" t="s">
        <v>765</v>
      </c>
      <c r="Z127" s="18">
        <f>ROUND(R127*'Data-CostAssumptions'!$C$3,-3)</f>
        <v>711000</v>
      </c>
      <c r="AA127" s="11">
        <f t="shared" si="5"/>
        <v>0</v>
      </c>
      <c r="AB127" s="11">
        <v>2041</v>
      </c>
      <c r="AC127" s="11">
        <v>2041</v>
      </c>
      <c r="AD127" s="11">
        <v>2041</v>
      </c>
      <c r="AE127" s="19">
        <f>ROUND((Z127*'Data-CostAssumptions'!$G$5)*(1+'Data-CostAssumptions'!$G$3)^(AB127-'Data-CostAssumptions'!$G$4),-3)</f>
        <v>401000</v>
      </c>
      <c r="AF127" s="19">
        <f>ROUND((Z127)*(1+'Data-CostAssumptions'!$G$3)^(AD127-'Data-CostAssumptions'!$G$4),-3)</f>
        <v>1823000</v>
      </c>
      <c r="AG127" s="170" t="str">
        <f t="shared" si="6"/>
        <v>No</v>
      </c>
    </row>
    <row r="128" spans="1:33" ht="15" customHeight="1" x14ac:dyDescent="0.2">
      <c r="B128" s="11" t="s">
        <v>1211</v>
      </c>
      <c r="C128" s="13">
        <v>199</v>
      </c>
      <c r="D128" s="13" t="s">
        <v>420</v>
      </c>
      <c r="E128" s="20">
        <v>92</v>
      </c>
      <c r="F128" s="20">
        <v>151</v>
      </c>
      <c r="G128" s="20">
        <v>414</v>
      </c>
      <c r="H128" s="13" t="s">
        <v>2755</v>
      </c>
      <c r="I128" s="13" t="str">
        <f t="shared" si="7"/>
        <v>SR 811/Dixie Hwy (NE 51st St to McNab Rd/SW 15th St)</v>
      </c>
      <c r="J128" s="13" t="s">
        <v>27</v>
      </c>
      <c r="K128" s="13" t="str">
        <f>VLOOKUP(J128,'Data-ProjectTypes'!A$3:B$13,2,FALSE)</f>
        <v>Program</v>
      </c>
      <c r="L128" s="21" t="s">
        <v>348</v>
      </c>
      <c r="M128" s="13" t="s">
        <v>2529</v>
      </c>
      <c r="N128" s="13" t="s">
        <v>2528</v>
      </c>
      <c r="O128" s="13" t="s">
        <v>270</v>
      </c>
      <c r="P128" s="13" t="s">
        <v>270</v>
      </c>
      <c r="Q128" s="22">
        <v>1.4</v>
      </c>
      <c r="R128" s="23">
        <v>511884</v>
      </c>
      <c r="S128" s="21" t="s">
        <v>24</v>
      </c>
      <c r="T128" s="21" t="s">
        <v>684</v>
      </c>
      <c r="U128" s="21" t="s">
        <v>684</v>
      </c>
      <c r="V128" s="24"/>
      <c r="W128" s="24" t="s">
        <v>1107</v>
      </c>
      <c r="X128" s="24" t="s">
        <v>1112</v>
      </c>
      <c r="Y128" s="17" t="s">
        <v>1113</v>
      </c>
      <c r="Z128" s="18">
        <f>ROUND(R128*'Data-CostAssumptions'!$C$3,-3)</f>
        <v>708000</v>
      </c>
      <c r="AA128" s="11">
        <f t="shared" si="5"/>
        <v>1</v>
      </c>
      <c r="AB128" s="11">
        <v>2041</v>
      </c>
      <c r="AC128" s="11">
        <v>2041</v>
      </c>
      <c r="AD128" s="11">
        <v>2041</v>
      </c>
      <c r="AE128" s="19">
        <f>ROUND((Z128*'Data-CostAssumptions'!$G$5)*(1+'Data-CostAssumptions'!$G$3)^(AB128-'Data-CostAssumptions'!$G$4),-3)</f>
        <v>399000</v>
      </c>
      <c r="AF128" s="19">
        <f>ROUND((Z128)*(1+'Data-CostAssumptions'!$G$3)^(AD128-'Data-CostAssumptions'!$G$4),-3)</f>
        <v>1815000</v>
      </c>
      <c r="AG128" s="170" t="str">
        <f t="shared" si="6"/>
        <v>No</v>
      </c>
    </row>
    <row r="129" spans="1:33" ht="15" customHeight="1" x14ac:dyDescent="0.2">
      <c r="A129" s="12"/>
      <c r="B129" s="11" t="s">
        <v>1211</v>
      </c>
      <c r="C129" s="12"/>
      <c r="D129" s="84" t="s">
        <v>276</v>
      </c>
      <c r="E129" s="104">
        <v>91</v>
      </c>
      <c r="F129" s="104"/>
      <c r="G129" s="20">
        <v>1617</v>
      </c>
      <c r="H129" s="13" t="s">
        <v>2728</v>
      </c>
      <c r="I129" s="13" t="str">
        <f t="shared" si="7"/>
        <v>SR 838/Sunrise Bl (NE 26TH Av to SR A1A)</v>
      </c>
      <c r="J129" s="12" t="s">
        <v>27</v>
      </c>
      <c r="K129" s="13" t="str">
        <f>VLOOKUP(J129,'Data-ProjectTypes'!A$3:B$13,2,FALSE)</f>
        <v>Program</v>
      </c>
      <c r="L129" s="12" t="s">
        <v>1392</v>
      </c>
      <c r="M129" s="105" t="s">
        <v>2632</v>
      </c>
      <c r="N129" s="12" t="s">
        <v>110</v>
      </c>
      <c r="O129" s="12"/>
      <c r="P129" s="12"/>
      <c r="Q129" s="72">
        <v>0.5</v>
      </c>
      <c r="R129" s="23">
        <v>509800</v>
      </c>
      <c r="Y129" s="12"/>
      <c r="Z129" s="71">
        <f>ROUND(R129*'Data-CostAssumptions'!$C$3,-3)</f>
        <v>706000</v>
      </c>
      <c r="AA129" s="11">
        <f t="shared" si="5"/>
        <v>0</v>
      </c>
      <c r="AB129" s="11">
        <v>2041</v>
      </c>
      <c r="AC129" s="11">
        <v>2041</v>
      </c>
      <c r="AD129" s="11">
        <v>2041</v>
      </c>
      <c r="AE129" s="19">
        <f>ROUND((Z129*'Data-CostAssumptions'!$G$5)*(1+'Data-CostAssumptions'!$G$3)^(AB129-'Data-CostAssumptions'!$G$4),-3)</f>
        <v>398000</v>
      </c>
      <c r="AF129" s="19">
        <f>ROUND((Z129)*(1+'Data-CostAssumptions'!$G$3)^(AD129-'Data-CostAssumptions'!$G$4),-3)</f>
        <v>1810000</v>
      </c>
      <c r="AG129" s="170" t="str">
        <f t="shared" si="6"/>
        <v>No</v>
      </c>
    </row>
    <row r="130" spans="1:33" ht="15" customHeight="1" x14ac:dyDescent="0.2">
      <c r="B130" s="11" t="s">
        <v>1211</v>
      </c>
      <c r="C130" s="13">
        <v>231</v>
      </c>
      <c r="D130" s="13" t="s">
        <v>420</v>
      </c>
      <c r="E130" s="20">
        <v>91</v>
      </c>
      <c r="F130" s="20">
        <v>153</v>
      </c>
      <c r="G130" s="20">
        <v>445</v>
      </c>
      <c r="H130" s="13" t="s">
        <v>1901</v>
      </c>
      <c r="I130" s="13" t="str">
        <f t="shared" si="7"/>
        <v>NE 62nd St/Cypress Creek Rd (US 1/Federal Hwy to Dixie Hwy)</v>
      </c>
      <c r="J130" s="13" t="s">
        <v>27</v>
      </c>
      <c r="K130" s="13" t="str">
        <f>VLOOKUP(J130,'Data-ProjectTypes'!A$3:B$13,2,FALSE)</f>
        <v>Program</v>
      </c>
      <c r="L130" s="21" t="s">
        <v>348</v>
      </c>
      <c r="M130" s="13" t="s">
        <v>2594</v>
      </c>
      <c r="N130" s="13" t="s">
        <v>728</v>
      </c>
      <c r="O130" s="13" t="s">
        <v>273</v>
      </c>
      <c r="P130" s="13" t="s">
        <v>273</v>
      </c>
      <c r="Q130" s="22">
        <v>1.4</v>
      </c>
      <c r="R130" s="23">
        <v>509006</v>
      </c>
      <c r="S130" s="21" t="s">
        <v>24</v>
      </c>
      <c r="T130" s="21"/>
      <c r="U130" s="21"/>
      <c r="V130" s="24"/>
      <c r="W130" s="24"/>
      <c r="X130" s="24"/>
      <c r="Y130" s="17" t="s">
        <v>469</v>
      </c>
      <c r="Z130" s="18">
        <f>ROUND(R130*'Data-CostAssumptions'!$C$3,-3)</f>
        <v>704000</v>
      </c>
      <c r="AA130" s="11">
        <f t="shared" ref="AA130:AA193" si="8">IF(V130="",IF(W130="",0,1),1)</f>
        <v>0</v>
      </c>
      <c r="AB130" s="11">
        <v>2041</v>
      </c>
      <c r="AC130" s="11">
        <v>2041</v>
      </c>
      <c r="AD130" s="11">
        <v>2041</v>
      </c>
      <c r="AE130" s="19">
        <f>ROUND((Z130*'Data-CostAssumptions'!$G$5)*(1+'Data-CostAssumptions'!$G$3)^(AB130-'Data-CostAssumptions'!$G$4),-3)</f>
        <v>397000</v>
      </c>
      <c r="AF130" s="19">
        <f>ROUND((Z130)*(1+'Data-CostAssumptions'!$G$3)^(AD130-'Data-CostAssumptions'!$G$4),-3)</f>
        <v>1805000</v>
      </c>
      <c r="AG130" s="170" t="str">
        <f t="shared" ref="AG130:AG193" si="9">IF(MIN(AC130:AD130)&lt;2041,"Yes","No")</f>
        <v>No</v>
      </c>
    </row>
    <row r="131" spans="1:33" ht="15" customHeight="1" x14ac:dyDescent="0.2">
      <c r="B131" s="11" t="s">
        <v>1211</v>
      </c>
      <c r="C131" s="13">
        <v>426</v>
      </c>
      <c r="D131" s="13" t="s">
        <v>420</v>
      </c>
      <c r="E131" s="20">
        <v>122</v>
      </c>
      <c r="F131" s="20">
        <v>165</v>
      </c>
      <c r="G131" s="20">
        <v>636</v>
      </c>
      <c r="H131" s="13" t="s">
        <v>2778</v>
      </c>
      <c r="I131" s="13" t="str">
        <f t="shared" si="7"/>
        <v>SR 814/Atlantic Av/NW 31st Av (Florida's Turnpike Overpass to Just east of Hemingway Circle)</v>
      </c>
      <c r="J131" s="13" t="s">
        <v>27</v>
      </c>
      <c r="K131" s="13" t="str">
        <f>VLOOKUP(J131,'Data-ProjectTypes'!A$3:B$13,2,FALSE)</f>
        <v>Program</v>
      </c>
      <c r="L131" s="21" t="s">
        <v>348</v>
      </c>
      <c r="M131" s="13" t="s">
        <v>67</v>
      </c>
      <c r="N131" s="13" t="s">
        <v>68</v>
      </c>
      <c r="O131" s="13" t="s">
        <v>273</v>
      </c>
      <c r="P131" s="13" t="s">
        <v>273</v>
      </c>
      <c r="Q131" s="22">
        <v>1.4</v>
      </c>
      <c r="R131" s="23">
        <v>507962</v>
      </c>
      <c r="Y131" s="17"/>
      <c r="Z131" s="18">
        <f>ROUND(R131*'Data-CostAssumptions'!$C$3,-3)</f>
        <v>703000</v>
      </c>
      <c r="AA131" s="11">
        <f t="shared" si="8"/>
        <v>0</v>
      </c>
      <c r="AB131" s="11">
        <v>2041</v>
      </c>
      <c r="AC131" s="11">
        <v>2041</v>
      </c>
      <c r="AD131" s="11">
        <v>2041</v>
      </c>
      <c r="AE131" s="19">
        <f>ROUND((Z131*'Data-CostAssumptions'!$G$5)*(1+'Data-CostAssumptions'!$G$3)^(AB131-'Data-CostAssumptions'!$G$4),-3)</f>
        <v>397000</v>
      </c>
      <c r="AF131" s="19">
        <f>ROUND((Z131)*(1+'Data-CostAssumptions'!$G$3)^(AD131-'Data-CostAssumptions'!$G$4),-3)</f>
        <v>1802000</v>
      </c>
      <c r="AG131" s="170" t="str">
        <f t="shared" si="9"/>
        <v>No</v>
      </c>
    </row>
    <row r="132" spans="1:33" ht="15" customHeight="1" x14ac:dyDescent="0.2">
      <c r="B132" s="11" t="s">
        <v>1211</v>
      </c>
      <c r="C132" s="13">
        <v>234</v>
      </c>
      <c r="D132" s="13" t="s">
        <v>420</v>
      </c>
      <c r="E132" s="20">
        <v>108</v>
      </c>
      <c r="F132" s="20">
        <v>153</v>
      </c>
      <c r="G132" s="20">
        <v>448</v>
      </c>
      <c r="H132" s="13" t="s">
        <v>2755</v>
      </c>
      <c r="I132" s="13" t="str">
        <f t="shared" si="7"/>
        <v>SR 811/Dixie Hwy (NE 10th St to Copans Rd)</v>
      </c>
      <c r="J132" s="13" t="s">
        <v>27</v>
      </c>
      <c r="K132" s="13" t="str">
        <f>VLOOKUP(J132,'Data-ProjectTypes'!A$3:B$13,2,FALSE)</f>
        <v>Program</v>
      </c>
      <c r="L132" s="21" t="s">
        <v>348</v>
      </c>
      <c r="M132" s="13" t="s">
        <v>1882</v>
      </c>
      <c r="N132" s="13" t="s">
        <v>1836</v>
      </c>
      <c r="O132" s="13" t="s">
        <v>270</v>
      </c>
      <c r="P132" s="13" t="s">
        <v>270</v>
      </c>
      <c r="Q132" s="22">
        <v>1.4</v>
      </c>
      <c r="R132" s="23">
        <v>497998</v>
      </c>
      <c r="S132" s="21"/>
      <c r="T132" s="21"/>
      <c r="U132" s="21"/>
      <c r="V132" s="24"/>
      <c r="W132" s="24" t="s">
        <v>696</v>
      </c>
      <c r="X132" s="24"/>
      <c r="Y132" s="17" t="s">
        <v>287</v>
      </c>
      <c r="Z132" s="18">
        <f>ROUND(R132*'Data-CostAssumptions'!$C$3,-3)</f>
        <v>689000</v>
      </c>
      <c r="AA132" s="11">
        <f t="shared" si="8"/>
        <v>1</v>
      </c>
      <c r="AB132" s="11">
        <v>2041</v>
      </c>
      <c r="AC132" s="11">
        <v>2041</v>
      </c>
      <c r="AD132" s="11">
        <v>2041</v>
      </c>
      <c r="AE132" s="19">
        <f>ROUND((Z132*'Data-CostAssumptions'!$G$5)*(1+'Data-CostAssumptions'!$G$3)^(AB132-'Data-CostAssumptions'!$G$4),-3)</f>
        <v>389000</v>
      </c>
      <c r="AF132" s="19">
        <f>ROUND((Z132)*(1+'Data-CostAssumptions'!$G$3)^(AD132-'Data-CostAssumptions'!$G$4),-3)</f>
        <v>1767000</v>
      </c>
      <c r="AG132" s="170" t="str">
        <f t="shared" si="9"/>
        <v>No</v>
      </c>
    </row>
    <row r="133" spans="1:33" ht="15" customHeight="1" x14ac:dyDescent="0.2">
      <c r="B133" s="11" t="s">
        <v>1211</v>
      </c>
      <c r="C133" s="13">
        <v>287</v>
      </c>
      <c r="D133" s="13" t="s">
        <v>420</v>
      </c>
      <c r="E133" s="20">
        <v>43</v>
      </c>
      <c r="F133" s="20">
        <v>156</v>
      </c>
      <c r="G133" s="20">
        <v>500</v>
      </c>
      <c r="H133" s="13" t="s">
        <v>57</v>
      </c>
      <c r="I133" s="13" t="str">
        <f t="shared" si="7"/>
        <v>SR 7/US 441 (Stirling Rd to SW 45th St/Orange Dr)</v>
      </c>
      <c r="J133" s="13" t="s">
        <v>27</v>
      </c>
      <c r="K133" s="13" t="str">
        <f>VLOOKUP(J133,'Data-ProjectTypes'!A$3:B$13,2,FALSE)</f>
        <v>Program</v>
      </c>
      <c r="L133" s="21" t="s">
        <v>348</v>
      </c>
      <c r="M133" s="13" t="s">
        <v>177</v>
      </c>
      <c r="N133" s="13" t="s">
        <v>2678</v>
      </c>
      <c r="O133" s="13" t="s">
        <v>270</v>
      </c>
      <c r="P133" s="13" t="s">
        <v>270</v>
      </c>
      <c r="Q133" s="22">
        <v>1.4</v>
      </c>
      <c r="R133" s="23">
        <v>495574</v>
      </c>
      <c r="S133" s="21"/>
      <c r="T133" s="21"/>
      <c r="U133" s="21"/>
      <c r="V133" s="24"/>
      <c r="W133" s="24"/>
      <c r="X133" s="24"/>
      <c r="Y133" s="17"/>
      <c r="Z133" s="18">
        <f>ROUND(R133*'Data-CostAssumptions'!$C$3,-3)</f>
        <v>686000</v>
      </c>
      <c r="AA133" s="11">
        <f t="shared" si="8"/>
        <v>0</v>
      </c>
      <c r="AB133" s="11">
        <v>2041</v>
      </c>
      <c r="AC133" s="11">
        <v>2041</v>
      </c>
      <c r="AD133" s="11">
        <v>2041</v>
      </c>
      <c r="AE133" s="19">
        <f>ROUND((Z133*'Data-CostAssumptions'!$G$5)*(1+'Data-CostAssumptions'!$G$3)^(AB133-'Data-CostAssumptions'!$G$4),-3)</f>
        <v>387000</v>
      </c>
      <c r="AF133" s="19">
        <f>ROUND((Z133)*(1+'Data-CostAssumptions'!$G$3)^(AD133-'Data-CostAssumptions'!$G$4),-3)</f>
        <v>1759000</v>
      </c>
      <c r="AG133" s="170" t="str">
        <f t="shared" si="9"/>
        <v>No</v>
      </c>
    </row>
    <row r="134" spans="1:33" ht="15" customHeight="1" x14ac:dyDescent="0.2">
      <c r="A134" s="12"/>
      <c r="B134" s="11" t="s">
        <v>1211</v>
      </c>
      <c r="C134" s="12"/>
      <c r="D134" s="84" t="s">
        <v>276</v>
      </c>
      <c r="E134" s="104">
        <v>115</v>
      </c>
      <c r="F134" s="104"/>
      <c r="G134" s="20">
        <v>1563</v>
      </c>
      <c r="H134" s="13" t="s">
        <v>2154</v>
      </c>
      <c r="I134" s="13" t="str">
        <f t="shared" si="7"/>
        <v>NE 4TH Av  (SUNRISE Bl to NE 19TH ST)</v>
      </c>
      <c r="J134" s="12" t="s">
        <v>27</v>
      </c>
      <c r="K134" s="13" t="str">
        <f>VLOOKUP(J134,'Data-ProjectTypes'!A$3:B$13,2,FALSE)</f>
        <v>Program</v>
      </c>
      <c r="L134" s="12" t="s">
        <v>1306</v>
      </c>
      <c r="M134" s="105" t="s">
        <v>2002</v>
      </c>
      <c r="N134" s="12" t="s">
        <v>1439</v>
      </c>
      <c r="O134" s="12"/>
      <c r="P134" s="12"/>
      <c r="Q134" s="72">
        <v>1</v>
      </c>
      <c r="R134" s="23">
        <v>682400</v>
      </c>
      <c r="Y134" s="12"/>
      <c r="Z134" s="18">
        <f>ROUND(R134*'Data-CostAssumptions'!$C$8,-3)</f>
        <v>682000</v>
      </c>
      <c r="AA134" s="11">
        <f t="shared" si="8"/>
        <v>0</v>
      </c>
      <c r="AB134" s="11">
        <v>2041</v>
      </c>
      <c r="AC134" s="11">
        <v>2041</v>
      </c>
      <c r="AD134" s="11">
        <v>2041</v>
      </c>
      <c r="AE134" s="19">
        <f>ROUND((Z134*'Data-CostAssumptions'!$G$5)*(1+'Data-CostAssumptions'!$G$3)^(AB134-'Data-CostAssumptions'!$G$4),-3)</f>
        <v>385000</v>
      </c>
      <c r="AF134" s="19">
        <f>ROUND((Z134)*(1+'Data-CostAssumptions'!$G$3)^(AD134-'Data-CostAssumptions'!$G$4),-3)</f>
        <v>1749000</v>
      </c>
      <c r="AG134" s="170" t="str">
        <f t="shared" si="9"/>
        <v>No</v>
      </c>
    </row>
    <row r="135" spans="1:33" ht="15" customHeight="1" x14ac:dyDescent="0.2">
      <c r="B135" s="11" t="s">
        <v>1211</v>
      </c>
      <c r="C135" s="13">
        <v>314</v>
      </c>
      <c r="D135" s="13" t="s">
        <v>420</v>
      </c>
      <c r="E135" s="20">
        <v>253</v>
      </c>
      <c r="F135" s="20">
        <v>158</v>
      </c>
      <c r="G135" s="20">
        <v>525</v>
      </c>
      <c r="H135" s="13" t="s">
        <v>1765</v>
      </c>
      <c r="I135" s="13" t="str">
        <f t="shared" si="7"/>
        <v>Ravenswood Rd (Griffin Rd to I-95)</v>
      </c>
      <c r="J135" s="13" t="s">
        <v>27</v>
      </c>
      <c r="K135" s="13" t="str">
        <f>VLOOKUP(J135,'Data-ProjectTypes'!A$3:B$13,2,FALSE)</f>
        <v>Program</v>
      </c>
      <c r="L135" s="21" t="s">
        <v>348</v>
      </c>
      <c r="M135" s="13" t="s">
        <v>1750</v>
      </c>
      <c r="N135" s="13" t="s">
        <v>41</v>
      </c>
      <c r="O135" s="13" t="s">
        <v>273</v>
      </c>
      <c r="P135" s="13" t="s">
        <v>273</v>
      </c>
      <c r="Q135" s="22">
        <v>1.4</v>
      </c>
      <c r="R135" s="23">
        <v>489653</v>
      </c>
      <c r="S135" s="21" t="s">
        <v>24</v>
      </c>
      <c r="T135" s="21" t="s">
        <v>25</v>
      </c>
      <c r="U135" s="21"/>
      <c r="V135" s="24"/>
      <c r="W135" s="24"/>
      <c r="X135" s="24"/>
      <c r="Y135" s="17" t="s">
        <v>492</v>
      </c>
      <c r="Z135" s="18">
        <f>ROUND(R135*'Data-CostAssumptions'!$C$3,-3)</f>
        <v>678000</v>
      </c>
      <c r="AA135" s="11">
        <f t="shared" si="8"/>
        <v>0</v>
      </c>
      <c r="AB135" s="11">
        <v>2041</v>
      </c>
      <c r="AC135" s="11">
        <v>2041</v>
      </c>
      <c r="AD135" s="11">
        <v>2041</v>
      </c>
      <c r="AE135" s="19">
        <f>ROUND((Z135*'Data-CostAssumptions'!$G$5)*(1+'Data-CostAssumptions'!$G$3)^(AB135-'Data-CostAssumptions'!$G$4),-3)</f>
        <v>382000</v>
      </c>
      <c r="AF135" s="19">
        <f>ROUND((Z135)*(1+'Data-CostAssumptions'!$G$3)^(AD135-'Data-CostAssumptions'!$G$4),-3)</f>
        <v>1738000</v>
      </c>
      <c r="AG135" s="170" t="str">
        <f t="shared" si="9"/>
        <v>No</v>
      </c>
    </row>
    <row r="136" spans="1:33" ht="15" customHeight="1" x14ac:dyDescent="0.2">
      <c r="A136" s="12"/>
      <c r="B136" s="11" t="s">
        <v>1211</v>
      </c>
      <c r="C136" s="12"/>
      <c r="D136" s="84" t="s">
        <v>276</v>
      </c>
      <c r="E136" s="104">
        <v>97</v>
      </c>
      <c r="F136" s="104"/>
      <c r="G136" s="20">
        <v>1638</v>
      </c>
      <c r="H136" s="13" t="s">
        <v>2194</v>
      </c>
      <c r="I136" s="13" t="str">
        <f t="shared" ref="I136:I199" si="10">IF(M136="@",H136&amp;" ("&amp;M136&amp;"  "&amp;N136&amp;")",H136&amp;" ("&amp;M136&amp;" to "&amp;N136&amp;")")</f>
        <v>SW 4TH Av (PERIMETER RD/SW 34TH ST to SR 84/SW 24TH ST)</v>
      </c>
      <c r="J136" s="12" t="s">
        <v>27</v>
      </c>
      <c r="K136" s="13" t="str">
        <f>VLOOKUP(J136,'Data-ProjectTypes'!A$3:B$13,2,FALSE)</f>
        <v>Program</v>
      </c>
      <c r="L136" s="12" t="s">
        <v>1397</v>
      </c>
      <c r="M136" s="105" t="s">
        <v>1456</v>
      </c>
      <c r="N136" s="12" t="s">
        <v>1419</v>
      </c>
      <c r="O136" s="12"/>
      <c r="P136" s="12"/>
      <c r="Q136" s="72">
        <v>0.8</v>
      </c>
      <c r="R136" s="23">
        <v>657000</v>
      </c>
      <c r="Y136" s="12"/>
      <c r="Z136" s="18">
        <f>ROUND(R136*'Data-CostAssumptions'!$C$8,-3)</f>
        <v>657000</v>
      </c>
      <c r="AA136" s="11">
        <f t="shared" si="8"/>
        <v>0</v>
      </c>
      <c r="AB136" s="11">
        <v>2041</v>
      </c>
      <c r="AC136" s="11">
        <v>2041</v>
      </c>
      <c r="AD136" s="11">
        <v>2041</v>
      </c>
      <c r="AE136" s="19">
        <f>ROUND((Z136*'Data-CostAssumptions'!$G$5)*(1+'Data-CostAssumptions'!$G$3)^(AB136-'Data-CostAssumptions'!$G$4),-3)</f>
        <v>371000</v>
      </c>
      <c r="AF136" s="19">
        <f>ROUND((Z136)*(1+'Data-CostAssumptions'!$G$3)^(AD136-'Data-CostAssumptions'!$G$4),-3)</f>
        <v>1685000</v>
      </c>
      <c r="AG136" s="170" t="str">
        <f t="shared" si="9"/>
        <v>No</v>
      </c>
    </row>
    <row r="137" spans="1:33" ht="15" customHeight="1" x14ac:dyDescent="0.2">
      <c r="B137" s="11" t="s">
        <v>1211</v>
      </c>
      <c r="C137" s="13">
        <v>531</v>
      </c>
      <c r="D137" s="13" t="s">
        <v>420</v>
      </c>
      <c r="E137" s="20">
        <v>333</v>
      </c>
      <c r="F137" s="20">
        <v>171</v>
      </c>
      <c r="G137" s="20">
        <v>735</v>
      </c>
      <c r="H137" s="13" t="s">
        <v>1960</v>
      </c>
      <c r="I137" s="13" t="str">
        <f t="shared" si="10"/>
        <v>SW 26th St/Hiatus Rd (Hiatus Rd to Flamingo Rd)</v>
      </c>
      <c r="J137" s="13" t="s">
        <v>27</v>
      </c>
      <c r="K137" s="13" t="str">
        <f>VLOOKUP(J137,'Data-ProjectTypes'!A$3:B$13,2,FALSE)</f>
        <v>Program</v>
      </c>
      <c r="L137" s="21" t="s">
        <v>348</v>
      </c>
      <c r="M137" s="13" t="s">
        <v>1752</v>
      </c>
      <c r="N137" s="13" t="s">
        <v>159</v>
      </c>
      <c r="O137" s="13" t="s">
        <v>279</v>
      </c>
      <c r="P137" s="13" t="s">
        <v>279</v>
      </c>
      <c r="Q137" s="22">
        <v>1.8</v>
      </c>
      <c r="R137" s="23">
        <v>644819</v>
      </c>
      <c r="Y137" s="17"/>
      <c r="Z137" s="18">
        <f>ROUND(R137*'Data-CostAssumptions'!$C$8,-3)</f>
        <v>645000</v>
      </c>
      <c r="AA137" s="11">
        <f t="shared" si="8"/>
        <v>0</v>
      </c>
      <c r="AB137" s="11">
        <v>2041</v>
      </c>
      <c r="AC137" s="11">
        <v>2041</v>
      </c>
      <c r="AD137" s="11">
        <v>2041</v>
      </c>
      <c r="AE137" s="19">
        <f>ROUND((Z137*'Data-CostAssumptions'!$G$5)*(1+'Data-CostAssumptions'!$G$3)^(AB137-'Data-CostAssumptions'!$G$4),-3)</f>
        <v>364000</v>
      </c>
      <c r="AF137" s="19">
        <f>ROUND((Z137)*(1+'Data-CostAssumptions'!$G$3)^(AD137-'Data-CostAssumptions'!$G$4),-3)</f>
        <v>1654000</v>
      </c>
      <c r="AG137" s="170" t="str">
        <f t="shared" si="9"/>
        <v>No</v>
      </c>
    </row>
    <row r="138" spans="1:33" ht="15" customHeight="1" x14ac:dyDescent="0.2">
      <c r="B138" s="11" t="s">
        <v>1211</v>
      </c>
      <c r="C138" s="13">
        <v>421</v>
      </c>
      <c r="D138" s="13" t="s">
        <v>420</v>
      </c>
      <c r="E138" s="20">
        <v>99</v>
      </c>
      <c r="F138" s="20">
        <v>164</v>
      </c>
      <c r="G138" s="20">
        <v>630</v>
      </c>
      <c r="H138" s="13" t="s">
        <v>2031</v>
      </c>
      <c r="I138" s="13" t="str">
        <f t="shared" si="10"/>
        <v>NE 26th Av/NE 23rd Av (NE 12th St to NE 24th St)</v>
      </c>
      <c r="J138" s="13" t="s">
        <v>27</v>
      </c>
      <c r="K138" s="13" t="str">
        <f>VLOOKUP(J138,'Data-ProjectTypes'!A$3:B$13,2,FALSE)</f>
        <v>Program</v>
      </c>
      <c r="L138" s="21" t="s">
        <v>348</v>
      </c>
      <c r="M138" s="13" t="s">
        <v>1883</v>
      </c>
      <c r="N138" s="13" t="s">
        <v>2511</v>
      </c>
      <c r="O138" s="13" t="s">
        <v>275</v>
      </c>
      <c r="P138" s="13" t="s">
        <v>275</v>
      </c>
      <c r="Q138" s="22">
        <v>1.3</v>
      </c>
      <c r="R138" s="23">
        <v>463104</v>
      </c>
      <c r="S138" s="21" t="s">
        <v>24</v>
      </c>
      <c r="T138" s="21" t="s">
        <v>684</v>
      </c>
      <c r="U138" s="21" t="s">
        <v>684</v>
      </c>
      <c r="V138" s="24"/>
      <c r="W138" s="24"/>
      <c r="X138" s="24"/>
      <c r="Y138" s="17" t="s">
        <v>685</v>
      </c>
      <c r="Z138" s="18">
        <f>ROUND(R138*'Data-CostAssumptions'!$C$3,-3)</f>
        <v>641000</v>
      </c>
      <c r="AA138" s="11">
        <f t="shared" si="8"/>
        <v>0</v>
      </c>
      <c r="AB138" s="11">
        <v>2041</v>
      </c>
      <c r="AC138" s="11">
        <v>2041</v>
      </c>
      <c r="AD138" s="11">
        <v>2041</v>
      </c>
      <c r="AE138" s="19">
        <f>ROUND((Z138*'Data-CostAssumptions'!$G$5)*(1+'Data-CostAssumptions'!$G$3)^(AB138-'Data-CostAssumptions'!$G$4),-3)</f>
        <v>362000</v>
      </c>
      <c r="AF138" s="19">
        <f>ROUND((Z138)*(1+'Data-CostAssumptions'!$G$3)^(AD138-'Data-CostAssumptions'!$G$4),-3)</f>
        <v>1643000</v>
      </c>
      <c r="AG138" s="170" t="str">
        <f t="shared" si="9"/>
        <v>No</v>
      </c>
    </row>
    <row r="139" spans="1:33" ht="15" customHeight="1" x14ac:dyDescent="0.2">
      <c r="B139" s="11" t="s">
        <v>1211</v>
      </c>
      <c r="D139" s="84" t="s">
        <v>276</v>
      </c>
      <c r="E139" s="14">
        <v>9</v>
      </c>
      <c r="F139" s="14"/>
      <c r="G139" s="20">
        <v>1626</v>
      </c>
      <c r="H139" s="13" t="s">
        <v>2798</v>
      </c>
      <c r="I139" s="13" t="str">
        <f t="shared" si="10"/>
        <v>SR 842/Broward Bl (SR 5/US 1 to NW 7TH Av)</v>
      </c>
      <c r="J139" s="11" t="s">
        <v>27</v>
      </c>
      <c r="K139" s="13" t="str">
        <f>VLOOKUP(J139,'Data-ProjectTypes'!A$3:B$13,2,FALSE)</f>
        <v>Program</v>
      </c>
      <c r="L139" s="11" t="s">
        <v>1263</v>
      </c>
      <c r="M139" s="106" t="s">
        <v>1424</v>
      </c>
      <c r="N139" s="84" t="s">
        <v>2601</v>
      </c>
      <c r="Q139" s="107">
        <v>0.8</v>
      </c>
      <c r="R139" s="23">
        <v>638550</v>
      </c>
      <c r="Y139" s="12"/>
      <c r="Z139" s="18">
        <f>ROUND(R139*'Data-CostAssumptions'!$C$4,-3)</f>
        <v>639000</v>
      </c>
      <c r="AA139" s="11">
        <f t="shared" si="8"/>
        <v>0</v>
      </c>
      <c r="AB139" s="11">
        <v>2041</v>
      </c>
      <c r="AC139" s="11">
        <v>2041</v>
      </c>
      <c r="AD139" s="11">
        <v>2041</v>
      </c>
      <c r="AE139" s="19">
        <f>ROUND((Z139*'Data-CostAssumptions'!$G$5)*(1+'Data-CostAssumptions'!$G$3)^(AB139-'Data-CostAssumptions'!$G$4),-3)</f>
        <v>360000</v>
      </c>
      <c r="AF139" s="19">
        <f>ROUND((Z139)*(1+'Data-CostAssumptions'!$G$3)^(AD139-'Data-CostAssumptions'!$G$4),-3)</f>
        <v>1638000</v>
      </c>
      <c r="AG139" s="170" t="str">
        <f t="shared" si="9"/>
        <v>No</v>
      </c>
    </row>
    <row r="140" spans="1:33" ht="15" customHeight="1" x14ac:dyDescent="0.2">
      <c r="B140" s="11" t="s">
        <v>1211</v>
      </c>
      <c r="C140" s="13">
        <v>417</v>
      </c>
      <c r="D140" s="13" t="s">
        <v>420</v>
      </c>
      <c r="E140" s="20">
        <v>70</v>
      </c>
      <c r="F140" s="20">
        <v>164</v>
      </c>
      <c r="G140" s="20">
        <v>626</v>
      </c>
      <c r="H140" s="13" t="s">
        <v>1789</v>
      </c>
      <c r="I140" s="13" t="str">
        <f t="shared" si="10"/>
        <v>Eller Dr (Just north of access Rd to NE 7th Av)</v>
      </c>
      <c r="J140" s="13" t="s">
        <v>27</v>
      </c>
      <c r="K140" s="13" t="str">
        <f>VLOOKUP(J140,'Data-ProjectTypes'!A$3:B$13,2,FALSE)</f>
        <v>Program</v>
      </c>
      <c r="L140" s="21" t="s">
        <v>348</v>
      </c>
      <c r="M140" s="13" t="s">
        <v>2408</v>
      </c>
      <c r="N140" s="13" t="s">
        <v>2037</v>
      </c>
      <c r="O140" s="13" t="s">
        <v>272</v>
      </c>
      <c r="P140" s="13" t="s">
        <v>272</v>
      </c>
      <c r="Q140" s="22">
        <v>1.3</v>
      </c>
      <c r="R140" s="23">
        <v>460478</v>
      </c>
      <c r="S140" s="21"/>
      <c r="T140" s="21"/>
      <c r="U140" s="21"/>
      <c r="V140" s="24"/>
      <c r="W140" s="24"/>
      <c r="X140" s="24"/>
      <c r="Y140" s="17"/>
      <c r="Z140" s="18">
        <f>ROUND(R140*'Data-CostAssumptions'!$C$3,-3)</f>
        <v>637000</v>
      </c>
      <c r="AA140" s="11">
        <f t="shared" si="8"/>
        <v>0</v>
      </c>
      <c r="AB140" s="11">
        <v>2041</v>
      </c>
      <c r="AC140" s="11">
        <v>2041</v>
      </c>
      <c r="AD140" s="11">
        <v>2041</v>
      </c>
      <c r="AE140" s="19">
        <f>ROUND((Z140*'Data-CostAssumptions'!$G$5)*(1+'Data-CostAssumptions'!$G$3)^(AB140-'Data-CostAssumptions'!$G$4),-3)</f>
        <v>359000</v>
      </c>
      <c r="AF140" s="19">
        <f>ROUND((Z140)*(1+'Data-CostAssumptions'!$G$3)^(AD140-'Data-CostAssumptions'!$G$4),-3)</f>
        <v>1633000</v>
      </c>
      <c r="AG140" s="170" t="str">
        <f t="shared" si="9"/>
        <v>No</v>
      </c>
    </row>
    <row r="141" spans="1:33" ht="15" customHeight="1" x14ac:dyDescent="0.2">
      <c r="B141" s="11" t="s">
        <v>1211</v>
      </c>
      <c r="C141" s="13">
        <v>436</v>
      </c>
      <c r="D141" s="13" t="s">
        <v>420</v>
      </c>
      <c r="E141" s="20">
        <v>172</v>
      </c>
      <c r="F141" s="20">
        <v>165</v>
      </c>
      <c r="G141" s="20">
        <v>646</v>
      </c>
      <c r="H141" s="13" t="s">
        <v>1753</v>
      </c>
      <c r="I141" s="13" t="str">
        <f t="shared" si="10"/>
        <v>Locahatchee Rd (State Rd 7/US 441 to West end of Loxahatchee Rd)</v>
      </c>
      <c r="J141" s="13" t="s">
        <v>27</v>
      </c>
      <c r="K141" s="13" t="str">
        <f>VLOOKUP(J141,'Data-ProjectTypes'!A$3:B$13,2,FALSE)</f>
        <v>Program</v>
      </c>
      <c r="L141" s="21" t="s">
        <v>348</v>
      </c>
      <c r="M141" s="13" t="s">
        <v>1773</v>
      </c>
      <c r="N141" s="13" t="s">
        <v>2427</v>
      </c>
      <c r="O141" s="13" t="s">
        <v>272</v>
      </c>
      <c r="P141" s="13" t="s">
        <v>272</v>
      </c>
      <c r="Q141" s="22">
        <v>1.8</v>
      </c>
      <c r="R141" s="23">
        <v>636251</v>
      </c>
      <c r="S141" s="21"/>
      <c r="T141" s="21"/>
      <c r="U141" s="21"/>
      <c r="V141" s="24"/>
      <c r="W141" s="24"/>
      <c r="X141" s="24"/>
      <c r="Y141" s="17"/>
      <c r="Z141" s="18">
        <f>ROUND(R141*'Data-CostAssumptions'!$C$8,-3)</f>
        <v>636000</v>
      </c>
      <c r="AA141" s="11">
        <f t="shared" si="8"/>
        <v>0</v>
      </c>
      <c r="AB141" s="11">
        <v>2041</v>
      </c>
      <c r="AC141" s="11">
        <v>2041</v>
      </c>
      <c r="AD141" s="11">
        <v>2041</v>
      </c>
      <c r="AE141" s="19">
        <f>ROUND((Z141*'Data-CostAssumptions'!$G$5)*(1+'Data-CostAssumptions'!$G$3)^(AB141-'Data-CostAssumptions'!$G$4),-3)</f>
        <v>359000</v>
      </c>
      <c r="AF141" s="19">
        <f>ROUND((Z141)*(1+'Data-CostAssumptions'!$G$3)^(AD141-'Data-CostAssumptions'!$G$4),-3)</f>
        <v>1631000</v>
      </c>
      <c r="AG141" s="170" t="str">
        <f t="shared" si="9"/>
        <v>No</v>
      </c>
    </row>
    <row r="142" spans="1:33" ht="15" customHeight="1" x14ac:dyDescent="0.2">
      <c r="B142" s="11" t="s">
        <v>1211</v>
      </c>
      <c r="C142" s="13">
        <v>298</v>
      </c>
      <c r="D142" s="13" t="s">
        <v>420</v>
      </c>
      <c r="E142" s="20">
        <v>162</v>
      </c>
      <c r="F142" s="20">
        <v>157</v>
      </c>
      <c r="G142" s="20">
        <v>510</v>
      </c>
      <c r="H142" s="13" t="s">
        <v>2001</v>
      </c>
      <c r="I142" s="13" t="str">
        <f t="shared" si="10"/>
        <v>Shadow Wood Bl (NW 82nd Av to University Dr)</v>
      </c>
      <c r="J142" s="13" t="s">
        <v>27</v>
      </c>
      <c r="K142" s="13" t="str">
        <f>VLOOKUP(J142,'Data-ProjectTypes'!A$3:B$13,2,FALSE)</f>
        <v>Program</v>
      </c>
      <c r="L142" s="21" t="s">
        <v>348</v>
      </c>
      <c r="M142" s="13" t="s">
        <v>2379</v>
      </c>
      <c r="N142" s="13" t="s">
        <v>1804</v>
      </c>
      <c r="O142" s="13" t="s">
        <v>292</v>
      </c>
      <c r="P142" s="13" t="s">
        <v>292</v>
      </c>
      <c r="Q142" s="22">
        <v>1.3</v>
      </c>
      <c r="R142" s="23">
        <v>455011</v>
      </c>
      <c r="S142" s="21"/>
      <c r="T142" s="21"/>
      <c r="U142" s="21"/>
      <c r="V142" s="24"/>
      <c r="W142" s="24"/>
      <c r="X142" s="24"/>
      <c r="Y142" s="17"/>
      <c r="Z142" s="18">
        <f>ROUND(R142*'Data-CostAssumptions'!$C$3,-3)</f>
        <v>630000</v>
      </c>
      <c r="AA142" s="11">
        <f t="shared" si="8"/>
        <v>0</v>
      </c>
      <c r="AB142" s="11">
        <v>2041</v>
      </c>
      <c r="AC142" s="11">
        <v>2041</v>
      </c>
      <c r="AD142" s="11">
        <v>2041</v>
      </c>
      <c r="AE142" s="19">
        <f>ROUND((Z142*'Data-CostAssumptions'!$G$5)*(1+'Data-CostAssumptions'!$G$3)^(AB142-'Data-CostAssumptions'!$G$4),-3)</f>
        <v>355000</v>
      </c>
      <c r="AF142" s="19">
        <f>ROUND((Z142)*(1+'Data-CostAssumptions'!$G$3)^(AD142-'Data-CostAssumptions'!$G$4),-3)</f>
        <v>1615000</v>
      </c>
      <c r="AG142" s="170" t="str">
        <f t="shared" si="9"/>
        <v>No</v>
      </c>
    </row>
    <row r="143" spans="1:33" ht="15" customHeight="1" x14ac:dyDescent="0.2">
      <c r="B143" s="11" t="s">
        <v>1211</v>
      </c>
      <c r="C143" s="13">
        <v>408</v>
      </c>
      <c r="D143" s="13" t="s">
        <v>420</v>
      </c>
      <c r="E143" s="20">
        <v>41</v>
      </c>
      <c r="F143" s="20">
        <v>164</v>
      </c>
      <c r="G143" s="20">
        <v>616</v>
      </c>
      <c r="H143" s="13" t="s">
        <v>2838</v>
      </c>
      <c r="I143" s="13" t="str">
        <f t="shared" si="10"/>
        <v>Davie Rd Ext. (Stirling Rd to University Dr)</v>
      </c>
      <c r="J143" s="13" t="s">
        <v>27</v>
      </c>
      <c r="K143" s="13" t="str">
        <f>VLOOKUP(J143,'Data-ProjectTypes'!A$3:B$13,2,FALSE)</f>
        <v>Program</v>
      </c>
      <c r="L143" s="21" t="s">
        <v>348</v>
      </c>
      <c r="M143" s="13" t="s">
        <v>177</v>
      </c>
      <c r="N143" s="13" t="s">
        <v>1804</v>
      </c>
      <c r="O143" s="13" t="s">
        <v>273</v>
      </c>
      <c r="P143" s="13" t="s">
        <v>273</v>
      </c>
      <c r="Q143" s="22">
        <v>1.3</v>
      </c>
      <c r="R143" s="23">
        <v>452201</v>
      </c>
      <c r="Y143" s="17"/>
      <c r="Z143" s="18">
        <f>ROUND(R143*'Data-CostAssumptions'!$C$3,-3)</f>
        <v>626000</v>
      </c>
      <c r="AA143" s="11">
        <f t="shared" si="8"/>
        <v>0</v>
      </c>
      <c r="AB143" s="11">
        <v>2041</v>
      </c>
      <c r="AC143" s="11">
        <v>2041</v>
      </c>
      <c r="AD143" s="11">
        <v>2041</v>
      </c>
      <c r="AE143" s="19">
        <f>ROUND((Z143*'Data-CostAssumptions'!$G$5)*(1+'Data-CostAssumptions'!$G$3)^(AB143-'Data-CostAssumptions'!$G$4),-3)</f>
        <v>353000</v>
      </c>
      <c r="AF143" s="19">
        <f>ROUND((Z143)*(1+'Data-CostAssumptions'!$G$3)^(AD143-'Data-CostAssumptions'!$G$4),-3)</f>
        <v>1605000</v>
      </c>
      <c r="AG143" s="170" t="str">
        <f t="shared" si="9"/>
        <v>No</v>
      </c>
    </row>
    <row r="144" spans="1:33" ht="15" customHeight="1" x14ac:dyDescent="0.2">
      <c r="B144" s="11" t="s">
        <v>1211</v>
      </c>
      <c r="C144" s="13">
        <v>362</v>
      </c>
      <c r="D144" s="13" t="s">
        <v>420</v>
      </c>
      <c r="E144" s="20">
        <v>115</v>
      </c>
      <c r="F144" s="20">
        <v>161</v>
      </c>
      <c r="G144" s="20">
        <v>573</v>
      </c>
      <c r="H144" s="13" t="s">
        <v>2734</v>
      </c>
      <c r="I144" s="13" t="str">
        <f t="shared" si="10"/>
        <v>SR 814/Atlantic Bl (I-95 to Powerline Rd)</v>
      </c>
      <c r="J144" s="13" t="s">
        <v>27</v>
      </c>
      <c r="K144" s="13" t="str">
        <f>VLOOKUP(J144,'Data-ProjectTypes'!A$3:B$13,2,FALSE)</f>
        <v>Program</v>
      </c>
      <c r="L144" s="21" t="s">
        <v>348</v>
      </c>
      <c r="M144" s="13" t="s">
        <v>41</v>
      </c>
      <c r="N144" s="13" t="s">
        <v>1858</v>
      </c>
      <c r="O144" s="13" t="s">
        <v>270</v>
      </c>
      <c r="P144" s="13" t="s">
        <v>270</v>
      </c>
      <c r="Q144" s="22">
        <v>1.3</v>
      </c>
      <c r="R144" s="23">
        <v>451321</v>
      </c>
      <c r="S144" s="21" t="s">
        <v>24</v>
      </c>
      <c r="T144" s="21" t="s">
        <v>684</v>
      </c>
      <c r="U144" s="21" t="s">
        <v>684</v>
      </c>
      <c r="V144" s="24"/>
      <c r="W144" s="24" t="s">
        <v>3242</v>
      </c>
      <c r="X144" s="24" t="s">
        <v>3243</v>
      </c>
      <c r="Y144" s="17" t="s">
        <v>794</v>
      </c>
      <c r="Z144" s="18">
        <f>ROUND(R144*'Data-CostAssumptions'!$C$3,-3)</f>
        <v>625000</v>
      </c>
      <c r="AA144" s="11">
        <f t="shared" si="8"/>
        <v>1</v>
      </c>
      <c r="AB144" s="11">
        <v>2041</v>
      </c>
      <c r="AC144" s="11">
        <v>2041</v>
      </c>
      <c r="AD144" s="11">
        <v>2041</v>
      </c>
      <c r="AE144" s="19">
        <f>ROUND((Z144*'Data-CostAssumptions'!$G$5)*(1+'Data-CostAssumptions'!$G$3)^(AB144-'Data-CostAssumptions'!$G$4),-3)</f>
        <v>353000</v>
      </c>
      <c r="AF144" s="19">
        <f>ROUND((Z144)*(1+'Data-CostAssumptions'!$G$3)^(AD144-'Data-CostAssumptions'!$G$4),-3)</f>
        <v>1602000</v>
      </c>
      <c r="AG144" s="170" t="str">
        <f t="shared" si="9"/>
        <v>No</v>
      </c>
    </row>
    <row r="145" spans="1:33" ht="15" customHeight="1" x14ac:dyDescent="0.2">
      <c r="B145" s="11" t="s">
        <v>1211</v>
      </c>
      <c r="C145" s="13">
        <v>383</v>
      </c>
      <c r="D145" s="13" t="s">
        <v>420</v>
      </c>
      <c r="E145" s="20">
        <v>268</v>
      </c>
      <c r="F145" s="20">
        <v>162</v>
      </c>
      <c r="G145" s="20">
        <v>594</v>
      </c>
      <c r="H145" s="13" t="s">
        <v>1963</v>
      </c>
      <c r="I145" s="13" t="str">
        <f t="shared" si="10"/>
        <v>SW 45th St (Pine Island Rd to Nob Hill Rd)</v>
      </c>
      <c r="J145" s="13" t="s">
        <v>27</v>
      </c>
      <c r="K145" s="13" t="str">
        <f>VLOOKUP(J145,'Data-ProjectTypes'!A$3:B$13,2,FALSE)</f>
        <v>Program</v>
      </c>
      <c r="L145" s="21" t="s">
        <v>348</v>
      </c>
      <c r="M145" s="13" t="s">
        <v>266</v>
      </c>
      <c r="N145" s="13" t="s">
        <v>1755</v>
      </c>
      <c r="O145" s="13" t="s">
        <v>279</v>
      </c>
      <c r="P145" s="13" t="s">
        <v>279</v>
      </c>
      <c r="Q145" s="22">
        <v>1.2</v>
      </c>
      <c r="R145" s="23">
        <v>446956</v>
      </c>
      <c r="S145" s="21"/>
      <c r="T145" s="21"/>
      <c r="U145" s="21"/>
      <c r="V145" s="24"/>
      <c r="W145" s="24"/>
      <c r="X145" s="24"/>
      <c r="Y145" s="17"/>
      <c r="Z145" s="71">
        <f>ROUND(R145*'Data-CostAssumptions'!$C$3,-3)</f>
        <v>619000</v>
      </c>
      <c r="AA145" s="11">
        <f t="shared" si="8"/>
        <v>0</v>
      </c>
      <c r="AB145" s="11">
        <v>2041</v>
      </c>
      <c r="AC145" s="11">
        <v>2041</v>
      </c>
      <c r="AD145" s="11">
        <v>2041</v>
      </c>
      <c r="AE145" s="19">
        <f>ROUND((Z145*'Data-CostAssumptions'!$G$5)*(1+'Data-CostAssumptions'!$G$3)^(AB145-'Data-CostAssumptions'!$G$4),-3)</f>
        <v>349000</v>
      </c>
      <c r="AF145" s="19">
        <f>ROUND((Z145)*(1+'Data-CostAssumptions'!$G$3)^(AD145-'Data-CostAssumptions'!$G$4),-3)</f>
        <v>1587000</v>
      </c>
      <c r="AG145" s="170" t="str">
        <f t="shared" si="9"/>
        <v>No</v>
      </c>
    </row>
    <row r="146" spans="1:33" ht="15" customHeight="1" x14ac:dyDescent="0.2">
      <c r="B146" s="11" t="s">
        <v>1211</v>
      </c>
      <c r="C146" s="13">
        <v>250</v>
      </c>
      <c r="D146" s="13" t="s">
        <v>420</v>
      </c>
      <c r="E146" s="20">
        <v>271</v>
      </c>
      <c r="F146" s="20">
        <v>154</v>
      </c>
      <c r="G146" s="20">
        <v>462</v>
      </c>
      <c r="H146" s="13" t="s">
        <v>2784</v>
      </c>
      <c r="I146" s="13" t="str">
        <f t="shared" si="10"/>
        <v>SR 818/Griffin Rd (Davie Rd to University Dr)</v>
      </c>
      <c r="J146" s="13" t="s">
        <v>27</v>
      </c>
      <c r="K146" s="13" t="str">
        <f>VLOOKUP(J146,'Data-ProjectTypes'!A$3:B$13,2,FALSE)</f>
        <v>Program</v>
      </c>
      <c r="L146" s="21" t="s">
        <v>348</v>
      </c>
      <c r="M146" s="13" t="s">
        <v>1845</v>
      </c>
      <c r="N146" s="13" t="s">
        <v>1804</v>
      </c>
      <c r="O146" s="13" t="s">
        <v>270</v>
      </c>
      <c r="P146" s="13" t="s">
        <v>270</v>
      </c>
      <c r="Q146" s="22">
        <v>1.2</v>
      </c>
      <c r="R146" s="23">
        <v>444348</v>
      </c>
      <c r="S146" s="21" t="s">
        <v>24</v>
      </c>
      <c r="T146" s="21" t="s">
        <v>24</v>
      </c>
      <c r="U146" s="21" t="s">
        <v>24</v>
      </c>
      <c r="V146" s="24"/>
      <c r="W146" s="24"/>
      <c r="X146" s="24"/>
      <c r="Y146" s="17" t="s">
        <v>1115</v>
      </c>
      <c r="Z146" s="18">
        <f>ROUND(R146*'Data-CostAssumptions'!$C$3,-3)</f>
        <v>615000</v>
      </c>
      <c r="AA146" s="11">
        <f t="shared" si="8"/>
        <v>0</v>
      </c>
      <c r="AB146" s="11">
        <v>2041</v>
      </c>
      <c r="AC146" s="11">
        <v>2041</v>
      </c>
      <c r="AD146" s="11">
        <v>2041</v>
      </c>
      <c r="AE146" s="19">
        <f>ROUND((Z146*'Data-CostAssumptions'!$G$5)*(1+'Data-CostAssumptions'!$G$3)^(AB146-'Data-CostAssumptions'!$G$4),-3)</f>
        <v>347000</v>
      </c>
      <c r="AF146" s="19">
        <f>ROUND((Z146)*(1+'Data-CostAssumptions'!$G$3)^(AD146-'Data-CostAssumptions'!$G$4),-3)</f>
        <v>1577000</v>
      </c>
      <c r="AG146" s="170" t="str">
        <f t="shared" si="9"/>
        <v>No</v>
      </c>
    </row>
    <row r="147" spans="1:33" ht="15" customHeight="1" x14ac:dyDescent="0.2">
      <c r="B147" s="11" t="s">
        <v>1211</v>
      </c>
      <c r="C147" s="13">
        <v>490</v>
      </c>
      <c r="D147" s="13" t="s">
        <v>420</v>
      </c>
      <c r="E147" s="20">
        <v>10</v>
      </c>
      <c r="F147" s="20">
        <v>168</v>
      </c>
      <c r="G147" s="20">
        <v>695</v>
      </c>
      <c r="H147" s="13" t="s">
        <v>1951</v>
      </c>
      <c r="I147" s="13" t="str">
        <f t="shared" si="10"/>
        <v>Sheridan St (SW 172nd Av to Just west of 193rd Av)</v>
      </c>
      <c r="J147" s="13" t="s">
        <v>27</v>
      </c>
      <c r="K147" s="13" t="str">
        <f>VLOOKUP(J147,'Data-ProjectTypes'!A$3:B$13,2,FALSE)</f>
        <v>Program</v>
      </c>
      <c r="L147" s="21" t="s">
        <v>348</v>
      </c>
      <c r="M147" s="13" t="s">
        <v>2110</v>
      </c>
      <c r="N147" s="13" t="s">
        <v>2262</v>
      </c>
      <c r="O147" s="13" t="s">
        <v>272</v>
      </c>
      <c r="P147" s="13" t="s">
        <v>272</v>
      </c>
      <c r="Q147" s="22">
        <v>1.7</v>
      </c>
      <c r="R147" s="23">
        <v>609017</v>
      </c>
      <c r="S147" s="21"/>
      <c r="T147" s="21"/>
      <c r="U147" s="21"/>
      <c r="V147" s="24"/>
      <c r="W147" s="24"/>
      <c r="X147" s="24"/>
      <c r="Y147" s="17"/>
      <c r="Z147" s="18">
        <f>ROUND(R147*'Data-CostAssumptions'!$C$8,-3)</f>
        <v>609000</v>
      </c>
      <c r="AA147" s="11">
        <f t="shared" si="8"/>
        <v>0</v>
      </c>
      <c r="AB147" s="11">
        <v>2041</v>
      </c>
      <c r="AC147" s="11">
        <v>2041</v>
      </c>
      <c r="AD147" s="11">
        <v>2041</v>
      </c>
      <c r="AE147" s="19">
        <f>ROUND((Z147*'Data-CostAssumptions'!$G$5)*(1+'Data-CostAssumptions'!$G$3)^(AB147-'Data-CostAssumptions'!$G$4),-3)</f>
        <v>344000</v>
      </c>
      <c r="AF147" s="19">
        <f>ROUND((Z147)*(1+'Data-CostAssumptions'!$G$3)^(AD147-'Data-CostAssumptions'!$G$4),-3)</f>
        <v>1561000</v>
      </c>
      <c r="AG147" s="170" t="str">
        <f t="shared" si="9"/>
        <v>No</v>
      </c>
    </row>
    <row r="148" spans="1:33" ht="15" customHeight="1" x14ac:dyDescent="0.2">
      <c r="B148" s="11" t="s">
        <v>1211</v>
      </c>
      <c r="C148" s="13">
        <v>310</v>
      </c>
      <c r="D148" s="13" t="s">
        <v>420</v>
      </c>
      <c r="E148" s="20">
        <v>234</v>
      </c>
      <c r="F148" s="20">
        <v>158</v>
      </c>
      <c r="G148" s="20">
        <v>521</v>
      </c>
      <c r="H148" s="13" t="s">
        <v>2735</v>
      </c>
      <c r="I148" s="13" t="str">
        <f t="shared" si="10"/>
        <v>SR 842/West Broward Bl (Holly Lane to University Dr)</v>
      </c>
      <c r="J148" s="13" t="s">
        <v>27</v>
      </c>
      <c r="K148" s="13" t="str">
        <f>VLOOKUP(J148,'Data-ProjectTypes'!A$3:B$13,2,FALSE)</f>
        <v>Program</v>
      </c>
      <c r="L148" s="21" t="s">
        <v>348</v>
      </c>
      <c r="M148" s="13" t="s">
        <v>125</v>
      </c>
      <c r="N148" s="13" t="s">
        <v>1804</v>
      </c>
      <c r="O148" s="13" t="s">
        <v>270</v>
      </c>
      <c r="P148" s="13" t="s">
        <v>270</v>
      </c>
      <c r="Q148" s="22">
        <v>1.2</v>
      </c>
      <c r="R148" s="23">
        <v>438312</v>
      </c>
      <c r="S148" s="21"/>
      <c r="T148" s="21"/>
      <c r="U148" s="21"/>
      <c r="V148" s="24"/>
      <c r="W148" s="24"/>
      <c r="X148" s="24"/>
      <c r="Y148" s="17"/>
      <c r="Z148" s="18">
        <f>ROUND(R148*'Data-CostAssumptions'!$C$3,-3)</f>
        <v>607000</v>
      </c>
      <c r="AA148" s="11">
        <f t="shared" si="8"/>
        <v>0</v>
      </c>
      <c r="AB148" s="11">
        <v>2041</v>
      </c>
      <c r="AC148" s="11">
        <v>2041</v>
      </c>
      <c r="AD148" s="11">
        <v>2041</v>
      </c>
      <c r="AE148" s="19">
        <f>ROUND((Z148*'Data-CostAssumptions'!$G$5)*(1+'Data-CostAssumptions'!$G$3)^(AB148-'Data-CostAssumptions'!$G$4),-3)</f>
        <v>342000</v>
      </c>
      <c r="AF148" s="19">
        <f>ROUND((Z148)*(1+'Data-CostAssumptions'!$G$3)^(AD148-'Data-CostAssumptions'!$G$4),-3)</f>
        <v>1556000</v>
      </c>
      <c r="AG148" s="170" t="str">
        <f t="shared" si="9"/>
        <v>No</v>
      </c>
    </row>
    <row r="149" spans="1:33" ht="15" customHeight="1" x14ac:dyDescent="0.2">
      <c r="B149" s="11" t="s">
        <v>1211</v>
      </c>
      <c r="C149" s="13">
        <v>230</v>
      </c>
      <c r="D149" s="13" t="s">
        <v>420</v>
      </c>
      <c r="E149" s="20">
        <v>74</v>
      </c>
      <c r="F149" s="20">
        <v>153</v>
      </c>
      <c r="G149" s="20">
        <v>444</v>
      </c>
      <c r="H149" s="13" t="s">
        <v>1961</v>
      </c>
      <c r="I149" s="13" t="str">
        <f t="shared" si="10"/>
        <v>SW 28th St (SW 2nd Av to SW 15th Av)</v>
      </c>
      <c r="J149" s="13" t="s">
        <v>27</v>
      </c>
      <c r="K149" s="13" t="str">
        <f>VLOOKUP(J149,'Data-ProjectTypes'!A$3:B$13,2,FALSE)</f>
        <v>Program</v>
      </c>
      <c r="L149" s="21" t="s">
        <v>348</v>
      </c>
      <c r="M149" s="13" t="s">
        <v>2118</v>
      </c>
      <c r="N149" s="13" t="s">
        <v>2106</v>
      </c>
      <c r="O149" s="13" t="s">
        <v>276</v>
      </c>
      <c r="P149" s="13" t="s">
        <v>276</v>
      </c>
      <c r="Q149" s="22">
        <v>1.2</v>
      </c>
      <c r="R149" s="23">
        <v>436087</v>
      </c>
      <c r="S149" s="21"/>
      <c r="T149" s="21"/>
      <c r="U149" s="21"/>
      <c r="V149" s="24"/>
      <c r="W149" s="24"/>
      <c r="X149" s="24"/>
      <c r="Y149" s="17"/>
      <c r="Z149" s="18">
        <f>ROUND(R149*'Data-CostAssumptions'!$C$3,-3)</f>
        <v>604000</v>
      </c>
      <c r="AA149" s="11">
        <f t="shared" si="8"/>
        <v>0</v>
      </c>
      <c r="AB149" s="11">
        <v>2041</v>
      </c>
      <c r="AC149" s="11">
        <v>2041</v>
      </c>
      <c r="AD149" s="11">
        <v>2041</v>
      </c>
      <c r="AE149" s="19">
        <f>ROUND((Z149*'Data-CostAssumptions'!$G$5)*(1+'Data-CostAssumptions'!$G$3)^(AB149-'Data-CostAssumptions'!$G$4),-3)</f>
        <v>341000</v>
      </c>
      <c r="AF149" s="19">
        <f>ROUND((Z149)*(1+'Data-CostAssumptions'!$G$3)^(AD149-'Data-CostAssumptions'!$G$4),-3)</f>
        <v>1549000</v>
      </c>
      <c r="AG149" s="170" t="str">
        <f t="shared" si="9"/>
        <v>No</v>
      </c>
    </row>
    <row r="150" spans="1:33" ht="15" customHeight="1" x14ac:dyDescent="0.2">
      <c r="B150" s="11" t="s">
        <v>1211</v>
      </c>
      <c r="C150" s="13">
        <v>304</v>
      </c>
      <c r="D150" s="13" t="s">
        <v>420</v>
      </c>
      <c r="E150" s="20">
        <v>196</v>
      </c>
      <c r="F150" s="20">
        <v>157</v>
      </c>
      <c r="G150" s="20">
        <v>515</v>
      </c>
      <c r="H150" s="13" t="s">
        <v>1784</v>
      </c>
      <c r="I150" s="13" t="str">
        <f t="shared" si="10"/>
        <v>Commodore Dr (State Rd 84 to NW 8th St)</v>
      </c>
      <c r="J150" s="13" t="s">
        <v>27</v>
      </c>
      <c r="K150" s="13" t="str">
        <f>VLOOKUP(J150,'Data-ProjectTypes'!A$3:B$13,2,FALSE)</f>
        <v>Program</v>
      </c>
      <c r="L150" s="21" t="s">
        <v>348</v>
      </c>
      <c r="M150" s="13" t="s">
        <v>1774</v>
      </c>
      <c r="N150" s="13" t="s">
        <v>1934</v>
      </c>
      <c r="O150" s="13" t="s">
        <v>272</v>
      </c>
      <c r="P150" s="13" t="s">
        <v>272</v>
      </c>
      <c r="Q150" s="22">
        <v>1.2</v>
      </c>
      <c r="R150" s="23">
        <v>434241</v>
      </c>
      <c r="S150" s="21" t="s">
        <v>24</v>
      </c>
      <c r="T150" s="21"/>
      <c r="U150" s="21"/>
      <c r="V150" s="24"/>
      <c r="W150" s="24"/>
      <c r="X150" s="24"/>
      <c r="Y150" s="17" t="s">
        <v>460</v>
      </c>
      <c r="Z150" s="18">
        <f>ROUND(R150*'Data-CostAssumptions'!$C$3,-3)</f>
        <v>601000</v>
      </c>
      <c r="AA150" s="11">
        <f t="shared" si="8"/>
        <v>0</v>
      </c>
      <c r="AB150" s="11">
        <v>2041</v>
      </c>
      <c r="AC150" s="11">
        <v>2041</v>
      </c>
      <c r="AD150" s="11">
        <v>2041</v>
      </c>
      <c r="AE150" s="19">
        <f>ROUND((Z150*'Data-CostAssumptions'!$G$5)*(1+'Data-CostAssumptions'!$G$3)^(AB150-'Data-CostAssumptions'!$G$4),-3)</f>
        <v>339000</v>
      </c>
      <c r="AF150" s="19">
        <f>ROUND((Z150)*(1+'Data-CostAssumptions'!$G$3)^(AD150-'Data-CostAssumptions'!$G$4),-3)</f>
        <v>1541000</v>
      </c>
      <c r="AG150" s="170" t="str">
        <f t="shared" si="9"/>
        <v>No</v>
      </c>
    </row>
    <row r="151" spans="1:33" ht="15" customHeight="1" x14ac:dyDescent="0.2">
      <c r="B151" s="11" t="s">
        <v>1211</v>
      </c>
      <c r="C151" s="13">
        <v>365</v>
      </c>
      <c r="D151" s="13" t="s">
        <v>420</v>
      </c>
      <c r="E151" s="20">
        <v>125</v>
      </c>
      <c r="F151" s="20">
        <v>161</v>
      </c>
      <c r="G151" s="20">
        <v>576</v>
      </c>
      <c r="H151" s="13" t="s">
        <v>1979</v>
      </c>
      <c r="I151" s="13" t="str">
        <f t="shared" si="10"/>
        <v>Pompano Pkwy/Powerline Rd (McNab Rd to Atlantic Bl)</v>
      </c>
      <c r="J151" s="13" t="s">
        <v>27</v>
      </c>
      <c r="K151" s="13" t="str">
        <f>VLOOKUP(J151,'Data-ProjectTypes'!A$3:B$13,2,FALSE)</f>
        <v>Program</v>
      </c>
      <c r="L151" s="21" t="s">
        <v>348</v>
      </c>
      <c r="M151" s="13" t="s">
        <v>1854</v>
      </c>
      <c r="N151" s="13" t="s">
        <v>1809</v>
      </c>
      <c r="O151" s="13" t="s">
        <v>270</v>
      </c>
      <c r="P151" s="13" t="s">
        <v>270</v>
      </c>
      <c r="Q151" s="22">
        <v>1.2</v>
      </c>
      <c r="R151" s="23">
        <v>434030</v>
      </c>
      <c r="S151" s="52"/>
      <c r="T151" s="52"/>
      <c r="U151" s="52"/>
      <c r="V151" s="56"/>
      <c r="W151" s="56"/>
      <c r="X151" s="56"/>
      <c r="Y151" s="57" t="s">
        <v>1735</v>
      </c>
      <c r="Z151" s="18">
        <f>ROUND(R151*'Data-CostAssumptions'!$C$3,-3)</f>
        <v>601000</v>
      </c>
      <c r="AA151" s="11">
        <f t="shared" si="8"/>
        <v>0</v>
      </c>
      <c r="AB151" s="11">
        <v>2041</v>
      </c>
      <c r="AC151" s="11">
        <v>2041</v>
      </c>
      <c r="AD151" s="11">
        <v>2041</v>
      </c>
      <c r="AE151" s="19">
        <f>ROUND((Z151*'Data-CostAssumptions'!$G$5)*(1+'Data-CostAssumptions'!$G$3)^(AB151-'Data-CostAssumptions'!$G$4),-3)</f>
        <v>339000</v>
      </c>
      <c r="AF151" s="19">
        <f>ROUND((Z151)*(1+'Data-CostAssumptions'!$G$3)^(AD151-'Data-CostAssumptions'!$G$4),-3)</f>
        <v>1541000</v>
      </c>
      <c r="AG151" s="170" t="str">
        <f t="shared" si="9"/>
        <v>No</v>
      </c>
    </row>
    <row r="152" spans="1:33" ht="15" customHeight="1" x14ac:dyDescent="0.2">
      <c r="B152" s="11" t="s">
        <v>1211</v>
      </c>
      <c r="C152" s="13">
        <v>424</v>
      </c>
      <c r="D152" s="13" t="s">
        <v>420</v>
      </c>
      <c r="E152" s="20">
        <v>119</v>
      </c>
      <c r="F152" s="20">
        <v>165</v>
      </c>
      <c r="G152" s="20">
        <v>633</v>
      </c>
      <c r="H152" s="13" t="s">
        <v>1972</v>
      </c>
      <c r="I152" s="13" t="str">
        <f t="shared" si="10"/>
        <v>Coconut Creek Pkwy (NW 31st Av to NW 45th Av)</v>
      </c>
      <c r="J152" s="13" t="s">
        <v>27</v>
      </c>
      <c r="K152" s="13" t="str">
        <f>VLOOKUP(J152,'Data-ProjectTypes'!A$3:B$13,2,FALSE)</f>
        <v>Program</v>
      </c>
      <c r="L152" s="21" t="s">
        <v>348</v>
      </c>
      <c r="M152" s="13" t="s">
        <v>2062</v>
      </c>
      <c r="N152" s="13" t="s">
        <v>2069</v>
      </c>
      <c r="O152" s="13" t="s">
        <v>273</v>
      </c>
      <c r="P152" s="13" t="s">
        <v>273</v>
      </c>
      <c r="Q152" s="22">
        <v>1.2</v>
      </c>
      <c r="R152" s="23">
        <v>429358</v>
      </c>
      <c r="S152" s="21" t="s">
        <v>24</v>
      </c>
      <c r="T152" s="21" t="s">
        <v>684</v>
      </c>
      <c r="U152" s="21" t="s">
        <v>684</v>
      </c>
      <c r="V152" s="24"/>
      <c r="W152" s="24"/>
      <c r="X152" s="24"/>
      <c r="Y152" s="17" t="s">
        <v>685</v>
      </c>
      <c r="Z152" s="18">
        <f>ROUND(R152*'Data-CostAssumptions'!$C$3,-3)</f>
        <v>594000</v>
      </c>
      <c r="AA152" s="11">
        <f t="shared" si="8"/>
        <v>0</v>
      </c>
      <c r="AB152" s="11">
        <v>2041</v>
      </c>
      <c r="AC152" s="11">
        <v>2041</v>
      </c>
      <c r="AD152" s="11">
        <v>2041</v>
      </c>
      <c r="AE152" s="19">
        <f>ROUND((Z152*'Data-CostAssumptions'!$G$5)*(1+'Data-CostAssumptions'!$G$3)^(AB152-'Data-CostAssumptions'!$G$4),-3)</f>
        <v>335000</v>
      </c>
      <c r="AF152" s="19">
        <f>ROUND((Z152)*(1+'Data-CostAssumptions'!$G$3)^(AD152-'Data-CostAssumptions'!$G$4),-3)</f>
        <v>1523000</v>
      </c>
      <c r="AG152" s="170" t="str">
        <f t="shared" si="9"/>
        <v>No</v>
      </c>
    </row>
    <row r="153" spans="1:33" ht="15" customHeight="1" x14ac:dyDescent="0.2">
      <c r="A153" s="12"/>
      <c r="B153" s="11" t="s">
        <v>1211</v>
      </c>
      <c r="C153" s="12"/>
      <c r="D153" s="84" t="s">
        <v>276</v>
      </c>
      <c r="E153" s="104">
        <v>55</v>
      </c>
      <c r="F153" s="104"/>
      <c r="G153" s="20">
        <v>1577</v>
      </c>
      <c r="H153" s="13" t="s">
        <v>2164</v>
      </c>
      <c r="I153" s="13" t="str">
        <f t="shared" si="10"/>
        <v>NW 21ST Av (W CYPRESS CREEK RD to W MCNAB RD)</v>
      </c>
      <c r="J153" s="12" t="s">
        <v>27</v>
      </c>
      <c r="K153" s="13" t="str">
        <f>VLOOKUP(J153,'Data-ProjectTypes'!A$3:B$13,2,FALSE)</f>
        <v>Program</v>
      </c>
      <c r="L153" s="12" t="s">
        <v>1305</v>
      </c>
      <c r="M153" s="105" t="s">
        <v>1447</v>
      </c>
      <c r="N153" s="12" t="s">
        <v>1446</v>
      </c>
      <c r="O153" s="12"/>
      <c r="P153" s="12"/>
      <c r="Q153" s="72">
        <v>0.5</v>
      </c>
      <c r="R153" s="23">
        <v>428750</v>
      </c>
      <c r="Y153" s="12"/>
      <c r="Z153" s="18">
        <f>ROUND(R153*'Data-CostAssumptions'!$C$3,-3)</f>
        <v>593000</v>
      </c>
      <c r="AA153" s="11">
        <f t="shared" si="8"/>
        <v>0</v>
      </c>
      <c r="AB153" s="11">
        <v>2041</v>
      </c>
      <c r="AC153" s="11">
        <v>2041</v>
      </c>
      <c r="AD153" s="11">
        <v>2041</v>
      </c>
      <c r="AE153" s="19">
        <f>ROUND((Z153*'Data-CostAssumptions'!$G$5)*(1+'Data-CostAssumptions'!$G$3)^(AB153-'Data-CostAssumptions'!$G$4),-3)</f>
        <v>334000</v>
      </c>
      <c r="AF153" s="19">
        <f>ROUND((Z153)*(1+'Data-CostAssumptions'!$G$3)^(AD153-'Data-CostAssumptions'!$G$4),-3)</f>
        <v>1520000</v>
      </c>
      <c r="AG153" s="170" t="str">
        <f t="shared" si="9"/>
        <v>No</v>
      </c>
    </row>
    <row r="154" spans="1:33" ht="15" customHeight="1" x14ac:dyDescent="0.2">
      <c r="B154" s="11" t="s">
        <v>1211</v>
      </c>
      <c r="C154" s="13">
        <v>600</v>
      </c>
      <c r="D154" s="13" t="s">
        <v>420</v>
      </c>
      <c r="E154" s="20">
        <v>210</v>
      </c>
      <c r="F154" s="20">
        <v>175</v>
      </c>
      <c r="G154" s="20">
        <v>802</v>
      </c>
      <c r="H154" s="13" t="s">
        <v>2103</v>
      </c>
      <c r="I154" s="13" t="str">
        <f t="shared" si="10"/>
        <v>SW 142nd Av (Orange Dr to SW 26th St)</v>
      </c>
      <c r="J154" s="13" t="s">
        <v>27</v>
      </c>
      <c r="K154" s="13" t="str">
        <f>VLOOKUP(J154,'Data-ProjectTypes'!A$3:B$13,2,FALSE)</f>
        <v>Program</v>
      </c>
      <c r="L154" s="21" t="s">
        <v>348</v>
      </c>
      <c r="M154" s="13" t="s">
        <v>184</v>
      </c>
      <c r="N154" s="13" t="s">
        <v>1959</v>
      </c>
      <c r="O154" s="13" t="s">
        <v>279</v>
      </c>
      <c r="P154" s="13" t="s">
        <v>279</v>
      </c>
      <c r="Q154" s="22">
        <v>1.6</v>
      </c>
      <c r="R154" s="23">
        <v>591005</v>
      </c>
      <c r="V154" s="11" t="s">
        <v>490</v>
      </c>
      <c r="Y154" s="12"/>
      <c r="Z154" s="18">
        <f>ROUND(R154*'Data-CostAssumptions'!$C$6,-3)</f>
        <v>591000</v>
      </c>
      <c r="AA154" s="11">
        <f t="shared" si="8"/>
        <v>1</v>
      </c>
      <c r="AB154" s="11">
        <v>2041</v>
      </c>
      <c r="AC154" s="11">
        <v>2041</v>
      </c>
      <c r="AD154" s="11">
        <v>2041</v>
      </c>
      <c r="AE154" s="19">
        <f>ROUND((Z154*'Data-CostAssumptions'!$G$5)*(1+'Data-CostAssumptions'!$G$3)^(AB154-'Data-CostAssumptions'!$G$4),-3)</f>
        <v>333000</v>
      </c>
      <c r="AF154" s="19">
        <f>ROUND((Z154)*(1+'Data-CostAssumptions'!$G$3)^(AD154-'Data-CostAssumptions'!$G$4),-3)</f>
        <v>1515000</v>
      </c>
      <c r="AG154" s="170" t="str">
        <f t="shared" si="9"/>
        <v>No</v>
      </c>
    </row>
    <row r="155" spans="1:33" ht="15" customHeight="1" x14ac:dyDescent="0.2">
      <c r="A155" s="12"/>
      <c r="B155" s="11" t="s">
        <v>1211</v>
      </c>
      <c r="C155" s="12"/>
      <c r="D155" s="84" t="s">
        <v>276</v>
      </c>
      <c r="E155" s="104">
        <v>63</v>
      </c>
      <c r="F155" s="104"/>
      <c r="G155" s="20">
        <v>1586</v>
      </c>
      <c r="H155" s="13" t="s">
        <v>1238</v>
      </c>
      <c r="I155" s="13" t="str">
        <f t="shared" si="10"/>
        <v>NW 6TH ST (NW 15TH Av to NW 27TH Av)</v>
      </c>
      <c r="J155" s="12" t="s">
        <v>27</v>
      </c>
      <c r="K155" s="13" t="str">
        <f>VLOOKUP(J155,'Data-ProjectTypes'!A$3:B$13,2,FALSE)</f>
        <v>Program</v>
      </c>
      <c r="L155" s="12" t="s">
        <v>1331</v>
      </c>
      <c r="M155" s="105" t="s">
        <v>2160</v>
      </c>
      <c r="N155" s="12" t="s">
        <v>2605</v>
      </c>
      <c r="O155" s="12"/>
      <c r="P155" s="12"/>
      <c r="Q155" s="72">
        <v>1</v>
      </c>
      <c r="R155" s="23">
        <v>424250</v>
      </c>
      <c r="X155" s="38"/>
      <c r="Y155" s="12"/>
      <c r="Z155" s="18">
        <f>ROUND(R155*'Data-CostAssumptions'!$C$3,-3)</f>
        <v>587000</v>
      </c>
      <c r="AA155" s="11">
        <f t="shared" si="8"/>
        <v>0</v>
      </c>
      <c r="AB155" s="11">
        <v>2041</v>
      </c>
      <c r="AC155" s="11">
        <v>2041</v>
      </c>
      <c r="AD155" s="11">
        <v>2041</v>
      </c>
      <c r="AE155" s="19">
        <f>ROUND((Z155*'Data-CostAssumptions'!$G$5)*(1+'Data-CostAssumptions'!$G$3)^(AB155-'Data-CostAssumptions'!$G$4),-3)</f>
        <v>331000</v>
      </c>
      <c r="AF155" s="19">
        <f>ROUND((Z155)*(1+'Data-CostAssumptions'!$G$3)^(AD155-'Data-CostAssumptions'!$G$4),-3)</f>
        <v>1505000</v>
      </c>
      <c r="AG155" s="170" t="str">
        <f t="shared" si="9"/>
        <v>No</v>
      </c>
    </row>
    <row r="156" spans="1:33" ht="15" customHeight="1" x14ac:dyDescent="0.2">
      <c r="A156" s="12"/>
      <c r="B156" s="11" t="s">
        <v>1211</v>
      </c>
      <c r="C156" s="12"/>
      <c r="D156" s="84" t="s">
        <v>276</v>
      </c>
      <c r="E156" s="104">
        <v>94</v>
      </c>
      <c r="F156" s="104"/>
      <c r="G156" s="20">
        <v>1556</v>
      </c>
      <c r="H156" s="13" t="s">
        <v>2646</v>
      </c>
      <c r="I156" s="13" t="str">
        <f t="shared" si="10"/>
        <v>Middle River Dr (OAKLAND PARK Bl/SR 816 to BAYVIEW DR)</v>
      </c>
      <c r="J156" s="12" t="s">
        <v>27</v>
      </c>
      <c r="K156" s="13" t="str">
        <f>VLOOKUP(J156,'Data-ProjectTypes'!A$3:B$13,2,FALSE)</f>
        <v>Program</v>
      </c>
      <c r="L156" s="12" t="s">
        <v>1300</v>
      </c>
      <c r="M156" s="105" t="s">
        <v>2293</v>
      </c>
      <c r="N156" s="12" t="s">
        <v>1224</v>
      </c>
      <c r="O156" s="12"/>
      <c r="P156" s="12"/>
      <c r="Q156" s="72">
        <v>2</v>
      </c>
      <c r="R156" s="23">
        <v>580000</v>
      </c>
      <c r="Y156" s="12"/>
      <c r="Z156" s="18">
        <f>ROUND(R156*'Data-CostAssumptions'!$C$8,-3)</f>
        <v>580000</v>
      </c>
      <c r="AA156" s="11">
        <f t="shared" si="8"/>
        <v>0</v>
      </c>
      <c r="AB156" s="11">
        <v>2041</v>
      </c>
      <c r="AC156" s="11">
        <v>2041</v>
      </c>
      <c r="AD156" s="11">
        <v>2041</v>
      </c>
      <c r="AE156" s="19">
        <f>ROUND((Z156*'Data-CostAssumptions'!$G$5)*(1+'Data-CostAssumptions'!$G$3)^(AB156-'Data-CostAssumptions'!$G$4),-3)</f>
        <v>327000</v>
      </c>
      <c r="AF156" s="19">
        <f>ROUND((Z156)*(1+'Data-CostAssumptions'!$G$3)^(AD156-'Data-CostAssumptions'!$G$4),-3)</f>
        <v>1487000</v>
      </c>
      <c r="AG156" s="170" t="str">
        <f t="shared" si="9"/>
        <v>No</v>
      </c>
    </row>
    <row r="157" spans="1:33" ht="15" customHeight="1" x14ac:dyDescent="0.2">
      <c r="B157" s="11" t="s">
        <v>1211</v>
      </c>
      <c r="C157" s="13">
        <v>289</v>
      </c>
      <c r="D157" s="13" t="s">
        <v>420</v>
      </c>
      <c r="E157" s="20">
        <v>55</v>
      </c>
      <c r="F157" s="20">
        <v>156</v>
      </c>
      <c r="G157" s="20">
        <v>501</v>
      </c>
      <c r="H157" s="13" t="s">
        <v>1958</v>
      </c>
      <c r="I157" s="13" t="str">
        <f t="shared" si="10"/>
        <v>SW 25th St (State Rd 7/US 441 to SW 68th Av)</v>
      </c>
      <c r="J157" s="13" t="s">
        <v>27</v>
      </c>
      <c r="K157" s="13" t="str">
        <f>VLOOKUP(J157,'Data-ProjectTypes'!A$3:B$13,2,FALSE)</f>
        <v>Program</v>
      </c>
      <c r="L157" s="21" t="s">
        <v>348</v>
      </c>
      <c r="M157" s="13" t="s">
        <v>1773</v>
      </c>
      <c r="N157" s="13" t="s">
        <v>2131</v>
      </c>
      <c r="O157" s="13" t="s">
        <v>274</v>
      </c>
      <c r="P157" s="13" t="s">
        <v>274</v>
      </c>
      <c r="Q157" s="22">
        <v>1.2</v>
      </c>
      <c r="R157" s="23">
        <v>413238</v>
      </c>
      <c r="S157" s="21" t="s">
        <v>24</v>
      </c>
      <c r="T157" s="21" t="s">
        <v>25</v>
      </c>
      <c r="U157" s="21" t="s">
        <v>24</v>
      </c>
      <c r="V157" s="24"/>
      <c r="W157" s="24"/>
      <c r="X157" s="24"/>
      <c r="Y157" s="17" t="s">
        <v>538</v>
      </c>
      <c r="Z157" s="18">
        <f>ROUND(R157*'Data-CostAssumptions'!$C$3,-3)</f>
        <v>572000</v>
      </c>
      <c r="AA157" s="11">
        <f t="shared" si="8"/>
        <v>0</v>
      </c>
      <c r="AB157" s="11">
        <v>2041</v>
      </c>
      <c r="AC157" s="11">
        <v>2041</v>
      </c>
      <c r="AD157" s="11">
        <v>2041</v>
      </c>
      <c r="AE157" s="19">
        <f>ROUND((Z157*'Data-CostAssumptions'!$G$5)*(1+'Data-CostAssumptions'!$G$3)^(AB157-'Data-CostAssumptions'!$G$4),-3)</f>
        <v>323000</v>
      </c>
      <c r="AF157" s="19">
        <f>ROUND((Z157)*(1+'Data-CostAssumptions'!$G$3)^(AD157-'Data-CostAssumptions'!$G$4),-3)</f>
        <v>1467000</v>
      </c>
      <c r="AG157" s="170" t="str">
        <f t="shared" si="9"/>
        <v>No</v>
      </c>
    </row>
    <row r="158" spans="1:33" ht="15" customHeight="1" x14ac:dyDescent="0.2">
      <c r="A158" s="12"/>
      <c r="B158" s="11" t="s">
        <v>1211</v>
      </c>
      <c r="C158" s="12"/>
      <c r="D158" s="84" t="s">
        <v>276</v>
      </c>
      <c r="E158" s="104">
        <v>45</v>
      </c>
      <c r="F158" s="104"/>
      <c r="G158" s="20">
        <v>1564</v>
      </c>
      <c r="H158" s="13" t="s">
        <v>1229</v>
      </c>
      <c r="I158" s="13" t="str">
        <f t="shared" si="10"/>
        <v>NE 4TH ST (US 1/SR 5/FEDERAL HWY to NE 16TH Av)</v>
      </c>
      <c r="J158" s="12" t="s">
        <v>27</v>
      </c>
      <c r="K158" s="13" t="str">
        <f>VLOOKUP(J158,'Data-ProjectTypes'!A$3:B$13,2,FALSE)</f>
        <v>Program</v>
      </c>
      <c r="L158" s="12" t="s">
        <v>1305</v>
      </c>
      <c r="M158" s="105" t="s">
        <v>1425</v>
      </c>
      <c r="N158" s="12" t="s">
        <v>2614</v>
      </c>
      <c r="O158" s="12"/>
      <c r="P158" s="12"/>
      <c r="Q158" s="72">
        <v>0.6</v>
      </c>
      <c r="R158" s="23">
        <v>570000</v>
      </c>
      <c r="S158" s="58"/>
      <c r="T158" s="58"/>
      <c r="U158" s="58"/>
      <c r="V158" s="58"/>
      <c r="W158" s="58"/>
      <c r="X158" s="58"/>
      <c r="Y158" s="25"/>
      <c r="Z158" s="18">
        <f>ROUND(R158*'Data-CostAssumptions'!$C$8,-3)</f>
        <v>570000</v>
      </c>
      <c r="AA158" s="11">
        <f t="shared" si="8"/>
        <v>0</v>
      </c>
      <c r="AB158" s="11">
        <v>2041</v>
      </c>
      <c r="AC158" s="11">
        <v>2041</v>
      </c>
      <c r="AD158" s="11">
        <v>2041</v>
      </c>
      <c r="AE158" s="19">
        <f>ROUND((Z158*'Data-CostAssumptions'!$G$5)*(1+'Data-CostAssumptions'!$G$3)^(AB158-'Data-CostAssumptions'!$G$4),-3)</f>
        <v>322000</v>
      </c>
      <c r="AF158" s="19">
        <f>ROUND((Z158)*(1+'Data-CostAssumptions'!$G$3)^(AD158-'Data-CostAssumptions'!$G$4),-3)</f>
        <v>1461000</v>
      </c>
      <c r="AG158" s="170" t="str">
        <f t="shared" si="9"/>
        <v>No</v>
      </c>
    </row>
    <row r="159" spans="1:33" ht="15" customHeight="1" x14ac:dyDescent="0.2">
      <c r="B159" s="11" t="s">
        <v>1211</v>
      </c>
      <c r="C159" s="13">
        <v>372</v>
      </c>
      <c r="D159" s="13" t="s">
        <v>420</v>
      </c>
      <c r="E159" s="20">
        <v>171</v>
      </c>
      <c r="F159" s="20">
        <v>161</v>
      </c>
      <c r="G159" s="20">
        <v>583</v>
      </c>
      <c r="H159" s="13" t="s">
        <v>57</v>
      </c>
      <c r="I159" s="13" t="str">
        <f t="shared" si="10"/>
        <v>SR 7/US 441 (Johnson Rd to North of Loxahatchee Rd)</v>
      </c>
      <c r="J159" s="13" t="s">
        <v>27</v>
      </c>
      <c r="K159" s="13" t="str">
        <f>VLOOKUP(J159,'Data-ProjectTypes'!A$3:B$13,2,FALSE)</f>
        <v>Program</v>
      </c>
      <c r="L159" s="21" t="s">
        <v>348</v>
      </c>
      <c r="M159" s="13" t="s">
        <v>1850</v>
      </c>
      <c r="N159" s="13" t="s">
        <v>2431</v>
      </c>
      <c r="O159" s="13" t="s">
        <v>270</v>
      </c>
      <c r="P159" s="13" t="s">
        <v>270</v>
      </c>
      <c r="Q159" s="22">
        <v>1.1000000000000001</v>
      </c>
      <c r="R159" s="23">
        <v>409067</v>
      </c>
      <c r="S159" s="21"/>
      <c r="T159" s="21"/>
      <c r="U159" s="21"/>
      <c r="V159" s="24"/>
      <c r="W159" s="24"/>
      <c r="X159" s="24"/>
      <c r="Y159" s="17"/>
      <c r="Z159" s="18">
        <f>ROUND(R159*'Data-CostAssumptions'!$C$3,-3)</f>
        <v>566000</v>
      </c>
      <c r="AA159" s="11">
        <f t="shared" si="8"/>
        <v>0</v>
      </c>
      <c r="AB159" s="11">
        <v>2041</v>
      </c>
      <c r="AC159" s="11">
        <v>2041</v>
      </c>
      <c r="AD159" s="11">
        <v>2041</v>
      </c>
      <c r="AE159" s="19">
        <f>ROUND((Z159*'Data-CostAssumptions'!$G$5)*(1+'Data-CostAssumptions'!$G$3)^(AB159-'Data-CostAssumptions'!$G$4),-3)</f>
        <v>319000</v>
      </c>
      <c r="AF159" s="19">
        <f>ROUND((Z159)*(1+'Data-CostAssumptions'!$G$3)^(AD159-'Data-CostAssumptions'!$G$4),-3)</f>
        <v>1451000</v>
      </c>
      <c r="AG159" s="170" t="str">
        <f t="shared" si="9"/>
        <v>No</v>
      </c>
    </row>
    <row r="160" spans="1:33" ht="15" customHeight="1" x14ac:dyDescent="0.2">
      <c r="B160" s="11" t="s">
        <v>1211</v>
      </c>
      <c r="D160" s="84" t="s">
        <v>276</v>
      </c>
      <c r="E160" s="14">
        <v>16</v>
      </c>
      <c r="F160" s="14"/>
      <c r="G160" s="20">
        <v>1535</v>
      </c>
      <c r="H160" s="13" t="s">
        <v>1842</v>
      </c>
      <c r="I160" s="13" t="str">
        <f t="shared" si="10"/>
        <v>Cypress Creek Rd (ANDREWS Av to SR 845/POWER-LINE RD)</v>
      </c>
      <c r="J160" s="11" t="s">
        <v>27</v>
      </c>
      <c r="K160" s="13" t="str">
        <f>VLOOKUP(J160,'Data-ProjectTypes'!A$3:B$13,2,FALSE)</f>
        <v>Program</v>
      </c>
      <c r="L160" s="11" t="s">
        <v>1263</v>
      </c>
      <c r="M160" s="106" t="s">
        <v>2139</v>
      </c>
      <c r="N160" s="84" t="s">
        <v>1428</v>
      </c>
      <c r="Q160" s="107">
        <v>0.4</v>
      </c>
      <c r="R160" s="23">
        <v>564300</v>
      </c>
      <c r="Y160" s="12"/>
      <c r="Z160" s="71">
        <f>ROUND(R160*'Data-CostAssumptions'!$C$8,-3)</f>
        <v>564000</v>
      </c>
      <c r="AA160" s="11">
        <f t="shared" si="8"/>
        <v>0</v>
      </c>
      <c r="AB160" s="11">
        <v>2041</v>
      </c>
      <c r="AC160" s="11">
        <v>2041</v>
      </c>
      <c r="AD160" s="11">
        <v>2041</v>
      </c>
      <c r="AE160" s="19">
        <f>ROUND((Z160*'Data-CostAssumptions'!$G$5)*(1+'Data-CostAssumptions'!$G$3)^(AB160-'Data-CostAssumptions'!$G$4),-3)</f>
        <v>318000</v>
      </c>
      <c r="AF160" s="19">
        <f>ROUND((Z160)*(1+'Data-CostAssumptions'!$G$3)^(AD160-'Data-CostAssumptions'!$G$4),-3)</f>
        <v>1446000</v>
      </c>
      <c r="AG160" s="170" t="str">
        <f t="shared" si="9"/>
        <v>No</v>
      </c>
    </row>
    <row r="161" spans="1:33" ht="15" customHeight="1" x14ac:dyDescent="0.2">
      <c r="B161" s="11" t="s">
        <v>1211</v>
      </c>
      <c r="C161" s="13">
        <v>585</v>
      </c>
      <c r="D161" s="13" t="s">
        <v>420</v>
      </c>
      <c r="E161" s="20">
        <v>11</v>
      </c>
      <c r="F161" s="20">
        <v>174</v>
      </c>
      <c r="G161" s="20">
        <v>789</v>
      </c>
      <c r="H161" s="13" t="s">
        <v>1951</v>
      </c>
      <c r="I161" s="13" t="str">
        <f t="shared" si="10"/>
        <v>Sheridan St (NW 196th Av to US 27)</v>
      </c>
      <c r="J161" s="13" t="s">
        <v>27</v>
      </c>
      <c r="K161" s="13" t="str">
        <f>VLOOKUP(J161,'Data-ProjectTypes'!A$3:B$13,2,FALSE)</f>
        <v>Program</v>
      </c>
      <c r="L161" s="21" t="s">
        <v>348</v>
      </c>
      <c r="M161" s="13" t="s">
        <v>2055</v>
      </c>
      <c r="N161" s="13" t="s">
        <v>30</v>
      </c>
      <c r="O161" s="13" t="s">
        <v>273</v>
      </c>
      <c r="P161" s="13" t="s">
        <v>273</v>
      </c>
      <c r="Q161" s="22">
        <v>1.5</v>
      </c>
      <c r="R161" s="23">
        <v>543026</v>
      </c>
      <c r="V161" s="85" t="s">
        <v>1162</v>
      </c>
      <c r="Y161" s="12"/>
      <c r="Z161" s="18">
        <f>ROUND(R161*'Data-CostAssumptions'!$C$5,-3)</f>
        <v>543000</v>
      </c>
      <c r="AA161" s="11">
        <f t="shared" si="8"/>
        <v>1</v>
      </c>
      <c r="AB161" s="11">
        <v>2041</v>
      </c>
      <c r="AC161" s="11">
        <v>2041</v>
      </c>
      <c r="AD161" s="11">
        <v>2041</v>
      </c>
      <c r="AE161" s="19">
        <f>ROUND((Z161*'Data-CostAssumptions'!$G$5)*(1+'Data-CostAssumptions'!$G$3)^(AB161-'Data-CostAssumptions'!$G$4),-3)</f>
        <v>306000</v>
      </c>
      <c r="AF161" s="19">
        <f>ROUND((Z161)*(1+'Data-CostAssumptions'!$G$3)^(AD161-'Data-CostAssumptions'!$G$4),-3)</f>
        <v>1392000</v>
      </c>
      <c r="AG161" s="170" t="str">
        <f t="shared" si="9"/>
        <v>No</v>
      </c>
    </row>
    <row r="162" spans="1:33" ht="15" customHeight="1" x14ac:dyDescent="0.2">
      <c r="B162" s="11" t="s">
        <v>1211</v>
      </c>
      <c r="C162" s="13">
        <v>614</v>
      </c>
      <c r="D162" s="13" t="s">
        <v>420</v>
      </c>
      <c r="E162" s="20">
        <v>6</v>
      </c>
      <c r="F162" s="20">
        <v>176</v>
      </c>
      <c r="G162" s="20">
        <v>815</v>
      </c>
      <c r="H162" s="13" t="s">
        <v>2101</v>
      </c>
      <c r="I162" s="13" t="str">
        <f t="shared" si="10"/>
        <v>SW 130th Av (SW 33rd Place to SW 14th St)</v>
      </c>
      <c r="J162" s="13" t="s">
        <v>27</v>
      </c>
      <c r="K162" s="13" t="str">
        <f>VLOOKUP(J162,'Data-ProjectTypes'!A$3:B$13,2,FALSE)</f>
        <v>Program</v>
      </c>
      <c r="L162" s="21" t="s">
        <v>348</v>
      </c>
      <c r="M162" s="13" t="s">
        <v>254</v>
      </c>
      <c r="N162" s="13" t="s">
        <v>2560</v>
      </c>
      <c r="O162" s="13" t="s">
        <v>279</v>
      </c>
      <c r="P162" s="13" t="s">
        <v>279</v>
      </c>
      <c r="Q162" s="22">
        <v>1.5</v>
      </c>
      <c r="R162" s="23">
        <v>542268</v>
      </c>
      <c r="Y162" s="12"/>
      <c r="Z162" s="71">
        <f>ROUND(R162*'Data-CostAssumptions'!$C$8,-3)</f>
        <v>542000</v>
      </c>
      <c r="AA162" s="11">
        <f t="shared" si="8"/>
        <v>0</v>
      </c>
      <c r="AB162" s="11">
        <v>2041</v>
      </c>
      <c r="AC162" s="11">
        <v>2041</v>
      </c>
      <c r="AD162" s="11">
        <v>2041</v>
      </c>
      <c r="AE162" s="19">
        <f>ROUND((Z162*'Data-CostAssumptions'!$G$5)*(1+'Data-CostAssumptions'!$G$3)^(AB162-'Data-CostAssumptions'!$G$4),-3)</f>
        <v>306000</v>
      </c>
      <c r="AF162" s="19">
        <f>ROUND((Z162)*(1+'Data-CostAssumptions'!$G$3)^(AD162-'Data-CostAssumptions'!$G$4),-3)</f>
        <v>1390000</v>
      </c>
      <c r="AG162" s="170" t="str">
        <f t="shared" si="9"/>
        <v>No</v>
      </c>
    </row>
    <row r="163" spans="1:33" ht="15" customHeight="1" x14ac:dyDescent="0.2">
      <c r="A163" s="12"/>
      <c r="B163" s="11" t="s">
        <v>1211</v>
      </c>
      <c r="C163" s="12"/>
      <c r="D163" s="84" t="s">
        <v>276</v>
      </c>
      <c r="E163" s="104">
        <v>134</v>
      </c>
      <c r="F163" s="104"/>
      <c r="G163" s="20">
        <v>1545</v>
      </c>
      <c r="H163" s="13" t="s">
        <v>1569</v>
      </c>
      <c r="I163" s="13" t="str">
        <f t="shared" si="10"/>
        <v>FAT VILLAGE CORRIDOR IMPROVEMENTS (NW 6TH ST  to NW 5TH ST)</v>
      </c>
      <c r="J163" s="12" t="s">
        <v>27</v>
      </c>
      <c r="K163" s="13" t="str">
        <f>VLOOKUP(J163,'Data-ProjectTypes'!A$3:B$13,2,FALSE)</f>
        <v>Program</v>
      </c>
      <c r="L163" s="12" t="s">
        <v>1646</v>
      </c>
      <c r="M163" s="105" t="s">
        <v>1679</v>
      </c>
      <c r="N163" s="12" t="s">
        <v>1602</v>
      </c>
      <c r="O163" s="12"/>
      <c r="P163" s="12"/>
      <c r="Q163" s="72">
        <v>0.2</v>
      </c>
      <c r="R163" s="23">
        <v>540000</v>
      </c>
      <c r="Y163" s="12"/>
      <c r="Z163" s="71">
        <f>ROUND(R163*'Data-CostAssumptions'!$C$8,-3)</f>
        <v>540000</v>
      </c>
      <c r="AA163" s="11">
        <f t="shared" si="8"/>
        <v>0</v>
      </c>
      <c r="AB163" s="11">
        <v>2041</v>
      </c>
      <c r="AC163" s="11">
        <v>2041</v>
      </c>
      <c r="AD163" s="11">
        <v>2041</v>
      </c>
      <c r="AE163" s="19">
        <f>ROUND((Z163*'Data-CostAssumptions'!$G$5)*(1+'Data-CostAssumptions'!$G$3)^(AB163-'Data-CostAssumptions'!$G$4),-3)</f>
        <v>305000</v>
      </c>
      <c r="AF163" s="19">
        <f>ROUND((Z163)*(1+'Data-CostAssumptions'!$G$3)^(AD163-'Data-CostAssumptions'!$G$4),-3)</f>
        <v>1385000</v>
      </c>
      <c r="AG163" s="170" t="str">
        <f t="shared" si="9"/>
        <v>No</v>
      </c>
    </row>
    <row r="164" spans="1:33" ht="15" customHeight="1" x14ac:dyDescent="0.2">
      <c r="B164" s="11" t="s">
        <v>1211</v>
      </c>
      <c r="C164" s="13">
        <v>279</v>
      </c>
      <c r="D164" s="13" t="s">
        <v>420</v>
      </c>
      <c r="E164" s="20">
        <v>16</v>
      </c>
      <c r="F164" s="20">
        <v>156</v>
      </c>
      <c r="G164" s="20">
        <v>493</v>
      </c>
      <c r="H164" s="13" t="s">
        <v>166</v>
      </c>
      <c r="I164" s="13" t="str">
        <f t="shared" si="10"/>
        <v>SW 48th Court (SW 148th Av to SW 160th Av)</v>
      </c>
      <c r="J164" s="13" t="s">
        <v>27</v>
      </c>
      <c r="K164" s="13" t="str">
        <f>VLOOKUP(J164,'Data-ProjectTypes'!A$3:B$13,2,FALSE)</f>
        <v>Program</v>
      </c>
      <c r="L164" s="21" t="s">
        <v>348</v>
      </c>
      <c r="M164" s="13" t="s">
        <v>2104</v>
      </c>
      <c r="N164" s="13" t="s">
        <v>2107</v>
      </c>
      <c r="O164" s="13" t="s">
        <v>274</v>
      </c>
      <c r="P164" s="13" t="s">
        <v>274</v>
      </c>
      <c r="Q164" s="22">
        <v>1.1000000000000001</v>
      </c>
      <c r="R164" s="23">
        <v>389226</v>
      </c>
      <c r="S164" s="21"/>
      <c r="T164" s="21"/>
      <c r="U164" s="21"/>
      <c r="V164" s="24"/>
      <c r="W164" s="24"/>
      <c r="X164" s="24"/>
      <c r="Y164" s="17"/>
      <c r="Z164" s="18">
        <f>ROUND(R164*'Data-CostAssumptions'!$C$3,-3)</f>
        <v>539000</v>
      </c>
      <c r="AA164" s="11">
        <f t="shared" si="8"/>
        <v>0</v>
      </c>
      <c r="AB164" s="11">
        <v>2041</v>
      </c>
      <c r="AC164" s="11">
        <v>2041</v>
      </c>
      <c r="AD164" s="11">
        <v>2041</v>
      </c>
      <c r="AE164" s="19">
        <f>ROUND((Z164*'Data-CostAssumptions'!$G$5)*(1+'Data-CostAssumptions'!$G$3)^(AB164-'Data-CostAssumptions'!$G$4),-3)</f>
        <v>304000</v>
      </c>
      <c r="AF164" s="19">
        <f>ROUND((Z164)*(1+'Data-CostAssumptions'!$G$3)^(AD164-'Data-CostAssumptions'!$G$4),-3)</f>
        <v>1382000</v>
      </c>
      <c r="AG164" s="170" t="str">
        <f t="shared" si="9"/>
        <v>No</v>
      </c>
    </row>
    <row r="165" spans="1:33" ht="15" customHeight="1" x14ac:dyDescent="0.2">
      <c r="B165" s="11" t="s">
        <v>1211</v>
      </c>
      <c r="C165" s="13">
        <v>236</v>
      </c>
      <c r="D165" s="13" t="s">
        <v>420</v>
      </c>
      <c r="E165" s="20">
        <v>164</v>
      </c>
      <c r="F165" s="20">
        <v>153</v>
      </c>
      <c r="G165" s="20">
        <v>450</v>
      </c>
      <c r="H165" s="13" t="s">
        <v>1788</v>
      </c>
      <c r="I165" s="13" t="str">
        <f t="shared" si="10"/>
        <v>Corals Hills Dr (Sample Rd to Wiles Rd)</v>
      </c>
      <c r="J165" s="13" t="s">
        <v>27</v>
      </c>
      <c r="K165" s="13" t="str">
        <f>VLOOKUP(J165,'Data-ProjectTypes'!A$3:B$13,2,FALSE)</f>
        <v>Program</v>
      </c>
      <c r="L165" s="21" t="s">
        <v>348</v>
      </c>
      <c r="M165" s="13" t="s">
        <v>1864</v>
      </c>
      <c r="N165" s="13" t="s">
        <v>1780</v>
      </c>
      <c r="O165" s="13" t="s">
        <v>292</v>
      </c>
      <c r="P165" s="13" t="s">
        <v>292</v>
      </c>
      <c r="Q165" s="22">
        <v>1.1000000000000001</v>
      </c>
      <c r="R165" s="23">
        <v>388963</v>
      </c>
      <c r="S165" s="21" t="s">
        <v>24</v>
      </c>
      <c r="T165" s="21" t="s">
        <v>25</v>
      </c>
      <c r="U165" s="21" t="s">
        <v>24</v>
      </c>
      <c r="V165" s="24" t="s">
        <v>554</v>
      </c>
      <c r="W165" s="24"/>
      <c r="X165" s="24"/>
      <c r="Y165" s="17" t="s">
        <v>538</v>
      </c>
      <c r="Z165" s="18">
        <f>ROUND(R165*'Data-CostAssumptions'!$C$3,-3)</f>
        <v>538000</v>
      </c>
      <c r="AA165" s="11">
        <f t="shared" si="8"/>
        <v>1</v>
      </c>
      <c r="AB165" s="11">
        <v>2041</v>
      </c>
      <c r="AC165" s="11">
        <v>2041</v>
      </c>
      <c r="AD165" s="11">
        <v>2041</v>
      </c>
      <c r="AE165" s="19">
        <f>ROUND((Z165*'Data-CostAssumptions'!$G$5)*(1+'Data-CostAssumptions'!$G$3)^(AB165-'Data-CostAssumptions'!$G$4),-3)</f>
        <v>303000</v>
      </c>
      <c r="AF165" s="19">
        <f>ROUND((Z165)*(1+'Data-CostAssumptions'!$G$3)^(AD165-'Data-CostAssumptions'!$G$4),-3)</f>
        <v>1379000</v>
      </c>
      <c r="AG165" s="170" t="str">
        <f t="shared" si="9"/>
        <v>No</v>
      </c>
    </row>
    <row r="166" spans="1:33" ht="15" customHeight="1" x14ac:dyDescent="0.2">
      <c r="B166" s="11" t="s">
        <v>1211</v>
      </c>
      <c r="C166" s="13">
        <v>565</v>
      </c>
      <c r="D166" s="13" t="s">
        <v>420</v>
      </c>
      <c r="E166" s="20">
        <v>265</v>
      </c>
      <c r="F166" s="20">
        <v>173</v>
      </c>
      <c r="G166" s="20">
        <v>766</v>
      </c>
      <c r="H166" s="13" t="s">
        <v>1963</v>
      </c>
      <c r="I166" s="13" t="str">
        <f t="shared" si="10"/>
        <v>SW 45th St (Flamingo Rd to SW 142nd Av)</v>
      </c>
      <c r="J166" s="13" t="s">
        <v>27</v>
      </c>
      <c r="K166" s="13" t="str">
        <f>VLOOKUP(J166,'Data-ProjectTypes'!A$3:B$13,2,FALSE)</f>
        <v>Program</v>
      </c>
      <c r="L166" s="21" t="s">
        <v>348</v>
      </c>
      <c r="M166" s="13" t="s">
        <v>159</v>
      </c>
      <c r="N166" s="13" t="s">
        <v>2103</v>
      </c>
      <c r="O166" s="13" t="s">
        <v>279</v>
      </c>
      <c r="P166" s="13" t="s">
        <v>279</v>
      </c>
      <c r="Q166" s="22">
        <v>1.5</v>
      </c>
      <c r="R166" s="23">
        <v>538263</v>
      </c>
      <c r="V166" s="85" t="s">
        <v>443</v>
      </c>
      <c r="X166" s="11" t="s">
        <v>467</v>
      </c>
      <c r="Y166" s="12"/>
      <c r="Z166" s="18">
        <f>ROUND(R166*'Data-CostAssumptions'!$C$4,-3)</f>
        <v>538000</v>
      </c>
      <c r="AA166" s="11">
        <f t="shared" si="8"/>
        <v>1</v>
      </c>
      <c r="AB166" s="11">
        <v>2041</v>
      </c>
      <c r="AC166" s="11">
        <v>2041</v>
      </c>
      <c r="AD166" s="11">
        <v>2041</v>
      </c>
      <c r="AE166" s="19">
        <f>ROUND((Z166*'Data-CostAssumptions'!$G$5)*(1+'Data-CostAssumptions'!$G$3)^(AB166-'Data-CostAssumptions'!$G$4),-3)</f>
        <v>303000</v>
      </c>
      <c r="AF166" s="19">
        <f>ROUND((Z166)*(1+'Data-CostAssumptions'!$G$3)^(AD166-'Data-CostAssumptions'!$G$4),-3)</f>
        <v>1379000</v>
      </c>
      <c r="AG166" s="170" t="str">
        <f t="shared" si="9"/>
        <v>No</v>
      </c>
    </row>
    <row r="167" spans="1:33" ht="15" customHeight="1" x14ac:dyDescent="0.2">
      <c r="B167" s="11" t="s">
        <v>1211</v>
      </c>
      <c r="C167" s="13">
        <v>228</v>
      </c>
      <c r="D167" s="13" t="s">
        <v>420</v>
      </c>
      <c r="E167" s="20">
        <v>65</v>
      </c>
      <c r="F167" s="20">
        <v>152</v>
      </c>
      <c r="G167" s="20">
        <v>442</v>
      </c>
      <c r="H167" s="13" t="s">
        <v>1935</v>
      </c>
      <c r="I167" s="13" t="str">
        <f t="shared" si="10"/>
        <v>Old Griffin Rd/NW 4th St (Federal Hwy to Griffin Rd)</v>
      </c>
      <c r="J167" s="13" t="s">
        <v>27</v>
      </c>
      <c r="K167" s="13" t="str">
        <f>VLOOKUP(J167,'Data-ProjectTypes'!A$3:B$13,2,FALSE)</f>
        <v>Program</v>
      </c>
      <c r="L167" s="21" t="s">
        <v>348</v>
      </c>
      <c r="M167" s="13" t="s">
        <v>2595</v>
      </c>
      <c r="N167" s="13" t="s">
        <v>1750</v>
      </c>
      <c r="O167" s="13" t="s">
        <v>273</v>
      </c>
      <c r="P167" s="13" t="s">
        <v>273</v>
      </c>
      <c r="Q167" s="22">
        <v>1.1000000000000001</v>
      </c>
      <c r="R167" s="23">
        <v>386069</v>
      </c>
      <c r="S167" s="21"/>
      <c r="T167" s="21"/>
      <c r="U167" s="21"/>
      <c r="V167" s="24"/>
      <c r="W167" s="24"/>
      <c r="X167" s="24"/>
      <c r="Y167" s="17"/>
      <c r="Z167" s="18">
        <f>ROUND(R167*'Data-CostAssumptions'!$C$3,-3)</f>
        <v>534000</v>
      </c>
      <c r="AA167" s="11">
        <f t="shared" si="8"/>
        <v>0</v>
      </c>
      <c r="AB167" s="11">
        <v>2041</v>
      </c>
      <c r="AC167" s="11">
        <v>2041</v>
      </c>
      <c r="AD167" s="11">
        <v>2041</v>
      </c>
      <c r="AE167" s="19">
        <f>ROUND((Z167*'Data-CostAssumptions'!$G$5)*(1+'Data-CostAssumptions'!$G$3)^(AB167-'Data-CostAssumptions'!$G$4),-3)</f>
        <v>301000</v>
      </c>
      <c r="AF167" s="19">
        <f>ROUND((Z167)*(1+'Data-CostAssumptions'!$G$3)^(AD167-'Data-CostAssumptions'!$G$4),-3)</f>
        <v>1369000</v>
      </c>
      <c r="AG167" s="170" t="str">
        <f t="shared" si="9"/>
        <v>No</v>
      </c>
    </row>
    <row r="168" spans="1:33" ht="15" customHeight="1" x14ac:dyDescent="0.2">
      <c r="B168" s="11" t="s">
        <v>1211</v>
      </c>
      <c r="C168" s="13">
        <v>508</v>
      </c>
      <c r="D168" s="13" t="s">
        <v>420</v>
      </c>
      <c r="E168" s="20">
        <v>149</v>
      </c>
      <c r="F168" s="20">
        <v>169</v>
      </c>
      <c r="G168" s="20">
        <v>713</v>
      </c>
      <c r="H168" s="13" t="s">
        <v>1925</v>
      </c>
      <c r="I168" s="13" t="str">
        <f t="shared" si="10"/>
        <v>NW 57th St (University Dr to NW 94th Av)</v>
      </c>
      <c r="J168" s="13" t="s">
        <v>27</v>
      </c>
      <c r="K168" s="13" t="str">
        <f>VLOOKUP(J168,'Data-ProjectTypes'!A$3:B$13,2,FALSE)</f>
        <v>Program</v>
      </c>
      <c r="L168" s="21" t="s">
        <v>348</v>
      </c>
      <c r="M168" s="13" t="s">
        <v>1804</v>
      </c>
      <c r="N168" s="13" t="s">
        <v>2246</v>
      </c>
      <c r="O168" s="13" t="s">
        <v>280</v>
      </c>
      <c r="P168" s="13" t="s">
        <v>280</v>
      </c>
      <c r="Q168" s="22">
        <v>1.5</v>
      </c>
      <c r="R168" s="23">
        <v>533716</v>
      </c>
      <c r="S168" s="21"/>
      <c r="T168" s="21"/>
      <c r="U168" s="21"/>
      <c r="V168" s="24"/>
      <c r="W168" s="24"/>
      <c r="X168" s="24"/>
      <c r="Y168" s="17"/>
      <c r="Z168" s="18">
        <f>ROUND(R168*'Data-CostAssumptions'!$C$8,-3)</f>
        <v>534000</v>
      </c>
      <c r="AA168" s="11">
        <f t="shared" si="8"/>
        <v>0</v>
      </c>
      <c r="AB168" s="11">
        <v>2041</v>
      </c>
      <c r="AC168" s="11">
        <v>2041</v>
      </c>
      <c r="AD168" s="11">
        <v>2041</v>
      </c>
      <c r="AE168" s="19">
        <f>ROUND((Z168*'Data-CostAssumptions'!$G$5)*(1+'Data-CostAssumptions'!$G$3)^(AB168-'Data-CostAssumptions'!$G$4),-3)</f>
        <v>301000</v>
      </c>
      <c r="AF168" s="19">
        <f>ROUND((Z168)*(1+'Data-CostAssumptions'!$G$3)^(AD168-'Data-CostAssumptions'!$G$4),-3)</f>
        <v>1369000</v>
      </c>
      <c r="AG168" s="170" t="str">
        <f t="shared" si="9"/>
        <v>No</v>
      </c>
    </row>
    <row r="169" spans="1:33" ht="15" customHeight="1" x14ac:dyDescent="0.2">
      <c r="A169" s="12"/>
      <c r="B169" s="11" t="s">
        <v>1211</v>
      </c>
      <c r="C169" s="12"/>
      <c r="D169" s="84" t="s">
        <v>276</v>
      </c>
      <c r="E169" s="104">
        <v>29</v>
      </c>
      <c r="F169" s="104"/>
      <c r="G169" s="20">
        <v>1584</v>
      </c>
      <c r="H169" s="13" t="s">
        <v>2168</v>
      </c>
      <c r="I169" s="13" t="str">
        <f t="shared" si="10"/>
        <v>NW 31ST Av/LYONS RD (CYPRESS CREEK RD/NW 62ND ST to MCNAB RD)</v>
      </c>
      <c r="J169" s="12" t="s">
        <v>27</v>
      </c>
      <c r="K169" s="13" t="str">
        <f>VLOOKUP(J169,'Data-ProjectTypes'!A$3:B$13,2,FALSE)</f>
        <v>Program</v>
      </c>
      <c r="L169" s="12" t="s">
        <v>1354</v>
      </c>
      <c r="M169" s="105" t="s">
        <v>1448</v>
      </c>
      <c r="N169" s="12" t="s">
        <v>1227</v>
      </c>
      <c r="O169" s="12"/>
      <c r="P169" s="12"/>
      <c r="Q169" s="72">
        <v>0.5</v>
      </c>
      <c r="R169" s="23">
        <v>386100</v>
      </c>
      <c r="Y169" s="12"/>
      <c r="Z169" s="18">
        <f>ROUND(R169*'Data-CostAssumptions'!$C$3,-3)</f>
        <v>534000</v>
      </c>
      <c r="AA169" s="11">
        <f t="shared" si="8"/>
        <v>0</v>
      </c>
      <c r="AB169" s="11">
        <v>2041</v>
      </c>
      <c r="AC169" s="11">
        <v>2041</v>
      </c>
      <c r="AD169" s="11">
        <v>2041</v>
      </c>
      <c r="AE169" s="19">
        <f>ROUND((Z169*'Data-CostAssumptions'!$G$5)*(1+'Data-CostAssumptions'!$G$3)^(AB169-'Data-CostAssumptions'!$G$4),-3)</f>
        <v>301000</v>
      </c>
      <c r="AF169" s="19">
        <f>ROUND((Z169)*(1+'Data-CostAssumptions'!$G$3)^(AD169-'Data-CostAssumptions'!$G$4),-3)</f>
        <v>1369000</v>
      </c>
      <c r="AG169" s="170" t="str">
        <f t="shared" si="9"/>
        <v>No</v>
      </c>
    </row>
    <row r="170" spans="1:33" ht="15" customHeight="1" x14ac:dyDescent="0.2">
      <c r="A170" s="12"/>
      <c r="B170" s="11" t="s">
        <v>1211</v>
      </c>
      <c r="C170" s="12"/>
      <c r="D170" s="84" t="s">
        <v>276</v>
      </c>
      <c r="E170" s="104">
        <v>66</v>
      </c>
      <c r="F170" s="104"/>
      <c r="G170" s="20">
        <v>1588</v>
      </c>
      <c r="H170" s="13" t="s">
        <v>1982</v>
      </c>
      <c r="I170" s="13" t="str">
        <f t="shared" si="10"/>
        <v>NW 7th Av (BROWARD Bl to NW 6TH ST/SISTRUNK Bl)</v>
      </c>
      <c r="J170" s="12" t="s">
        <v>27</v>
      </c>
      <c r="K170" s="13" t="str">
        <f>VLOOKUP(J170,'Data-ProjectTypes'!A$3:B$13,2,FALSE)</f>
        <v>Program</v>
      </c>
      <c r="L170" s="12" t="s">
        <v>1334</v>
      </c>
      <c r="M170" s="105" t="s">
        <v>1988</v>
      </c>
      <c r="N170" s="12" t="s">
        <v>2304</v>
      </c>
      <c r="O170" s="12"/>
      <c r="P170" s="12"/>
      <c r="Q170" s="72">
        <v>0.5</v>
      </c>
      <c r="R170" s="23">
        <v>386100</v>
      </c>
      <c r="Y170" s="12"/>
      <c r="Z170" s="18">
        <f>ROUND(R170*'Data-CostAssumptions'!$C$3,-3)</f>
        <v>534000</v>
      </c>
      <c r="AA170" s="11">
        <f t="shared" si="8"/>
        <v>0</v>
      </c>
      <c r="AB170" s="11">
        <v>2041</v>
      </c>
      <c r="AC170" s="11">
        <v>2041</v>
      </c>
      <c r="AD170" s="11">
        <v>2041</v>
      </c>
      <c r="AE170" s="19">
        <f>ROUND((Z170*'Data-CostAssumptions'!$G$5)*(1+'Data-CostAssumptions'!$G$3)^(AB170-'Data-CostAssumptions'!$G$4),-3)</f>
        <v>301000</v>
      </c>
      <c r="AF170" s="19">
        <f>ROUND((Z170)*(1+'Data-CostAssumptions'!$G$3)^(AD170-'Data-CostAssumptions'!$G$4),-3)</f>
        <v>1369000</v>
      </c>
      <c r="AG170" s="170" t="str">
        <f t="shared" si="9"/>
        <v>No</v>
      </c>
    </row>
    <row r="171" spans="1:33" ht="15" customHeight="1" x14ac:dyDescent="0.2">
      <c r="B171" s="11" t="s">
        <v>1211</v>
      </c>
      <c r="C171" s="13">
        <v>595</v>
      </c>
      <c r="D171" s="13" t="s">
        <v>420</v>
      </c>
      <c r="E171" s="20">
        <v>143</v>
      </c>
      <c r="F171" s="20">
        <v>175</v>
      </c>
      <c r="G171" s="20">
        <v>799</v>
      </c>
      <c r="H171" s="13" t="s">
        <v>1189</v>
      </c>
      <c r="I171" s="13" t="str">
        <f t="shared" si="10"/>
        <v>NW 44th St (Rock Island Rd to NW 65th Av)</v>
      </c>
      <c r="J171" s="13" t="s">
        <v>27</v>
      </c>
      <c r="K171" s="13" t="str">
        <f>VLOOKUP(J171,'Data-ProjectTypes'!A$3:B$13,2,FALSE)</f>
        <v>Program</v>
      </c>
      <c r="L171" s="21" t="s">
        <v>348</v>
      </c>
      <c r="M171" s="13" t="s">
        <v>1768</v>
      </c>
      <c r="N171" s="13" t="s">
        <v>2245</v>
      </c>
      <c r="O171" s="13" t="s">
        <v>281</v>
      </c>
      <c r="P171" s="13" t="s">
        <v>281</v>
      </c>
      <c r="Q171" s="22">
        <v>1.1000000000000001</v>
      </c>
      <c r="R171" s="23">
        <v>385474</v>
      </c>
      <c r="V171" s="85" t="s">
        <v>1165</v>
      </c>
      <c r="Y171" s="12"/>
      <c r="Z171" s="18">
        <f>ROUND(R171*'Data-CostAssumptions'!$C$3,-3)</f>
        <v>533000</v>
      </c>
      <c r="AA171" s="11">
        <f t="shared" si="8"/>
        <v>1</v>
      </c>
      <c r="AB171" s="11">
        <v>2041</v>
      </c>
      <c r="AC171" s="11">
        <v>2041</v>
      </c>
      <c r="AD171" s="11">
        <v>2041</v>
      </c>
      <c r="AE171" s="19">
        <f>ROUND((Z171*'Data-CostAssumptions'!$G$5)*(1+'Data-CostAssumptions'!$G$3)^(AB171-'Data-CostAssumptions'!$G$4),-3)</f>
        <v>301000</v>
      </c>
      <c r="AF171" s="19">
        <f>ROUND((Z171)*(1+'Data-CostAssumptions'!$G$3)^(AD171-'Data-CostAssumptions'!$G$4),-3)</f>
        <v>1367000</v>
      </c>
      <c r="AG171" s="170" t="str">
        <f t="shared" si="9"/>
        <v>No</v>
      </c>
    </row>
    <row r="172" spans="1:33" ht="15" customHeight="1" x14ac:dyDescent="0.2">
      <c r="A172" s="12"/>
      <c r="B172" s="11" t="s">
        <v>1211</v>
      </c>
      <c r="C172" s="12"/>
      <c r="D172" s="84" t="s">
        <v>276</v>
      </c>
      <c r="E172" s="104">
        <v>81</v>
      </c>
      <c r="F172" s="104"/>
      <c r="G172" s="20">
        <v>1604</v>
      </c>
      <c r="H172" s="13" t="s">
        <v>2179</v>
      </c>
      <c r="I172" s="13" t="str">
        <f t="shared" si="10"/>
        <v>SE 3RD Av (SE 17TH ST to DAVIE Bl)</v>
      </c>
      <c r="J172" s="12" t="s">
        <v>27</v>
      </c>
      <c r="K172" s="13" t="str">
        <f>VLOOKUP(J172,'Data-ProjectTypes'!A$3:B$13,2,FALSE)</f>
        <v>Program</v>
      </c>
      <c r="L172" s="12" t="s">
        <v>1371</v>
      </c>
      <c r="M172" s="105" t="s">
        <v>1245</v>
      </c>
      <c r="N172" s="12" t="s">
        <v>1991</v>
      </c>
      <c r="O172" s="12"/>
      <c r="P172" s="12"/>
      <c r="Q172" s="72">
        <v>0.5</v>
      </c>
      <c r="R172" s="23">
        <v>384100</v>
      </c>
      <c r="Y172" s="12"/>
      <c r="Z172" s="18">
        <f>ROUND(R172*'Data-CostAssumptions'!$C$3,-3)</f>
        <v>532000</v>
      </c>
      <c r="AA172" s="11">
        <f t="shared" si="8"/>
        <v>0</v>
      </c>
      <c r="AB172" s="11">
        <v>2041</v>
      </c>
      <c r="AC172" s="11">
        <v>2041</v>
      </c>
      <c r="AD172" s="11">
        <v>2041</v>
      </c>
      <c r="AE172" s="19">
        <f>ROUND((Z172*'Data-CostAssumptions'!$G$5)*(1+'Data-CostAssumptions'!$G$3)^(AB172-'Data-CostAssumptions'!$G$4),-3)</f>
        <v>300000</v>
      </c>
      <c r="AF172" s="19">
        <f>ROUND((Z172)*(1+'Data-CostAssumptions'!$G$3)^(AD172-'Data-CostAssumptions'!$G$4),-3)</f>
        <v>1364000</v>
      </c>
      <c r="AG172" s="170" t="str">
        <f t="shared" si="9"/>
        <v>No</v>
      </c>
    </row>
    <row r="173" spans="1:33" ht="15" customHeight="1" x14ac:dyDescent="0.2">
      <c r="B173" s="11" t="s">
        <v>1211</v>
      </c>
      <c r="C173" s="13">
        <v>435</v>
      </c>
      <c r="D173" s="13" t="s">
        <v>420</v>
      </c>
      <c r="E173" s="20">
        <v>167</v>
      </c>
      <c r="F173" s="20">
        <v>165</v>
      </c>
      <c r="G173" s="20">
        <v>645</v>
      </c>
      <c r="H173" s="13" t="s">
        <v>1921</v>
      </c>
      <c r="I173" s="13" t="str">
        <f t="shared" si="10"/>
        <v>NW 40th St (Woodside Dr to NW 90th Av)</v>
      </c>
      <c r="J173" s="13" t="s">
        <v>27</v>
      </c>
      <c r="K173" s="13" t="str">
        <f>VLOOKUP(J173,'Data-ProjectTypes'!A$3:B$13,2,FALSE)</f>
        <v>Program</v>
      </c>
      <c r="L173" s="21" t="s">
        <v>348</v>
      </c>
      <c r="M173" s="13" t="s">
        <v>2665</v>
      </c>
      <c r="N173" s="13" t="s">
        <v>2244</v>
      </c>
      <c r="O173" s="13" t="s">
        <v>292</v>
      </c>
      <c r="P173" s="13" t="s">
        <v>292</v>
      </c>
      <c r="Q173" s="22">
        <v>1.1000000000000001</v>
      </c>
      <c r="R173" s="23">
        <v>383518</v>
      </c>
      <c r="Y173" s="17"/>
      <c r="Z173" s="18">
        <f>ROUND(R173*'Data-CostAssumptions'!$C$3,-3)</f>
        <v>531000</v>
      </c>
      <c r="AA173" s="11">
        <f t="shared" si="8"/>
        <v>0</v>
      </c>
      <c r="AB173" s="11">
        <v>2041</v>
      </c>
      <c r="AC173" s="11">
        <v>2041</v>
      </c>
      <c r="AD173" s="11">
        <v>2041</v>
      </c>
      <c r="AE173" s="19">
        <f>ROUND((Z173*'Data-CostAssumptions'!$G$5)*(1+'Data-CostAssumptions'!$G$3)^(AB173-'Data-CostAssumptions'!$G$4),-3)</f>
        <v>300000</v>
      </c>
      <c r="AF173" s="19">
        <f>ROUND((Z173)*(1+'Data-CostAssumptions'!$G$3)^(AD173-'Data-CostAssumptions'!$G$4),-3)</f>
        <v>1361000</v>
      </c>
      <c r="AG173" s="170" t="str">
        <f t="shared" si="9"/>
        <v>No</v>
      </c>
    </row>
    <row r="174" spans="1:33" ht="15" customHeight="1" x14ac:dyDescent="0.2">
      <c r="B174" s="11" t="s">
        <v>1211</v>
      </c>
      <c r="C174" s="13">
        <v>197</v>
      </c>
      <c r="D174" s="13" t="s">
        <v>420</v>
      </c>
      <c r="E174" s="20">
        <v>68</v>
      </c>
      <c r="F174" s="20">
        <v>151</v>
      </c>
      <c r="G174" s="20">
        <v>412</v>
      </c>
      <c r="H174" s="13" t="s">
        <v>1770</v>
      </c>
      <c r="I174" s="13" t="str">
        <f t="shared" si="10"/>
        <v>South Miami Rd (Andrews Av to SE 17th St)</v>
      </c>
      <c r="J174" s="13" t="s">
        <v>27</v>
      </c>
      <c r="K174" s="13" t="str">
        <f>VLOOKUP(J174,'Data-ProjectTypes'!A$3:B$13,2,FALSE)</f>
        <v>Program</v>
      </c>
      <c r="L174" s="21" t="s">
        <v>348</v>
      </c>
      <c r="M174" s="13" t="s">
        <v>2014</v>
      </c>
      <c r="N174" s="13" t="s">
        <v>182</v>
      </c>
      <c r="O174" s="13" t="s">
        <v>276</v>
      </c>
      <c r="P174" s="13" t="s">
        <v>276</v>
      </c>
      <c r="Q174" s="22">
        <v>1.1000000000000001</v>
      </c>
      <c r="R174" s="23">
        <v>383102</v>
      </c>
      <c r="S174" s="21"/>
      <c r="T174" s="21"/>
      <c r="U174" s="21"/>
      <c r="V174" s="24"/>
      <c r="W174" s="24"/>
      <c r="X174" s="24"/>
      <c r="Y174" s="17"/>
      <c r="Z174" s="18">
        <f>ROUND(R174*'Data-CostAssumptions'!$C$3,-3)</f>
        <v>530000</v>
      </c>
      <c r="AA174" s="11">
        <f t="shared" si="8"/>
        <v>0</v>
      </c>
      <c r="AB174" s="11">
        <v>2041</v>
      </c>
      <c r="AC174" s="11">
        <v>2041</v>
      </c>
      <c r="AD174" s="11">
        <v>2041</v>
      </c>
      <c r="AE174" s="19">
        <f>ROUND((Z174*'Data-CostAssumptions'!$G$5)*(1+'Data-CostAssumptions'!$G$3)^(AB174-'Data-CostAssumptions'!$G$4),-3)</f>
        <v>299000</v>
      </c>
      <c r="AF174" s="19">
        <f>ROUND((Z174)*(1+'Data-CostAssumptions'!$G$3)^(AD174-'Data-CostAssumptions'!$G$4),-3)</f>
        <v>1359000</v>
      </c>
      <c r="AG174" s="170" t="str">
        <f t="shared" si="9"/>
        <v>No</v>
      </c>
    </row>
    <row r="175" spans="1:33" ht="15" customHeight="1" x14ac:dyDescent="0.2">
      <c r="B175" s="11" t="s">
        <v>1211</v>
      </c>
      <c r="C175" s="13">
        <v>361</v>
      </c>
      <c r="D175" s="13" t="s">
        <v>420</v>
      </c>
      <c r="E175" s="20">
        <v>106</v>
      </c>
      <c r="F175" s="20">
        <v>161</v>
      </c>
      <c r="G175" s="20">
        <v>572</v>
      </c>
      <c r="H175" s="13" t="s">
        <v>2755</v>
      </c>
      <c r="I175" s="13" t="str">
        <f t="shared" si="10"/>
        <v>SR 811/Dixie Hwy (Sample Rd to NE 48th St)</v>
      </c>
      <c r="J175" s="13" t="s">
        <v>27</v>
      </c>
      <c r="K175" s="13" t="str">
        <f>VLOOKUP(J175,'Data-ProjectTypes'!A$3:B$13,2,FALSE)</f>
        <v>Program</v>
      </c>
      <c r="L175" s="21" t="s">
        <v>348</v>
      </c>
      <c r="M175" s="13" t="s">
        <v>1864</v>
      </c>
      <c r="N175" s="13" t="s">
        <v>1895</v>
      </c>
      <c r="O175" s="13" t="s">
        <v>270</v>
      </c>
      <c r="P175" s="13" t="s">
        <v>270</v>
      </c>
      <c r="Q175" s="22">
        <v>1</v>
      </c>
      <c r="R175" s="23">
        <v>376314</v>
      </c>
      <c r="S175" s="21" t="s">
        <v>24</v>
      </c>
      <c r="T175" s="21" t="s">
        <v>24</v>
      </c>
      <c r="U175" s="21"/>
      <c r="V175" s="24"/>
      <c r="W175" s="24"/>
      <c r="X175" s="24"/>
      <c r="Y175" s="17" t="s">
        <v>469</v>
      </c>
      <c r="Z175" s="18">
        <f>ROUND(R175*'Data-CostAssumptions'!$C$3,-3)</f>
        <v>521000</v>
      </c>
      <c r="AA175" s="11">
        <f t="shared" si="8"/>
        <v>0</v>
      </c>
      <c r="AB175" s="11">
        <v>2041</v>
      </c>
      <c r="AC175" s="11">
        <v>2041</v>
      </c>
      <c r="AD175" s="11">
        <v>2041</v>
      </c>
      <c r="AE175" s="19">
        <f>ROUND((Z175*'Data-CostAssumptions'!$G$5)*(1+'Data-CostAssumptions'!$G$3)^(AB175-'Data-CostAssumptions'!$G$4),-3)</f>
        <v>294000</v>
      </c>
      <c r="AF175" s="19">
        <f>ROUND((Z175)*(1+'Data-CostAssumptions'!$G$3)^(AD175-'Data-CostAssumptions'!$G$4),-3)</f>
        <v>1336000</v>
      </c>
      <c r="AG175" s="170" t="str">
        <f t="shared" si="9"/>
        <v>No</v>
      </c>
    </row>
    <row r="176" spans="1:33" ht="15" customHeight="1" x14ac:dyDescent="0.2">
      <c r="B176" s="11" t="s">
        <v>1211</v>
      </c>
      <c r="C176" s="13">
        <v>384</v>
      </c>
      <c r="D176" s="13" t="s">
        <v>420</v>
      </c>
      <c r="E176" s="20">
        <v>270</v>
      </c>
      <c r="F176" s="20">
        <v>162</v>
      </c>
      <c r="G176" s="20">
        <v>595</v>
      </c>
      <c r="H176" s="13" t="s">
        <v>2784</v>
      </c>
      <c r="I176" s="13" t="str">
        <f t="shared" si="10"/>
        <v>SR 818/Griffin Rd (Florida's Turnpike to Davie Rd)</v>
      </c>
      <c r="J176" s="13" t="s">
        <v>27</v>
      </c>
      <c r="K176" s="13" t="str">
        <f>VLOOKUP(J176,'Data-ProjectTypes'!A$3:B$13,2,FALSE)</f>
        <v>Program</v>
      </c>
      <c r="L176" s="21" t="s">
        <v>348</v>
      </c>
      <c r="M176" s="13" t="s">
        <v>42</v>
      </c>
      <c r="N176" s="13" t="s">
        <v>1845</v>
      </c>
      <c r="O176" s="13" t="s">
        <v>270</v>
      </c>
      <c r="P176" s="13" t="s">
        <v>270</v>
      </c>
      <c r="Q176" s="22">
        <v>1</v>
      </c>
      <c r="R176" s="23">
        <v>374782</v>
      </c>
      <c r="S176" s="21"/>
      <c r="T176" s="21"/>
      <c r="U176" s="21"/>
      <c r="V176" s="24"/>
      <c r="W176" s="24"/>
      <c r="X176" s="24"/>
      <c r="Y176" s="17"/>
      <c r="Z176" s="71">
        <f>ROUND(R176*'Data-CostAssumptions'!$C$3,-3)</f>
        <v>519000</v>
      </c>
      <c r="AA176" s="11">
        <f t="shared" si="8"/>
        <v>0</v>
      </c>
      <c r="AB176" s="11">
        <v>2041</v>
      </c>
      <c r="AC176" s="11">
        <v>2041</v>
      </c>
      <c r="AD176" s="11">
        <v>2041</v>
      </c>
      <c r="AE176" s="19">
        <f>ROUND((Z176*'Data-CostAssumptions'!$G$5)*(1+'Data-CostAssumptions'!$G$3)^(AB176-'Data-CostAssumptions'!$G$4),-3)</f>
        <v>293000</v>
      </c>
      <c r="AF176" s="19">
        <f>ROUND((Z176)*(1+'Data-CostAssumptions'!$G$3)^(AD176-'Data-CostAssumptions'!$G$4),-3)</f>
        <v>1331000</v>
      </c>
      <c r="AG176" s="170" t="str">
        <f t="shared" si="9"/>
        <v>No</v>
      </c>
    </row>
    <row r="177" spans="1:33" ht="15" customHeight="1" x14ac:dyDescent="0.2">
      <c r="B177" s="11" t="s">
        <v>1211</v>
      </c>
      <c r="C177" s="13">
        <v>233</v>
      </c>
      <c r="D177" s="13" t="s">
        <v>420</v>
      </c>
      <c r="E177" s="20">
        <v>107</v>
      </c>
      <c r="F177" s="20">
        <v>153</v>
      </c>
      <c r="G177" s="20">
        <v>447</v>
      </c>
      <c r="H177" s="13" t="s">
        <v>2755</v>
      </c>
      <c r="I177" s="13" t="str">
        <f t="shared" si="10"/>
        <v>SR 811/Dixie Hwy (Copans Rd to Sample Rd)</v>
      </c>
      <c r="J177" s="13" t="s">
        <v>27</v>
      </c>
      <c r="K177" s="13" t="str">
        <f>VLOOKUP(J177,'Data-ProjectTypes'!A$3:B$13,2,FALSE)</f>
        <v>Program</v>
      </c>
      <c r="L177" s="21" t="s">
        <v>348</v>
      </c>
      <c r="M177" s="13" t="s">
        <v>1836</v>
      </c>
      <c r="N177" s="13" t="s">
        <v>1864</v>
      </c>
      <c r="O177" s="13" t="s">
        <v>270</v>
      </c>
      <c r="P177" s="13" t="s">
        <v>270</v>
      </c>
      <c r="Q177" s="22">
        <v>1</v>
      </c>
      <c r="R177" s="23">
        <v>374380</v>
      </c>
      <c r="S177" s="21"/>
      <c r="T177" s="21"/>
      <c r="U177" s="21"/>
      <c r="V177" s="24"/>
      <c r="W177" s="24"/>
      <c r="X177" s="24"/>
      <c r="Y177" s="17"/>
      <c r="Z177" s="18">
        <f>ROUND(R177*'Data-CostAssumptions'!$C$3,-3)</f>
        <v>518000</v>
      </c>
      <c r="AA177" s="11">
        <f t="shared" si="8"/>
        <v>0</v>
      </c>
      <c r="AB177" s="11">
        <v>2041</v>
      </c>
      <c r="AC177" s="11">
        <v>2041</v>
      </c>
      <c r="AD177" s="11">
        <v>2041</v>
      </c>
      <c r="AE177" s="19">
        <f>ROUND((Z177*'Data-CostAssumptions'!$G$5)*(1+'Data-CostAssumptions'!$G$3)^(AB177-'Data-CostAssumptions'!$G$4),-3)</f>
        <v>292000</v>
      </c>
      <c r="AF177" s="19">
        <f>ROUND((Z177)*(1+'Data-CostAssumptions'!$G$3)^(AD177-'Data-CostAssumptions'!$G$4),-3)</f>
        <v>1328000</v>
      </c>
      <c r="AG177" s="170" t="str">
        <f t="shared" si="9"/>
        <v>No</v>
      </c>
    </row>
    <row r="178" spans="1:33" ht="15" customHeight="1" x14ac:dyDescent="0.2">
      <c r="A178" s="12"/>
      <c r="B178" s="11" t="s">
        <v>1211</v>
      </c>
      <c r="C178" s="12"/>
      <c r="D178" s="84" t="s">
        <v>276</v>
      </c>
      <c r="E178" s="104">
        <v>65</v>
      </c>
      <c r="F178" s="104"/>
      <c r="G178" s="20">
        <v>1589</v>
      </c>
      <c r="H178" s="13" t="s">
        <v>1982</v>
      </c>
      <c r="I178" s="13" t="str">
        <f t="shared" si="10"/>
        <v>NW 7th Av (NW 6TH ST/SISTRUNK Bl to SUNRISE Bl/SR 838)</v>
      </c>
      <c r="J178" s="12" t="s">
        <v>27</v>
      </c>
      <c r="K178" s="13" t="str">
        <f>VLOOKUP(J178,'Data-ProjectTypes'!A$3:B$13,2,FALSE)</f>
        <v>Program</v>
      </c>
      <c r="L178" s="12" t="s">
        <v>1336</v>
      </c>
      <c r="M178" s="105" t="s">
        <v>2304</v>
      </c>
      <c r="N178" s="12" t="s">
        <v>2305</v>
      </c>
      <c r="O178" s="12"/>
      <c r="P178" s="12"/>
      <c r="Q178" s="72">
        <v>0.5</v>
      </c>
      <c r="R178" s="23">
        <v>371250</v>
      </c>
      <c r="Y178" s="12"/>
      <c r="Z178" s="18">
        <f>ROUND(R178*'Data-CostAssumptions'!$C$3,-3)</f>
        <v>514000</v>
      </c>
      <c r="AA178" s="11">
        <f t="shared" si="8"/>
        <v>0</v>
      </c>
      <c r="AB178" s="11">
        <v>2041</v>
      </c>
      <c r="AC178" s="11">
        <v>2041</v>
      </c>
      <c r="AD178" s="11">
        <v>2041</v>
      </c>
      <c r="AE178" s="19">
        <f>ROUND((Z178*'Data-CostAssumptions'!$G$5)*(1+'Data-CostAssumptions'!$G$3)^(AB178-'Data-CostAssumptions'!$G$4),-3)</f>
        <v>290000</v>
      </c>
      <c r="AF178" s="19">
        <f>ROUND((Z178)*(1+'Data-CostAssumptions'!$G$3)^(AD178-'Data-CostAssumptions'!$G$4),-3)</f>
        <v>1318000</v>
      </c>
      <c r="AG178" s="170" t="str">
        <f t="shared" si="9"/>
        <v>No</v>
      </c>
    </row>
    <row r="179" spans="1:33" ht="15" customHeight="1" x14ac:dyDescent="0.2">
      <c r="B179" s="11" t="s">
        <v>1211</v>
      </c>
      <c r="C179" s="13">
        <v>355</v>
      </c>
      <c r="D179" s="13" t="s">
        <v>420</v>
      </c>
      <c r="E179" s="20">
        <v>78</v>
      </c>
      <c r="F179" s="20">
        <v>160</v>
      </c>
      <c r="G179" s="20">
        <v>566</v>
      </c>
      <c r="H179" s="13" t="s">
        <v>1982</v>
      </c>
      <c r="I179" s="13" t="str">
        <f t="shared" si="10"/>
        <v>NW 7th Av (Sunrise Bl to NW 18th St)</v>
      </c>
      <c r="J179" s="13" t="s">
        <v>27</v>
      </c>
      <c r="K179" s="13" t="str">
        <f>VLOOKUP(J179,'Data-ProjectTypes'!A$3:B$13,2,FALSE)</f>
        <v>Program</v>
      </c>
      <c r="L179" s="21" t="s">
        <v>348</v>
      </c>
      <c r="M179" s="13" t="s">
        <v>1830</v>
      </c>
      <c r="N179" s="13" t="s">
        <v>2480</v>
      </c>
      <c r="O179" s="13" t="s">
        <v>276</v>
      </c>
      <c r="P179" s="13" t="s">
        <v>276</v>
      </c>
      <c r="Q179" s="22">
        <v>1</v>
      </c>
      <c r="R179" s="23">
        <v>370638</v>
      </c>
      <c r="S179" s="21" t="s">
        <v>24</v>
      </c>
      <c r="T179" s="21" t="s">
        <v>25</v>
      </c>
      <c r="U179" s="21" t="s">
        <v>24</v>
      </c>
      <c r="V179" s="24" t="s">
        <v>691</v>
      </c>
      <c r="W179" s="24"/>
      <c r="X179" s="24"/>
      <c r="Y179" s="17" t="s">
        <v>685</v>
      </c>
      <c r="Z179" s="18">
        <f>ROUND(R179*'Data-CostAssumptions'!$C$3,-3)</f>
        <v>513000</v>
      </c>
      <c r="AA179" s="11">
        <f t="shared" si="8"/>
        <v>1</v>
      </c>
      <c r="AB179" s="11">
        <v>2041</v>
      </c>
      <c r="AC179" s="11">
        <v>2041</v>
      </c>
      <c r="AD179" s="11">
        <v>2041</v>
      </c>
      <c r="AE179" s="19">
        <f>ROUND((Z179*'Data-CostAssumptions'!$G$5)*(1+'Data-CostAssumptions'!$G$3)^(AB179-'Data-CostAssumptions'!$G$4),-3)</f>
        <v>289000</v>
      </c>
      <c r="AF179" s="19">
        <f>ROUND((Z179)*(1+'Data-CostAssumptions'!$G$3)^(AD179-'Data-CostAssumptions'!$G$4),-3)</f>
        <v>1315000</v>
      </c>
      <c r="AG179" s="170" t="str">
        <f t="shared" si="9"/>
        <v>No</v>
      </c>
    </row>
    <row r="180" spans="1:33" ht="15" customHeight="1" x14ac:dyDescent="0.2">
      <c r="B180" s="11" t="s">
        <v>1211</v>
      </c>
      <c r="C180" s="13">
        <v>301</v>
      </c>
      <c r="D180" s="13" t="s">
        <v>420</v>
      </c>
      <c r="E180" s="20">
        <v>183</v>
      </c>
      <c r="F180" s="20">
        <v>157</v>
      </c>
      <c r="G180" s="20">
        <v>513</v>
      </c>
      <c r="H180" s="13" t="s">
        <v>1776</v>
      </c>
      <c r="I180" s="13" t="str">
        <f t="shared" si="10"/>
        <v>West Copans Rd (NW 1st Av to Andrews Av)</v>
      </c>
      <c r="J180" s="13" t="s">
        <v>27</v>
      </c>
      <c r="K180" s="13" t="str">
        <f>VLOOKUP(J180,'Data-ProjectTypes'!A$3:B$13,2,FALSE)</f>
        <v>Program</v>
      </c>
      <c r="L180" s="21" t="s">
        <v>348</v>
      </c>
      <c r="M180" s="13" t="s">
        <v>2056</v>
      </c>
      <c r="N180" s="13" t="s">
        <v>2014</v>
      </c>
      <c r="O180" s="13" t="s">
        <v>273</v>
      </c>
      <c r="P180" s="13" t="s">
        <v>273</v>
      </c>
      <c r="Q180" s="22">
        <v>1</v>
      </c>
      <c r="R180" s="23">
        <v>369079</v>
      </c>
      <c r="S180" s="21" t="s">
        <v>24</v>
      </c>
      <c r="T180" s="21" t="s">
        <v>24</v>
      </c>
      <c r="U180" s="21"/>
      <c r="V180" s="24"/>
      <c r="W180" s="24"/>
      <c r="X180" s="24"/>
      <c r="Y180" s="17" t="s">
        <v>469</v>
      </c>
      <c r="Z180" s="18">
        <f>ROUND(R180*'Data-CostAssumptions'!$C$3,-3)</f>
        <v>511000</v>
      </c>
      <c r="AA180" s="11">
        <f t="shared" si="8"/>
        <v>0</v>
      </c>
      <c r="AB180" s="11">
        <v>2041</v>
      </c>
      <c r="AC180" s="11">
        <v>2041</v>
      </c>
      <c r="AD180" s="11">
        <v>2041</v>
      </c>
      <c r="AE180" s="19">
        <f>ROUND((Z180*'Data-CostAssumptions'!$G$5)*(1+'Data-CostAssumptions'!$G$3)^(AB180-'Data-CostAssumptions'!$G$4),-3)</f>
        <v>288000</v>
      </c>
      <c r="AF180" s="19">
        <f>ROUND((Z180)*(1+'Data-CostAssumptions'!$G$3)^(AD180-'Data-CostAssumptions'!$G$4),-3)</f>
        <v>1310000</v>
      </c>
      <c r="AG180" s="170" t="str">
        <f t="shared" si="9"/>
        <v>No</v>
      </c>
    </row>
    <row r="181" spans="1:33" ht="15" customHeight="1" x14ac:dyDescent="0.2">
      <c r="B181" s="11" t="s">
        <v>1211</v>
      </c>
      <c r="C181" s="13">
        <v>407</v>
      </c>
      <c r="D181" s="13" t="s">
        <v>420</v>
      </c>
      <c r="E181" s="20">
        <v>40</v>
      </c>
      <c r="F181" s="20">
        <v>164</v>
      </c>
      <c r="G181" s="20">
        <v>615</v>
      </c>
      <c r="H181" s="13" t="s">
        <v>2709</v>
      </c>
      <c r="I181" s="13" t="str">
        <f t="shared" si="10"/>
        <v>SR 817/University Dr (Sheridan St to Stirling Rd)</v>
      </c>
      <c r="J181" s="13" t="s">
        <v>27</v>
      </c>
      <c r="K181" s="13" t="str">
        <f>VLOOKUP(J181,'Data-ProjectTypes'!A$3:B$13,2,FALSE)</f>
        <v>Program</v>
      </c>
      <c r="L181" s="21" t="s">
        <v>348</v>
      </c>
      <c r="M181" s="13" t="s">
        <v>1951</v>
      </c>
      <c r="N181" s="13" t="s">
        <v>177</v>
      </c>
      <c r="O181" s="13" t="s">
        <v>270</v>
      </c>
      <c r="P181" s="13" t="s">
        <v>270</v>
      </c>
      <c r="Q181" s="22">
        <v>1</v>
      </c>
      <c r="R181" s="23">
        <v>369318</v>
      </c>
      <c r="Y181" s="17"/>
      <c r="Z181" s="18">
        <f>ROUND(R181*'Data-CostAssumptions'!$C$3,-3)</f>
        <v>511000</v>
      </c>
      <c r="AA181" s="11">
        <f t="shared" si="8"/>
        <v>0</v>
      </c>
      <c r="AB181" s="11">
        <v>2041</v>
      </c>
      <c r="AC181" s="11">
        <v>2041</v>
      </c>
      <c r="AD181" s="11">
        <v>2041</v>
      </c>
      <c r="AE181" s="19">
        <f>ROUND((Z181*'Data-CostAssumptions'!$G$5)*(1+'Data-CostAssumptions'!$G$3)^(AB181-'Data-CostAssumptions'!$G$4),-3)</f>
        <v>288000</v>
      </c>
      <c r="AF181" s="19">
        <f>ROUND((Z181)*(1+'Data-CostAssumptions'!$G$3)^(AD181-'Data-CostAssumptions'!$G$4),-3)</f>
        <v>1310000</v>
      </c>
      <c r="AG181" s="170" t="str">
        <f t="shared" si="9"/>
        <v>No</v>
      </c>
    </row>
    <row r="182" spans="1:33" ht="15" customHeight="1" x14ac:dyDescent="0.2">
      <c r="B182" s="11" t="s">
        <v>1211</v>
      </c>
      <c r="C182" s="13">
        <v>451</v>
      </c>
      <c r="D182" s="13" t="s">
        <v>420</v>
      </c>
      <c r="E182" s="20">
        <v>278</v>
      </c>
      <c r="F182" s="20">
        <v>166</v>
      </c>
      <c r="G182" s="20">
        <v>659</v>
      </c>
      <c r="H182" s="13" t="s">
        <v>2138</v>
      </c>
      <c r="I182" s="13" t="str">
        <f t="shared" si="10"/>
        <v>Taft St/186th Av (Pines Bl to NW 196th Av)</v>
      </c>
      <c r="J182" s="13" t="s">
        <v>27</v>
      </c>
      <c r="K182" s="13" t="str">
        <f>VLOOKUP(J182,'Data-ProjectTypes'!A$3:B$13,2,FALSE)</f>
        <v>Program</v>
      </c>
      <c r="L182" s="21" t="s">
        <v>348</v>
      </c>
      <c r="M182" s="13" t="s">
        <v>1826</v>
      </c>
      <c r="N182" s="13" t="s">
        <v>2055</v>
      </c>
      <c r="O182" s="13" t="s">
        <v>271</v>
      </c>
      <c r="P182" s="13" t="s">
        <v>271</v>
      </c>
      <c r="Q182" s="22">
        <v>1.4</v>
      </c>
      <c r="R182" s="23">
        <v>510996</v>
      </c>
      <c r="S182" s="21"/>
      <c r="T182" s="21"/>
      <c r="U182" s="21"/>
      <c r="V182" s="24"/>
      <c r="W182" s="24"/>
      <c r="X182" s="24"/>
      <c r="Y182" s="17" t="s">
        <v>846</v>
      </c>
      <c r="Z182" s="18">
        <f>ROUND(R182*'Data-CostAssumptions'!$C$8,-3)</f>
        <v>511000</v>
      </c>
      <c r="AA182" s="11">
        <f t="shared" si="8"/>
        <v>0</v>
      </c>
      <c r="AB182" s="11">
        <v>2041</v>
      </c>
      <c r="AC182" s="11">
        <v>2041</v>
      </c>
      <c r="AD182" s="11">
        <v>2041</v>
      </c>
      <c r="AE182" s="19">
        <f>ROUND((Z182*'Data-CostAssumptions'!$G$5)*(1+'Data-CostAssumptions'!$G$3)^(AB182-'Data-CostAssumptions'!$G$4),-3)</f>
        <v>288000</v>
      </c>
      <c r="AF182" s="19">
        <f>ROUND((Z182)*(1+'Data-CostAssumptions'!$G$3)^(AD182-'Data-CostAssumptions'!$G$4),-3)</f>
        <v>1310000</v>
      </c>
      <c r="AG182" s="170" t="str">
        <f t="shared" si="9"/>
        <v>No</v>
      </c>
    </row>
    <row r="183" spans="1:33" ht="15" customHeight="1" x14ac:dyDescent="0.2">
      <c r="B183" s="11" t="s">
        <v>1211</v>
      </c>
      <c r="C183" s="11">
        <v>10163</v>
      </c>
      <c r="D183" s="84" t="s">
        <v>276</v>
      </c>
      <c r="E183" s="14" t="s">
        <v>298</v>
      </c>
      <c r="F183" s="14">
        <v>149</v>
      </c>
      <c r="G183" s="20">
        <v>1523</v>
      </c>
      <c r="H183" s="13" t="s">
        <v>140</v>
      </c>
      <c r="I183" s="13" t="str">
        <f t="shared" si="10"/>
        <v>Snook Creek (I-95 to Powerline Rd)</v>
      </c>
      <c r="J183" s="11" t="s">
        <v>27</v>
      </c>
      <c r="K183" s="13" t="str">
        <f>VLOOKUP(J183,'Data-ProjectTypes'!A$3:B$13,2,FALSE)</f>
        <v>Program</v>
      </c>
      <c r="L183" s="11" t="s">
        <v>1223</v>
      </c>
      <c r="M183" s="106" t="s">
        <v>41</v>
      </c>
      <c r="N183" s="84" t="s">
        <v>1858</v>
      </c>
      <c r="O183" s="11" t="s">
        <v>270</v>
      </c>
      <c r="P183" s="11" t="s">
        <v>270</v>
      </c>
      <c r="Q183" s="107">
        <v>0.5</v>
      </c>
      <c r="R183" s="23">
        <v>511200</v>
      </c>
      <c r="Y183" s="12"/>
      <c r="Z183" s="71">
        <f>ROUND(R183*'Data-CostAssumptions'!$C$8,-3)</f>
        <v>511000</v>
      </c>
      <c r="AA183" s="11">
        <f t="shared" si="8"/>
        <v>0</v>
      </c>
      <c r="AB183" s="11">
        <v>2041</v>
      </c>
      <c r="AC183" s="11">
        <v>2041</v>
      </c>
      <c r="AD183" s="11">
        <v>2041</v>
      </c>
      <c r="AE183" s="19">
        <f>ROUND((Z183*'Data-CostAssumptions'!$G$5)*(1+'Data-CostAssumptions'!$G$3)^(AB183-'Data-CostAssumptions'!$G$4),-3)</f>
        <v>288000</v>
      </c>
      <c r="AF183" s="19">
        <f>ROUND((Z183)*(1+'Data-CostAssumptions'!$G$3)^(AD183-'Data-CostAssumptions'!$G$4),-3)</f>
        <v>1310000</v>
      </c>
      <c r="AG183" s="170" t="str">
        <f t="shared" si="9"/>
        <v>No</v>
      </c>
    </row>
    <row r="184" spans="1:33" ht="15" customHeight="1" x14ac:dyDescent="0.2">
      <c r="B184" s="11" t="s">
        <v>1211</v>
      </c>
      <c r="C184" s="13">
        <v>244</v>
      </c>
      <c r="D184" s="13" t="s">
        <v>420</v>
      </c>
      <c r="E184" s="20">
        <v>231</v>
      </c>
      <c r="F184" s="20">
        <v>154</v>
      </c>
      <c r="G184" s="20">
        <v>457</v>
      </c>
      <c r="H184" s="13" t="s">
        <v>2739</v>
      </c>
      <c r="I184" s="13" t="str">
        <f t="shared" si="10"/>
        <v>SR 838/West Sunrise Bl (State Rd 7/US 441 to Florida's Turnpike)</v>
      </c>
      <c r="J184" s="13" t="s">
        <v>27</v>
      </c>
      <c r="K184" s="13" t="str">
        <f>VLOOKUP(J184,'Data-ProjectTypes'!A$3:B$13,2,FALSE)</f>
        <v>Program</v>
      </c>
      <c r="L184" s="21" t="s">
        <v>348</v>
      </c>
      <c r="M184" s="13" t="s">
        <v>1773</v>
      </c>
      <c r="N184" s="13" t="s">
        <v>42</v>
      </c>
      <c r="O184" s="13" t="s">
        <v>270</v>
      </c>
      <c r="P184" s="13" t="s">
        <v>270</v>
      </c>
      <c r="Q184" s="22">
        <v>1</v>
      </c>
      <c r="R184" s="23">
        <v>367569</v>
      </c>
      <c r="S184" s="21"/>
      <c r="T184" s="21"/>
      <c r="U184" s="21"/>
      <c r="V184" s="24"/>
      <c r="W184" s="24"/>
      <c r="X184" s="24"/>
      <c r="Y184" s="17"/>
      <c r="Z184" s="18">
        <f>ROUND(R184*'Data-CostAssumptions'!$C$3,-3)</f>
        <v>509000</v>
      </c>
      <c r="AA184" s="11">
        <f t="shared" si="8"/>
        <v>0</v>
      </c>
      <c r="AB184" s="11">
        <v>2041</v>
      </c>
      <c r="AC184" s="11">
        <v>2041</v>
      </c>
      <c r="AD184" s="11">
        <v>2041</v>
      </c>
      <c r="AE184" s="19">
        <f>ROUND((Z184*'Data-CostAssumptions'!$G$5)*(1+'Data-CostAssumptions'!$G$3)^(AB184-'Data-CostAssumptions'!$G$4),-3)</f>
        <v>287000</v>
      </c>
      <c r="AF184" s="19">
        <f>ROUND((Z184)*(1+'Data-CostAssumptions'!$G$3)^(AD184-'Data-CostAssumptions'!$G$4),-3)</f>
        <v>1305000</v>
      </c>
      <c r="AG184" s="170" t="str">
        <f t="shared" si="9"/>
        <v>No</v>
      </c>
    </row>
    <row r="185" spans="1:33" ht="15" customHeight="1" x14ac:dyDescent="0.2">
      <c r="B185" s="11" t="s">
        <v>1211</v>
      </c>
      <c r="C185" s="13">
        <v>351</v>
      </c>
      <c r="D185" s="13" t="s">
        <v>420</v>
      </c>
      <c r="E185" s="20">
        <v>38</v>
      </c>
      <c r="F185" s="20">
        <v>160</v>
      </c>
      <c r="G185" s="20">
        <v>562</v>
      </c>
      <c r="H185" s="13" t="s">
        <v>266</v>
      </c>
      <c r="I185" s="13" t="str">
        <f t="shared" si="10"/>
        <v>Pine Island Rd (SW 57th St to Griffin Rd)</v>
      </c>
      <c r="J185" s="13" t="s">
        <v>27</v>
      </c>
      <c r="K185" s="13" t="str">
        <f>VLOOKUP(J185,'Data-ProjectTypes'!A$3:B$13,2,FALSE)</f>
        <v>Program</v>
      </c>
      <c r="L185" s="21" t="s">
        <v>348</v>
      </c>
      <c r="M185" s="13" t="s">
        <v>2553</v>
      </c>
      <c r="N185" s="13" t="s">
        <v>1750</v>
      </c>
      <c r="O185" s="13" t="s">
        <v>273</v>
      </c>
      <c r="P185" s="13" t="s">
        <v>273</v>
      </c>
      <c r="Q185" s="22">
        <v>1</v>
      </c>
      <c r="R185" s="23">
        <v>366964</v>
      </c>
      <c r="S185" s="21"/>
      <c r="T185" s="21"/>
      <c r="U185" s="21"/>
      <c r="V185" s="24"/>
      <c r="W185" s="24"/>
      <c r="X185" s="24"/>
      <c r="Y185" s="17"/>
      <c r="Z185" s="18">
        <f>ROUND(R185*'Data-CostAssumptions'!$C$3,-3)</f>
        <v>508000</v>
      </c>
      <c r="AA185" s="11">
        <f t="shared" si="8"/>
        <v>0</v>
      </c>
      <c r="AB185" s="11">
        <v>2041</v>
      </c>
      <c r="AC185" s="11">
        <v>2041</v>
      </c>
      <c r="AD185" s="11">
        <v>2041</v>
      </c>
      <c r="AE185" s="19">
        <f>ROUND((Z185*'Data-CostAssumptions'!$G$5)*(1+'Data-CostAssumptions'!$G$3)^(AB185-'Data-CostAssumptions'!$G$4),-3)</f>
        <v>287000</v>
      </c>
      <c r="AF185" s="19">
        <f>ROUND((Z185)*(1+'Data-CostAssumptions'!$G$3)^(AD185-'Data-CostAssumptions'!$G$4),-3)</f>
        <v>1302000</v>
      </c>
      <c r="AG185" s="170" t="str">
        <f t="shared" si="9"/>
        <v>No</v>
      </c>
    </row>
    <row r="186" spans="1:33" ht="15" customHeight="1" x14ac:dyDescent="0.2">
      <c r="A186" s="12"/>
      <c r="B186" s="11" t="s">
        <v>1211</v>
      </c>
      <c r="C186" s="12"/>
      <c r="D186" s="84" t="s">
        <v>276</v>
      </c>
      <c r="E186" s="104">
        <v>42</v>
      </c>
      <c r="F186" s="104"/>
      <c r="G186" s="20">
        <v>1562</v>
      </c>
      <c r="H186" s="13" t="s">
        <v>2153</v>
      </c>
      <c r="I186" s="13" t="str">
        <f t="shared" si="10"/>
        <v>NE 3RD/4TH Av (NE 6TH ST/SISTRUNK Bl to SR 838/SUNRISE Bl)</v>
      </c>
      <c r="J186" s="12" t="s">
        <v>27</v>
      </c>
      <c r="K186" s="13" t="str">
        <f>VLOOKUP(J186,'Data-ProjectTypes'!A$3:B$13,2,FALSE)</f>
        <v>Program</v>
      </c>
      <c r="L186" s="12" t="s">
        <v>1303</v>
      </c>
      <c r="M186" s="105" t="s">
        <v>2291</v>
      </c>
      <c r="N186" s="12" t="s">
        <v>2302</v>
      </c>
      <c r="O186" s="12"/>
      <c r="P186" s="12"/>
      <c r="Q186" s="72">
        <v>0.5</v>
      </c>
      <c r="R186" s="23">
        <v>508400</v>
      </c>
      <c r="Y186" s="12"/>
      <c r="Z186" s="18">
        <f>ROUND(R186*'Data-CostAssumptions'!$C$8,-3)</f>
        <v>508000</v>
      </c>
      <c r="AA186" s="11">
        <f t="shared" si="8"/>
        <v>0</v>
      </c>
      <c r="AB186" s="11">
        <v>2041</v>
      </c>
      <c r="AC186" s="11">
        <v>2041</v>
      </c>
      <c r="AD186" s="11">
        <v>2041</v>
      </c>
      <c r="AE186" s="19">
        <f>ROUND((Z186*'Data-CostAssumptions'!$G$5)*(1+'Data-CostAssumptions'!$G$3)^(AB186-'Data-CostAssumptions'!$G$4),-3)</f>
        <v>287000</v>
      </c>
      <c r="AF186" s="19">
        <f>ROUND((Z186)*(1+'Data-CostAssumptions'!$G$3)^(AD186-'Data-CostAssumptions'!$G$4),-3)</f>
        <v>1302000</v>
      </c>
      <c r="AG186" s="170" t="str">
        <f t="shared" si="9"/>
        <v>No</v>
      </c>
    </row>
    <row r="187" spans="1:33" ht="15" customHeight="1" x14ac:dyDescent="0.2">
      <c r="B187" s="11" t="s">
        <v>1211</v>
      </c>
      <c r="C187" s="13">
        <v>597</v>
      </c>
      <c r="D187" s="13" t="s">
        <v>420</v>
      </c>
      <c r="E187" s="20">
        <v>179</v>
      </c>
      <c r="F187" s="20">
        <v>175</v>
      </c>
      <c r="G187" s="20">
        <v>800</v>
      </c>
      <c r="H187" s="13" t="s">
        <v>1771</v>
      </c>
      <c r="I187" s="13" t="str">
        <f t="shared" si="10"/>
        <v>South Powerline Rd (Sample Rd to NW 48th St)</v>
      </c>
      <c r="J187" s="13" t="s">
        <v>27</v>
      </c>
      <c r="K187" s="13" t="str">
        <f>VLOOKUP(J187,'Data-ProjectTypes'!A$3:B$13,2,FALSE)</f>
        <v>Program</v>
      </c>
      <c r="L187" s="21" t="s">
        <v>348</v>
      </c>
      <c r="M187" s="13" t="s">
        <v>1864</v>
      </c>
      <c r="N187" s="13" t="s">
        <v>2562</v>
      </c>
      <c r="O187" s="13" t="s">
        <v>270</v>
      </c>
      <c r="P187" s="13" t="s">
        <v>270</v>
      </c>
      <c r="Q187" s="22">
        <v>1</v>
      </c>
      <c r="R187" s="23">
        <v>366012</v>
      </c>
      <c r="V187" s="85" t="s">
        <v>1169</v>
      </c>
      <c r="X187" s="38"/>
      <c r="Y187" s="12"/>
      <c r="Z187" s="18">
        <f>ROUND(R187*'Data-CostAssumptions'!$C$3,-3)</f>
        <v>507000</v>
      </c>
      <c r="AA187" s="11">
        <f t="shared" si="8"/>
        <v>1</v>
      </c>
      <c r="AB187" s="11">
        <v>2041</v>
      </c>
      <c r="AC187" s="11">
        <v>2041</v>
      </c>
      <c r="AD187" s="11">
        <v>2041</v>
      </c>
      <c r="AE187" s="19">
        <f>ROUND((Z187*'Data-CostAssumptions'!$G$5)*(1+'Data-CostAssumptions'!$G$3)^(AB187-'Data-CostAssumptions'!$G$4),-3)</f>
        <v>286000</v>
      </c>
      <c r="AF187" s="19">
        <f>ROUND((Z187)*(1+'Data-CostAssumptions'!$G$3)^(AD187-'Data-CostAssumptions'!$G$4),-3)</f>
        <v>1300000</v>
      </c>
      <c r="AG187" s="170" t="str">
        <f t="shared" si="9"/>
        <v>No</v>
      </c>
    </row>
    <row r="188" spans="1:33" ht="15" customHeight="1" x14ac:dyDescent="0.2">
      <c r="B188" s="11" t="s">
        <v>1211</v>
      </c>
      <c r="C188" s="13">
        <v>222</v>
      </c>
      <c r="D188" s="13" t="s">
        <v>420</v>
      </c>
      <c r="E188" s="20">
        <v>27</v>
      </c>
      <c r="F188" s="20">
        <v>152</v>
      </c>
      <c r="G188" s="20">
        <v>436</v>
      </c>
      <c r="H188" s="13" t="s">
        <v>2099</v>
      </c>
      <c r="I188" s="13" t="str">
        <f t="shared" si="10"/>
        <v>SW 101st Av/Palm Av (Pembroe Rd to Pines Bl)</v>
      </c>
      <c r="J188" s="13" t="s">
        <v>27</v>
      </c>
      <c r="K188" s="13" t="str">
        <f>VLOOKUP(J188,'Data-ProjectTypes'!A$3:B$13,2,FALSE)</f>
        <v>Program</v>
      </c>
      <c r="L188" s="21" t="s">
        <v>348</v>
      </c>
      <c r="M188" s="13" t="s">
        <v>2457</v>
      </c>
      <c r="N188" s="13" t="s">
        <v>1826</v>
      </c>
      <c r="O188" s="13" t="s">
        <v>273</v>
      </c>
      <c r="P188" s="13" t="s">
        <v>273</v>
      </c>
      <c r="Q188" s="22">
        <v>1</v>
      </c>
      <c r="R188" s="23">
        <v>362374</v>
      </c>
      <c r="S188" s="21" t="s">
        <v>24</v>
      </c>
      <c r="T188" s="21"/>
      <c r="U188" s="21"/>
      <c r="V188" s="24"/>
      <c r="W188" s="24" t="s">
        <v>785</v>
      </c>
      <c r="X188" s="24" t="s">
        <v>786</v>
      </c>
      <c r="Y188" s="17" t="s">
        <v>782</v>
      </c>
      <c r="Z188" s="18">
        <f>ROUND(R188*'Data-CostAssumptions'!$C$3,-3)</f>
        <v>502000</v>
      </c>
      <c r="AA188" s="11">
        <f t="shared" si="8"/>
        <v>1</v>
      </c>
      <c r="AB188" s="11">
        <v>2041</v>
      </c>
      <c r="AC188" s="11">
        <v>2041</v>
      </c>
      <c r="AD188" s="11">
        <v>2041</v>
      </c>
      <c r="AE188" s="19">
        <f>ROUND((Z188*'Data-CostAssumptions'!$G$5)*(1+'Data-CostAssumptions'!$G$3)^(AB188-'Data-CostAssumptions'!$G$4),-3)</f>
        <v>283000</v>
      </c>
      <c r="AF188" s="19">
        <f>ROUND((Z188)*(1+'Data-CostAssumptions'!$G$3)^(AD188-'Data-CostAssumptions'!$G$4),-3)</f>
        <v>1287000</v>
      </c>
      <c r="AG188" s="170" t="str">
        <f t="shared" si="9"/>
        <v>No</v>
      </c>
    </row>
    <row r="189" spans="1:33" ht="15" customHeight="1" x14ac:dyDescent="0.2">
      <c r="B189" s="11" t="s">
        <v>1211</v>
      </c>
      <c r="C189" s="13">
        <v>410</v>
      </c>
      <c r="D189" s="13" t="s">
        <v>420</v>
      </c>
      <c r="E189" s="20">
        <v>46</v>
      </c>
      <c r="F189" s="20">
        <v>164</v>
      </c>
      <c r="G189" s="20">
        <v>618</v>
      </c>
      <c r="H189" s="13" t="s">
        <v>1880</v>
      </c>
      <c r="I189" s="13" t="str">
        <f t="shared" si="10"/>
        <v>Johnson St (North 62nd Av to North 73rd Av)</v>
      </c>
      <c r="J189" s="13" t="s">
        <v>27</v>
      </c>
      <c r="K189" s="13" t="str">
        <f>VLOOKUP(J189,'Data-ProjectTypes'!A$3:B$13,2,FALSE)</f>
        <v>Program</v>
      </c>
      <c r="L189" s="21" t="s">
        <v>543</v>
      </c>
      <c r="M189" s="13" t="s">
        <v>2354</v>
      </c>
      <c r="N189" s="13" t="s">
        <v>2223</v>
      </c>
      <c r="O189" s="13" t="s">
        <v>282</v>
      </c>
      <c r="P189" s="13" t="s">
        <v>282</v>
      </c>
      <c r="Q189" s="22">
        <v>1.4</v>
      </c>
      <c r="R189" s="23">
        <v>501718</v>
      </c>
      <c r="S189" s="29"/>
      <c r="T189" s="21"/>
      <c r="U189" s="21"/>
      <c r="V189" s="24"/>
      <c r="W189" s="24"/>
      <c r="X189" s="24"/>
      <c r="Y189" s="12"/>
      <c r="Z189" s="18">
        <f>ROUND(R189*'Data-CostAssumptions'!$C$8,-3)</f>
        <v>502000</v>
      </c>
      <c r="AA189" s="11">
        <f t="shared" si="8"/>
        <v>0</v>
      </c>
      <c r="AB189" s="11">
        <v>2041</v>
      </c>
      <c r="AC189" s="11">
        <v>2041</v>
      </c>
      <c r="AD189" s="11">
        <v>2041</v>
      </c>
      <c r="AE189" s="19">
        <f>ROUND((Z189*'Data-CostAssumptions'!$G$5)*(1+'Data-CostAssumptions'!$G$3)^(AB189-'Data-CostAssumptions'!$G$4),-3)</f>
        <v>283000</v>
      </c>
      <c r="AF189" s="19">
        <f>ROUND((Z189)*(1+'Data-CostAssumptions'!$G$3)^(AD189-'Data-CostAssumptions'!$G$4),-3)</f>
        <v>1287000</v>
      </c>
      <c r="AG189" s="170" t="str">
        <f t="shared" si="9"/>
        <v>No</v>
      </c>
    </row>
    <row r="190" spans="1:33" ht="15" customHeight="1" x14ac:dyDescent="0.2">
      <c r="B190" s="11" t="s">
        <v>1211</v>
      </c>
      <c r="C190" s="13">
        <v>374</v>
      </c>
      <c r="D190" s="13" t="s">
        <v>420</v>
      </c>
      <c r="E190" s="20">
        <v>193</v>
      </c>
      <c r="F190" s="20">
        <v>162</v>
      </c>
      <c r="G190" s="20">
        <v>585</v>
      </c>
      <c r="H190" s="13" t="s">
        <v>1757</v>
      </c>
      <c r="I190" s="13" t="str">
        <f t="shared" si="10"/>
        <v>North Flamingo Rd (Pines Bl to Sheridan St)</v>
      </c>
      <c r="J190" s="13" t="s">
        <v>27</v>
      </c>
      <c r="K190" s="13" t="str">
        <f>VLOOKUP(J190,'Data-ProjectTypes'!A$3:B$13,2,FALSE)</f>
        <v>Program</v>
      </c>
      <c r="L190" s="21" t="s">
        <v>348</v>
      </c>
      <c r="M190" s="13" t="s">
        <v>1826</v>
      </c>
      <c r="N190" s="13" t="s">
        <v>1951</v>
      </c>
      <c r="O190" s="13" t="s">
        <v>270</v>
      </c>
      <c r="P190" s="13" t="s">
        <v>270</v>
      </c>
      <c r="Q190" s="22">
        <v>1</v>
      </c>
      <c r="R190" s="23">
        <v>359831</v>
      </c>
      <c r="Y190" s="17"/>
      <c r="Z190" s="18">
        <f>ROUND(R190*'Data-CostAssumptions'!$C$3,-3)</f>
        <v>498000</v>
      </c>
      <c r="AA190" s="11">
        <f t="shared" si="8"/>
        <v>0</v>
      </c>
      <c r="AB190" s="11">
        <v>2041</v>
      </c>
      <c r="AC190" s="11">
        <v>2041</v>
      </c>
      <c r="AD190" s="11">
        <v>2041</v>
      </c>
      <c r="AE190" s="19">
        <f>ROUND((Z190*'Data-CostAssumptions'!$G$5)*(1+'Data-CostAssumptions'!$G$3)^(AB190-'Data-CostAssumptions'!$G$4),-3)</f>
        <v>281000</v>
      </c>
      <c r="AF190" s="19">
        <f>ROUND((Z190)*(1+'Data-CostAssumptions'!$G$3)^(AD190-'Data-CostAssumptions'!$G$4),-3)</f>
        <v>1277000</v>
      </c>
      <c r="AG190" s="170" t="str">
        <f t="shared" si="9"/>
        <v>No</v>
      </c>
    </row>
    <row r="191" spans="1:33" ht="15" customHeight="1" x14ac:dyDescent="0.2">
      <c r="B191" s="11" t="s">
        <v>1211</v>
      </c>
      <c r="C191" s="13">
        <v>315</v>
      </c>
      <c r="D191" s="13" t="s">
        <v>420</v>
      </c>
      <c r="E191" s="20">
        <v>254</v>
      </c>
      <c r="F191" s="20">
        <v>158</v>
      </c>
      <c r="G191" s="20">
        <v>526</v>
      </c>
      <c r="H191" s="13" t="s">
        <v>1967</v>
      </c>
      <c r="I191" s="13" t="str">
        <f t="shared" si="10"/>
        <v>SW 9th St (Federal Hwy to SW 9th Av)</v>
      </c>
      <c r="J191" s="13" t="s">
        <v>27</v>
      </c>
      <c r="K191" s="13" t="str">
        <f>VLOOKUP(J191,'Data-ProjectTypes'!A$3:B$13,2,FALSE)</f>
        <v>Program</v>
      </c>
      <c r="L191" s="21" t="s">
        <v>348</v>
      </c>
      <c r="M191" s="13" t="s">
        <v>2595</v>
      </c>
      <c r="N191" s="13" t="s">
        <v>2137</v>
      </c>
      <c r="O191" s="13" t="s">
        <v>276</v>
      </c>
      <c r="P191" s="13" t="s">
        <v>276</v>
      </c>
      <c r="Q191" s="22">
        <v>1</v>
      </c>
      <c r="R191" s="23">
        <v>359290</v>
      </c>
      <c r="S191" s="21" t="s">
        <v>24</v>
      </c>
      <c r="T191" s="21" t="s">
        <v>24</v>
      </c>
      <c r="U191" s="21"/>
      <c r="V191" s="24"/>
      <c r="W191" s="24"/>
      <c r="X191" s="28"/>
      <c r="Y191" s="17" t="s">
        <v>469</v>
      </c>
      <c r="Z191" s="18">
        <f>ROUND(R191*'Data-CostAssumptions'!$C$3,-3)</f>
        <v>497000</v>
      </c>
      <c r="AA191" s="11">
        <f t="shared" si="8"/>
        <v>0</v>
      </c>
      <c r="AB191" s="11">
        <v>2041</v>
      </c>
      <c r="AC191" s="11">
        <v>2041</v>
      </c>
      <c r="AD191" s="11">
        <v>2041</v>
      </c>
      <c r="AE191" s="19">
        <f>ROUND((Z191*'Data-CostAssumptions'!$G$5)*(1+'Data-CostAssumptions'!$G$3)^(AB191-'Data-CostAssumptions'!$G$4),-3)</f>
        <v>280000</v>
      </c>
      <c r="AF191" s="19">
        <f>ROUND((Z191)*(1+'Data-CostAssumptions'!$G$3)^(AD191-'Data-CostAssumptions'!$G$4),-3)</f>
        <v>1274000</v>
      </c>
      <c r="AG191" s="170" t="str">
        <f t="shared" si="9"/>
        <v>No</v>
      </c>
    </row>
    <row r="192" spans="1:33" ht="15" customHeight="1" x14ac:dyDescent="0.2">
      <c r="B192" s="11" t="s">
        <v>1211</v>
      </c>
      <c r="C192" s="13">
        <v>428</v>
      </c>
      <c r="D192" s="13" t="s">
        <v>420</v>
      </c>
      <c r="E192" s="20">
        <v>138</v>
      </c>
      <c r="F192" s="20">
        <v>165</v>
      </c>
      <c r="G192" s="20">
        <v>638</v>
      </c>
      <c r="H192" s="13" t="s">
        <v>1778</v>
      </c>
      <c r="I192" s="13" t="str">
        <f t="shared" si="10"/>
        <v>West Prospect Rd (NW 31st Av to State Rd 7/US 441)</v>
      </c>
      <c r="J192" s="13" t="s">
        <v>27</v>
      </c>
      <c r="K192" s="13" t="str">
        <f>VLOOKUP(J192,'Data-ProjectTypes'!A$3:B$13,2,FALSE)</f>
        <v>Program</v>
      </c>
      <c r="L192" s="21" t="s">
        <v>348</v>
      </c>
      <c r="M192" s="13" t="s">
        <v>2062</v>
      </c>
      <c r="N192" s="13" t="s">
        <v>1773</v>
      </c>
      <c r="O192" s="13" t="s">
        <v>273</v>
      </c>
      <c r="P192" s="13" t="s">
        <v>273</v>
      </c>
      <c r="Q192" s="22">
        <v>1</v>
      </c>
      <c r="R192" s="23">
        <v>359390</v>
      </c>
      <c r="Y192" s="17"/>
      <c r="Z192" s="18">
        <f>ROUND(R192*'Data-CostAssumptions'!$C$3,-3)</f>
        <v>497000</v>
      </c>
      <c r="AA192" s="11">
        <f t="shared" si="8"/>
        <v>0</v>
      </c>
      <c r="AB192" s="11">
        <v>2041</v>
      </c>
      <c r="AC192" s="11">
        <v>2041</v>
      </c>
      <c r="AD192" s="11">
        <v>2041</v>
      </c>
      <c r="AE192" s="19">
        <f>ROUND((Z192*'Data-CostAssumptions'!$G$5)*(1+'Data-CostAssumptions'!$G$3)^(AB192-'Data-CostAssumptions'!$G$4),-3)</f>
        <v>280000</v>
      </c>
      <c r="AF192" s="19">
        <f>ROUND((Z192)*(1+'Data-CostAssumptions'!$G$3)^(AD192-'Data-CostAssumptions'!$G$4),-3)</f>
        <v>1274000</v>
      </c>
      <c r="AG192" s="170" t="str">
        <f t="shared" si="9"/>
        <v>No</v>
      </c>
    </row>
    <row r="193" spans="1:33" ht="15" customHeight="1" x14ac:dyDescent="0.2">
      <c r="B193" s="11" t="s">
        <v>1211</v>
      </c>
      <c r="C193" s="13">
        <v>282</v>
      </c>
      <c r="D193" s="13" t="s">
        <v>420</v>
      </c>
      <c r="E193" s="20">
        <v>21</v>
      </c>
      <c r="F193" s="20">
        <v>156</v>
      </c>
      <c r="G193" s="20">
        <v>496</v>
      </c>
      <c r="H193" s="13" t="s">
        <v>159</v>
      </c>
      <c r="I193" s="13" t="str">
        <f t="shared" si="10"/>
        <v>Flamingo Rd (Miramar Parkway to Pembroke Rd)</v>
      </c>
      <c r="J193" s="13" t="s">
        <v>27</v>
      </c>
      <c r="K193" s="13" t="str">
        <f>VLOOKUP(J193,'Data-ProjectTypes'!A$3:B$13,2,FALSE)</f>
        <v>Program</v>
      </c>
      <c r="L193" s="21" t="s">
        <v>348</v>
      </c>
      <c r="M193" s="13" t="s">
        <v>39</v>
      </c>
      <c r="N193" s="13" t="s">
        <v>1760</v>
      </c>
      <c r="O193" s="13" t="s">
        <v>273</v>
      </c>
      <c r="P193" s="13" t="s">
        <v>273</v>
      </c>
      <c r="Q193" s="22">
        <v>1</v>
      </c>
      <c r="R193" s="23">
        <v>358703</v>
      </c>
      <c r="S193" s="21" t="s">
        <v>24</v>
      </c>
      <c r="T193" s="21"/>
      <c r="U193" s="21"/>
      <c r="V193" s="24"/>
      <c r="W193" s="24" t="s">
        <v>491</v>
      </c>
      <c r="X193" s="24"/>
      <c r="Y193" s="17" t="s">
        <v>492</v>
      </c>
      <c r="Z193" s="18">
        <f>ROUND(R193*'Data-CostAssumptions'!$C$3,-3)</f>
        <v>496000</v>
      </c>
      <c r="AA193" s="11">
        <f t="shared" si="8"/>
        <v>1</v>
      </c>
      <c r="AB193" s="11">
        <v>2041</v>
      </c>
      <c r="AC193" s="11">
        <v>2041</v>
      </c>
      <c r="AD193" s="11">
        <v>2041</v>
      </c>
      <c r="AE193" s="19">
        <f>ROUND((Z193*'Data-CostAssumptions'!$G$5)*(1+'Data-CostAssumptions'!$G$3)^(AB193-'Data-CostAssumptions'!$G$4),-3)</f>
        <v>280000</v>
      </c>
      <c r="AF193" s="19">
        <f>ROUND((Z193)*(1+'Data-CostAssumptions'!$G$3)^(AD193-'Data-CostAssumptions'!$G$4),-3)</f>
        <v>1272000</v>
      </c>
      <c r="AG193" s="170" t="str">
        <f t="shared" si="9"/>
        <v>No</v>
      </c>
    </row>
    <row r="194" spans="1:33" ht="15" customHeight="1" x14ac:dyDescent="0.2">
      <c r="B194" s="11" t="s">
        <v>1211</v>
      </c>
      <c r="C194" s="13">
        <v>240</v>
      </c>
      <c r="D194" s="13" t="s">
        <v>420</v>
      </c>
      <c r="E194" s="20">
        <v>202</v>
      </c>
      <c r="F194" s="20">
        <v>153</v>
      </c>
      <c r="G194" s="20">
        <v>453</v>
      </c>
      <c r="H194" s="13" t="s">
        <v>2709</v>
      </c>
      <c r="I194" s="13" t="str">
        <f t="shared" si="10"/>
        <v>SR 817/University Dr (Pembroke Rd to Pines Bl)</v>
      </c>
      <c r="J194" s="13" t="s">
        <v>27</v>
      </c>
      <c r="K194" s="13" t="str">
        <f>VLOOKUP(J194,'Data-ProjectTypes'!A$3:B$13,2,FALSE)</f>
        <v>Program</v>
      </c>
      <c r="L194" s="21" t="s">
        <v>348</v>
      </c>
      <c r="M194" s="13" t="s">
        <v>1760</v>
      </c>
      <c r="N194" s="13" t="s">
        <v>1826</v>
      </c>
      <c r="O194" s="13" t="s">
        <v>270</v>
      </c>
      <c r="P194" s="13" t="s">
        <v>270</v>
      </c>
      <c r="Q194" s="22">
        <v>1</v>
      </c>
      <c r="R194" s="23">
        <v>356832</v>
      </c>
      <c r="S194" s="21"/>
      <c r="T194" s="21"/>
      <c r="U194" s="21"/>
      <c r="V194" s="24"/>
      <c r="W194" s="24"/>
      <c r="X194" s="24"/>
      <c r="Y194" s="17"/>
      <c r="Z194" s="18">
        <f>ROUND(R194*'Data-CostAssumptions'!$C$3,-3)</f>
        <v>494000</v>
      </c>
      <c r="AA194" s="11">
        <f t="shared" ref="AA194:AA257" si="11">IF(V194="",IF(W194="",0,1),1)</f>
        <v>0</v>
      </c>
      <c r="AB194" s="11">
        <v>2041</v>
      </c>
      <c r="AC194" s="11">
        <v>2041</v>
      </c>
      <c r="AD194" s="11">
        <v>2041</v>
      </c>
      <c r="AE194" s="19">
        <f>ROUND((Z194*'Data-CostAssumptions'!$G$5)*(1+'Data-CostAssumptions'!$G$3)^(AB194-'Data-CostAssumptions'!$G$4),-3)</f>
        <v>279000</v>
      </c>
      <c r="AF194" s="19">
        <f>ROUND((Z194)*(1+'Data-CostAssumptions'!$G$3)^(AD194-'Data-CostAssumptions'!$G$4),-3)</f>
        <v>1267000</v>
      </c>
      <c r="AG194" s="170" t="str">
        <f t="shared" ref="AG194:AG257" si="12">IF(MIN(AC194:AD194)&lt;2041,"Yes","No")</f>
        <v>No</v>
      </c>
    </row>
    <row r="195" spans="1:33" ht="15" customHeight="1" x14ac:dyDescent="0.2">
      <c r="B195" s="11" t="s">
        <v>1211</v>
      </c>
      <c r="C195" s="13">
        <v>223</v>
      </c>
      <c r="D195" s="13" t="s">
        <v>420</v>
      </c>
      <c r="E195" s="20">
        <v>28</v>
      </c>
      <c r="F195" s="20">
        <v>152</v>
      </c>
      <c r="G195" s="20">
        <v>437</v>
      </c>
      <c r="H195" s="13" t="s">
        <v>2099</v>
      </c>
      <c r="I195" s="13" t="str">
        <f t="shared" si="10"/>
        <v>SW 101st Av/Palm Av (Pines Bl to Taft St)</v>
      </c>
      <c r="J195" s="13" t="s">
        <v>27</v>
      </c>
      <c r="K195" s="13" t="str">
        <f>VLOOKUP(J195,'Data-ProjectTypes'!A$3:B$13,2,FALSE)</f>
        <v>Program</v>
      </c>
      <c r="L195" s="21" t="s">
        <v>348</v>
      </c>
      <c r="M195" s="13" t="s">
        <v>1826</v>
      </c>
      <c r="N195" s="13" t="s">
        <v>1968</v>
      </c>
      <c r="O195" s="13" t="s">
        <v>271</v>
      </c>
      <c r="P195" s="13" t="s">
        <v>271</v>
      </c>
      <c r="Q195" s="22">
        <v>1</v>
      </c>
      <c r="R195" s="23">
        <v>353883</v>
      </c>
      <c r="S195" s="21"/>
      <c r="T195" s="21"/>
      <c r="U195" s="21"/>
      <c r="V195" s="24"/>
      <c r="W195" s="24"/>
      <c r="X195" s="24"/>
      <c r="Y195" s="17"/>
      <c r="Z195" s="18">
        <f>ROUND(R195*'Data-CostAssumptions'!$C$3,-3)</f>
        <v>490000</v>
      </c>
      <c r="AA195" s="11">
        <f t="shared" si="11"/>
        <v>0</v>
      </c>
      <c r="AB195" s="11">
        <v>2041</v>
      </c>
      <c r="AC195" s="11">
        <v>2041</v>
      </c>
      <c r="AD195" s="11">
        <v>2041</v>
      </c>
      <c r="AE195" s="19">
        <f>ROUND((Z195*'Data-CostAssumptions'!$G$5)*(1+'Data-CostAssumptions'!$G$3)^(AB195-'Data-CostAssumptions'!$G$4),-3)</f>
        <v>276000</v>
      </c>
      <c r="AF195" s="19">
        <f>ROUND((Z195)*(1+'Data-CostAssumptions'!$G$3)^(AD195-'Data-CostAssumptions'!$G$4),-3)</f>
        <v>1256000</v>
      </c>
      <c r="AG195" s="170" t="str">
        <f t="shared" si="12"/>
        <v>No</v>
      </c>
    </row>
    <row r="196" spans="1:33" ht="15" customHeight="1" x14ac:dyDescent="0.2">
      <c r="B196" s="11" t="s">
        <v>1211</v>
      </c>
      <c r="C196" s="13">
        <v>280</v>
      </c>
      <c r="D196" s="13" t="s">
        <v>420</v>
      </c>
      <c r="E196" s="20">
        <v>17</v>
      </c>
      <c r="F196" s="20">
        <v>156</v>
      </c>
      <c r="G196" s="20">
        <v>494</v>
      </c>
      <c r="H196" s="13" t="s">
        <v>1977</v>
      </c>
      <c r="I196" s="13" t="str">
        <f t="shared" si="10"/>
        <v>Miramar Pkwy (SW 148th Av to Dykes Rd)</v>
      </c>
      <c r="J196" s="13" t="s">
        <v>27</v>
      </c>
      <c r="K196" s="13" t="str">
        <f>VLOOKUP(J196,'Data-ProjectTypes'!A$3:B$13,2,FALSE)</f>
        <v>Program</v>
      </c>
      <c r="L196" s="21" t="s">
        <v>348</v>
      </c>
      <c r="M196" s="13" t="s">
        <v>2104</v>
      </c>
      <c r="N196" s="13" t="s">
        <v>1846</v>
      </c>
      <c r="O196" s="13" t="s">
        <v>274</v>
      </c>
      <c r="P196" s="13" t="s">
        <v>274</v>
      </c>
      <c r="Q196" s="22">
        <v>1</v>
      </c>
      <c r="R196" s="23">
        <v>353957</v>
      </c>
      <c r="S196" s="21"/>
      <c r="T196" s="21"/>
      <c r="U196" s="21"/>
      <c r="V196" s="24"/>
      <c r="W196" s="24"/>
      <c r="X196" s="24"/>
      <c r="Y196" s="17"/>
      <c r="Z196" s="18">
        <f>ROUND(R196*'Data-CostAssumptions'!$C$3,-3)</f>
        <v>490000</v>
      </c>
      <c r="AA196" s="11">
        <f t="shared" si="11"/>
        <v>0</v>
      </c>
      <c r="AB196" s="11">
        <v>2041</v>
      </c>
      <c r="AC196" s="11">
        <v>2041</v>
      </c>
      <c r="AD196" s="11">
        <v>2041</v>
      </c>
      <c r="AE196" s="19">
        <f>ROUND((Z196*'Data-CostAssumptions'!$G$5)*(1+'Data-CostAssumptions'!$G$3)^(AB196-'Data-CostAssumptions'!$G$4),-3)</f>
        <v>276000</v>
      </c>
      <c r="AF196" s="19">
        <f>ROUND((Z196)*(1+'Data-CostAssumptions'!$G$3)^(AD196-'Data-CostAssumptions'!$G$4),-3)</f>
        <v>1256000</v>
      </c>
      <c r="AG196" s="170" t="str">
        <f t="shared" si="12"/>
        <v>No</v>
      </c>
    </row>
    <row r="197" spans="1:33" ht="15" customHeight="1" x14ac:dyDescent="0.2">
      <c r="B197" s="11" t="s">
        <v>1211</v>
      </c>
      <c r="C197" s="13">
        <v>366</v>
      </c>
      <c r="D197" s="13" t="s">
        <v>420</v>
      </c>
      <c r="E197" s="20">
        <v>126</v>
      </c>
      <c r="F197" s="20">
        <v>161</v>
      </c>
      <c r="G197" s="20">
        <v>577</v>
      </c>
      <c r="H197" s="13" t="s">
        <v>1777</v>
      </c>
      <c r="I197" s="13" t="str">
        <f t="shared" si="10"/>
        <v>West McNab Rd (Powerline Rd to NW 21st Av)</v>
      </c>
      <c r="J197" s="13" t="s">
        <v>27</v>
      </c>
      <c r="K197" s="13" t="str">
        <f>VLOOKUP(J197,'Data-ProjectTypes'!A$3:B$13,2,FALSE)</f>
        <v>Program</v>
      </c>
      <c r="L197" s="21" t="s">
        <v>348</v>
      </c>
      <c r="M197" s="13" t="s">
        <v>1858</v>
      </c>
      <c r="N197" s="13" t="s">
        <v>2057</v>
      </c>
      <c r="O197" s="13" t="s">
        <v>273</v>
      </c>
      <c r="P197" s="13" t="s">
        <v>273</v>
      </c>
      <c r="Q197" s="22">
        <v>1</v>
      </c>
      <c r="R197" s="23">
        <v>353507</v>
      </c>
      <c r="S197" s="21"/>
      <c r="T197" s="21"/>
      <c r="U197" s="21"/>
      <c r="V197" s="24"/>
      <c r="W197" s="24"/>
      <c r="X197" s="24"/>
      <c r="Y197" s="17"/>
      <c r="Z197" s="18">
        <f>ROUND(R197*'Data-CostAssumptions'!$C$3,-3)</f>
        <v>489000</v>
      </c>
      <c r="AA197" s="11">
        <f t="shared" si="11"/>
        <v>0</v>
      </c>
      <c r="AB197" s="11">
        <v>2041</v>
      </c>
      <c r="AC197" s="11">
        <v>2041</v>
      </c>
      <c r="AD197" s="11">
        <v>2041</v>
      </c>
      <c r="AE197" s="19">
        <f>ROUND((Z197*'Data-CostAssumptions'!$G$5)*(1+'Data-CostAssumptions'!$G$3)^(AB197-'Data-CostAssumptions'!$G$4),-3)</f>
        <v>276000</v>
      </c>
      <c r="AF197" s="19">
        <f>ROUND((Z197)*(1+'Data-CostAssumptions'!$G$3)^(AD197-'Data-CostAssumptions'!$G$4),-3)</f>
        <v>1254000</v>
      </c>
      <c r="AG197" s="170" t="str">
        <f t="shared" si="12"/>
        <v>No</v>
      </c>
    </row>
    <row r="198" spans="1:33" ht="15" customHeight="1" x14ac:dyDescent="0.2">
      <c r="B198" s="11" t="s">
        <v>1211</v>
      </c>
      <c r="C198" s="13">
        <v>278</v>
      </c>
      <c r="D198" s="13" t="s">
        <v>420</v>
      </c>
      <c r="E198" s="20">
        <v>5</v>
      </c>
      <c r="F198" s="20">
        <v>156</v>
      </c>
      <c r="G198" s="20">
        <v>492</v>
      </c>
      <c r="H198" s="13" t="s">
        <v>2101</v>
      </c>
      <c r="I198" s="13" t="str">
        <f t="shared" si="10"/>
        <v>SW 130th Av (SW 14th St to I-595)</v>
      </c>
      <c r="J198" s="13" t="s">
        <v>27</v>
      </c>
      <c r="K198" s="13" t="str">
        <f>VLOOKUP(J198,'Data-ProjectTypes'!A$3:B$13,2,FALSE)</f>
        <v>Program</v>
      </c>
      <c r="L198" s="21" t="s">
        <v>348</v>
      </c>
      <c r="M198" s="13" t="s">
        <v>2560</v>
      </c>
      <c r="N198" s="13" t="s">
        <v>34</v>
      </c>
      <c r="O198" s="13" t="s">
        <v>279</v>
      </c>
      <c r="P198" s="13" t="s">
        <v>279</v>
      </c>
      <c r="Q198" s="22">
        <v>1</v>
      </c>
      <c r="R198" s="23">
        <v>352470</v>
      </c>
      <c r="S198" s="21" t="s">
        <v>24</v>
      </c>
      <c r="T198" s="21" t="s">
        <v>25</v>
      </c>
      <c r="U198" s="21" t="s">
        <v>24</v>
      </c>
      <c r="V198" s="24" t="s">
        <v>554</v>
      </c>
      <c r="W198" s="24"/>
      <c r="X198" s="24"/>
      <c r="Y198" s="17" t="s">
        <v>538</v>
      </c>
      <c r="Z198" s="18">
        <f>ROUND(R198*'Data-CostAssumptions'!$C$3,-3)</f>
        <v>488000</v>
      </c>
      <c r="AA198" s="11">
        <f t="shared" si="11"/>
        <v>1</v>
      </c>
      <c r="AB198" s="11">
        <v>2041</v>
      </c>
      <c r="AC198" s="11">
        <v>2041</v>
      </c>
      <c r="AD198" s="11">
        <v>2041</v>
      </c>
      <c r="AE198" s="19">
        <f>ROUND((Z198*'Data-CostAssumptions'!$G$5)*(1+'Data-CostAssumptions'!$G$3)^(AB198-'Data-CostAssumptions'!$G$4),-3)</f>
        <v>275000</v>
      </c>
      <c r="AF198" s="19">
        <f>ROUND((Z198)*(1+'Data-CostAssumptions'!$G$3)^(AD198-'Data-CostAssumptions'!$G$4),-3)</f>
        <v>1251000</v>
      </c>
      <c r="AG198" s="170" t="str">
        <f t="shared" si="12"/>
        <v>No</v>
      </c>
    </row>
    <row r="199" spans="1:33" ht="15" customHeight="1" x14ac:dyDescent="0.2">
      <c r="B199" s="11" t="s">
        <v>1211</v>
      </c>
      <c r="C199" s="13">
        <v>406</v>
      </c>
      <c r="D199" s="13" t="s">
        <v>420</v>
      </c>
      <c r="E199" s="20">
        <v>34</v>
      </c>
      <c r="F199" s="20">
        <v>164</v>
      </c>
      <c r="G199" s="20">
        <v>614</v>
      </c>
      <c r="H199" s="13" t="s">
        <v>1880</v>
      </c>
      <c r="I199" s="13" t="str">
        <f t="shared" si="10"/>
        <v>Johnson St (University Dr to Douglas Rd)</v>
      </c>
      <c r="J199" s="13" t="s">
        <v>27</v>
      </c>
      <c r="K199" s="13" t="str">
        <f>VLOOKUP(J199,'Data-ProjectTypes'!A$3:B$13,2,FALSE)</f>
        <v>Program</v>
      </c>
      <c r="L199" s="21" t="s">
        <v>348</v>
      </c>
      <c r="M199" s="13" t="s">
        <v>1804</v>
      </c>
      <c r="N199" s="13" t="s">
        <v>2425</v>
      </c>
      <c r="O199" s="13" t="s">
        <v>271</v>
      </c>
      <c r="P199" s="13" t="s">
        <v>271</v>
      </c>
      <c r="Q199" s="22">
        <v>1</v>
      </c>
      <c r="R199" s="23">
        <v>350312</v>
      </c>
      <c r="Y199" s="17"/>
      <c r="Z199" s="18">
        <f>ROUND(R199*'Data-CostAssumptions'!$C$3,-3)</f>
        <v>485000</v>
      </c>
      <c r="AA199" s="11">
        <f t="shared" si="11"/>
        <v>0</v>
      </c>
      <c r="AB199" s="11">
        <v>2041</v>
      </c>
      <c r="AC199" s="11">
        <v>2041</v>
      </c>
      <c r="AD199" s="11">
        <v>2041</v>
      </c>
      <c r="AE199" s="19">
        <f>ROUND((Z199*'Data-CostAssumptions'!$G$5)*(1+'Data-CostAssumptions'!$G$3)^(AB199-'Data-CostAssumptions'!$G$4),-3)</f>
        <v>274000</v>
      </c>
      <c r="AF199" s="19">
        <f>ROUND((Z199)*(1+'Data-CostAssumptions'!$G$3)^(AD199-'Data-CostAssumptions'!$G$4),-3)</f>
        <v>1244000</v>
      </c>
      <c r="AG199" s="170" t="str">
        <f t="shared" si="12"/>
        <v>No</v>
      </c>
    </row>
    <row r="200" spans="1:33" ht="15" customHeight="1" x14ac:dyDescent="0.2">
      <c r="B200" s="11" t="s">
        <v>1211</v>
      </c>
      <c r="C200" s="13">
        <v>281</v>
      </c>
      <c r="D200" s="13" t="s">
        <v>420</v>
      </c>
      <c r="E200" s="20">
        <v>18</v>
      </c>
      <c r="F200" s="20">
        <v>156</v>
      </c>
      <c r="G200" s="20">
        <v>495</v>
      </c>
      <c r="H200" s="13" t="s">
        <v>2104</v>
      </c>
      <c r="I200" s="13" t="str">
        <f t="shared" ref="I200:I263" si="13">IF(M200="@",H200&amp;" ("&amp;M200&amp;"  "&amp;N200&amp;")",H200&amp;" ("&amp;M200&amp;" to "&amp;N200&amp;")")</f>
        <v>SW 148th Av (SW 48th Court to Miramar Parkway)</v>
      </c>
      <c r="J200" s="13" t="s">
        <v>27</v>
      </c>
      <c r="K200" s="13" t="str">
        <f>VLOOKUP(J200,'Data-ProjectTypes'!A$3:B$13,2,FALSE)</f>
        <v>Program</v>
      </c>
      <c r="L200" s="21" t="s">
        <v>348</v>
      </c>
      <c r="M200" s="13" t="s">
        <v>166</v>
      </c>
      <c r="N200" s="13" t="s">
        <v>39</v>
      </c>
      <c r="O200" s="13" t="s">
        <v>274</v>
      </c>
      <c r="P200" s="13" t="s">
        <v>274</v>
      </c>
      <c r="Q200" s="22">
        <v>1</v>
      </c>
      <c r="R200" s="23">
        <v>349745</v>
      </c>
      <c r="S200" s="21"/>
      <c r="T200" s="21"/>
      <c r="U200" s="21"/>
      <c r="V200" s="24"/>
      <c r="W200" s="24"/>
      <c r="X200" s="28" t="s">
        <v>764</v>
      </c>
      <c r="Y200" s="17" t="s">
        <v>765</v>
      </c>
      <c r="Z200" s="18">
        <f>ROUND(R200*'Data-CostAssumptions'!$C$3,-3)</f>
        <v>484000</v>
      </c>
      <c r="AA200" s="11">
        <f t="shared" si="11"/>
        <v>0</v>
      </c>
      <c r="AB200" s="11">
        <v>2041</v>
      </c>
      <c r="AC200" s="11">
        <v>2041</v>
      </c>
      <c r="AD200" s="11">
        <v>2041</v>
      </c>
      <c r="AE200" s="19">
        <f>ROUND((Z200*'Data-CostAssumptions'!$G$5)*(1+'Data-CostAssumptions'!$G$3)^(AB200-'Data-CostAssumptions'!$G$4),-3)</f>
        <v>273000</v>
      </c>
      <c r="AF200" s="19">
        <f>ROUND((Z200)*(1+'Data-CostAssumptions'!$G$3)^(AD200-'Data-CostAssumptions'!$G$4),-3)</f>
        <v>1241000</v>
      </c>
      <c r="AG200" s="170" t="str">
        <f t="shared" si="12"/>
        <v>No</v>
      </c>
    </row>
    <row r="201" spans="1:33" ht="15" customHeight="1" x14ac:dyDescent="0.2">
      <c r="B201" s="11" t="s">
        <v>1211</v>
      </c>
      <c r="C201" s="13">
        <v>569</v>
      </c>
      <c r="D201" s="13" t="s">
        <v>420</v>
      </c>
      <c r="E201" s="20">
        <v>280</v>
      </c>
      <c r="F201" s="20">
        <v>173</v>
      </c>
      <c r="G201" s="20">
        <v>772</v>
      </c>
      <c r="H201" s="13" t="s">
        <v>2717</v>
      </c>
      <c r="I201" s="13" t="str">
        <f t="shared" si="13"/>
        <v>SR 820/Pines Bl (SW 186th Av to US 27)</v>
      </c>
      <c r="J201" s="13" t="s">
        <v>27</v>
      </c>
      <c r="K201" s="13" t="str">
        <f>VLOOKUP(J201,'Data-ProjectTypes'!A$3:B$13,2,FALSE)</f>
        <v>Program</v>
      </c>
      <c r="L201" s="21" t="s">
        <v>348</v>
      </c>
      <c r="M201" s="13" t="s">
        <v>2373</v>
      </c>
      <c r="N201" s="13" t="s">
        <v>30</v>
      </c>
      <c r="O201" s="13" t="s">
        <v>270</v>
      </c>
      <c r="P201" s="13" t="s">
        <v>270</v>
      </c>
      <c r="Q201" s="22">
        <v>1.3</v>
      </c>
      <c r="R201" s="23">
        <v>478358</v>
      </c>
      <c r="V201" s="85" t="s">
        <v>446</v>
      </c>
      <c r="X201" s="11" t="s">
        <v>467</v>
      </c>
      <c r="Y201" s="12"/>
      <c r="Z201" s="18">
        <f>ROUND(R201*'Data-CostAssumptions'!$C$4,-3)</f>
        <v>478000</v>
      </c>
      <c r="AA201" s="11">
        <f t="shared" si="11"/>
        <v>1</v>
      </c>
      <c r="AB201" s="11">
        <v>2041</v>
      </c>
      <c r="AC201" s="11">
        <v>2041</v>
      </c>
      <c r="AD201" s="11">
        <v>2041</v>
      </c>
      <c r="AE201" s="19">
        <f>ROUND((Z201*'Data-CostAssumptions'!$G$5)*(1+'Data-CostAssumptions'!$G$3)^(AB201-'Data-CostAssumptions'!$G$4),-3)</f>
        <v>270000</v>
      </c>
      <c r="AF201" s="19">
        <f>ROUND((Z201)*(1+'Data-CostAssumptions'!$G$3)^(AD201-'Data-CostAssumptions'!$G$4),-3)</f>
        <v>1226000</v>
      </c>
      <c r="AG201" s="170" t="str">
        <f t="shared" si="12"/>
        <v>No</v>
      </c>
    </row>
    <row r="202" spans="1:33" ht="15" customHeight="1" x14ac:dyDescent="0.2">
      <c r="B202" s="11" t="s">
        <v>1211</v>
      </c>
      <c r="D202" s="84" t="s">
        <v>276</v>
      </c>
      <c r="E202" s="14">
        <v>14</v>
      </c>
      <c r="F202" s="14"/>
      <c r="G202" s="20">
        <v>1539</v>
      </c>
      <c r="H202" s="13" t="s">
        <v>1842</v>
      </c>
      <c r="I202" s="13" t="str">
        <f t="shared" si="13"/>
        <v>Cypress Creek Rd (US 1/SR 5 to NE 18TH Av)</v>
      </c>
      <c r="J202" s="11" t="s">
        <v>27</v>
      </c>
      <c r="K202" s="13" t="str">
        <f>VLOOKUP(J202,'Data-ProjectTypes'!A$3:B$13,2,FALSE)</f>
        <v>Program</v>
      </c>
      <c r="L202" s="11" t="s">
        <v>1272</v>
      </c>
      <c r="M202" s="106" t="s">
        <v>1422</v>
      </c>
      <c r="N202" s="84" t="s">
        <v>2146</v>
      </c>
      <c r="Q202" s="107">
        <v>0.9</v>
      </c>
      <c r="R202" s="23">
        <v>478000</v>
      </c>
      <c r="Y202" s="12"/>
      <c r="Z202" s="71">
        <f>ROUND(R202*'Data-CostAssumptions'!$C$8,-3)</f>
        <v>478000</v>
      </c>
      <c r="AA202" s="11">
        <f t="shared" si="11"/>
        <v>0</v>
      </c>
      <c r="AB202" s="11">
        <v>2041</v>
      </c>
      <c r="AC202" s="11">
        <v>2041</v>
      </c>
      <c r="AD202" s="11">
        <v>2041</v>
      </c>
      <c r="AE202" s="19">
        <f>ROUND((Z202*'Data-CostAssumptions'!$G$5)*(1+'Data-CostAssumptions'!$G$3)^(AB202-'Data-CostAssumptions'!$G$4),-3)</f>
        <v>270000</v>
      </c>
      <c r="AF202" s="19">
        <f>ROUND((Z202)*(1+'Data-CostAssumptions'!$G$3)^(AD202-'Data-CostAssumptions'!$G$4),-3)</f>
        <v>1226000</v>
      </c>
      <c r="AG202" s="170" t="str">
        <f t="shared" si="12"/>
        <v>No</v>
      </c>
    </row>
    <row r="203" spans="1:33" ht="15" customHeight="1" x14ac:dyDescent="0.2">
      <c r="B203" s="11" t="s">
        <v>1211</v>
      </c>
      <c r="C203" s="13">
        <v>291</v>
      </c>
      <c r="D203" s="13" t="s">
        <v>420</v>
      </c>
      <c r="E203" s="20">
        <v>79</v>
      </c>
      <c r="F203" s="20">
        <v>156</v>
      </c>
      <c r="G203" s="20">
        <v>503</v>
      </c>
      <c r="H203" s="13" t="s">
        <v>1910</v>
      </c>
      <c r="I203" s="13" t="str">
        <f t="shared" si="13"/>
        <v>NW 16th St (NE 5th Terrace to Powerline Rd)</v>
      </c>
      <c r="J203" s="13" t="s">
        <v>27</v>
      </c>
      <c r="K203" s="13" t="str">
        <f>VLOOKUP(J203,'Data-ProjectTypes'!A$3:B$13,2,FALSE)</f>
        <v>Program</v>
      </c>
      <c r="L203" s="21" t="s">
        <v>348</v>
      </c>
      <c r="M203" s="13" t="s">
        <v>217</v>
      </c>
      <c r="N203" s="13" t="s">
        <v>1858</v>
      </c>
      <c r="O203" s="13" t="s">
        <v>276</v>
      </c>
      <c r="P203" s="13" t="s">
        <v>276</v>
      </c>
      <c r="Q203" s="22">
        <v>1</v>
      </c>
      <c r="R203" s="23">
        <v>342567</v>
      </c>
      <c r="S203" s="21"/>
      <c r="T203" s="21"/>
      <c r="U203" s="21"/>
      <c r="V203" s="24"/>
      <c r="W203" s="24"/>
      <c r="X203" s="24"/>
      <c r="Y203" s="17"/>
      <c r="Z203" s="18">
        <f>ROUND(R203*'Data-CostAssumptions'!$C$3,-3)</f>
        <v>474000</v>
      </c>
      <c r="AA203" s="11">
        <f t="shared" si="11"/>
        <v>0</v>
      </c>
      <c r="AB203" s="11">
        <v>2041</v>
      </c>
      <c r="AC203" s="11">
        <v>2041</v>
      </c>
      <c r="AD203" s="11">
        <v>2041</v>
      </c>
      <c r="AE203" s="19">
        <f>ROUND((Z203*'Data-CostAssumptions'!$G$5)*(1+'Data-CostAssumptions'!$G$3)^(AB203-'Data-CostAssumptions'!$G$4),-3)</f>
        <v>267000</v>
      </c>
      <c r="AF203" s="19">
        <f>ROUND((Z203)*(1+'Data-CostAssumptions'!$G$3)^(AD203-'Data-CostAssumptions'!$G$4),-3)</f>
        <v>1215000</v>
      </c>
      <c r="AG203" s="170" t="str">
        <f t="shared" si="12"/>
        <v>No</v>
      </c>
    </row>
    <row r="204" spans="1:33" ht="15" customHeight="1" x14ac:dyDescent="0.2">
      <c r="B204" s="11" t="s">
        <v>1211</v>
      </c>
      <c r="C204" s="13">
        <v>495</v>
      </c>
      <c r="D204" s="13" t="s">
        <v>420</v>
      </c>
      <c r="E204" s="20">
        <v>60</v>
      </c>
      <c r="F204" s="20">
        <v>169</v>
      </c>
      <c r="G204" s="20">
        <v>699</v>
      </c>
      <c r="H204" s="13" t="s">
        <v>1975</v>
      </c>
      <c r="I204" s="13" t="str">
        <f t="shared" si="13"/>
        <v>Diplomat Pkwy (Hallandale Beach Bl to Washington St)</v>
      </c>
      <c r="J204" s="13" t="s">
        <v>27</v>
      </c>
      <c r="K204" s="13" t="str">
        <f>VLOOKUP(J204,'Data-ProjectTypes'!A$3:B$13,2,FALSE)</f>
        <v>Program</v>
      </c>
      <c r="L204" s="21" t="s">
        <v>543</v>
      </c>
      <c r="M204" s="13" t="s">
        <v>1818</v>
      </c>
      <c r="N204" s="13" t="s">
        <v>1971</v>
      </c>
      <c r="O204" s="13" t="s">
        <v>272</v>
      </c>
      <c r="P204" s="13" t="s">
        <v>272</v>
      </c>
      <c r="Q204" s="22">
        <v>1.3</v>
      </c>
      <c r="R204" s="23">
        <v>474171</v>
      </c>
      <c r="S204" s="21" t="s">
        <v>24</v>
      </c>
      <c r="T204" s="21"/>
      <c r="U204" s="21"/>
      <c r="V204" s="24"/>
      <c r="W204" s="24"/>
      <c r="X204" s="24"/>
      <c r="Y204" s="17" t="s">
        <v>460</v>
      </c>
      <c r="Z204" s="18">
        <f>ROUND(R204*'Data-CostAssumptions'!$C$8,-3)</f>
        <v>474000</v>
      </c>
      <c r="AA204" s="11">
        <f t="shared" si="11"/>
        <v>0</v>
      </c>
      <c r="AB204" s="11">
        <v>2041</v>
      </c>
      <c r="AC204" s="11">
        <v>2041</v>
      </c>
      <c r="AD204" s="11">
        <v>2041</v>
      </c>
      <c r="AE204" s="19">
        <f>ROUND((Z204*'Data-CostAssumptions'!$G$5)*(1+'Data-CostAssumptions'!$G$3)^(AB204-'Data-CostAssumptions'!$G$4),-3)</f>
        <v>267000</v>
      </c>
      <c r="AF204" s="19">
        <f>ROUND((Z204)*(1+'Data-CostAssumptions'!$G$3)^(AD204-'Data-CostAssumptions'!$G$4),-3)</f>
        <v>1215000</v>
      </c>
      <c r="AG204" s="170" t="str">
        <f t="shared" si="12"/>
        <v>No</v>
      </c>
    </row>
    <row r="205" spans="1:33" ht="15" customHeight="1" x14ac:dyDescent="0.2">
      <c r="B205" s="11" t="s">
        <v>1211</v>
      </c>
      <c r="C205" s="13">
        <v>295</v>
      </c>
      <c r="D205" s="13" t="s">
        <v>420</v>
      </c>
      <c r="E205" s="20">
        <v>117</v>
      </c>
      <c r="F205" s="20">
        <v>157</v>
      </c>
      <c r="G205" s="20">
        <v>507</v>
      </c>
      <c r="H205" s="13" t="s">
        <v>2708</v>
      </c>
      <c r="I205" s="13" t="str">
        <f t="shared" si="13"/>
        <v>SR 845/North Powerline Rd (NW 2nd St to NW 15th St)</v>
      </c>
      <c r="J205" s="13" t="s">
        <v>27</v>
      </c>
      <c r="K205" s="13" t="str">
        <f>VLOOKUP(J205,'Data-ProjectTypes'!A$3:B$13,2,FALSE)</f>
        <v>Program</v>
      </c>
      <c r="L205" s="21" t="s">
        <v>348</v>
      </c>
      <c r="M205" s="13" t="s">
        <v>1912</v>
      </c>
      <c r="N205" s="13" t="s">
        <v>1909</v>
      </c>
      <c r="O205" s="13" t="s">
        <v>270</v>
      </c>
      <c r="P205" s="13" t="s">
        <v>270</v>
      </c>
      <c r="Q205" s="22">
        <v>0.9</v>
      </c>
      <c r="R205" s="23">
        <v>339446</v>
      </c>
      <c r="S205" s="21"/>
      <c r="T205" s="21"/>
      <c r="U205" s="21"/>
      <c r="V205" s="24"/>
      <c r="W205" s="24"/>
      <c r="X205" s="24"/>
      <c r="Y205" s="17"/>
      <c r="Z205" s="18">
        <f>ROUND(R205*'Data-CostAssumptions'!$C$3,-3)</f>
        <v>470000</v>
      </c>
      <c r="AA205" s="11">
        <f t="shared" si="11"/>
        <v>0</v>
      </c>
      <c r="AB205" s="11">
        <v>2041</v>
      </c>
      <c r="AC205" s="11">
        <v>2041</v>
      </c>
      <c r="AD205" s="11">
        <v>2041</v>
      </c>
      <c r="AE205" s="19">
        <f>ROUND((Z205*'Data-CostAssumptions'!$G$5)*(1+'Data-CostAssumptions'!$G$3)^(AB205-'Data-CostAssumptions'!$G$4),-3)</f>
        <v>265000</v>
      </c>
      <c r="AF205" s="19">
        <f>ROUND((Z205)*(1+'Data-CostAssumptions'!$G$3)^(AD205-'Data-CostAssumptions'!$G$4),-3)</f>
        <v>1205000</v>
      </c>
      <c r="AG205" s="170" t="str">
        <f t="shared" si="12"/>
        <v>No</v>
      </c>
    </row>
    <row r="206" spans="1:33" ht="15" customHeight="1" x14ac:dyDescent="0.2">
      <c r="B206" s="11" t="s">
        <v>1211</v>
      </c>
      <c r="C206" s="13">
        <v>286</v>
      </c>
      <c r="D206" s="13" t="s">
        <v>420</v>
      </c>
      <c r="E206" s="20">
        <v>33</v>
      </c>
      <c r="F206" s="20">
        <v>156</v>
      </c>
      <c r="G206" s="20">
        <v>499</v>
      </c>
      <c r="H206" s="13" t="s">
        <v>1769</v>
      </c>
      <c r="I206" s="13" t="str">
        <f t="shared" si="13"/>
        <v>South Douglas Rd (Pembroke Rd to Access Rd)</v>
      </c>
      <c r="J206" s="13" t="s">
        <v>27</v>
      </c>
      <c r="K206" s="13" t="str">
        <f>VLOOKUP(J206,'Data-ProjectTypes'!A$3:B$13,2,FALSE)</f>
        <v>Program</v>
      </c>
      <c r="L206" s="21" t="s">
        <v>348</v>
      </c>
      <c r="M206" s="13" t="s">
        <v>1760</v>
      </c>
      <c r="N206" s="13" t="s">
        <v>1743</v>
      </c>
      <c r="O206" s="13" t="s">
        <v>273</v>
      </c>
      <c r="P206" s="13" t="s">
        <v>273</v>
      </c>
      <c r="Q206" s="22">
        <v>0.9</v>
      </c>
      <c r="R206" s="23">
        <v>338062</v>
      </c>
      <c r="S206" s="21"/>
      <c r="T206" s="21"/>
      <c r="U206" s="21"/>
      <c r="V206" s="24"/>
      <c r="W206" s="24"/>
      <c r="X206" s="24" t="s">
        <v>493</v>
      </c>
      <c r="Y206" s="17" t="s">
        <v>492</v>
      </c>
      <c r="Z206" s="18">
        <f>ROUND(R206*'Data-CostAssumptions'!$C$3,-3)</f>
        <v>468000</v>
      </c>
      <c r="AA206" s="11">
        <f t="shared" si="11"/>
        <v>0</v>
      </c>
      <c r="AB206" s="11">
        <v>2041</v>
      </c>
      <c r="AC206" s="11">
        <v>2041</v>
      </c>
      <c r="AD206" s="11">
        <v>2041</v>
      </c>
      <c r="AE206" s="19">
        <f>ROUND((Z206*'Data-CostAssumptions'!$G$5)*(1+'Data-CostAssumptions'!$G$3)^(AB206-'Data-CostAssumptions'!$G$4),-3)</f>
        <v>264000</v>
      </c>
      <c r="AF206" s="19">
        <f>ROUND((Z206)*(1+'Data-CostAssumptions'!$G$3)^(AD206-'Data-CostAssumptions'!$G$4),-3)</f>
        <v>1200000</v>
      </c>
      <c r="AG206" s="170" t="str">
        <f t="shared" si="12"/>
        <v>No</v>
      </c>
    </row>
    <row r="207" spans="1:33" ht="15" customHeight="1" x14ac:dyDescent="0.2">
      <c r="A207" s="12"/>
      <c r="B207" s="11" t="s">
        <v>1211</v>
      </c>
      <c r="C207" s="12"/>
      <c r="D207" s="84" t="s">
        <v>276</v>
      </c>
      <c r="E207" s="104">
        <v>67</v>
      </c>
      <c r="F207" s="104"/>
      <c r="G207" s="20">
        <v>1591</v>
      </c>
      <c r="H207" s="13" t="s">
        <v>1983</v>
      </c>
      <c r="I207" s="13" t="str">
        <f t="shared" si="13"/>
        <v>NW 9th Av (BROWARD Bl to NW 6TH ST)</v>
      </c>
      <c r="J207" s="12" t="s">
        <v>27</v>
      </c>
      <c r="K207" s="13" t="str">
        <f>VLOOKUP(J207,'Data-ProjectTypes'!A$3:B$13,2,FALSE)</f>
        <v>Program</v>
      </c>
      <c r="L207" s="12" t="s">
        <v>1339</v>
      </c>
      <c r="M207" s="105" t="s">
        <v>1988</v>
      </c>
      <c r="N207" s="12" t="s">
        <v>1238</v>
      </c>
      <c r="O207" s="12"/>
      <c r="P207" s="12"/>
      <c r="Q207" s="72">
        <v>1</v>
      </c>
      <c r="R207" s="23">
        <v>334400</v>
      </c>
      <c r="Y207" s="12"/>
      <c r="Z207" s="18">
        <f>ROUND(R207*'Data-CostAssumptions'!$C$3,-3)</f>
        <v>463000</v>
      </c>
      <c r="AA207" s="11">
        <f t="shared" si="11"/>
        <v>0</v>
      </c>
      <c r="AB207" s="11">
        <v>2041</v>
      </c>
      <c r="AC207" s="11">
        <v>2041</v>
      </c>
      <c r="AD207" s="11">
        <v>2041</v>
      </c>
      <c r="AE207" s="19">
        <f>ROUND((Z207*'Data-CostAssumptions'!$G$5)*(1+'Data-CostAssumptions'!$G$3)^(AB207-'Data-CostAssumptions'!$G$4),-3)</f>
        <v>261000</v>
      </c>
      <c r="AF207" s="19">
        <f>ROUND((Z207)*(1+'Data-CostAssumptions'!$G$3)^(AD207-'Data-CostAssumptions'!$G$4),-3)</f>
        <v>1187000</v>
      </c>
      <c r="AG207" s="170" t="str">
        <f t="shared" si="12"/>
        <v>No</v>
      </c>
    </row>
    <row r="208" spans="1:33" ht="15" customHeight="1" x14ac:dyDescent="0.2">
      <c r="A208" s="12"/>
      <c r="B208" s="11" t="s">
        <v>1211</v>
      </c>
      <c r="C208" s="12"/>
      <c r="D208" s="84" t="s">
        <v>276</v>
      </c>
      <c r="E208" s="104">
        <v>68</v>
      </c>
      <c r="F208" s="104"/>
      <c r="G208" s="20">
        <v>1592</v>
      </c>
      <c r="H208" s="13" t="s">
        <v>1983</v>
      </c>
      <c r="I208" s="13" t="str">
        <f t="shared" si="13"/>
        <v>NW 9th Av (NW 6TH ST to SUNRISE Bl)</v>
      </c>
      <c r="J208" s="12" t="s">
        <v>27</v>
      </c>
      <c r="K208" s="13" t="str">
        <f>VLOOKUP(J208,'Data-ProjectTypes'!A$3:B$13,2,FALSE)</f>
        <v>Program</v>
      </c>
      <c r="L208" s="12" t="s">
        <v>1339</v>
      </c>
      <c r="M208" s="105" t="s">
        <v>1238</v>
      </c>
      <c r="N208" s="12" t="s">
        <v>2002</v>
      </c>
      <c r="O208" s="12"/>
      <c r="P208" s="12"/>
      <c r="Q208" s="72">
        <v>0.5</v>
      </c>
      <c r="R208" s="23">
        <v>334400</v>
      </c>
      <c r="Y208" s="12"/>
      <c r="Z208" s="18">
        <f>ROUND(R208*'Data-CostAssumptions'!$C$3,-3)</f>
        <v>463000</v>
      </c>
      <c r="AA208" s="11">
        <f t="shared" si="11"/>
        <v>0</v>
      </c>
      <c r="AB208" s="11">
        <v>2041</v>
      </c>
      <c r="AC208" s="11">
        <v>2041</v>
      </c>
      <c r="AD208" s="11">
        <v>2041</v>
      </c>
      <c r="AE208" s="19">
        <f>ROUND((Z208*'Data-CostAssumptions'!$G$5)*(1+'Data-CostAssumptions'!$G$3)^(AB208-'Data-CostAssumptions'!$G$4),-3)</f>
        <v>261000</v>
      </c>
      <c r="AF208" s="19">
        <f>ROUND((Z208)*(1+'Data-CostAssumptions'!$G$3)^(AD208-'Data-CostAssumptions'!$G$4),-3)</f>
        <v>1187000</v>
      </c>
      <c r="AG208" s="170" t="str">
        <f t="shared" si="12"/>
        <v>No</v>
      </c>
    </row>
    <row r="209" spans="1:33" ht="15" customHeight="1" x14ac:dyDescent="0.2">
      <c r="B209" s="11" t="s">
        <v>1211</v>
      </c>
      <c r="C209" s="13">
        <v>517</v>
      </c>
      <c r="D209" s="13" t="s">
        <v>420</v>
      </c>
      <c r="E209" s="20">
        <v>190</v>
      </c>
      <c r="F209" s="20">
        <v>170</v>
      </c>
      <c r="G209" s="20">
        <v>722</v>
      </c>
      <c r="H209" s="13" t="s">
        <v>2104</v>
      </c>
      <c r="I209" s="13" t="str">
        <f t="shared" si="13"/>
        <v>SW 148th Av (Stirling Rd to Griffin Rd)</v>
      </c>
      <c r="J209" s="13" t="s">
        <v>27</v>
      </c>
      <c r="K209" s="13" t="str">
        <f>VLOOKUP(J209,'Data-ProjectTypes'!A$3:B$13,2,FALSE)</f>
        <v>Program</v>
      </c>
      <c r="L209" s="21" t="s">
        <v>348</v>
      </c>
      <c r="M209" s="13" t="s">
        <v>177</v>
      </c>
      <c r="N209" s="13" t="s">
        <v>1750</v>
      </c>
      <c r="O209" s="13" t="s">
        <v>272</v>
      </c>
      <c r="P209" s="13" t="s">
        <v>272</v>
      </c>
      <c r="Q209" s="22">
        <v>1.3</v>
      </c>
      <c r="R209" s="23">
        <v>457980</v>
      </c>
      <c r="S209" s="21" t="s">
        <v>24</v>
      </c>
      <c r="T209" s="21"/>
      <c r="U209" s="21"/>
      <c r="V209" s="24"/>
      <c r="W209" s="24"/>
      <c r="X209" s="24"/>
      <c r="Y209" s="17" t="s">
        <v>469</v>
      </c>
      <c r="Z209" s="18">
        <f>ROUND(R209*'Data-CostAssumptions'!$C$8,-3)</f>
        <v>458000</v>
      </c>
      <c r="AA209" s="11">
        <f t="shared" si="11"/>
        <v>0</v>
      </c>
      <c r="AB209" s="11">
        <v>2041</v>
      </c>
      <c r="AC209" s="11">
        <v>2041</v>
      </c>
      <c r="AD209" s="11">
        <v>2041</v>
      </c>
      <c r="AE209" s="19">
        <f>ROUND((Z209*'Data-CostAssumptions'!$G$5)*(1+'Data-CostAssumptions'!$G$3)^(AB209-'Data-CostAssumptions'!$G$4),-3)</f>
        <v>258000</v>
      </c>
      <c r="AF209" s="19">
        <f>ROUND((Z209)*(1+'Data-CostAssumptions'!$G$3)^(AD209-'Data-CostAssumptions'!$G$4),-3)</f>
        <v>1174000</v>
      </c>
      <c r="AG209" s="170" t="str">
        <f t="shared" si="12"/>
        <v>No</v>
      </c>
    </row>
    <row r="210" spans="1:33" ht="15" customHeight="1" x14ac:dyDescent="0.2">
      <c r="B210" s="11" t="s">
        <v>1211</v>
      </c>
      <c r="C210" s="13">
        <v>239</v>
      </c>
      <c r="D210" s="13" t="s">
        <v>420</v>
      </c>
      <c r="E210" s="20">
        <v>201</v>
      </c>
      <c r="F210" s="20">
        <v>153</v>
      </c>
      <c r="G210" s="20">
        <v>452</v>
      </c>
      <c r="H210" s="13" t="s">
        <v>2709</v>
      </c>
      <c r="I210" s="13" t="str">
        <f t="shared" si="13"/>
        <v>SR 817/University Dr (Miramar Parkway to Pembroke Rd)</v>
      </c>
      <c r="J210" s="13" t="s">
        <v>27</v>
      </c>
      <c r="K210" s="13" t="str">
        <f>VLOOKUP(J210,'Data-ProjectTypes'!A$3:B$13,2,FALSE)</f>
        <v>Program</v>
      </c>
      <c r="L210" s="21" t="s">
        <v>348</v>
      </c>
      <c r="M210" s="13" t="s">
        <v>39</v>
      </c>
      <c r="N210" s="13" t="s">
        <v>1760</v>
      </c>
      <c r="O210" s="13" t="s">
        <v>270</v>
      </c>
      <c r="P210" s="13" t="s">
        <v>270</v>
      </c>
      <c r="Q210" s="22">
        <v>0.9</v>
      </c>
      <c r="R210" s="23">
        <v>329525</v>
      </c>
      <c r="S210" s="21"/>
      <c r="T210" s="21"/>
      <c r="U210" s="21"/>
      <c r="V210" s="24"/>
      <c r="W210" s="24"/>
      <c r="X210" s="24"/>
      <c r="Y210" s="17"/>
      <c r="Z210" s="18">
        <f>ROUND(R210*'Data-CostAssumptions'!$C$3,-3)</f>
        <v>456000</v>
      </c>
      <c r="AA210" s="11">
        <f t="shared" si="11"/>
        <v>0</v>
      </c>
      <c r="AB210" s="11">
        <v>2041</v>
      </c>
      <c r="AC210" s="11">
        <v>2041</v>
      </c>
      <c r="AD210" s="11">
        <v>2041</v>
      </c>
      <c r="AE210" s="19">
        <f>ROUND((Z210*'Data-CostAssumptions'!$G$5)*(1+'Data-CostAssumptions'!$G$3)^(AB210-'Data-CostAssumptions'!$G$4),-3)</f>
        <v>257000</v>
      </c>
      <c r="AF210" s="19">
        <f>ROUND((Z210)*(1+'Data-CostAssumptions'!$G$3)^(AD210-'Data-CostAssumptions'!$G$4),-3)</f>
        <v>1169000</v>
      </c>
      <c r="AG210" s="170" t="str">
        <f t="shared" si="12"/>
        <v>No</v>
      </c>
    </row>
    <row r="211" spans="1:33" ht="15" customHeight="1" x14ac:dyDescent="0.2">
      <c r="B211" s="11" t="s">
        <v>1211</v>
      </c>
      <c r="C211" s="13">
        <v>202</v>
      </c>
      <c r="D211" s="13" t="s">
        <v>420</v>
      </c>
      <c r="E211" s="20">
        <v>134</v>
      </c>
      <c r="F211" s="20">
        <v>151</v>
      </c>
      <c r="G211" s="20">
        <v>417</v>
      </c>
      <c r="H211" s="13" t="s">
        <v>1953</v>
      </c>
      <c r="I211" s="13" t="str">
        <f t="shared" si="13"/>
        <v>Southside of Basin/NW 339th St (NW 31st Av to NW 39th Av)</v>
      </c>
      <c r="J211" s="13" t="s">
        <v>27</v>
      </c>
      <c r="K211" s="13" t="str">
        <f>VLOOKUP(J211,'Data-ProjectTypes'!A$3:B$13,2,FALSE)</f>
        <v>Program</v>
      </c>
      <c r="L211" s="21" t="s">
        <v>348</v>
      </c>
      <c r="M211" s="13" t="s">
        <v>2062</v>
      </c>
      <c r="N211" s="13" t="s">
        <v>2266</v>
      </c>
      <c r="O211" s="13" t="s">
        <v>273</v>
      </c>
      <c r="P211" s="13" t="s">
        <v>273</v>
      </c>
      <c r="Q211" s="22">
        <v>0.9</v>
      </c>
      <c r="R211" s="23">
        <v>326403</v>
      </c>
      <c r="S211" s="21"/>
      <c r="T211" s="21"/>
      <c r="U211" s="21"/>
      <c r="V211" s="24"/>
      <c r="W211" s="24"/>
      <c r="X211" s="24"/>
      <c r="Y211" s="17"/>
      <c r="Z211" s="18">
        <f>ROUND(R211*'Data-CostAssumptions'!$C$3,-3)</f>
        <v>452000</v>
      </c>
      <c r="AA211" s="11">
        <f t="shared" si="11"/>
        <v>0</v>
      </c>
      <c r="AB211" s="11">
        <v>2041</v>
      </c>
      <c r="AC211" s="11">
        <v>2041</v>
      </c>
      <c r="AD211" s="11">
        <v>2041</v>
      </c>
      <c r="AE211" s="19">
        <f>ROUND((Z211*'Data-CostAssumptions'!$G$5)*(1+'Data-CostAssumptions'!$G$3)^(AB211-'Data-CostAssumptions'!$G$4),-3)</f>
        <v>255000</v>
      </c>
      <c r="AF211" s="19">
        <f>ROUND((Z211)*(1+'Data-CostAssumptions'!$G$3)^(AD211-'Data-CostAssumptions'!$G$4),-3)</f>
        <v>1159000</v>
      </c>
      <c r="AG211" s="170" t="str">
        <f t="shared" si="12"/>
        <v>No</v>
      </c>
    </row>
    <row r="212" spans="1:33" ht="15" customHeight="1" x14ac:dyDescent="0.2">
      <c r="B212" s="11" t="s">
        <v>1211</v>
      </c>
      <c r="C212" s="13">
        <v>350</v>
      </c>
      <c r="D212" s="13" t="s">
        <v>420</v>
      </c>
      <c r="E212" s="20">
        <v>37</v>
      </c>
      <c r="F212" s="20">
        <v>160</v>
      </c>
      <c r="G212" s="20">
        <v>561</v>
      </c>
      <c r="H212" s="13" t="s">
        <v>177</v>
      </c>
      <c r="I212" s="13" t="str">
        <f t="shared" si="13"/>
        <v>Stirling Rd (University Dr to Just east of NW 90th Av)</v>
      </c>
      <c r="J212" s="13" t="s">
        <v>27</v>
      </c>
      <c r="K212" s="13" t="str">
        <f>VLOOKUP(J212,'Data-ProjectTypes'!A$3:B$13,2,FALSE)</f>
        <v>Program</v>
      </c>
      <c r="L212" s="21" t="s">
        <v>348</v>
      </c>
      <c r="M212" s="13" t="s">
        <v>1804</v>
      </c>
      <c r="N212" s="13" t="s">
        <v>2267</v>
      </c>
      <c r="O212" s="13" t="s">
        <v>273</v>
      </c>
      <c r="P212" s="13" t="s">
        <v>273</v>
      </c>
      <c r="Q212" s="22">
        <v>0.9</v>
      </c>
      <c r="R212" s="23">
        <v>326150</v>
      </c>
      <c r="S212" s="21" t="s">
        <v>24</v>
      </c>
      <c r="T212" s="21" t="s">
        <v>25</v>
      </c>
      <c r="U212" s="21" t="s">
        <v>24</v>
      </c>
      <c r="V212" s="24"/>
      <c r="W212" s="24"/>
      <c r="X212" s="24"/>
      <c r="Y212" s="17" t="s">
        <v>685</v>
      </c>
      <c r="Z212" s="18">
        <f>ROUND(R212*'Data-CostAssumptions'!$C$3,-3)</f>
        <v>451000</v>
      </c>
      <c r="AA212" s="11">
        <f t="shared" si="11"/>
        <v>0</v>
      </c>
      <c r="AB212" s="11">
        <v>2041</v>
      </c>
      <c r="AC212" s="11">
        <v>2041</v>
      </c>
      <c r="AD212" s="11">
        <v>2041</v>
      </c>
      <c r="AE212" s="19">
        <f>ROUND((Z212*'Data-CostAssumptions'!$G$5)*(1+'Data-CostAssumptions'!$G$3)^(AB212-'Data-CostAssumptions'!$G$4),-3)</f>
        <v>254000</v>
      </c>
      <c r="AF212" s="19">
        <f>ROUND((Z212)*(1+'Data-CostAssumptions'!$G$3)^(AD212-'Data-CostAssumptions'!$G$4),-3)</f>
        <v>1156000</v>
      </c>
      <c r="AG212" s="170" t="str">
        <f t="shared" si="12"/>
        <v>No</v>
      </c>
    </row>
    <row r="213" spans="1:33" ht="15" customHeight="1" x14ac:dyDescent="0.2">
      <c r="B213" s="11" t="s">
        <v>1211</v>
      </c>
      <c r="C213" s="13">
        <v>225</v>
      </c>
      <c r="D213" s="13" t="s">
        <v>420</v>
      </c>
      <c r="E213" s="20">
        <v>39</v>
      </c>
      <c r="F213" s="20">
        <v>152</v>
      </c>
      <c r="G213" s="20">
        <v>439</v>
      </c>
      <c r="H213" s="13" t="s">
        <v>2709</v>
      </c>
      <c r="I213" s="13" t="str">
        <f t="shared" si="13"/>
        <v>SR 817/University Dr (Stirling Rd to Just of Southwood Circle)</v>
      </c>
      <c r="J213" s="13" t="s">
        <v>27</v>
      </c>
      <c r="K213" s="13" t="str">
        <f>VLOOKUP(J213,'Data-ProjectTypes'!A$3:B$13,2,FALSE)</f>
        <v>Program</v>
      </c>
      <c r="L213" s="21" t="s">
        <v>348</v>
      </c>
      <c r="M213" s="13" t="s">
        <v>177</v>
      </c>
      <c r="N213" s="13" t="s">
        <v>253</v>
      </c>
      <c r="O213" s="13" t="s">
        <v>270</v>
      </c>
      <c r="P213" s="13" t="s">
        <v>270</v>
      </c>
      <c r="Q213" s="22">
        <v>0.9</v>
      </c>
      <c r="R213" s="23">
        <v>323407</v>
      </c>
      <c r="S213" s="21" t="s">
        <v>24</v>
      </c>
      <c r="T213" s="21"/>
      <c r="U213" s="21"/>
      <c r="V213" s="24"/>
      <c r="W213" s="24"/>
      <c r="X213" s="24"/>
      <c r="Y213" s="17" t="s">
        <v>460</v>
      </c>
      <c r="Z213" s="18">
        <f>ROUND(R213*'Data-CostAssumptions'!$C$3,-3)</f>
        <v>448000</v>
      </c>
      <c r="AA213" s="11">
        <f t="shared" si="11"/>
        <v>0</v>
      </c>
      <c r="AB213" s="11">
        <v>2041</v>
      </c>
      <c r="AC213" s="11">
        <v>2041</v>
      </c>
      <c r="AD213" s="11">
        <v>2041</v>
      </c>
      <c r="AE213" s="19">
        <f>ROUND((Z213*'Data-CostAssumptions'!$G$5)*(1+'Data-CostAssumptions'!$G$3)^(AB213-'Data-CostAssumptions'!$G$4),-3)</f>
        <v>253000</v>
      </c>
      <c r="AF213" s="19">
        <f>ROUND((Z213)*(1+'Data-CostAssumptions'!$G$3)^(AD213-'Data-CostAssumptions'!$G$4),-3)</f>
        <v>1149000</v>
      </c>
      <c r="AG213" s="170" t="str">
        <f t="shared" si="12"/>
        <v>No</v>
      </c>
    </row>
    <row r="214" spans="1:33" ht="15" customHeight="1" x14ac:dyDescent="0.2">
      <c r="B214" s="11" t="s">
        <v>1211</v>
      </c>
      <c r="C214" s="13">
        <v>221</v>
      </c>
      <c r="D214" s="13" t="s">
        <v>420</v>
      </c>
      <c r="E214" s="20">
        <v>26</v>
      </c>
      <c r="F214" s="20">
        <v>152</v>
      </c>
      <c r="G214" s="20">
        <v>435</v>
      </c>
      <c r="H214" s="13" t="s">
        <v>2099</v>
      </c>
      <c r="I214" s="13" t="str">
        <f t="shared" si="13"/>
        <v>SW 101st Av/Palm Av (Miramar Parkway to Pembroke Rd)</v>
      </c>
      <c r="J214" s="13" t="s">
        <v>27</v>
      </c>
      <c r="K214" s="13" t="str">
        <f>VLOOKUP(J214,'Data-ProjectTypes'!A$3:B$13,2,FALSE)</f>
        <v>Program</v>
      </c>
      <c r="L214" s="21" t="s">
        <v>348</v>
      </c>
      <c r="M214" s="13" t="s">
        <v>39</v>
      </c>
      <c r="N214" s="13" t="s">
        <v>1760</v>
      </c>
      <c r="O214" s="13" t="s">
        <v>273</v>
      </c>
      <c r="P214" s="13" t="s">
        <v>273</v>
      </c>
      <c r="Q214" s="22">
        <v>0.9</v>
      </c>
      <c r="R214" s="23">
        <v>322463</v>
      </c>
      <c r="S214" s="21"/>
      <c r="T214" s="21"/>
      <c r="U214" s="21"/>
      <c r="V214" s="24"/>
      <c r="W214" s="24"/>
      <c r="X214" s="24"/>
      <c r="Y214" s="17"/>
      <c r="Z214" s="18">
        <f>ROUND(R214*'Data-CostAssumptions'!$C$3,-3)</f>
        <v>446000</v>
      </c>
      <c r="AA214" s="11">
        <f t="shared" si="11"/>
        <v>0</v>
      </c>
      <c r="AB214" s="11">
        <v>2041</v>
      </c>
      <c r="AC214" s="11">
        <v>2041</v>
      </c>
      <c r="AD214" s="11">
        <v>2041</v>
      </c>
      <c r="AE214" s="19">
        <f>ROUND((Z214*'Data-CostAssumptions'!$G$5)*(1+'Data-CostAssumptions'!$G$3)^(AB214-'Data-CostAssumptions'!$G$4),-3)</f>
        <v>252000</v>
      </c>
      <c r="AF214" s="19">
        <f>ROUND((Z214)*(1+'Data-CostAssumptions'!$G$3)^(AD214-'Data-CostAssumptions'!$G$4),-3)</f>
        <v>1144000</v>
      </c>
      <c r="AG214" s="170" t="str">
        <f t="shared" si="12"/>
        <v>No</v>
      </c>
    </row>
    <row r="215" spans="1:33" ht="15" customHeight="1" x14ac:dyDescent="0.2">
      <c r="B215" s="11" t="s">
        <v>1211</v>
      </c>
      <c r="C215" s="13">
        <v>546</v>
      </c>
      <c r="D215" s="13" t="s">
        <v>420</v>
      </c>
      <c r="E215" s="20">
        <v>63</v>
      </c>
      <c r="F215" s="20">
        <v>171</v>
      </c>
      <c r="G215" s="20">
        <v>750</v>
      </c>
      <c r="H215" s="13" t="s">
        <v>2807</v>
      </c>
      <c r="I215" s="13" t="str">
        <f t="shared" si="13"/>
        <v>SR A1A/East Dania Beach Bl (Just west of SR A1A to Gulfstream Rd)</v>
      </c>
      <c r="J215" s="13" t="s">
        <v>27</v>
      </c>
      <c r="K215" s="13" t="str">
        <f>VLOOKUP(J215,'Data-ProjectTypes'!A$3:B$13,2,FALSE)</f>
        <v>Program</v>
      </c>
      <c r="L215" s="21" t="s">
        <v>348</v>
      </c>
      <c r="M215" s="13" t="s">
        <v>190</v>
      </c>
      <c r="N215" s="13" t="s">
        <v>2405</v>
      </c>
      <c r="O215" s="13" t="s">
        <v>270</v>
      </c>
      <c r="P215" s="13" t="s">
        <v>270</v>
      </c>
      <c r="Q215" s="22">
        <v>0.9</v>
      </c>
      <c r="R215" s="23">
        <v>318486</v>
      </c>
      <c r="Y215" s="12" t="s">
        <v>3015</v>
      </c>
      <c r="Z215" s="71">
        <f>ROUND(R215*'Data-CostAssumptions'!$C$3,-3)</f>
        <v>441000</v>
      </c>
      <c r="AA215" s="11">
        <f t="shared" si="11"/>
        <v>0</v>
      </c>
      <c r="AB215" s="11">
        <v>2041</v>
      </c>
      <c r="AC215" s="11">
        <v>2041</v>
      </c>
      <c r="AD215" s="11">
        <v>2041</v>
      </c>
      <c r="AE215" s="19">
        <f>ROUND((Z215*'Data-CostAssumptions'!$G$5)*(1+'Data-CostAssumptions'!$G$3)^(AB215-'Data-CostAssumptions'!$G$4),-3)</f>
        <v>249000</v>
      </c>
      <c r="AF215" s="19">
        <f>ROUND((Z215)*(1+'Data-CostAssumptions'!$G$3)^(AD215-'Data-CostAssumptions'!$G$4),-3)</f>
        <v>1131000</v>
      </c>
      <c r="AG215" s="170" t="str">
        <f t="shared" si="12"/>
        <v>No</v>
      </c>
    </row>
    <row r="216" spans="1:33" ht="15" customHeight="1" x14ac:dyDescent="0.2">
      <c r="B216" s="11" t="s">
        <v>1211</v>
      </c>
      <c r="C216" s="13">
        <v>305</v>
      </c>
      <c r="D216" s="13" t="s">
        <v>420</v>
      </c>
      <c r="E216" s="20">
        <v>205</v>
      </c>
      <c r="F216" s="20">
        <v>157</v>
      </c>
      <c r="G216" s="20">
        <v>516</v>
      </c>
      <c r="H216" s="13" t="s">
        <v>1998</v>
      </c>
      <c r="I216" s="13" t="str">
        <f t="shared" si="13"/>
        <v>Pasadena Bl (University Dr to NW 88th Terrace)</v>
      </c>
      <c r="J216" s="13" t="s">
        <v>27</v>
      </c>
      <c r="K216" s="13" t="str">
        <f>VLOOKUP(J216,'Data-ProjectTypes'!A$3:B$13,2,FALSE)</f>
        <v>Program</v>
      </c>
      <c r="L216" s="21" t="s">
        <v>348</v>
      </c>
      <c r="M216" s="13" t="s">
        <v>1804</v>
      </c>
      <c r="N216" s="13" t="s">
        <v>132</v>
      </c>
      <c r="O216" s="13" t="s">
        <v>271</v>
      </c>
      <c r="P216" s="13" t="s">
        <v>271</v>
      </c>
      <c r="Q216" s="22">
        <v>0.9</v>
      </c>
      <c r="R216" s="23">
        <v>316878</v>
      </c>
      <c r="S216" s="21"/>
      <c r="T216" s="21"/>
      <c r="U216" s="21"/>
      <c r="V216" s="24"/>
      <c r="W216" s="24"/>
      <c r="X216" s="24"/>
      <c r="Y216" s="17"/>
      <c r="Z216" s="18">
        <f>ROUND(R216*'Data-CostAssumptions'!$C$3,-3)</f>
        <v>439000</v>
      </c>
      <c r="AA216" s="11">
        <f t="shared" si="11"/>
        <v>0</v>
      </c>
      <c r="AB216" s="11">
        <v>2041</v>
      </c>
      <c r="AC216" s="11">
        <v>2041</v>
      </c>
      <c r="AD216" s="11">
        <v>2041</v>
      </c>
      <c r="AE216" s="19">
        <f>ROUND((Z216*'Data-CostAssumptions'!$G$5)*(1+'Data-CostAssumptions'!$G$3)^(AB216-'Data-CostAssumptions'!$G$4),-3)</f>
        <v>248000</v>
      </c>
      <c r="AF216" s="19">
        <f>ROUND((Z216)*(1+'Data-CostAssumptions'!$G$3)^(AD216-'Data-CostAssumptions'!$G$4),-3)</f>
        <v>1126000</v>
      </c>
      <c r="AG216" s="170" t="str">
        <f t="shared" si="12"/>
        <v>No</v>
      </c>
    </row>
    <row r="217" spans="1:33" ht="15" customHeight="1" x14ac:dyDescent="0.2">
      <c r="B217" s="11" t="s">
        <v>1211</v>
      </c>
      <c r="C217" s="13">
        <v>409</v>
      </c>
      <c r="D217" s="13" t="s">
        <v>420</v>
      </c>
      <c r="E217" s="20">
        <v>45</v>
      </c>
      <c r="F217" s="20">
        <v>164</v>
      </c>
      <c r="G217" s="20">
        <v>617</v>
      </c>
      <c r="H217" s="13" t="s">
        <v>193</v>
      </c>
      <c r="I217" s="13" t="str">
        <f t="shared" si="13"/>
        <v>North 69th Way/North 66th Terrace Loop (Arthur St to Johnson St)</v>
      </c>
      <c r="J217" s="13" t="s">
        <v>27</v>
      </c>
      <c r="K217" s="13" t="str">
        <f>VLOOKUP(J217,'Data-ProjectTypes'!A$3:B$13,2,FALSE)</f>
        <v>Program</v>
      </c>
      <c r="L217" s="21" t="s">
        <v>543</v>
      </c>
      <c r="M217" s="13" t="s">
        <v>2518</v>
      </c>
      <c r="N217" s="13" t="s">
        <v>1880</v>
      </c>
      <c r="O217" s="13" t="s">
        <v>282</v>
      </c>
      <c r="P217" s="13" t="s">
        <v>282</v>
      </c>
      <c r="Q217" s="22">
        <v>0.9</v>
      </c>
      <c r="R217" s="23">
        <v>313021</v>
      </c>
      <c r="S217" s="21" t="s">
        <v>350</v>
      </c>
      <c r="T217" s="21"/>
      <c r="U217" s="21"/>
      <c r="V217" s="24"/>
      <c r="W217" s="24" t="s">
        <v>580</v>
      </c>
      <c r="X217" s="24"/>
      <c r="Y217" s="17" t="s">
        <v>538</v>
      </c>
      <c r="Z217" s="71">
        <f>ROUND(R217*'Data-CostAssumptions'!$C$3,-3)</f>
        <v>433000</v>
      </c>
      <c r="AA217" s="11">
        <f t="shared" si="11"/>
        <v>1</v>
      </c>
      <c r="AB217" s="11">
        <v>2041</v>
      </c>
      <c r="AC217" s="11">
        <v>2041</v>
      </c>
      <c r="AD217" s="11">
        <v>2041</v>
      </c>
      <c r="AE217" s="19">
        <f>ROUND((Z217*'Data-CostAssumptions'!$G$5)*(1+'Data-CostAssumptions'!$G$3)^(AB217-'Data-CostAssumptions'!$G$4),-3)</f>
        <v>244000</v>
      </c>
      <c r="AF217" s="19">
        <f>ROUND((Z217)*(1+'Data-CostAssumptions'!$G$3)^(AD217-'Data-CostAssumptions'!$G$4),-3)</f>
        <v>1110000</v>
      </c>
      <c r="AG217" s="170" t="str">
        <f t="shared" si="12"/>
        <v>No</v>
      </c>
    </row>
    <row r="218" spans="1:33" ht="15" customHeight="1" x14ac:dyDescent="0.2">
      <c r="B218" s="11" t="s">
        <v>1211</v>
      </c>
      <c r="C218" s="13">
        <v>433</v>
      </c>
      <c r="D218" s="13" t="s">
        <v>420</v>
      </c>
      <c r="E218" s="20">
        <v>157</v>
      </c>
      <c r="F218" s="20">
        <v>165</v>
      </c>
      <c r="G218" s="20">
        <v>643</v>
      </c>
      <c r="H218" s="13" t="s">
        <v>1829</v>
      </c>
      <c r="I218" s="13" t="str">
        <f t="shared" si="13"/>
        <v>Southgate Bl (Just east of SW 83rd Av to University Dr)</v>
      </c>
      <c r="J218" s="13" t="s">
        <v>27</v>
      </c>
      <c r="K218" s="13" t="str">
        <f>VLOOKUP(J218,'Data-ProjectTypes'!A$3:B$13,2,FALSE)</f>
        <v>Program</v>
      </c>
      <c r="L218" s="21" t="s">
        <v>348</v>
      </c>
      <c r="M218" s="13" t="s">
        <v>2386</v>
      </c>
      <c r="N218" s="13" t="s">
        <v>1804</v>
      </c>
      <c r="O218" s="13" t="s">
        <v>272</v>
      </c>
      <c r="P218" s="13" t="s">
        <v>272</v>
      </c>
      <c r="Q218" s="22">
        <v>0.9</v>
      </c>
      <c r="R218" s="23">
        <v>306840</v>
      </c>
      <c r="S218" s="21"/>
      <c r="T218" s="21"/>
      <c r="U218" s="21"/>
      <c r="V218" s="24"/>
      <c r="W218" s="24"/>
      <c r="X218" s="24"/>
      <c r="Y218" s="17"/>
      <c r="Z218" s="18">
        <f>ROUND(R218*'Data-CostAssumptions'!$C$3,-3)</f>
        <v>425000</v>
      </c>
      <c r="AA218" s="11">
        <f t="shared" si="11"/>
        <v>0</v>
      </c>
      <c r="AB218" s="11">
        <v>2041</v>
      </c>
      <c r="AC218" s="11">
        <v>2041</v>
      </c>
      <c r="AD218" s="11">
        <v>2041</v>
      </c>
      <c r="AE218" s="19">
        <f>ROUND((Z218*'Data-CostAssumptions'!$G$5)*(1+'Data-CostAssumptions'!$G$3)^(AB218-'Data-CostAssumptions'!$G$4),-3)</f>
        <v>240000</v>
      </c>
      <c r="AF218" s="19">
        <f>ROUND((Z218)*(1+'Data-CostAssumptions'!$G$3)^(AD218-'Data-CostAssumptions'!$G$4),-3)</f>
        <v>1090000</v>
      </c>
      <c r="AG218" s="170" t="str">
        <f t="shared" si="12"/>
        <v>No</v>
      </c>
    </row>
    <row r="219" spans="1:33" ht="15" customHeight="1" x14ac:dyDescent="0.2">
      <c r="B219" s="11" t="s">
        <v>1211</v>
      </c>
      <c r="C219" s="13">
        <v>371</v>
      </c>
      <c r="D219" s="13" t="s">
        <v>420</v>
      </c>
      <c r="E219" s="20">
        <v>161</v>
      </c>
      <c r="F219" s="20">
        <v>161</v>
      </c>
      <c r="G219" s="20">
        <v>582</v>
      </c>
      <c r="H219" s="13" t="s">
        <v>1799</v>
      </c>
      <c r="I219" s="13" t="str">
        <f t="shared" si="13"/>
        <v>Riverside Dr (Shadowwood Bl to Royal Palm Bl)</v>
      </c>
      <c r="J219" s="13" t="s">
        <v>27</v>
      </c>
      <c r="K219" s="13" t="str">
        <f>VLOOKUP(J219,'Data-ProjectTypes'!A$3:B$13,2,FALSE)</f>
        <v>Program</v>
      </c>
      <c r="L219" s="21" t="s">
        <v>348</v>
      </c>
      <c r="M219" s="13" t="s">
        <v>2331</v>
      </c>
      <c r="N219" s="13" t="s">
        <v>1827</v>
      </c>
      <c r="O219" s="13" t="s">
        <v>273</v>
      </c>
      <c r="P219" s="13" t="s">
        <v>273</v>
      </c>
      <c r="Q219" s="22">
        <v>0.9</v>
      </c>
      <c r="R219" s="23">
        <v>306608</v>
      </c>
      <c r="S219" s="21"/>
      <c r="T219" s="21"/>
      <c r="U219" s="21"/>
      <c r="V219" s="24"/>
      <c r="W219" s="24"/>
      <c r="X219" s="28"/>
      <c r="Y219" s="17"/>
      <c r="Z219" s="18">
        <f>ROUND(R219*'Data-CostAssumptions'!$C$3,-3)</f>
        <v>424000</v>
      </c>
      <c r="AA219" s="11">
        <f t="shared" si="11"/>
        <v>0</v>
      </c>
      <c r="AB219" s="11">
        <v>2041</v>
      </c>
      <c r="AC219" s="11">
        <v>2041</v>
      </c>
      <c r="AD219" s="11">
        <v>2041</v>
      </c>
      <c r="AE219" s="19">
        <f>ROUND((Z219*'Data-CostAssumptions'!$G$5)*(1+'Data-CostAssumptions'!$G$3)^(AB219-'Data-CostAssumptions'!$G$4),-3)</f>
        <v>239000</v>
      </c>
      <c r="AF219" s="19">
        <f>ROUND((Z219)*(1+'Data-CostAssumptions'!$G$3)^(AD219-'Data-CostAssumptions'!$G$4),-3)</f>
        <v>1087000</v>
      </c>
      <c r="AG219" s="170" t="str">
        <f t="shared" si="12"/>
        <v>No</v>
      </c>
    </row>
    <row r="220" spans="1:33" ht="15" customHeight="1" x14ac:dyDescent="0.2">
      <c r="A220" s="12"/>
      <c r="B220" s="11" t="s">
        <v>1211</v>
      </c>
      <c r="C220" s="12"/>
      <c r="D220" s="84" t="s">
        <v>276</v>
      </c>
      <c r="E220" s="104">
        <v>113</v>
      </c>
      <c r="F220" s="104"/>
      <c r="G220" s="20">
        <v>1642</v>
      </c>
      <c r="H220" s="13" t="s">
        <v>2196</v>
      </c>
      <c r="I220" s="13" t="str">
        <f t="shared" si="13"/>
        <v>SW 9TH Av (SW 32ND CT to SR 84)</v>
      </c>
      <c r="J220" s="12" t="s">
        <v>27</v>
      </c>
      <c r="K220" s="13" t="str">
        <f>VLOOKUP(J220,'Data-ProjectTypes'!A$3:B$13,2,FALSE)</f>
        <v>Program</v>
      </c>
      <c r="L220" s="12" t="s">
        <v>1400</v>
      </c>
      <c r="M220" s="105" t="s">
        <v>1457</v>
      </c>
      <c r="N220" s="12" t="s">
        <v>45</v>
      </c>
      <c r="O220" s="12"/>
      <c r="P220" s="12"/>
      <c r="Q220" s="72">
        <v>0.5</v>
      </c>
      <c r="R220" s="23">
        <v>424000</v>
      </c>
      <c r="Y220" s="12" t="s">
        <v>3006</v>
      </c>
      <c r="Z220" s="18">
        <f>ROUND(R220*'Data-CostAssumptions'!$C$8,-3)</f>
        <v>424000</v>
      </c>
      <c r="AA220" s="11">
        <f t="shared" si="11"/>
        <v>0</v>
      </c>
      <c r="AB220" s="11">
        <v>2041</v>
      </c>
      <c r="AC220" s="11">
        <v>2041</v>
      </c>
      <c r="AD220" s="11">
        <v>2041</v>
      </c>
      <c r="AE220" s="19">
        <f>ROUND((Z220*'Data-CostAssumptions'!$G$5)*(1+'Data-CostAssumptions'!$G$3)^(AB220-'Data-CostAssumptions'!$G$4),-3)</f>
        <v>239000</v>
      </c>
      <c r="AF220" s="19">
        <f>ROUND((Z220)*(1+'Data-CostAssumptions'!$G$3)^(AD220-'Data-CostAssumptions'!$G$4),-3)</f>
        <v>1087000</v>
      </c>
      <c r="AG220" s="170" t="str">
        <f t="shared" si="12"/>
        <v>No</v>
      </c>
    </row>
    <row r="221" spans="1:33" ht="15" customHeight="1" x14ac:dyDescent="0.2">
      <c r="A221" s="12"/>
      <c r="B221" s="11" t="s">
        <v>1211</v>
      </c>
      <c r="C221" s="12"/>
      <c r="D221" s="84" t="s">
        <v>276</v>
      </c>
      <c r="E221" s="104">
        <v>47</v>
      </c>
      <c r="F221" s="104"/>
      <c r="G221" s="20">
        <v>1568</v>
      </c>
      <c r="H221" s="13" t="s">
        <v>1230</v>
      </c>
      <c r="I221" s="13" t="str">
        <f t="shared" si="13"/>
        <v>NE 6TH ST (US 1/SR 5/FEDERAL HWY to NE 14TH Av)</v>
      </c>
      <c r="J221" s="12" t="s">
        <v>27</v>
      </c>
      <c r="K221" s="13" t="str">
        <f>VLOOKUP(J221,'Data-ProjectTypes'!A$3:B$13,2,FALSE)</f>
        <v>Program</v>
      </c>
      <c r="L221" s="12" t="s">
        <v>1308</v>
      </c>
      <c r="M221" s="105" t="s">
        <v>1425</v>
      </c>
      <c r="N221" s="12" t="s">
        <v>2142</v>
      </c>
      <c r="O221" s="12"/>
      <c r="P221" s="12"/>
      <c r="Q221" s="72">
        <v>0.5</v>
      </c>
      <c r="R221" s="23">
        <v>423250</v>
      </c>
      <c r="Y221" s="12"/>
      <c r="Z221" s="18">
        <f>ROUND(R221*'Data-CostAssumptions'!$C$8,-3)</f>
        <v>423000</v>
      </c>
      <c r="AA221" s="11">
        <f t="shared" si="11"/>
        <v>0</v>
      </c>
      <c r="AB221" s="11">
        <v>2041</v>
      </c>
      <c r="AC221" s="11">
        <v>2041</v>
      </c>
      <c r="AD221" s="11">
        <v>2041</v>
      </c>
      <c r="AE221" s="19">
        <f>ROUND((Z221*'Data-CostAssumptions'!$G$5)*(1+'Data-CostAssumptions'!$G$3)^(AB221-'Data-CostAssumptions'!$G$4),-3)</f>
        <v>239000</v>
      </c>
      <c r="AF221" s="19">
        <f>ROUND((Z221)*(1+'Data-CostAssumptions'!$G$3)^(AD221-'Data-CostAssumptions'!$G$4),-3)</f>
        <v>1085000</v>
      </c>
      <c r="AG221" s="170" t="str">
        <f t="shared" si="12"/>
        <v>No</v>
      </c>
    </row>
    <row r="222" spans="1:33" ht="15" customHeight="1" x14ac:dyDescent="0.2">
      <c r="B222" s="11" t="s">
        <v>1211</v>
      </c>
      <c r="D222" s="84" t="s">
        <v>276</v>
      </c>
      <c r="E222" s="14">
        <v>13</v>
      </c>
      <c r="F222" s="14"/>
      <c r="G222" s="20">
        <v>1630</v>
      </c>
      <c r="H222" s="13" t="s">
        <v>2803</v>
      </c>
      <c r="I222" s="13" t="str">
        <f t="shared" si="13"/>
        <v>SR 870/Commercial Bl (US 1/SR 5/FEDERAL HWY to NE 15TH TER)</v>
      </c>
      <c r="J222" s="11" t="s">
        <v>27</v>
      </c>
      <c r="K222" s="13" t="str">
        <f>VLOOKUP(J222,'Data-ProjectTypes'!A$3:B$13,2,FALSE)</f>
        <v>Program</v>
      </c>
      <c r="L222" s="11" t="s">
        <v>1269</v>
      </c>
      <c r="M222" s="106" t="s">
        <v>1425</v>
      </c>
      <c r="N222" s="84" t="s">
        <v>1427</v>
      </c>
      <c r="Q222" s="107">
        <v>0.7</v>
      </c>
      <c r="R222" s="23">
        <v>423100</v>
      </c>
      <c r="Y222" s="12"/>
      <c r="Z222" s="18">
        <f>ROUND(R222*'Data-CostAssumptions'!$C$4,-3)</f>
        <v>423000</v>
      </c>
      <c r="AA222" s="11">
        <f t="shared" si="11"/>
        <v>0</v>
      </c>
      <c r="AB222" s="11">
        <v>2041</v>
      </c>
      <c r="AC222" s="11">
        <v>2041</v>
      </c>
      <c r="AD222" s="11">
        <v>2041</v>
      </c>
      <c r="AE222" s="19">
        <f>ROUND((Z222*'Data-CostAssumptions'!$G$5)*(1+'Data-CostAssumptions'!$G$3)^(AB222-'Data-CostAssumptions'!$G$4),-3)</f>
        <v>239000</v>
      </c>
      <c r="AF222" s="19">
        <f>ROUND((Z222)*(1+'Data-CostAssumptions'!$G$3)^(AD222-'Data-CostAssumptions'!$G$4),-3)</f>
        <v>1085000</v>
      </c>
      <c r="AG222" s="170" t="str">
        <f t="shared" si="12"/>
        <v>No</v>
      </c>
    </row>
    <row r="223" spans="1:33" ht="15" customHeight="1" x14ac:dyDescent="0.2">
      <c r="B223" s="11" t="s">
        <v>1211</v>
      </c>
      <c r="C223" s="13">
        <v>364</v>
      </c>
      <c r="D223" s="13" t="s">
        <v>420</v>
      </c>
      <c r="E223" s="20">
        <v>118</v>
      </c>
      <c r="F223" s="20">
        <v>161</v>
      </c>
      <c r="G223" s="20">
        <v>575</v>
      </c>
      <c r="H223" s="13" t="s">
        <v>1751</v>
      </c>
      <c r="I223" s="13" t="str">
        <f t="shared" si="13"/>
        <v>Hammondville Rd (SR 845 / Powerline Rd to NW 31st Av)</v>
      </c>
      <c r="J223" s="13" t="s">
        <v>27</v>
      </c>
      <c r="K223" s="13" t="str">
        <f>VLOOKUP(J223,'Data-ProjectTypes'!A$3:B$13,2,FALSE)</f>
        <v>Program</v>
      </c>
      <c r="L223" s="21" t="s">
        <v>348</v>
      </c>
      <c r="M223" s="13" t="s">
        <v>2210</v>
      </c>
      <c r="N223" s="13" t="s">
        <v>2062</v>
      </c>
      <c r="O223" s="13" t="s">
        <v>275</v>
      </c>
      <c r="P223" s="13" t="s">
        <v>275</v>
      </c>
      <c r="Q223" s="22">
        <v>0.9</v>
      </c>
      <c r="R223" s="23">
        <v>305108</v>
      </c>
      <c r="S223" s="21"/>
      <c r="T223" s="21"/>
      <c r="U223" s="21"/>
      <c r="V223" s="24"/>
      <c r="W223" s="24"/>
      <c r="X223" s="24"/>
      <c r="Y223" s="17"/>
      <c r="Z223" s="18">
        <f>ROUND(R223*'Data-CostAssumptions'!$C$3,-3)</f>
        <v>422000</v>
      </c>
      <c r="AA223" s="11">
        <f t="shared" si="11"/>
        <v>0</v>
      </c>
      <c r="AB223" s="11">
        <v>2041</v>
      </c>
      <c r="AC223" s="11">
        <v>2041</v>
      </c>
      <c r="AD223" s="11">
        <v>2041</v>
      </c>
      <c r="AE223" s="19">
        <f>ROUND((Z223*'Data-CostAssumptions'!$G$5)*(1+'Data-CostAssumptions'!$G$3)^(AB223-'Data-CostAssumptions'!$G$4),-3)</f>
        <v>238000</v>
      </c>
      <c r="AF223" s="19">
        <f>ROUND((Z223)*(1+'Data-CostAssumptions'!$G$3)^(AD223-'Data-CostAssumptions'!$G$4),-3)</f>
        <v>1082000</v>
      </c>
      <c r="AG223" s="170" t="str">
        <f t="shared" si="12"/>
        <v>No</v>
      </c>
    </row>
    <row r="224" spans="1:33" ht="15" customHeight="1" x14ac:dyDescent="0.2">
      <c r="B224" s="11" t="s">
        <v>1211</v>
      </c>
      <c r="C224" s="13">
        <v>416</v>
      </c>
      <c r="D224" s="13" t="s">
        <v>420</v>
      </c>
      <c r="E224" s="20">
        <v>61</v>
      </c>
      <c r="F224" s="20">
        <v>164</v>
      </c>
      <c r="G224" s="20">
        <v>625</v>
      </c>
      <c r="H224" s="13" t="s">
        <v>2787</v>
      </c>
      <c r="I224" s="13" t="str">
        <f t="shared" si="13"/>
        <v>SR 822/Sheridan St (Just west of SR A1A to Just west of Watermark Bl)</v>
      </c>
      <c r="J224" s="13" t="s">
        <v>27</v>
      </c>
      <c r="K224" s="13" t="str">
        <f>VLOOKUP(J224,'Data-ProjectTypes'!A$3:B$13,2,FALSE)</f>
        <v>Program</v>
      </c>
      <c r="L224" s="21" t="s">
        <v>348</v>
      </c>
      <c r="M224" s="13" t="s">
        <v>190</v>
      </c>
      <c r="N224" s="13" t="s">
        <v>2283</v>
      </c>
      <c r="O224" s="13" t="s">
        <v>270</v>
      </c>
      <c r="P224" s="13" t="s">
        <v>270</v>
      </c>
      <c r="Q224" s="22">
        <v>0.9</v>
      </c>
      <c r="R224" s="23">
        <v>304916</v>
      </c>
      <c r="S224" s="21"/>
      <c r="T224" s="21"/>
      <c r="U224" s="21"/>
      <c r="V224" s="24"/>
      <c r="W224" s="24" t="s">
        <v>715</v>
      </c>
      <c r="X224" s="24"/>
      <c r="Y224" s="17" t="s">
        <v>538</v>
      </c>
      <c r="Z224" s="18">
        <f>ROUND(R224*'Data-CostAssumptions'!$C$3,-3)</f>
        <v>422000</v>
      </c>
      <c r="AA224" s="11">
        <f t="shared" si="11"/>
        <v>1</v>
      </c>
      <c r="AB224" s="11">
        <v>2041</v>
      </c>
      <c r="AC224" s="11">
        <v>2041</v>
      </c>
      <c r="AD224" s="11">
        <v>2041</v>
      </c>
      <c r="AE224" s="19">
        <f>ROUND((Z224*'Data-CostAssumptions'!$G$5)*(1+'Data-CostAssumptions'!$G$3)^(AB224-'Data-CostAssumptions'!$G$4),-3)</f>
        <v>238000</v>
      </c>
      <c r="AF224" s="19">
        <f>ROUND((Z224)*(1+'Data-CostAssumptions'!$G$3)^(AD224-'Data-CostAssumptions'!$G$4),-3)</f>
        <v>1082000</v>
      </c>
      <c r="AG224" s="170" t="str">
        <f t="shared" si="12"/>
        <v>No</v>
      </c>
    </row>
    <row r="225" spans="1:33" ht="15" customHeight="1" x14ac:dyDescent="0.2">
      <c r="A225" s="12"/>
      <c r="B225" s="11" t="s">
        <v>1211</v>
      </c>
      <c r="C225" s="12"/>
      <c r="D225" s="84" t="s">
        <v>276</v>
      </c>
      <c r="E225" s="104">
        <v>24</v>
      </c>
      <c r="F225" s="104"/>
      <c r="G225" s="20">
        <v>1547</v>
      </c>
      <c r="H225" s="13" t="s">
        <v>1823</v>
      </c>
      <c r="I225" s="13" t="str">
        <f t="shared" si="13"/>
        <v>Las Olas Bl (SE 15TH Av to US 1/SR 5/FEDERAL HWY)</v>
      </c>
      <c r="J225" s="12" t="s">
        <v>27</v>
      </c>
      <c r="K225" s="13" t="str">
        <f>VLOOKUP(J225,'Data-ProjectTypes'!A$3:B$13,2,FALSE)</f>
        <v>Program</v>
      </c>
      <c r="L225" s="12" t="s">
        <v>1289</v>
      </c>
      <c r="M225" s="105" t="s">
        <v>2607</v>
      </c>
      <c r="N225" s="12" t="s">
        <v>1425</v>
      </c>
      <c r="O225" s="12"/>
      <c r="P225" s="12"/>
      <c r="Q225" s="72">
        <v>0.5</v>
      </c>
      <c r="R225" s="23">
        <v>419400</v>
      </c>
      <c r="Y225" s="12"/>
      <c r="Z225" s="18">
        <f>ROUND(R225*'Data-CostAssumptions'!$C$8,-3)</f>
        <v>419000</v>
      </c>
      <c r="AA225" s="11">
        <f t="shared" si="11"/>
        <v>0</v>
      </c>
      <c r="AB225" s="11">
        <v>2041</v>
      </c>
      <c r="AC225" s="11">
        <v>2041</v>
      </c>
      <c r="AD225" s="11">
        <v>2041</v>
      </c>
      <c r="AE225" s="19">
        <f>ROUND((Z225*'Data-CostAssumptions'!$G$5)*(1+'Data-CostAssumptions'!$G$3)^(AB225-'Data-CostAssumptions'!$G$4),-3)</f>
        <v>236000</v>
      </c>
      <c r="AF225" s="19">
        <f>ROUND((Z225)*(1+'Data-CostAssumptions'!$G$3)^(AD225-'Data-CostAssumptions'!$G$4),-3)</f>
        <v>1074000</v>
      </c>
      <c r="AG225" s="170" t="str">
        <f t="shared" si="12"/>
        <v>No</v>
      </c>
    </row>
    <row r="226" spans="1:33" ht="15" customHeight="1" x14ac:dyDescent="0.2">
      <c r="B226" s="11" t="s">
        <v>1211</v>
      </c>
      <c r="C226" s="13">
        <v>500</v>
      </c>
      <c r="D226" s="13" t="s">
        <v>420</v>
      </c>
      <c r="E226" s="20">
        <v>96</v>
      </c>
      <c r="F226" s="20">
        <v>169</v>
      </c>
      <c r="G226" s="20">
        <v>704</v>
      </c>
      <c r="H226" s="13" t="s">
        <v>2030</v>
      </c>
      <c r="I226" s="13" t="str">
        <f t="shared" si="13"/>
        <v>NE 26th Av/Harbor Dr (Atlantic Bl to NE 12th St)</v>
      </c>
      <c r="J226" s="13" t="s">
        <v>27</v>
      </c>
      <c r="K226" s="13" t="str">
        <f>VLOOKUP(J226,'Data-ProjectTypes'!A$3:B$13,2,FALSE)</f>
        <v>Program</v>
      </c>
      <c r="L226" s="21" t="s">
        <v>348</v>
      </c>
      <c r="M226" s="13" t="s">
        <v>1809</v>
      </c>
      <c r="N226" s="13" t="s">
        <v>1883</v>
      </c>
      <c r="O226" s="13" t="s">
        <v>275</v>
      </c>
      <c r="P226" s="13" t="s">
        <v>275</v>
      </c>
      <c r="Q226" s="22">
        <v>1.2</v>
      </c>
      <c r="R226" s="23">
        <v>416761</v>
      </c>
      <c r="Y226" s="17"/>
      <c r="Z226" s="18">
        <f>ROUND(R226*'Data-CostAssumptions'!$C$8,-3)</f>
        <v>417000</v>
      </c>
      <c r="AA226" s="11">
        <f t="shared" si="11"/>
        <v>0</v>
      </c>
      <c r="AB226" s="11">
        <v>2041</v>
      </c>
      <c r="AC226" s="11">
        <v>2041</v>
      </c>
      <c r="AD226" s="11">
        <v>2041</v>
      </c>
      <c r="AE226" s="19">
        <f>ROUND((Z226*'Data-CostAssumptions'!$G$5)*(1+'Data-CostAssumptions'!$G$3)^(AB226-'Data-CostAssumptions'!$G$4),-3)</f>
        <v>235000</v>
      </c>
      <c r="AF226" s="19">
        <f>ROUND((Z226)*(1+'Data-CostAssumptions'!$G$3)^(AD226-'Data-CostAssumptions'!$G$4),-3)</f>
        <v>1069000</v>
      </c>
      <c r="AG226" s="170" t="str">
        <f t="shared" si="12"/>
        <v>No</v>
      </c>
    </row>
    <row r="227" spans="1:33" ht="15" customHeight="1" x14ac:dyDescent="0.2">
      <c r="B227" s="11" t="s">
        <v>1211</v>
      </c>
      <c r="C227" s="13">
        <v>358</v>
      </c>
      <c r="D227" s="13" t="s">
        <v>420</v>
      </c>
      <c r="E227" s="20">
        <v>84</v>
      </c>
      <c r="F227" s="20">
        <v>160</v>
      </c>
      <c r="G227" s="20">
        <v>569</v>
      </c>
      <c r="H227" s="13" t="s">
        <v>2710</v>
      </c>
      <c r="I227" s="13" t="str">
        <f t="shared" si="13"/>
        <v>SR 816/Oakland Park Bl (Access Rd to Federal Hwy)</v>
      </c>
      <c r="J227" s="13" t="s">
        <v>27</v>
      </c>
      <c r="K227" s="13" t="str">
        <f>VLOOKUP(J227,'Data-ProjectTypes'!A$3:B$13,2,FALSE)</f>
        <v>Program</v>
      </c>
      <c r="L227" s="21" t="s">
        <v>348</v>
      </c>
      <c r="M227" s="13" t="s">
        <v>1743</v>
      </c>
      <c r="N227" s="13" t="s">
        <v>2595</v>
      </c>
      <c r="O227" s="13" t="s">
        <v>270</v>
      </c>
      <c r="P227" s="13" t="s">
        <v>270</v>
      </c>
      <c r="Q227" s="22">
        <v>0.8</v>
      </c>
      <c r="R227" s="23">
        <v>298804</v>
      </c>
      <c r="S227" s="21" t="s">
        <v>24</v>
      </c>
      <c r="T227" s="21" t="s">
        <v>25</v>
      </c>
      <c r="U227" s="21" t="s">
        <v>25</v>
      </c>
      <c r="V227" s="31" t="s">
        <v>751</v>
      </c>
      <c r="W227" s="24"/>
      <c r="X227" s="50" t="s">
        <v>750</v>
      </c>
      <c r="Y227" s="17" t="s">
        <v>735</v>
      </c>
      <c r="Z227" s="18">
        <f>ROUND(R227*'Data-CostAssumptions'!$C$3,-3)</f>
        <v>414000</v>
      </c>
      <c r="AA227" s="11">
        <f t="shared" si="11"/>
        <v>1</v>
      </c>
      <c r="AB227" s="11">
        <v>2041</v>
      </c>
      <c r="AC227" s="11">
        <v>2041</v>
      </c>
      <c r="AD227" s="11">
        <v>2041</v>
      </c>
      <c r="AE227" s="19">
        <f>ROUND((Z227*'Data-CostAssumptions'!$G$5)*(1+'Data-CostAssumptions'!$G$3)^(AB227-'Data-CostAssumptions'!$G$4),-3)</f>
        <v>234000</v>
      </c>
      <c r="AF227" s="19">
        <f>ROUND((Z227)*(1+'Data-CostAssumptions'!$G$3)^(AD227-'Data-CostAssumptions'!$G$4),-3)</f>
        <v>1061000</v>
      </c>
      <c r="AG227" s="170" t="str">
        <f t="shared" si="12"/>
        <v>No</v>
      </c>
    </row>
    <row r="228" spans="1:33" ht="15" customHeight="1" x14ac:dyDescent="0.2">
      <c r="A228" s="12"/>
      <c r="B228" s="11" t="s">
        <v>1211</v>
      </c>
      <c r="C228" s="12"/>
      <c r="D228" s="84" t="s">
        <v>276</v>
      </c>
      <c r="E228" s="104">
        <v>38</v>
      </c>
      <c r="F228" s="104"/>
      <c r="G228" s="20">
        <v>1580</v>
      </c>
      <c r="H228" s="13" t="s">
        <v>1233</v>
      </c>
      <c r="I228" s="13" t="str">
        <f t="shared" si="13"/>
        <v>NW 2ND ST (NW 11TH Av to NW 7TH Av/AVE OF THE ARTS)</v>
      </c>
      <c r="J228" s="12" t="s">
        <v>27</v>
      </c>
      <c r="K228" s="13" t="str">
        <f>VLOOKUP(J228,'Data-ProjectTypes'!A$3:B$13,2,FALSE)</f>
        <v>Program</v>
      </c>
      <c r="L228" s="12" t="s">
        <v>1303</v>
      </c>
      <c r="M228" s="105" t="s">
        <v>2620</v>
      </c>
      <c r="N228" s="12" t="s">
        <v>2615</v>
      </c>
      <c r="O228" s="12"/>
      <c r="P228" s="12"/>
      <c r="Q228" s="72">
        <v>0.4</v>
      </c>
      <c r="R228" s="23">
        <v>299000</v>
      </c>
      <c r="Y228" s="12"/>
      <c r="Z228" s="18">
        <f>ROUND(R228*'Data-CostAssumptions'!$C$3,-3)</f>
        <v>414000</v>
      </c>
      <c r="AA228" s="11">
        <f t="shared" si="11"/>
        <v>0</v>
      </c>
      <c r="AB228" s="11">
        <v>2041</v>
      </c>
      <c r="AC228" s="11">
        <v>2041</v>
      </c>
      <c r="AD228" s="11">
        <v>2041</v>
      </c>
      <c r="AE228" s="19">
        <f>ROUND((Z228*'Data-CostAssumptions'!$G$5)*(1+'Data-CostAssumptions'!$G$3)^(AB228-'Data-CostAssumptions'!$G$4),-3)</f>
        <v>234000</v>
      </c>
      <c r="AF228" s="19">
        <f>ROUND((Z228)*(1+'Data-CostAssumptions'!$G$3)^(AD228-'Data-CostAssumptions'!$G$4),-3)</f>
        <v>1061000</v>
      </c>
      <c r="AG228" s="170" t="str">
        <f t="shared" si="12"/>
        <v>No</v>
      </c>
    </row>
    <row r="229" spans="1:33" ht="15" customHeight="1" x14ac:dyDescent="0.2">
      <c r="A229" s="12"/>
      <c r="B229" s="11" t="s">
        <v>1211</v>
      </c>
      <c r="C229" s="12"/>
      <c r="D229" s="84" t="s">
        <v>276</v>
      </c>
      <c r="E229" s="104">
        <v>37</v>
      </c>
      <c r="F229" s="104"/>
      <c r="G229" s="20">
        <v>1581</v>
      </c>
      <c r="H229" s="13" t="s">
        <v>1233</v>
      </c>
      <c r="I229" s="13" t="str">
        <f t="shared" si="13"/>
        <v>NW 2ND ST (NW 15TH Av to NW 11TH Av)</v>
      </c>
      <c r="J229" s="12" t="s">
        <v>27</v>
      </c>
      <c r="K229" s="13" t="str">
        <f>VLOOKUP(J229,'Data-ProjectTypes'!A$3:B$13,2,FALSE)</f>
        <v>Program</v>
      </c>
      <c r="L229" s="12" t="s">
        <v>1303</v>
      </c>
      <c r="M229" s="105" t="s">
        <v>2160</v>
      </c>
      <c r="N229" s="12" t="s">
        <v>2620</v>
      </c>
      <c r="O229" s="12"/>
      <c r="P229" s="12"/>
      <c r="Q229" s="72">
        <v>0.4</v>
      </c>
      <c r="R229" s="23">
        <v>299000</v>
      </c>
      <c r="Y229" s="12"/>
      <c r="Z229" s="18">
        <f>ROUND(R229*'Data-CostAssumptions'!$C$3,-3)</f>
        <v>414000</v>
      </c>
      <c r="AA229" s="11">
        <f t="shared" si="11"/>
        <v>0</v>
      </c>
      <c r="AB229" s="11">
        <v>2041</v>
      </c>
      <c r="AC229" s="11">
        <v>2041</v>
      </c>
      <c r="AD229" s="11">
        <v>2041</v>
      </c>
      <c r="AE229" s="19">
        <f>ROUND((Z229*'Data-CostAssumptions'!$G$5)*(1+'Data-CostAssumptions'!$G$3)^(AB229-'Data-CostAssumptions'!$G$4),-3)</f>
        <v>234000</v>
      </c>
      <c r="AF229" s="19">
        <f>ROUND((Z229)*(1+'Data-CostAssumptions'!$G$3)^(AD229-'Data-CostAssumptions'!$G$4),-3)</f>
        <v>1061000</v>
      </c>
      <c r="AG229" s="170" t="str">
        <f t="shared" si="12"/>
        <v>No</v>
      </c>
    </row>
    <row r="230" spans="1:33" ht="15" customHeight="1" x14ac:dyDescent="0.2">
      <c r="B230" s="11" t="s">
        <v>1211</v>
      </c>
      <c r="C230" s="13">
        <v>203</v>
      </c>
      <c r="D230" s="13" t="s">
        <v>420</v>
      </c>
      <c r="E230" s="20">
        <v>229</v>
      </c>
      <c r="F230" s="20">
        <v>151</v>
      </c>
      <c r="G230" s="20">
        <v>418</v>
      </c>
      <c r="H230" s="13" t="s">
        <v>2064</v>
      </c>
      <c r="I230" s="13" t="str">
        <f t="shared" si="13"/>
        <v>NW 33rd Av/NW 16th St (NW 31st Av to NW 16th St)</v>
      </c>
      <c r="J230" s="13" t="s">
        <v>27</v>
      </c>
      <c r="K230" s="13" t="str">
        <f>VLOOKUP(J230,'Data-ProjectTypes'!A$3:B$13,2,FALSE)</f>
        <v>Program</v>
      </c>
      <c r="L230" s="21" t="s">
        <v>348</v>
      </c>
      <c r="M230" s="13" t="s">
        <v>2062</v>
      </c>
      <c r="N230" s="13" t="s">
        <v>1910</v>
      </c>
      <c r="O230" s="13" t="s">
        <v>273</v>
      </c>
      <c r="P230" s="13" t="s">
        <v>273</v>
      </c>
      <c r="Q230" s="22">
        <v>0.8</v>
      </c>
      <c r="R230" s="23">
        <v>296710</v>
      </c>
      <c r="S230" s="21"/>
      <c r="T230" s="21"/>
      <c r="U230" s="21"/>
      <c r="V230" s="24"/>
      <c r="W230" s="24"/>
      <c r="X230" s="24"/>
      <c r="Y230" s="17"/>
      <c r="Z230" s="18">
        <f>ROUND(R230*'Data-CostAssumptions'!$C$3,-3)</f>
        <v>411000</v>
      </c>
      <c r="AA230" s="11">
        <f t="shared" si="11"/>
        <v>0</v>
      </c>
      <c r="AB230" s="11">
        <v>2041</v>
      </c>
      <c r="AC230" s="11">
        <v>2041</v>
      </c>
      <c r="AD230" s="11">
        <v>2041</v>
      </c>
      <c r="AE230" s="19">
        <f>ROUND((Z230*'Data-CostAssumptions'!$G$5)*(1+'Data-CostAssumptions'!$G$3)^(AB230-'Data-CostAssumptions'!$G$4),-3)</f>
        <v>232000</v>
      </c>
      <c r="AF230" s="19">
        <f>ROUND((Z230)*(1+'Data-CostAssumptions'!$G$3)^(AD230-'Data-CostAssumptions'!$G$4),-3)</f>
        <v>1054000</v>
      </c>
      <c r="AG230" s="170" t="str">
        <f t="shared" si="12"/>
        <v>No</v>
      </c>
    </row>
    <row r="231" spans="1:33" ht="15" customHeight="1" x14ac:dyDescent="0.2">
      <c r="B231" s="11" t="s">
        <v>1211</v>
      </c>
      <c r="C231" s="13">
        <v>418</v>
      </c>
      <c r="D231" s="13" t="s">
        <v>420</v>
      </c>
      <c r="E231" s="20">
        <v>73</v>
      </c>
      <c r="F231" s="20">
        <v>164</v>
      </c>
      <c r="G231" s="20">
        <v>627</v>
      </c>
      <c r="H231" s="13" t="s">
        <v>2112</v>
      </c>
      <c r="I231" s="13" t="str">
        <f t="shared" si="13"/>
        <v>SW 18th Av/Lauder Way (Just south of SW 32nd St to SW 20th St)</v>
      </c>
      <c r="J231" s="13" t="s">
        <v>27</v>
      </c>
      <c r="K231" s="13" t="str">
        <f>VLOOKUP(J231,'Data-ProjectTypes'!A$3:B$13,2,FALSE)</f>
        <v>Program</v>
      </c>
      <c r="L231" s="21" t="s">
        <v>348</v>
      </c>
      <c r="M231" s="13" t="s">
        <v>2573</v>
      </c>
      <c r="N231" s="13" t="s">
        <v>1957</v>
      </c>
      <c r="O231" s="13" t="s">
        <v>270</v>
      </c>
      <c r="P231" s="13" t="s">
        <v>270</v>
      </c>
      <c r="Q231" s="22">
        <v>0.8</v>
      </c>
      <c r="R231" s="23">
        <v>294660</v>
      </c>
      <c r="S231" s="21"/>
      <c r="T231" s="21"/>
      <c r="U231" s="21"/>
      <c r="V231" s="24"/>
      <c r="W231" s="24"/>
      <c r="X231" s="24"/>
      <c r="Y231" s="17"/>
      <c r="Z231" s="18">
        <f>ROUND(R231*'Data-CostAssumptions'!$C$3,-3)</f>
        <v>408000</v>
      </c>
      <c r="AA231" s="11">
        <f t="shared" si="11"/>
        <v>0</v>
      </c>
      <c r="AB231" s="11">
        <v>2041</v>
      </c>
      <c r="AC231" s="11">
        <v>2041</v>
      </c>
      <c r="AD231" s="11">
        <v>2041</v>
      </c>
      <c r="AE231" s="19">
        <f>ROUND((Z231*'Data-CostAssumptions'!$G$5)*(1+'Data-CostAssumptions'!$G$3)^(AB231-'Data-CostAssumptions'!$G$4),-3)</f>
        <v>230000</v>
      </c>
      <c r="AF231" s="19">
        <f>ROUND((Z231)*(1+'Data-CostAssumptions'!$G$3)^(AD231-'Data-CostAssumptions'!$G$4),-3)</f>
        <v>1046000</v>
      </c>
      <c r="AG231" s="170" t="str">
        <f t="shared" si="12"/>
        <v>No</v>
      </c>
    </row>
    <row r="232" spans="1:33" ht="15" customHeight="1" x14ac:dyDescent="0.2">
      <c r="B232" s="11" t="s">
        <v>1211</v>
      </c>
      <c r="C232" s="13">
        <v>376</v>
      </c>
      <c r="D232" s="13" t="s">
        <v>420</v>
      </c>
      <c r="E232" s="20">
        <v>214</v>
      </c>
      <c r="F232" s="20">
        <v>162</v>
      </c>
      <c r="G232" s="20">
        <v>587</v>
      </c>
      <c r="H232" s="13" t="s">
        <v>2738</v>
      </c>
      <c r="I232" s="13" t="str">
        <f t="shared" si="13"/>
        <v>SR 834/West Sample Rd (Just west of Lyons Rd to Turtle Creek Rd)</v>
      </c>
      <c r="J232" s="13" t="s">
        <v>27</v>
      </c>
      <c r="K232" s="13" t="str">
        <f>VLOOKUP(J232,'Data-ProjectTypes'!A$3:B$13,2,FALSE)</f>
        <v>Program</v>
      </c>
      <c r="L232" s="21" t="s">
        <v>348</v>
      </c>
      <c r="M232" s="13" t="s">
        <v>2470</v>
      </c>
      <c r="N232" s="13" t="s">
        <v>2469</v>
      </c>
      <c r="O232" s="13" t="s">
        <v>270</v>
      </c>
      <c r="P232" s="13" t="s">
        <v>270</v>
      </c>
      <c r="Q232" s="22">
        <v>0.8</v>
      </c>
      <c r="R232" s="23">
        <v>291887</v>
      </c>
      <c r="S232" s="21"/>
      <c r="T232" s="21"/>
      <c r="U232" s="21"/>
      <c r="V232" s="24"/>
      <c r="W232" s="24"/>
      <c r="X232" s="24"/>
      <c r="Y232" s="17"/>
      <c r="Z232" s="18">
        <f>ROUND(R232*'Data-CostAssumptions'!$C$3,-3)</f>
        <v>404000</v>
      </c>
      <c r="AA232" s="11">
        <f t="shared" si="11"/>
        <v>0</v>
      </c>
      <c r="AB232" s="11">
        <v>2041</v>
      </c>
      <c r="AC232" s="11">
        <v>2041</v>
      </c>
      <c r="AD232" s="11">
        <v>2041</v>
      </c>
      <c r="AE232" s="19">
        <f>ROUND((Z232*'Data-CostAssumptions'!$G$5)*(1+'Data-CostAssumptions'!$G$3)^(AB232-'Data-CostAssumptions'!$G$4),-3)</f>
        <v>228000</v>
      </c>
      <c r="AF232" s="19">
        <f>ROUND((Z232)*(1+'Data-CostAssumptions'!$G$3)^(AD232-'Data-CostAssumptions'!$G$4),-3)</f>
        <v>1036000</v>
      </c>
      <c r="AG232" s="170" t="str">
        <f t="shared" si="12"/>
        <v>No</v>
      </c>
    </row>
    <row r="233" spans="1:33" ht="15" customHeight="1" x14ac:dyDescent="0.2">
      <c r="A233" s="12"/>
      <c r="B233" s="11" t="s">
        <v>1211</v>
      </c>
      <c r="C233" s="12"/>
      <c r="D233" s="84" t="s">
        <v>276</v>
      </c>
      <c r="E233" s="104">
        <v>21</v>
      </c>
      <c r="F233" s="104"/>
      <c r="G233" s="20">
        <v>1543</v>
      </c>
      <c r="H233" s="13" t="s">
        <v>1816</v>
      </c>
      <c r="I233" s="13" t="str">
        <f t="shared" si="13"/>
        <v>Davie Bl (US 1/SR 5/FEDERAL HWY to SW 4TH Av)</v>
      </c>
      <c r="J233" s="12" t="s">
        <v>27</v>
      </c>
      <c r="K233" s="13" t="str">
        <f>VLOOKUP(J233,'Data-ProjectTypes'!A$3:B$13,2,FALSE)</f>
        <v>Program</v>
      </c>
      <c r="L233" s="12" t="s">
        <v>1277</v>
      </c>
      <c r="M233" s="105" t="s">
        <v>1425</v>
      </c>
      <c r="N233" s="12" t="s">
        <v>2194</v>
      </c>
      <c r="O233" s="12"/>
      <c r="P233" s="12"/>
      <c r="Q233" s="72">
        <v>0.6</v>
      </c>
      <c r="R233" s="23">
        <v>403000</v>
      </c>
      <c r="Y233" s="12"/>
      <c r="Z233" s="71">
        <f>ROUND(R233*'Data-CostAssumptions'!$C$8,-3)</f>
        <v>403000</v>
      </c>
      <c r="AA233" s="11">
        <f t="shared" si="11"/>
        <v>0</v>
      </c>
      <c r="AB233" s="11">
        <v>2041</v>
      </c>
      <c r="AC233" s="11">
        <v>2041</v>
      </c>
      <c r="AD233" s="11">
        <v>2041</v>
      </c>
      <c r="AE233" s="19">
        <f>ROUND((Z233*'Data-CostAssumptions'!$G$5)*(1+'Data-CostAssumptions'!$G$3)^(AB233-'Data-CostAssumptions'!$G$4),-3)</f>
        <v>227000</v>
      </c>
      <c r="AF233" s="19">
        <f>ROUND((Z233)*(1+'Data-CostAssumptions'!$G$3)^(AD233-'Data-CostAssumptions'!$G$4),-3)</f>
        <v>1033000</v>
      </c>
      <c r="AG233" s="170" t="str">
        <f t="shared" si="12"/>
        <v>No</v>
      </c>
    </row>
    <row r="234" spans="1:33" ht="15" customHeight="1" x14ac:dyDescent="0.2">
      <c r="B234" s="11" t="s">
        <v>1211</v>
      </c>
      <c r="C234" s="13">
        <v>232</v>
      </c>
      <c r="D234" s="13" t="s">
        <v>420</v>
      </c>
      <c r="E234" s="20">
        <v>93</v>
      </c>
      <c r="F234" s="20">
        <v>153</v>
      </c>
      <c r="G234" s="20">
        <v>446</v>
      </c>
      <c r="H234" s="13" t="s">
        <v>2036</v>
      </c>
      <c r="I234" s="13" t="str">
        <f t="shared" si="13"/>
        <v>NE 6th Av (NE 46th Court to NE 56th St)</v>
      </c>
      <c r="J234" s="13" t="s">
        <v>27</v>
      </c>
      <c r="K234" s="13" t="str">
        <f>VLOOKUP(J234,'Data-ProjectTypes'!A$3:B$13,2,FALSE)</f>
        <v>Program</v>
      </c>
      <c r="L234" s="21" t="s">
        <v>348</v>
      </c>
      <c r="M234" s="13" t="s">
        <v>149</v>
      </c>
      <c r="N234" s="13" t="s">
        <v>1898</v>
      </c>
      <c r="O234" s="13" t="s">
        <v>273</v>
      </c>
      <c r="P234" s="13" t="s">
        <v>273</v>
      </c>
      <c r="Q234" s="22">
        <v>0.8</v>
      </c>
      <c r="R234" s="23">
        <v>290262</v>
      </c>
      <c r="S234" s="21" t="s">
        <v>24</v>
      </c>
      <c r="T234" s="21"/>
      <c r="U234" s="21"/>
      <c r="V234" s="24"/>
      <c r="W234" s="24" t="s">
        <v>784</v>
      </c>
      <c r="X234" s="37" t="s">
        <v>3240</v>
      </c>
      <c r="Y234" s="17" t="s">
        <v>782</v>
      </c>
      <c r="Z234" s="18">
        <f>ROUND(R234*'Data-CostAssumptions'!$C$3,-3)</f>
        <v>402000</v>
      </c>
      <c r="AA234" s="11">
        <f t="shared" si="11"/>
        <v>1</v>
      </c>
      <c r="AB234" s="11">
        <v>2041</v>
      </c>
      <c r="AC234" s="11">
        <v>2041</v>
      </c>
      <c r="AD234" s="11">
        <v>2041</v>
      </c>
      <c r="AE234" s="19">
        <f>ROUND((Z234*'Data-CostAssumptions'!$G$5)*(1+'Data-CostAssumptions'!$G$3)^(AB234-'Data-CostAssumptions'!$G$4),-3)</f>
        <v>227000</v>
      </c>
      <c r="AF234" s="19">
        <f>ROUND((Z234)*(1+'Data-CostAssumptions'!$G$3)^(AD234-'Data-CostAssumptions'!$G$4),-3)</f>
        <v>1031000</v>
      </c>
      <c r="AG234" s="170" t="str">
        <f t="shared" si="12"/>
        <v>No</v>
      </c>
    </row>
    <row r="235" spans="1:33" ht="15" customHeight="1" x14ac:dyDescent="0.2">
      <c r="B235" s="11" t="s">
        <v>1211</v>
      </c>
      <c r="C235" s="13">
        <v>492</v>
      </c>
      <c r="D235" s="13" t="s">
        <v>420</v>
      </c>
      <c r="E235" s="20">
        <v>42</v>
      </c>
      <c r="F235" s="20">
        <v>168</v>
      </c>
      <c r="G235" s="20">
        <v>697</v>
      </c>
      <c r="H235" s="13" t="s">
        <v>2129</v>
      </c>
      <c r="I235" s="13" t="str">
        <f t="shared" si="13"/>
        <v>SW 58th Av (Stirling Rd to North of SW 48th St)</v>
      </c>
      <c r="J235" s="13" t="s">
        <v>27</v>
      </c>
      <c r="K235" s="13" t="str">
        <f>VLOOKUP(J235,'Data-ProjectTypes'!A$3:B$13,2,FALSE)</f>
        <v>Program</v>
      </c>
      <c r="L235" s="21" t="s">
        <v>348</v>
      </c>
      <c r="M235" s="13" t="s">
        <v>177</v>
      </c>
      <c r="N235" s="13" t="s">
        <v>2585</v>
      </c>
      <c r="O235" s="13" t="s">
        <v>279</v>
      </c>
      <c r="P235" s="13" t="s">
        <v>279</v>
      </c>
      <c r="Q235" s="22">
        <v>1.1000000000000001</v>
      </c>
      <c r="R235" s="23">
        <v>401646</v>
      </c>
      <c r="S235" s="21" t="s">
        <v>24</v>
      </c>
      <c r="T235" s="21"/>
      <c r="U235" s="21"/>
      <c r="V235" s="24"/>
      <c r="W235" s="24"/>
      <c r="X235" s="24"/>
      <c r="Y235" s="17" t="s">
        <v>460</v>
      </c>
      <c r="Z235" s="18">
        <f>ROUND(R235*'Data-CostAssumptions'!$C$8,-3)</f>
        <v>402000</v>
      </c>
      <c r="AA235" s="11">
        <f t="shared" si="11"/>
        <v>0</v>
      </c>
      <c r="AB235" s="11">
        <v>2041</v>
      </c>
      <c r="AC235" s="11">
        <v>2041</v>
      </c>
      <c r="AD235" s="11">
        <v>2041</v>
      </c>
      <c r="AE235" s="19">
        <f>ROUND((Z235*'Data-CostAssumptions'!$G$5)*(1+'Data-CostAssumptions'!$G$3)^(AB235-'Data-CostAssumptions'!$G$4),-3)</f>
        <v>227000</v>
      </c>
      <c r="AF235" s="19">
        <f>ROUND((Z235)*(1+'Data-CostAssumptions'!$G$3)^(AD235-'Data-CostAssumptions'!$G$4),-3)</f>
        <v>1031000</v>
      </c>
      <c r="AG235" s="170" t="str">
        <f t="shared" si="12"/>
        <v>No</v>
      </c>
    </row>
    <row r="236" spans="1:33" ht="15" customHeight="1" x14ac:dyDescent="0.2">
      <c r="B236" s="11" t="s">
        <v>1211</v>
      </c>
      <c r="C236" s="13">
        <v>592</v>
      </c>
      <c r="D236" s="13" t="s">
        <v>420</v>
      </c>
      <c r="E236" s="20">
        <v>136</v>
      </c>
      <c r="F236" s="20">
        <v>174</v>
      </c>
      <c r="G236" s="20">
        <v>796</v>
      </c>
      <c r="H236" s="13" t="s">
        <v>2062</v>
      </c>
      <c r="I236" s="13" t="str">
        <f t="shared" si="13"/>
        <v>NW 31st Av (Commercial Bl to NW 62nd St/Cypress Creek Rd)</v>
      </c>
      <c r="J236" s="13" t="s">
        <v>27</v>
      </c>
      <c r="K236" s="13" t="str">
        <f>VLOOKUP(J236,'Data-ProjectTypes'!A$3:B$13,2,FALSE)</f>
        <v>Program</v>
      </c>
      <c r="L236" s="21" t="s">
        <v>348</v>
      </c>
      <c r="M236" s="13" t="s">
        <v>1813</v>
      </c>
      <c r="N236" s="13" t="s">
        <v>1928</v>
      </c>
      <c r="O236" s="13" t="s">
        <v>273</v>
      </c>
      <c r="P236" s="13" t="s">
        <v>273</v>
      </c>
      <c r="Q236" s="22">
        <v>1.1000000000000001</v>
      </c>
      <c r="R236" s="23">
        <v>400302</v>
      </c>
      <c r="V236" s="85" t="s">
        <v>1168</v>
      </c>
      <c r="Y236" s="12"/>
      <c r="Z236" s="18">
        <f>ROUND(R236*'Data-CostAssumptions'!$C$5,-3)</f>
        <v>400000</v>
      </c>
      <c r="AA236" s="11">
        <f t="shared" si="11"/>
        <v>1</v>
      </c>
      <c r="AB236" s="11">
        <v>2041</v>
      </c>
      <c r="AC236" s="11">
        <v>2041</v>
      </c>
      <c r="AD236" s="11">
        <v>2041</v>
      </c>
      <c r="AE236" s="19">
        <f>ROUND((Z236*'Data-CostAssumptions'!$G$5)*(1+'Data-CostAssumptions'!$G$3)^(AB236-'Data-CostAssumptions'!$G$4),-3)</f>
        <v>226000</v>
      </c>
      <c r="AF236" s="19">
        <f>ROUND((Z236)*(1+'Data-CostAssumptions'!$G$3)^(AD236-'Data-CostAssumptions'!$G$4),-3)</f>
        <v>1026000</v>
      </c>
      <c r="AG236" s="170" t="str">
        <f t="shared" si="12"/>
        <v>No</v>
      </c>
    </row>
    <row r="237" spans="1:33" ht="15" customHeight="1" x14ac:dyDescent="0.2">
      <c r="B237" s="11" t="s">
        <v>1211</v>
      </c>
      <c r="C237" s="13">
        <v>513</v>
      </c>
      <c r="D237" s="13" t="s">
        <v>420</v>
      </c>
      <c r="E237" s="20">
        <v>169</v>
      </c>
      <c r="F237" s="20">
        <v>170</v>
      </c>
      <c r="G237" s="20">
        <v>718</v>
      </c>
      <c r="H237" s="13" t="s">
        <v>1797</v>
      </c>
      <c r="I237" s="13" t="str">
        <f t="shared" si="13"/>
        <v>Parkside Dr (Holmberg Rd to Loxahatchee Rd)</v>
      </c>
      <c r="J237" s="13" t="s">
        <v>27</v>
      </c>
      <c r="K237" s="13" t="str">
        <f>VLOOKUP(J237,'Data-ProjectTypes'!A$3:B$13,2,FALSE)</f>
        <v>Program</v>
      </c>
      <c r="L237" s="47" t="s">
        <v>736</v>
      </c>
      <c r="M237" s="13" t="s">
        <v>2404</v>
      </c>
      <c r="N237" s="13" t="s">
        <v>1851</v>
      </c>
      <c r="O237" s="13" t="s">
        <v>296</v>
      </c>
      <c r="P237" s="13" t="s">
        <v>296</v>
      </c>
      <c r="Q237" s="22">
        <v>1.1000000000000001</v>
      </c>
      <c r="R237" s="23">
        <v>398656</v>
      </c>
      <c r="S237" s="21" t="s">
        <v>24</v>
      </c>
      <c r="T237" s="21" t="s">
        <v>25</v>
      </c>
      <c r="U237" s="21"/>
      <c r="V237" s="24"/>
      <c r="W237" s="24" t="s">
        <v>518</v>
      </c>
      <c r="X237" s="24"/>
      <c r="Y237" s="17" t="s">
        <v>297</v>
      </c>
      <c r="Z237" s="18">
        <f>ROUND(R237*'Data-CostAssumptions'!$C$8,-3)</f>
        <v>399000</v>
      </c>
      <c r="AA237" s="11">
        <f t="shared" si="11"/>
        <v>1</v>
      </c>
      <c r="AB237" s="11">
        <v>2041</v>
      </c>
      <c r="AC237" s="11">
        <v>2041</v>
      </c>
      <c r="AD237" s="11">
        <v>2041</v>
      </c>
      <c r="AE237" s="19">
        <f>ROUND((Z237*'Data-CostAssumptions'!$G$5)*(1+'Data-CostAssumptions'!$G$3)^(AB237-'Data-CostAssumptions'!$G$4),-3)</f>
        <v>225000</v>
      </c>
      <c r="AF237" s="19">
        <f>ROUND((Z237)*(1+'Data-CostAssumptions'!$G$3)^(AD237-'Data-CostAssumptions'!$G$4),-3)</f>
        <v>1023000</v>
      </c>
      <c r="AG237" s="170" t="str">
        <f t="shared" si="12"/>
        <v>No</v>
      </c>
    </row>
    <row r="238" spans="1:33" ht="15" customHeight="1" x14ac:dyDescent="0.2">
      <c r="B238" s="11" t="s">
        <v>1211</v>
      </c>
      <c r="C238" s="13">
        <v>297</v>
      </c>
      <c r="D238" s="13" t="s">
        <v>420</v>
      </c>
      <c r="E238" s="20">
        <v>158</v>
      </c>
      <c r="F238" s="20">
        <v>157</v>
      </c>
      <c r="G238" s="20">
        <v>509</v>
      </c>
      <c r="H238" s="13" t="s">
        <v>1829</v>
      </c>
      <c r="I238" s="13" t="str">
        <f t="shared" si="13"/>
        <v>Southgate Bl (Just east of SW
81st Av to Pine Island Rd)</v>
      </c>
      <c r="J238" s="13" t="s">
        <v>27</v>
      </c>
      <c r="K238" s="13" t="str">
        <f>VLOOKUP(J238,'Data-ProjectTypes'!A$3:B$13,2,FALSE)</f>
        <v>Program</v>
      </c>
      <c r="L238" s="21" t="s">
        <v>348</v>
      </c>
      <c r="M238" s="46" t="s">
        <v>2385</v>
      </c>
      <c r="N238" s="13" t="s">
        <v>266</v>
      </c>
      <c r="O238" s="13" t="s">
        <v>280</v>
      </c>
      <c r="P238" s="13" t="s">
        <v>280</v>
      </c>
      <c r="Q238" s="22">
        <v>0.8</v>
      </c>
      <c r="R238" s="23">
        <v>286180</v>
      </c>
      <c r="S238" s="21"/>
      <c r="T238" s="21"/>
      <c r="U238" s="21"/>
      <c r="V238" s="24"/>
      <c r="W238" s="24"/>
      <c r="X238" s="24"/>
      <c r="Y238" s="17"/>
      <c r="Z238" s="18">
        <f>ROUND(R238*'Data-CostAssumptions'!$C$3,-3)</f>
        <v>396000</v>
      </c>
      <c r="AA238" s="11">
        <f t="shared" si="11"/>
        <v>0</v>
      </c>
      <c r="AB238" s="11">
        <v>2041</v>
      </c>
      <c r="AC238" s="11">
        <v>2041</v>
      </c>
      <c r="AD238" s="11">
        <v>2041</v>
      </c>
      <c r="AE238" s="19">
        <f>ROUND((Z238*'Data-CostAssumptions'!$G$5)*(1+'Data-CostAssumptions'!$G$3)^(AB238-'Data-CostAssumptions'!$G$4),-3)</f>
        <v>223000</v>
      </c>
      <c r="AF238" s="19">
        <f>ROUND((Z238)*(1+'Data-CostAssumptions'!$G$3)^(AD238-'Data-CostAssumptions'!$G$4),-3)</f>
        <v>1015000</v>
      </c>
      <c r="AG238" s="170" t="str">
        <f t="shared" si="12"/>
        <v>No</v>
      </c>
    </row>
    <row r="239" spans="1:33" ht="15" customHeight="1" x14ac:dyDescent="0.2">
      <c r="B239" s="11" t="s">
        <v>1211</v>
      </c>
      <c r="C239" s="13">
        <v>419</v>
      </c>
      <c r="D239" s="13" t="s">
        <v>420</v>
      </c>
      <c r="E239" s="20">
        <v>75</v>
      </c>
      <c r="F239" s="20">
        <v>164</v>
      </c>
      <c r="G239" s="20">
        <v>628</v>
      </c>
      <c r="H239" s="13" t="s">
        <v>2106</v>
      </c>
      <c r="I239" s="13" t="str">
        <f t="shared" si="13"/>
        <v>SW 15th Av (SW 16th St to SW 7th St)</v>
      </c>
      <c r="J239" s="13" t="s">
        <v>27</v>
      </c>
      <c r="K239" s="13" t="str">
        <f>VLOOKUP(J239,'Data-ProjectTypes'!A$3:B$13,2,FALSE)</f>
        <v>Program</v>
      </c>
      <c r="L239" s="21" t="s">
        <v>348</v>
      </c>
      <c r="M239" s="13" t="s">
        <v>2571</v>
      </c>
      <c r="N239" s="13" t="s">
        <v>2570</v>
      </c>
      <c r="O239" s="13" t="s">
        <v>276</v>
      </c>
      <c r="P239" s="13" t="s">
        <v>276</v>
      </c>
      <c r="Q239" s="22">
        <v>0.8</v>
      </c>
      <c r="R239" s="23">
        <v>285876</v>
      </c>
      <c r="S239" s="21"/>
      <c r="T239" s="21"/>
      <c r="U239" s="21"/>
      <c r="V239" s="24"/>
      <c r="W239" s="24"/>
      <c r="X239" s="24"/>
      <c r="Y239" s="17"/>
      <c r="Z239" s="18">
        <f>ROUND(R239*'Data-CostAssumptions'!$C$3,-3)</f>
        <v>396000</v>
      </c>
      <c r="AA239" s="11">
        <f t="shared" si="11"/>
        <v>0</v>
      </c>
      <c r="AB239" s="11">
        <v>2041</v>
      </c>
      <c r="AC239" s="11">
        <v>2041</v>
      </c>
      <c r="AD239" s="11">
        <v>2041</v>
      </c>
      <c r="AE239" s="19">
        <f>ROUND((Z239*'Data-CostAssumptions'!$G$5)*(1+'Data-CostAssumptions'!$G$3)^(AB239-'Data-CostAssumptions'!$G$4),-3)</f>
        <v>223000</v>
      </c>
      <c r="AF239" s="19">
        <f>ROUND((Z239)*(1+'Data-CostAssumptions'!$G$3)^(AD239-'Data-CostAssumptions'!$G$4),-3)</f>
        <v>1015000</v>
      </c>
      <c r="AG239" s="170" t="str">
        <f t="shared" si="12"/>
        <v>No</v>
      </c>
    </row>
    <row r="240" spans="1:33" ht="15" customHeight="1" x14ac:dyDescent="0.2">
      <c r="B240" s="11" t="s">
        <v>1211</v>
      </c>
      <c r="C240" s="13">
        <v>369</v>
      </c>
      <c r="D240" s="13" t="s">
        <v>420</v>
      </c>
      <c r="E240" s="20">
        <v>135</v>
      </c>
      <c r="F240" s="20">
        <v>161</v>
      </c>
      <c r="G240" s="20">
        <v>580</v>
      </c>
      <c r="H240" s="13" t="s">
        <v>2062</v>
      </c>
      <c r="I240" s="13" t="str">
        <f t="shared" si="13"/>
        <v>NW 31st Av (NW 39th Av to Commercial Bl)</v>
      </c>
      <c r="J240" s="13" t="s">
        <v>27</v>
      </c>
      <c r="K240" s="13" t="str">
        <f>VLOOKUP(J240,'Data-ProjectTypes'!A$3:B$13,2,FALSE)</f>
        <v>Program</v>
      </c>
      <c r="L240" s="21" t="s">
        <v>348</v>
      </c>
      <c r="M240" s="13" t="s">
        <v>2266</v>
      </c>
      <c r="N240" s="13" t="s">
        <v>1813</v>
      </c>
      <c r="O240" s="13" t="s">
        <v>273</v>
      </c>
      <c r="P240" s="13" t="s">
        <v>273</v>
      </c>
      <c r="Q240" s="22">
        <v>0.8</v>
      </c>
      <c r="R240" s="23">
        <v>285091</v>
      </c>
      <c r="S240" s="21"/>
      <c r="T240" s="21"/>
      <c r="U240" s="21"/>
      <c r="V240" s="24"/>
      <c r="W240" s="24"/>
      <c r="X240" s="24"/>
      <c r="Y240" s="17"/>
      <c r="Z240" s="18">
        <f>ROUND(R240*'Data-CostAssumptions'!$C$3,-3)</f>
        <v>395000</v>
      </c>
      <c r="AA240" s="11">
        <f t="shared" si="11"/>
        <v>0</v>
      </c>
      <c r="AB240" s="11">
        <v>2041</v>
      </c>
      <c r="AC240" s="11">
        <v>2041</v>
      </c>
      <c r="AD240" s="11">
        <v>2041</v>
      </c>
      <c r="AE240" s="19">
        <f>ROUND((Z240*'Data-CostAssumptions'!$G$5)*(1+'Data-CostAssumptions'!$G$3)^(AB240-'Data-CostAssumptions'!$G$4),-3)</f>
        <v>223000</v>
      </c>
      <c r="AF240" s="19">
        <f>ROUND((Z240)*(1+'Data-CostAssumptions'!$G$3)^(AD240-'Data-CostAssumptions'!$G$4),-3)</f>
        <v>1013000</v>
      </c>
      <c r="AG240" s="170" t="str">
        <f t="shared" si="12"/>
        <v>No</v>
      </c>
    </row>
    <row r="241" spans="1:33" ht="15" customHeight="1" x14ac:dyDescent="0.2">
      <c r="B241" s="11" t="s">
        <v>1211</v>
      </c>
      <c r="C241" s="13">
        <v>399</v>
      </c>
      <c r="D241" s="13" t="s">
        <v>420</v>
      </c>
      <c r="E241" s="20">
        <v>410</v>
      </c>
      <c r="F241" s="20">
        <v>163</v>
      </c>
      <c r="G241" s="20">
        <v>608</v>
      </c>
      <c r="H241" s="13" t="s">
        <v>2136</v>
      </c>
      <c r="I241" s="13" t="str">
        <f t="shared" si="13"/>
        <v>SW 82nd Av (University Dr to Broward Bl)</v>
      </c>
      <c r="J241" s="13" t="s">
        <v>27</v>
      </c>
      <c r="K241" s="13" t="str">
        <f>VLOOKUP(J241,'Data-ProjectTypes'!A$3:B$13,2,FALSE)</f>
        <v>Program</v>
      </c>
      <c r="L241" s="21" t="s">
        <v>348</v>
      </c>
      <c r="M241" s="13" t="s">
        <v>1804</v>
      </c>
      <c r="N241" s="13" t="s">
        <v>1811</v>
      </c>
      <c r="O241" s="13" t="s">
        <v>284</v>
      </c>
      <c r="P241" s="13" t="s">
        <v>284</v>
      </c>
      <c r="Q241" s="22">
        <v>0.8</v>
      </c>
      <c r="R241" s="23">
        <v>285756</v>
      </c>
      <c r="S241" s="21" t="s">
        <v>1122</v>
      </c>
      <c r="T241" s="29" t="s">
        <v>1125</v>
      </c>
      <c r="U241" s="21" t="s">
        <v>1128</v>
      </c>
      <c r="V241" s="24"/>
      <c r="W241" s="24" t="s">
        <v>1129</v>
      </c>
      <c r="X241" s="24"/>
      <c r="Y241" s="17" t="s">
        <v>1110</v>
      </c>
      <c r="Z241" s="18">
        <f>ROUND(R241*'Data-CostAssumptions'!$C$3,-3)</f>
        <v>395000</v>
      </c>
      <c r="AA241" s="11">
        <f t="shared" si="11"/>
        <v>1</v>
      </c>
      <c r="AB241" s="11">
        <v>2041</v>
      </c>
      <c r="AC241" s="11">
        <v>2041</v>
      </c>
      <c r="AD241" s="11">
        <v>2041</v>
      </c>
      <c r="AE241" s="19">
        <f>ROUND((Z241*'Data-CostAssumptions'!$G$5)*(1+'Data-CostAssumptions'!$G$3)^(AB241-'Data-CostAssumptions'!$G$4),-3)</f>
        <v>223000</v>
      </c>
      <c r="AF241" s="19">
        <f>ROUND((Z241)*(1+'Data-CostAssumptions'!$G$3)^(AD241-'Data-CostAssumptions'!$G$4),-3)</f>
        <v>1013000</v>
      </c>
      <c r="AG241" s="170" t="str">
        <f t="shared" si="12"/>
        <v>No</v>
      </c>
    </row>
    <row r="242" spans="1:33" ht="15" customHeight="1" x14ac:dyDescent="0.2">
      <c r="B242" s="11" t="s">
        <v>1211</v>
      </c>
      <c r="C242" s="13">
        <v>430</v>
      </c>
      <c r="D242" s="13" t="s">
        <v>420</v>
      </c>
      <c r="E242" s="20">
        <v>144</v>
      </c>
      <c r="F242" s="20">
        <v>165</v>
      </c>
      <c r="G242" s="20">
        <v>640</v>
      </c>
      <c r="H242" s="13" t="s">
        <v>2004</v>
      </c>
      <c r="I242" s="13" t="str">
        <f t="shared" si="13"/>
        <v>West Inverrary Bl (Oakland Park Bl to Just south of NW 42nd St)</v>
      </c>
      <c r="J242" s="13" t="s">
        <v>27</v>
      </c>
      <c r="K242" s="13" t="str">
        <f>VLOOKUP(J242,'Data-ProjectTypes'!A$3:B$13,2,FALSE)</f>
        <v>Program</v>
      </c>
      <c r="L242" s="21" t="s">
        <v>348</v>
      </c>
      <c r="M242" s="13" t="s">
        <v>1825</v>
      </c>
      <c r="N242" s="13" t="s">
        <v>2591</v>
      </c>
      <c r="O242" s="13" t="s">
        <v>281</v>
      </c>
      <c r="P242" s="13" t="s">
        <v>281</v>
      </c>
      <c r="Q242" s="22">
        <v>0.8</v>
      </c>
      <c r="R242" s="23">
        <v>285688</v>
      </c>
      <c r="S242" s="21"/>
      <c r="T242" s="21"/>
      <c r="U242" s="21"/>
      <c r="V242" s="24"/>
      <c r="W242" s="24"/>
      <c r="X242" s="24"/>
      <c r="Y242" s="17"/>
      <c r="Z242" s="18">
        <f>ROUND(R242*'Data-CostAssumptions'!$C$3,-3)</f>
        <v>395000</v>
      </c>
      <c r="AA242" s="11">
        <f t="shared" si="11"/>
        <v>0</v>
      </c>
      <c r="AB242" s="11">
        <v>2041</v>
      </c>
      <c r="AC242" s="11">
        <v>2041</v>
      </c>
      <c r="AD242" s="11">
        <v>2041</v>
      </c>
      <c r="AE242" s="19">
        <f>ROUND((Z242*'Data-CostAssumptions'!$G$5)*(1+'Data-CostAssumptions'!$G$3)^(AB242-'Data-CostAssumptions'!$G$4),-3)</f>
        <v>223000</v>
      </c>
      <c r="AF242" s="19">
        <f>ROUND((Z242)*(1+'Data-CostAssumptions'!$G$3)^(AD242-'Data-CostAssumptions'!$G$4),-3)</f>
        <v>1013000</v>
      </c>
      <c r="AG242" s="170" t="str">
        <f t="shared" si="12"/>
        <v>No</v>
      </c>
    </row>
    <row r="243" spans="1:33" ht="15" customHeight="1" x14ac:dyDescent="0.2">
      <c r="B243" s="11" t="s">
        <v>1211</v>
      </c>
      <c r="C243" s="13">
        <v>226</v>
      </c>
      <c r="D243" s="13" t="s">
        <v>420</v>
      </c>
      <c r="E243" s="20">
        <v>52</v>
      </c>
      <c r="F243" s="20">
        <v>152</v>
      </c>
      <c r="G243" s="20">
        <v>440</v>
      </c>
      <c r="H243" s="13" t="s">
        <v>57</v>
      </c>
      <c r="I243" s="13" t="str">
        <f t="shared" si="13"/>
        <v>SR 7/US 441 (Taylor St to Taft St)</v>
      </c>
      <c r="J243" s="13" t="s">
        <v>27</v>
      </c>
      <c r="K243" s="13" t="str">
        <f>VLOOKUP(J243,'Data-ProjectTypes'!A$3:B$13,2,FALSE)</f>
        <v>Program</v>
      </c>
      <c r="L243" s="21" t="s">
        <v>348</v>
      </c>
      <c r="M243" s="13" t="s">
        <v>2523</v>
      </c>
      <c r="N243" s="13" t="s">
        <v>1968</v>
      </c>
      <c r="O243" s="13" t="s">
        <v>270</v>
      </c>
      <c r="P243" s="13" t="s">
        <v>270</v>
      </c>
      <c r="Q243" s="22">
        <v>0.8</v>
      </c>
      <c r="R243" s="23">
        <v>281861</v>
      </c>
      <c r="S243" s="21"/>
      <c r="T243" s="21"/>
      <c r="U243" s="21"/>
      <c r="V243" s="24"/>
      <c r="W243" s="24"/>
      <c r="X243" s="24"/>
      <c r="Y243" s="17"/>
      <c r="Z243" s="18">
        <f>ROUND(R243*'Data-CostAssumptions'!$C$3,-3)</f>
        <v>390000</v>
      </c>
      <c r="AA243" s="11">
        <f t="shared" si="11"/>
        <v>0</v>
      </c>
      <c r="AB243" s="11">
        <v>2041</v>
      </c>
      <c r="AC243" s="11">
        <v>2041</v>
      </c>
      <c r="AD243" s="11">
        <v>2041</v>
      </c>
      <c r="AE243" s="19">
        <f>ROUND((Z243*'Data-CostAssumptions'!$G$5)*(1+'Data-CostAssumptions'!$G$3)^(AB243-'Data-CostAssumptions'!$G$4),-3)</f>
        <v>220000</v>
      </c>
      <c r="AF243" s="19">
        <f>ROUND((Z243)*(1+'Data-CostAssumptions'!$G$3)^(AD243-'Data-CostAssumptions'!$G$4),-3)</f>
        <v>1000000</v>
      </c>
      <c r="AG243" s="170" t="str">
        <f t="shared" si="12"/>
        <v>No</v>
      </c>
    </row>
    <row r="244" spans="1:33" ht="15" customHeight="1" x14ac:dyDescent="0.2">
      <c r="B244" s="11" t="s">
        <v>1211</v>
      </c>
      <c r="C244" s="13">
        <v>445</v>
      </c>
      <c r="D244" s="13" t="s">
        <v>420</v>
      </c>
      <c r="E244" s="20">
        <v>232</v>
      </c>
      <c r="F244" s="20">
        <v>166</v>
      </c>
      <c r="G244" s="20">
        <v>653</v>
      </c>
      <c r="H244" s="13" t="s">
        <v>2739</v>
      </c>
      <c r="I244" s="13" t="str">
        <f t="shared" si="13"/>
        <v>SR 838/West Sunrise Bl (Florida's Turnpike to NW 65th Av)</v>
      </c>
      <c r="J244" s="13" t="s">
        <v>27</v>
      </c>
      <c r="K244" s="13" t="str">
        <f>VLOOKUP(J244,'Data-ProjectTypes'!A$3:B$13,2,FALSE)</f>
        <v>Program</v>
      </c>
      <c r="L244" s="21" t="s">
        <v>348</v>
      </c>
      <c r="M244" s="13" t="s">
        <v>42</v>
      </c>
      <c r="N244" s="13" t="s">
        <v>2245</v>
      </c>
      <c r="O244" s="13" t="s">
        <v>270</v>
      </c>
      <c r="P244" s="13" t="s">
        <v>270</v>
      </c>
      <c r="Q244" s="22">
        <v>1.1000000000000001</v>
      </c>
      <c r="R244" s="23">
        <v>390440</v>
      </c>
      <c r="S244" s="21"/>
      <c r="T244" s="21"/>
      <c r="U244" s="21"/>
      <c r="V244" s="24"/>
      <c r="W244" s="24" t="s">
        <v>491</v>
      </c>
      <c r="X244" s="24"/>
      <c r="Y244" s="17" t="s">
        <v>492</v>
      </c>
      <c r="Z244" s="18">
        <f>ROUND(R244*'Data-CostAssumptions'!$C$8,-3)</f>
        <v>390000</v>
      </c>
      <c r="AA244" s="11">
        <f t="shared" si="11"/>
        <v>1</v>
      </c>
      <c r="AB244" s="11">
        <v>2041</v>
      </c>
      <c r="AC244" s="11">
        <v>2041</v>
      </c>
      <c r="AD244" s="11">
        <v>2041</v>
      </c>
      <c r="AE244" s="19">
        <f>ROUND((Z244*'Data-CostAssumptions'!$G$5)*(1+'Data-CostAssumptions'!$G$3)^(AB244-'Data-CostAssumptions'!$G$4),-3)</f>
        <v>220000</v>
      </c>
      <c r="AF244" s="19">
        <f>ROUND((Z244)*(1+'Data-CostAssumptions'!$G$3)^(AD244-'Data-CostAssumptions'!$G$4),-3)</f>
        <v>1000000</v>
      </c>
      <c r="AG244" s="170" t="str">
        <f t="shared" si="12"/>
        <v>No</v>
      </c>
    </row>
    <row r="245" spans="1:33" ht="15" customHeight="1" x14ac:dyDescent="0.2">
      <c r="B245" s="11" t="s">
        <v>1211</v>
      </c>
      <c r="C245" s="13">
        <v>552</v>
      </c>
      <c r="D245" s="13" t="s">
        <v>420</v>
      </c>
      <c r="E245" s="20">
        <v>124</v>
      </c>
      <c r="F245" s="20">
        <v>172</v>
      </c>
      <c r="G245" s="20">
        <v>756</v>
      </c>
      <c r="H245" s="13" t="s">
        <v>1777</v>
      </c>
      <c r="I245" s="13" t="str">
        <f t="shared" si="13"/>
        <v>West McNab Rd (NW 21st Av to NW 31st Av)</v>
      </c>
      <c r="J245" s="13" t="s">
        <v>27</v>
      </c>
      <c r="K245" s="13" t="str">
        <f>VLOOKUP(J245,'Data-ProjectTypes'!A$3:B$13,2,FALSE)</f>
        <v>Program</v>
      </c>
      <c r="L245" s="21" t="s">
        <v>348</v>
      </c>
      <c r="M245" s="13" t="s">
        <v>2057</v>
      </c>
      <c r="N245" s="13" t="s">
        <v>2062</v>
      </c>
      <c r="O245" s="13" t="s">
        <v>273</v>
      </c>
      <c r="P245" s="13" t="s">
        <v>273</v>
      </c>
      <c r="Q245" s="22">
        <v>1.1000000000000001</v>
      </c>
      <c r="R245" s="23">
        <v>387775</v>
      </c>
      <c r="Y245" s="12"/>
      <c r="Z245" s="71">
        <f>ROUND(R245*'Data-CostAssumptions'!$C$8,-3)</f>
        <v>388000</v>
      </c>
      <c r="AA245" s="11">
        <f t="shared" si="11"/>
        <v>0</v>
      </c>
      <c r="AB245" s="11">
        <v>2041</v>
      </c>
      <c r="AC245" s="11">
        <v>2041</v>
      </c>
      <c r="AD245" s="11">
        <v>2041</v>
      </c>
      <c r="AE245" s="19">
        <f>ROUND((Z245*'Data-CostAssumptions'!$G$5)*(1+'Data-CostAssumptions'!$G$3)^(AB245-'Data-CostAssumptions'!$G$4),-3)</f>
        <v>219000</v>
      </c>
      <c r="AF245" s="19">
        <f>ROUND((Z245)*(1+'Data-CostAssumptions'!$G$3)^(AD245-'Data-CostAssumptions'!$G$4),-3)</f>
        <v>995000</v>
      </c>
      <c r="AG245" s="170" t="str">
        <f t="shared" si="12"/>
        <v>No</v>
      </c>
    </row>
    <row r="246" spans="1:33" ht="15" customHeight="1" x14ac:dyDescent="0.2">
      <c r="B246" s="11" t="s">
        <v>1211</v>
      </c>
      <c r="C246" s="13">
        <v>520</v>
      </c>
      <c r="D246" s="13" t="s">
        <v>420</v>
      </c>
      <c r="E246" s="20">
        <v>212</v>
      </c>
      <c r="F246" s="20">
        <v>170</v>
      </c>
      <c r="G246" s="20">
        <v>725</v>
      </c>
      <c r="H246" s="13" t="s">
        <v>57</v>
      </c>
      <c r="I246" s="13" t="str">
        <f t="shared" si="13"/>
        <v>SR 7/US 441 (Just south of Access Rd to Johnson Rd)</v>
      </c>
      <c r="J246" s="13" t="s">
        <v>27</v>
      </c>
      <c r="K246" s="13" t="str">
        <f>VLOOKUP(J246,'Data-ProjectTypes'!A$3:B$13,2,FALSE)</f>
        <v>Program</v>
      </c>
      <c r="L246" s="21" t="s">
        <v>348</v>
      </c>
      <c r="M246" s="13" t="s">
        <v>2428</v>
      </c>
      <c r="N246" s="13" t="s">
        <v>1850</v>
      </c>
      <c r="O246" s="13" t="s">
        <v>270</v>
      </c>
      <c r="P246" s="13" t="s">
        <v>270</v>
      </c>
      <c r="Q246" s="22">
        <v>1.1000000000000001</v>
      </c>
      <c r="R246" s="23">
        <v>385301</v>
      </c>
      <c r="S246" s="21" t="s">
        <v>24</v>
      </c>
      <c r="T246" s="21"/>
      <c r="U246" s="21"/>
      <c r="V246" s="24"/>
      <c r="W246" s="24"/>
      <c r="X246" s="24"/>
      <c r="Y246" s="17" t="s">
        <v>469</v>
      </c>
      <c r="Z246" s="18">
        <f>ROUND(R246*'Data-CostAssumptions'!$C$8,-3)</f>
        <v>385000</v>
      </c>
      <c r="AA246" s="11">
        <f t="shared" si="11"/>
        <v>0</v>
      </c>
      <c r="AB246" s="11">
        <v>2041</v>
      </c>
      <c r="AC246" s="11">
        <v>2041</v>
      </c>
      <c r="AD246" s="11">
        <v>2041</v>
      </c>
      <c r="AE246" s="19">
        <f>ROUND((Z246*'Data-CostAssumptions'!$G$5)*(1+'Data-CostAssumptions'!$G$3)^(AB246-'Data-CostAssumptions'!$G$4),-3)</f>
        <v>217000</v>
      </c>
      <c r="AF246" s="19">
        <f>ROUND((Z246)*(1+'Data-CostAssumptions'!$G$3)^(AD246-'Data-CostAssumptions'!$G$4),-3)</f>
        <v>987000</v>
      </c>
      <c r="AG246" s="170" t="str">
        <f t="shared" si="12"/>
        <v>No</v>
      </c>
    </row>
    <row r="247" spans="1:33" ht="15" customHeight="1" x14ac:dyDescent="0.2">
      <c r="B247" s="11" t="s">
        <v>1211</v>
      </c>
      <c r="C247" s="13">
        <v>290</v>
      </c>
      <c r="D247" s="13" t="s">
        <v>420</v>
      </c>
      <c r="E247" s="20">
        <v>64</v>
      </c>
      <c r="F247" s="20">
        <v>156</v>
      </c>
      <c r="G247" s="20">
        <v>502</v>
      </c>
      <c r="H247" s="13" t="s">
        <v>1746</v>
      </c>
      <c r="I247" s="13" t="str">
        <f t="shared" si="13"/>
        <v>Bryan Rd (Stirling Rd to Old Griffin Rd)</v>
      </c>
      <c r="J247" s="13" t="s">
        <v>27</v>
      </c>
      <c r="K247" s="13" t="str">
        <f>VLOOKUP(J247,'Data-ProjectTypes'!A$3:B$13,2,FALSE)</f>
        <v>Program</v>
      </c>
      <c r="L247" s="21" t="s">
        <v>348</v>
      </c>
      <c r="M247" s="13" t="s">
        <v>177</v>
      </c>
      <c r="N247" s="13" t="s">
        <v>2402</v>
      </c>
      <c r="O247" s="13" t="s">
        <v>273</v>
      </c>
      <c r="P247" s="13" t="s">
        <v>273</v>
      </c>
      <c r="Q247" s="22">
        <v>0.8</v>
      </c>
      <c r="R247" s="23">
        <v>276892</v>
      </c>
      <c r="S247" s="21" t="s">
        <v>24</v>
      </c>
      <c r="T247" s="21"/>
      <c r="U247" s="21"/>
      <c r="V247" s="24"/>
      <c r="W247" s="24"/>
      <c r="X247" s="24"/>
      <c r="Y247" s="17" t="s">
        <v>538</v>
      </c>
      <c r="Z247" s="18">
        <f>ROUND(R247*'Data-CostAssumptions'!$C$3,-3)</f>
        <v>383000</v>
      </c>
      <c r="AA247" s="11">
        <f t="shared" si="11"/>
        <v>0</v>
      </c>
      <c r="AB247" s="11">
        <v>2041</v>
      </c>
      <c r="AC247" s="11">
        <v>2041</v>
      </c>
      <c r="AD247" s="11">
        <v>2041</v>
      </c>
      <c r="AE247" s="19">
        <f>ROUND((Z247*'Data-CostAssumptions'!$G$5)*(1+'Data-CostAssumptions'!$G$3)^(AB247-'Data-CostAssumptions'!$G$4),-3)</f>
        <v>216000</v>
      </c>
      <c r="AF247" s="19">
        <f>ROUND((Z247)*(1+'Data-CostAssumptions'!$G$3)^(AD247-'Data-CostAssumptions'!$G$4),-3)</f>
        <v>982000</v>
      </c>
      <c r="AG247" s="170" t="str">
        <f t="shared" si="12"/>
        <v>No</v>
      </c>
    </row>
    <row r="248" spans="1:33" ht="15" customHeight="1" x14ac:dyDescent="0.2">
      <c r="B248" s="11" t="s">
        <v>1211</v>
      </c>
      <c r="C248" s="13">
        <v>507</v>
      </c>
      <c r="D248" s="13" t="s">
        <v>420</v>
      </c>
      <c r="E248" s="20">
        <v>146</v>
      </c>
      <c r="F248" s="20">
        <v>169</v>
      </c>
      <c r="G248" s="20">
        <v>711</v>
      </c>
      <c r="H248" s="13" t="s">
        <v>1768</v>
      </c>
      <c r="I248" s="13" t="str">
        <f t="shared" si="13"/>
        <v>Rock Island Rd (Oakland Park Bl to NW 44th St)</v>
      </c>
      <c r="J248" s="13" t="s">
        <v>27</v>
      </c>
      <c r="K248" s="13" t="str">
        <f>VLOOKUP(J248,'Data-ProjectTypes'!A$3:B$13,2,FALSE)</f>
        <v>Program</v>
      </c>
      <c r="L248" s="21" t="s">
        <v>348</v>
      </c>
      <c r="M248" s="13" t="s">
        <v>1825</v>
      </c>
      <c r="N248" s="13" t="s">
        <v>1189</v>
      </c>
      <c r="O248" s="13" t="s">
        <v>273</v>
      </c>
      <c r="P248" s="13" t="s">
        <v>273</v>
      </c>
      <c r="Q248" s="22">
        <v>1.1000000000000001</v>
      </c>
      <c r="R248" s="23">
        <v>381179</v>
      </c>
      <c r="S248" s="21"/>
      <c r="T248" s="21"/>
      <c r="U248" s="21"/>
      <c r="V248" s="24"/>
      <c r="W248" s="24"/>
      <c r="X248" s="24"/>
      <c r="Y248" s="17"/>
      <c r="Z248" s="18">
        <f>ROUND(R248*'Data-CostAssumptions'!$C$8,-3)</f>
        <v>381000</v>
      </c>
      <c r="AA248" s="11">
        <f t="shared" si="11"/>
        <v>0</v>
      </c>
      <c r="AB248" s="11">
        <v>2041</v>
      </c>
      <c r="AC248" s="11">
        <v>2041</v>
      </c>
      <c r="AD248" s="11">
        <v>2041</v>
      </c>
      <c r="AE248" s="19">
        <f>ROUND((Z248*'Data-CostAssumptions'!$G$5)*(1+'Data-CostAssumptions'!$G$3)^(AB248-'Data-CostAssumptions'!$G$4),-3)</f>
        <v>215000</v>
      </c>
      <c r="AF248" s="19">
        <f>ROUND((Z248)*(1+'Data-CostAssumptions'!$G$3)^(AD248-'Data-CostAssumptions'!$G$4),-3)</f>
        <v>977000</v>
      </c>
      <c r="AG248" s="170" t="str">
        <f t="shared" si="12"/>
        <v>No</v>
      </c>
    </row>
    <row r="249" spans="1:33" ht="15" customHeight="1" x14ac:dyDescent="0.2">
      <c r="A249" s="12"/>
      <c r="B249" s="11" t="s">
        <v>1211</v>
      </c>
      <c r="C249" s="12"/>
      <c r="D249" s="84" t="s">
        <v>276</v>
      </c>
      <c r="E249" s="104">
        <v>109</v>
      </c>
      <c r="F249" s="104"/>
      <c r="G249" s="20">
        <v>1646</v>
      </c>
      <c r="H249" s="13" t="s">
        <v>1868</v>
      </c>
      <c r="I249" s="13" t="str">
        <f t="shared" si="13"/>
        <v>Victoria Park Rd (BROWARD Bl to NE 7TH ST)</v>
      </c>
      <c r="J249" s="12" t="s">
        <v>27</v>
      </c>
      <c r="K249" s="13" t="str">
        <f>VLOOKUP(J249,'Data-ProjectTypes'!A$3:B$13,2,FALSE)</f>
        <v>Program</v>
      </c>
      <c r="L249" s="12" t="s">
        <v>1258</v>
      </c>
      <c r="M249" s="105" t="s">
        <v>1988</v>
      </c>
      <c r="N249" s="12" t="s">
        <v>1458</v>
      </c>
      <c r="O249" s="12"/>
      <c r="P249" s="12"/>
      <c r="Q249" s="72">
        <v>0.7</v>
      </c>
      <c r="R249" s="23">
        <v>381150</v>
      </c>
      <c r="T249" s="12" t="s">
        <v>3007</v>
      </c>
      <c r="Y249" s="12"/>
      <c r="Z249" s="18">
        <f>ROUND(R249*'Data-CostAssumptions'!$C$8,-3)</f>
        <v>381000</v>
      </c>
      <c r="AA249" s="11">
        <f t="shared" si="11"/>
        <v>0</v>
      </c>
      <c r="AB249" s="11">
        <v>2041</v>
      </c>
      <c r="AC249" s="11">
        <v>2041</v>
      </c>
      <c r="AD249" s="11">
        <v>2041</v>
      </c>
      <c r="AE249" s="19">
        <f>ROUND((Z249*'Data-CostAssumptions'!$G$5)*(1+'Data-CostAssumptions'!$G$3)^(AB249-'Data-CostAssumptions'!$G$4),-3)</f>
        <v>215000</v>
      </c>
      <c r="AF249" s="19">
        <f>ROUND((Z249)*(1+'Data-CostAssumptions'!$G$3)^(AD249-'Data-CostAssumptions'!$G$4),-3)</f>
        <v>977000</v>
      </c>
      <c r="AG249" s="170" t="str">
        <f t="shared" si="12"/>
        <v>No</v>
      </c>
    </row>
    <row r="250" spans="1:33" ht="15" customHeight="1" x14ac:dyDescent="0.2">
      <c r="B250" s="11" t="s">
        <v>1211</v>
      </c>
      <c r="C250" s="13">
        <v>540</v>
      </c>
      <c r="D250" s="13" t="s">
        <v>420</v>
      </c>
      <c r="E250" s="20">
        <v>376</v>
      </c>
      <c r="F250" s="20">
        <v>171</v>
      </c>
      <c r="G250" s="20">
        <v>745</v>
      </c>
      <c r="H250" s="13" t="s">
        <v>2068</v>
      </c>
      <c r="I250" s="13" t="str">
        <f t="shared" si="13"/>
        <v>NW 43rd Av (NW 4th Court to NW 12th St)</v>
      </c>
      <c r="J250" s="13" t="s">
        <v>27</v>
      </c>
      <c r="K250" s="13" t="str">
        <f>VLOOKUP(J250,'Data-ProjectTypes'!A$3:B$13,2,FALSE)</f>
        <v>Program</v>
      </c>
      <c r="L250" s="21" t="s">
        <v>348</v>
      </c>
      <c r="M250" s="13" t="s">
        <v>269</v>
      </c>
      <c r="N250" s="13" t="s">
        <v>1907</v>
      </c>
      <c r="O250" s="13" t="s">
        <v>273</v>
      </c>
      <c r="P250" s="13" t="s">
        <v>273</v>
      </c>
      <c r="Q250" s="22">
        <v>0.8</v>
      </c>
      <c r="R250" s="23">
        <v>274410</v>
      </c>
      <c r="Y250" s="12" t="s">
        <v>3013</v>
      </c>
      <c r="Z250" s="18">
        <f>ROUND(R250*'Data-CostAssumptions'!$C$3,-3)</f>
        <v>380000</v>
      </c>
      <c r="AA250" s="11">
        <f t="shared" si="11"/>
        <v>0</v>
      </c>
      <c r="AB250" s="11">
        <v>2041</v>
      </c>
      <c r="AC250" s="11">
        <v>2041</v>
      </c>
      <c r="AD250" s="11">
        <v>2041</v>
      </c>
      <c r="AE250" s="19">
        <f>ROUND((Z250*'Data-CostAssumptions'!$G$5)*(1+'Data-CostAssumptions'!$G$3)^(AB250-'Data-CostAssumptions'!$G$4),-3)</f>
        <v>214000</v>
      </c>
      <c r="AF250" s="19">
        <f>ROUND((Z250)*(1+'Data-CostAssumptions'!$G$3)^(AD250-'Data-CostAssumptions'!$G$4),-3)</f>
        <v>974000</v>
      </c>
      <c r="AG250" s="170" t="str">
        <f t="shared" si="12"/>
        <v>No</v>
      </c>
    </row>
    <row r="251" spans="1:33" ht="15" customHeight="1" x14ac:dyDescent="0.2">
      <c r="B251" s="11" t="s">
        <v>1211</v>
      </c>
      <c r="C251" s="13">
        <v>622</v>
      </c>
      <c r="D251" s="13" t="s">
        <v>420</v>
      </c>
      <c r="E251" s="20">
        <v>176</v>
      </c>
      <c r="F251" s="20">
        <v>176</v>
      </c>
      <c r="G251" s="20">
        <v>822</v>
      </c>
      <c r="H251" s="13" t="s">
        <v>237</v>
      </c>
      <c r="I251" s="13" t="str">
        <f t="shared" si="13"/>
        <v>NW 49th Court (Military Trail to Powerline Rd)</v>
      </c>
      <c r="J251" s="13" t="s">
        <v>27</v>
      </c>
      <c r="K251" s="13" t="str">
        <f>VLOOKUP(J251,'Data-ProjectTypes'!A$3:B$13,2,FALSE)</f>
        <v>Program</v>
      </c>
      <c r="L251" s="21" t="s">
        <v>348</v>
      </c>
      <c r="M251" s="13" t="s">
        <v>113</v>
      </c>
      <c r="N251" s="13" t="s">
        <v>1858</v>
      </c>
      <c r="O251" s="13" t="s">
        <v>273</v>
      </c>
      <c r="P251" s="13" t="s">
        <v>273</v>
      </c>
      <c r="Q251" s="22">
        <v>1.1000000000000001</v>
      </c>
      <c r="R251" s="23">
        <v>378898</v>
      </c>
      <c r="Y251" s="12"/>
      <c r="Z251" s="71">
        <f>ROUND(R251*'Data-CostAssumptions'!$C$8,-3)</f>
        <v>379000</v>
      </c>
      <c r="AA251" s="11">
        <f t="shared" si="11"/>
        <v>0</v>
      </c>
      <c r="AB251" s="11">
        <v>2041</v>
      </c>
      <c r="AC251" s="11">
        <v>2041</v>
      </c>
      <c r="AD251" s="11">
        <v>2041</v>
      </c>
      <c r="AE251" s="19">
        <f>ROUND((Z251*'Data-CostAssumptions'!$G$5)*(1+'Data-CostAssumptions'!$G$3)^(AB251-'Data-CostAssumptions'!$G$4),-3)</f>
        <v>214000</v>
      </c>
      <c r="AF251" s="19">
        <f>ROUND((Z251)*(1+'Data-CostAssumptions'!$G$3)^(AD251-'Data-CostAssumptions'!$G$4),-3)</f>
        <v>972000</v>
      </c>
      <c r="AG251" s="170" t="str">
        <f t="shared" si="12"/>
        <v>No</v>
      </c>
    </row>
    <row r="252" spans="1:33" ht="15" customHeight="1" x14ac:dyDescent="0.2">
      <c r="B252" s="11" t="s">
        <v>1211</v>
      </c>
      <c r="C252" s="13">
        <v>252</v>
      </c>
      <c r="D252" s="13" t="s">
        <v>420</v>
      </c>
      <c r="E252" s="20">
        <v>285</v>
      </c>
      <c r="F252" s="20">
        <v>154</v>
      </c>
      <c r="G252" s="20">
        <v>464</v>
      </c>
      <c r="H252" s="13" t="s">
        <v>2027</v>
      </c>
      <c r="I252" s="13" t="str">
        <f t="shared" si="13"/>
        <v>NE 1st Av (Hallandale Beach Bl to Pembroke Rd)</v>
      </c>
      <c r="J252" s="13" t="s">
        <v>27</v>
      </c>
      <c r="K252" s="13" t="str">
        <f>VLOOKUP(J252,'Data-ProjectTypes'!A$3:B$13,2,FALSE)</f>
        <v>Program</v>
      </c>
      <c r="L252" s="21" t="s">
        <v>514</v>
      </c>
      <c r="M252" s="13" t="s">
        <v>1818</v>
      </c>
      <c r="N252" s="13" t="s">
        <v>1760</v>
      </c>
      <c r="O252" s="13" t="s">
        <v>297</v>
      </c>
      <c r="P252" s="13" t="s">
        <v>297</v>
      </c>
      <c r="Q252" s="22">
        <v>0.8</v>
      </c>
      <c r="R252" s="23">
        <v>272547</v>
      </c>
      <c r="S252" s="21"/>
      <c r="T252" s="21"/>
      <c r="U252" s="21"/>
      <c r="V252" s="24"/>
      <c r="W252" s="24"/>
      <c r="X252" s="24"/>
      <c r="Y252" s="17"/>
      <c r="Z252" s="18">
        <f>ROUND(R252*'Data-CostAssumptions'!$C$3,-3)</f>
        <v>377000</v>
      </c>
      <c r="AA252" s="11">
        <f t="shared" si="11"/>
        <v>0</v>
      </c>
      <c r="AB252" s="11">
        <v>2041</v>
      </c>
      <c r="AC252" s="11">
        <v>2041</v>
      </c>
      <c r="AD252" s="11">
        <v>2041</v>
      </c>
      <c r="AE252" s="19">
        <f>ROUND((Z252*'Data-CostAssumptions'!$G$5)*(1+'Data-CostAssumptions'!$G$3)^(AB252-'Data-CostAssumptions'!$G$4),-3)</f>
        <v>213000</v>
      </c>
      <c r="AF252" s="19">
        <f>ROUND((Z252)*(1+'Data-CostAssumptions'!$G$3)^(AD252-'Data-CostAssumptions'!$G$4),-3)</f>
        <v>967000</v>
      </c>
      <c r="AG252" s="170" t="str">
        <f t="shared" si="12"/>
        <v>No</v>
      </c>
    </row>
    <row r="253" spans="1:33" ht="15" customHeight="1" x14ac:dyDescent="0.2">
      <c r="B253" s="11" t="s">
        <v>1211</v>
      </c>
      <c r="C253" s="13">
        <v>414</v>
      </c>
      <c r="D253" s="13" t="s">
        <v>420</v>
      </c>
      <c r="E253" s="20">
        <v>54</v>
      </c>
      <c r="F253" s="20">
        <v>164</v>
      </c>
      <c r="G253" s="20">
        <v>622</v>
      </c>
      <c r="H253" s="13" t="s">
        <v>57</v>
      </c>
      <c r="I253" s="13" t="str">
        <f t="shared" si="13"/>
        <v>SR 7/US 441 (SW 25th St to Plunkett St)</v>
      </c>
      <c r="J253" s="13" t="s">
        <v>27</v>
      </c>
      <c r="K253" s="13" t="str">
        <f>VLOOKUP(J253,'Data-ProjectTypes'!A$3:B$13,2,FALSE)</f>
        <v>Program</v>
      </c>
      <c r="L253" s="21" t="s">
        <v>348</v>
      </c>
      <c r="M253" s="13" t="s">
        <v>1958</v>
      </c>
      <c r="N253" s="13" t="s">
        <v>2565</v>
      </c>
      <c r="O253" s="13" t="s">
        <v>270</v>
      </c>
      <c r="P253" s="13" t="s">
        <v>270</v>
      </c>
      <c r="Q253" s="22">
        <v>0.8</v>
      </c>
      <c r="R253" s="23">
        <v>272233</v>
      </c>
      <c r="S253" s="21"/>
      <c r="T253" s="21"/>
      <c r="U253" s="21"/>
      <c r="V253" s="24"/>
      <c r="W253" s="24"/>
      <c r="X253" s="24"/>
      <c r="Y253" s="17"/>
      <c r="Z253" s="18">
        <f>ROUND(R253*'Data-CostAssumptions'!$C$3,-3)</f>
        <v>377000</v>
      </c>
      <c r="AA253" s="11">
        <f t="shared" si="11"/>
        <v>0</v>
      </c>
      <c r="AB253" s="11">
        <v>2041</v>
      </c>
      <c r="AC253" s="11">
        <v>2041</v>
      </c>
      <c r="AD253" s="11">
        <v>2041</v>
      </c>
      <c r="AE253" s="19">
        <f>ROUND((Z253*'Data-CostAssumptions'!$G$5)*(1+'Data-CostAssumptions'!$G$3)^(AB253-'Data-CostAssumptions'!$G$4),-3)</f>
        <v>213000</v>
      </c>
      <c r="AF253" s="19">
        <f>ROUND((Z253)*(1+'Data-CostAssumptions'!$G$3)^(AD253-'Data-CostAssumptions'!$G$4),-3)</f>
        <v>967000</v>
      </c>
      <c r="AG253" s="170" t="str">
        <f t="shared" si="12"/>
        <v>No</v>
      </c>
    </row>
    <row r="254" spans="1:33" ht="15" customHeight="1" x14ac:dyDescent="0.2">
      <c r="B254" s="11" t="s">
        <v>1211</v>
      </c>
      <c r="C254" s="13">
        <v>308</v>
      </c>
      <c r="D254" s="13" t="s">
        <v>420</v>
      </c>
      <c r="E254" s="20">
        <v>226</v>
      </c>
      <c r="F254" s="20">
        <v>157</v>
      </c>
      <c r="G254" s="20">
        <v>519</v>
      </c>
      <c r="H254" s="13" t="s">
        <v>1910</v>
      </c>
      <c r="I254" s="13" t="str">
        <f t="shared" si="13"/>
        <v>NW 16th St (NW 38th Av to NW 47th Av)</v>
      </c>
      <c r="J254" s="13" t="s">
        <v>27</v>
      </c>
      <c r="K254" s="13" t="str">
        <f>VLOOKUP(J254,'Data-ProjectTypes'!A$3:B$13,2,FALSE)</f>
        <v>Program</v>
      </c>
      <c r="L254" s="21" t="s">
        <v>348</v>
      </c>
      <c r="M254" s="13" t="s">
        <v>2366</v>
      </c>
      <c r="N254" s="13" t="s">
        <v>2070</v>
      </c>
      <c r="O254" s="13" t="s">
        <v>270</v>
      </c>
      <c r="P254" s="13" t="s">
        <v>270</v>
      </c>
      <c r="Q254" s="22">
        <v>0.8</v>
      </c>
      <c r="R254" s="23">
        <v>271697</v>
      </c>
      <c r="S254" s="21" t="s">
        <v>24</v>
      </c>
      <c r="T254" s="21"/>
      <c r="U254" s="21"/>
      <c r="V254" s="24"/>
      <c r="W254" s="24"/>
      <c r="X254" s="24"/>
      <c r="Y254" s="17" t="s">
        <v>469</v>
      </c>
      <c r="Z254" s="18">
        <f>ROUND(R254*'Data-CostAssumptions'!$C$3,-3)</f>
        <v>376000</v>
      </c>
      <c r="AA254" s="11">
        <f t="shared" si="11"/>
        <v>0</v>
      </c>
      <c r="AB254" s="11">
        <v>2041</v>
      </c>
      <c r="AC254" s="11">
        <v>2041</v>
      </c>
      <c r="AD254" s="11">
        <v>2041</v>
      </c>
      <c r="AE254" s="19">
        <f>ROUND((Z254*'Data-CostAssumptions'!$G$5)*(1+'Data-CostAssumptions'!$G$3)^(AB254-'Data-CostAssumptions'!$G$4),-3)</f>
        <v>212000</v>
      </c>
      <c r="AF254" s="19">
        <f>ROUND((Z254)*(1+'Data-CostAssumptions'!$G$3)^(AD254-'Data-CostAssumptions'!$G$4),-3)</f>
        <v>964000</v>
      </c>
      <c r="AG254" s="170" t="str">
        <f t="shared" si="12"/>
        <v>No</v>
      </c>
    </row>
    <row r="255" spans="1:33" ht="15" customHeight="1" x14ac:dyDescent="0.2">
      <c r="B255" s="11" t="s">
        <v>1211</v>
      </c>
      <c r="C255" s="13">
        <v>415</v>
      </c>
      <c r="D255" s="13" t="s">
        <v>420</v>
      </c>
      <c r="E255" s="20">
        <v>57</v>
      </c>
      <c r="F255" s="20">
        <v>164</v>
      </c>
      <c r="G255" s="20">
        <v>624</v>
      </c>
      <c r="H255" s="13" t="s">
        <v>1977</v>
      </c>
      <c r="I255" s="13" t="str">
        <f t="shared" si="13"/>
        <v>Miramar Pkwy (SW 58th Av to SW 64th Av)</v>
      </c>
      <c r="J255" s="13" t="s">
        <v>27</v>
      </c>
      <c r="K255" s="13" t="str">
        <f>VLOOKUP(J255,'Data-ProjectTypes'!A$3:B$13,2,FALSE)</f>
        <v>Program</v>
      </c>
      <c r="L255" s="21" t="s">
        <v>348</v>
      </c>
      <c r="M255" s="13" t="s">
        <v>2129</v>
      </c>
      <c r="N255" s="13" t="s">
        <v>2230</v>
      </c>
      <c r="O255" s="13" t="s">
        <v>273</v>
      </c>
      <c r="P255" s="13" t="s">
        <v>273</v>
      </c>
      <c r="Q255" s="22">
        <v>0.8</v>
      </c>
      <c r="R255" s="23">
        <v>271379</v>
      </c>
      <c r="S255" s="21"/>
      <c r="T255" s="21"/>
      <c r="U255" s="21"/>
      <c r="V255" s="24"/>
      <c r="W255" s="24"/>
      <c r="X255" s="24"/>
      <c r="Y255" s="17"/>
      <c r="Z255" s="18">
        <f>ROUND(R255*'Data-CostAssumptions'!$C$3,-3)</f>
        <v>376000</v>
      </c>
      <c r="AA255" s="11">
        <f t="shared" si="11"/>
        <v>0</v>
      </c>
      <c r="AB255" s="11">
        <v>2041</v>
      </c>
      <c r="AC255" s="11">
        <v>2041</v>
      </c>
      <c r="AD255" s="11">
        <v>2041</v>
      </c>
      <c r="AE255" s="19">
        <f>ROUND((Z255*'Data-CostAssumptions'!$G$5)*(1+'Data-CostAssumptions'!$G$3)^(AB255-'Data-CostAssumptions'!$G$4),-3)</f>
        <v>212000</v>
      </c>
      <c r="AF255" s="19">
        <f>ROUND((Z255)*(1+'Data-CostAssumptions'!$G$3)^(AD255-'Data-CostAssumptions'!$G$4),-3)</f>
        <v>964000</v>
      </c>
      <c r="AG255" s="170" t="str">
        <f t="shared" si="12"/>
        <v>No</v>
      </c>
    </row>
    <row r="256" spans="1:33" ht="15" customHeight="1" x14ac:dyDescent="0.2">
      <c r="B256" s="11" t="s">
        <v>1211</v>
      </c>
      <c r="C256" s="13">
        <v>594</v>
      </c>
      <c r="D256" s="13" t="s">
        <v>420</v>
      </c>
      <c r="E256" s="20">
        <v>141</v>
      </c>
      <c r="F256" s="20">
        <v>175</v>
      </c>
      <c r="G256" s="20">
        <v>798</v>
      </c>
      <c r="H256" s="13" t="s">
        <v>1987</v>
      </c>
      <c r="I256" s="13" t="str">
        <f t="shared" si="13"/>
        <v>Brookwood Bl (NW 57th St to McNab Rd)</v>
      </c>
      <c r="J256" s="13" t="s">
        <v>27</v>
      </c>
      <c r="K256" s="13" t="str">
        <f>VLOOKUP(J256,'Data-ProjectTypes'!A$3:B$13,2,FALSE)</f>
        <v>Program</v>
      </c>
      <c r="L256" s="21" t="s">
        <v>348</v>
      </c>
      <c r="M256" s="13" t="s">
        <v>1925</v>
      </c>
      <c r="N256" s="13" t="s">
        <v>1854</v>
      </c>
      <c r="O256" s="13" t="s">
        <v>280</v>
      </c>
      <c r="P256" s="13" t="s">
        <v>280</v>
      </c>
      <c r="Q256" s="22">
        <v>1</v>
      </c>
      <c r="R256" s="23">
        <v>368981</v>
      </c>
      <c r="V256" s="85" t="s">
        <v>1162</v>
      </c>
      <c r="Y256" s="12"/>
      <c r="Z256" s="18">
        <f>ROUND(R256*'Data-CostAssumptions'!$C$5,-3)</f>
        <v>369000</v>
      </c>
      <c r="AA256" s="11">
        <f t="shared" si="11"/>
        <v>1</v>
      </c>
      <c r="AB256" s="11">
        <v>2041</v>
      </c>
      <c r="AC256" s="11">
        <v>2041</v>
      </c>
      <c r="AD256" s="11">
        <v>2041</v>
      </c>
      <c r="AE256" s="19">
        <f>ROUND((Z256*'Data-CostAssumptions'!$G$5)*(1+'Data-CostAssumptions'!$G$3)^(AB256-'Data-CostAssumptions'!$G$4),-3)</f>
        <v>208000</v>
      </c>
      <c r="AF256" s="19">
        <f>ROUND((Z256)*(1+'Data-CostAssumptions'!$G$3)^(AD256-'Data-CostAssumptions'!$G$4),-3)</f>
        <v>946000</v>
      </c>
      <c r="AG256" s="170" t="str">
        <f t="shared" si="12"/>
        <v>No</v>
      </c>
    </row>
    <row r="257" spans="1:33" ht="15" customHeight="1" x14ac:dyDescent="0.2">
      <c r="B257" s="11" t="s">
        <v>1211</v>
      </c>
      <c r="C257" s="13">
        <v>548</v>
      </c>
      <c r="D257" s="13" t="s">
        <v>420</v>
      </c>
      <c r="E257" s="20">
        <v>83</v>
      </c>
      <c r="F257" s="20">
        <v>172</v>
      </c>
      <c r="G257" s="20">
        <v>752</v>
      </c>
      <c r="H257" s="13" t="s">
        <v>1781</v>
      </c>
      <c r="I257" s="13" t="str">
        <f t="shared" si="13"/>
        <v>Bayview Dr (NE 32nd St to NE 44th St)</v>
      </c>
      <c r="J257" s="13" t="s">
        <v>27</v>
      </c>
      <c r="K257" s="13" t="str">
        <f>VLOOKUP(J257,'Data-ProjectTypes'!A$3:B$13,2,FALSE)</f>
        <v>Program</v>
      </c>
      <c r="L257" s="21" t="s">
        <v>348</v>
      </c>
      <c r="M257" s="13" t="s">
        <v>2484</v>
      </c>
      <c r="N257" s="13" t="s">
        <v>2483</v>
      </c>
      <c r="O257" s="13" t="s">
        <v>276</v>
      </c>
      <c r="P257" s="13" t="s">
        <v>276</v>
      </c>
      <c r="Q257" s="22">
        <v>1</v>
      </c>
      <c r="R257" s="23">
        <v>367771</v>
      </c>
      <c r="Y257" s="12"/>
      <c r="Z257" s="71">
        <f>ROUND(R257*'Data-CostAssumptions'!$C$8,-3)</f>
        <v>368000</v>
      </c>
      <c r="AA257" s="11">
        <f t="shared" si="11"/>
        <v>0</v>
      </c>
      <c r="AB257" s="11">
        <v>2041</v>
      </c>
      <c r="AC257" s="11">
        <v>2041</v>
      </c>
      <c r="AD257" s="11">
        <v>2041</v>
      </c>
      <c r="AE257" s="19">
        <f>ROUND((Z257*'Data-CostAssumptions'!$G$5)*(1+'Data-CostAssumptions'!$G$3)^(AB257-'Data-CostAssumptions'!$G$4),-3)</f>
        <v>208000</v>
      </c>
      <c r="AF257" s="19">
        <f>ROUND((Z257)*(1+'Data-CostAssumptions'!$G$3)^(AD257-'Data-CostAssumptions'!$G$4),-3)</f>
        <v>944000</v>
      </c>
      <c r="AG257" s="170" t="str">
        <f t="shared" si="12"/>
        <v>No</v>
      </c>
    </row>
    <row r="258" spans="1:33" ht="15" customHeight="1" x14ac:dyDescent="0.2">
      <c r="B258" s="11" t="s">
        <v>1211</v>
      </c>
      <c r="C258" s="13">
        <v>354</v>
      </c>
      <c r="D258" s="13" t="s">
        <v>420</v>
      </c>
      <c r="E258" s="20">
        <v>77</v>
      </c>
      <c r="F258" s="20">
        <v>160</v>
      </c>
      <c r="G258" s="20">
        <v>565</v>
      </c>
      <c r="H258" s="13" t="s">
        <v>2048</v>
      </c>
      <c r="I258" s="13" t="str">
        <f t="shared" si="13"/>
        <v>NW 11th Av (SW 5th Place to NW 4th St)</v>
      </c>
      <c r="J258" s="13" t="s">
        <v>27</v>
      </c>
      <c r="K258" s="13" t="str">
        <f>VLOOKUP(J258,'Data-ProjectTypes'!A$3:B$13,2,FALSE)</f>
        <v>Program</v>
      </c>
      <c r="L258" s="21" t="s">
        <v>348</v>
      </c>
      <c r="M258" s="13" t="s">
        <v>218</v>
      </c>
      <c r="N258" s="13" t="s">
        <v>2536</v>
      </c>
      <c r="O258" s="13" t="s">
        <v>276</v>
      </c>
      <c r="P258" s="13" t="s">
        <v>276</v>
      </c>
      <c r="Q258" s="22">
        <v>0.7</v>
      </c>
      <c r="R258" s="23">
        <v>264401</v>
      </c>
      <c r="S258" s="21" t="s">
        <v>24</v>
      </c>
      <c r="T258" s="21"/>
      <c r="U258" s="21"/>
      <c r="V258" s="24"/>
      <c r="W258" s="24"/>
      <c r="X258" s="24"/>
      <c r="Y258" s="17" t="s">
        <v>538</v>
      </c>
      <c r="Z258" s="18">
        <f>ROUND(R258*'Data-CostAssumptions'!$C$3,-3)</f>
        <v>366000</v>
      </c>
      <c r="AA258" s="11">
        <f t="shared" ref="AA258:AA321" si="14">IF(V258="",IF(W258="",0,1),1)</f>
        <v>0</v>
      </c>
      <c r="AB258" s="11">
        <v>2041</v>
      </c>
      <c r="AC258" s="11">
        <v>2041</v>
      </c>
      <c r="AD258" s="11">
        <v>2041</v>
      </c>
      <c r="AE258" s="19">
        <f>ROUND((Z258*'Data-CostAssumptions'!$G$5)*(1+'Data-CostAssumptions'!$G$3)^(AB258-'Data-CostAssumptions'!$G$4),-3)</f>
        <v>206000</v>
      </c>
      <c r="AF258" s="19">
        <f>ROUND((Z258)*(1+'Data-CostAssumptions'!$G$3)^(AD258-'Data-CostAssumptions'!$G$4),-3)</f>
        <v>938000</v>
      </c>
      <c r="AG258" s="170" t="str">
        <f t="shared" ref="AG258:AG321" si="15">IF(MIN(AC258:AD258)&lt;2041,"Yes","No")</f>
        <v>No</v>
      </c>
    </row>
    <row r="259" spans="1:33" ht="15" customHeight="1" x14ac:dyDescent="0.2">
      <c r="B259" s="11" t="s">
        <v>1211</v>
      </c>
      <c r="C259" s="13">
        <v>591</v>
      </c>
      <c r="D259" s="13" t="s">
        <v>420</v>
      </c>
      <c r="E259" s="20">
        <v>132</v>
      </c>
      <c r="F259" s="20">
        <v>174</v>
      </c>
      <c r="G259" s="20">
        <v>795</v>
      </c>
      <c r="H259" s="13" t="s">
        <v>1778</v>
      </c>
      <c r="I259" s="13" t="str">
        <f t="shared" si="13"/>
        <v>West Prospect Rd (NW 52nd Court to NW 31st Av)</v>
      </c>
      <c r="J259" s="13" t="s">
        <v>27</v>
      </c>
      <c r="K259" s="13" t="str">
        <f>VLOOKUP(J259,'Data-ProjectTypes'!A$3:B$13,2,FALSE)</f>
        <v>Program</v>
      </c>
      <c r="L259" s="21" t="s">
        <v>348</v>
      </c>
      <c r="M259" s="13" t="s">
        <v>80</v>
      </c>
      <c r="N259" s="13" t="s">
        <v>2062</v>
      </c>
      <c r="O259" s="13" t="s">
        <v>273</v>
      </c>
      <c r="P259" s="13" t="s">
        <v>273</v>
      </c>
      <c r="Q259" s="22">
        <v>1</v>
      </c>
      <c r="R259" s="23">
        <v>366355</v>
      </c>
      <c r="V259" s="85" t="s">
        <v>1162</v>
      </c>
      <c r="Y259" s="12"/>
      <c r="Z259" s="18">
        <f>ROUND(R259*'Data-CostAssumptions'!$C$5,-3)</f>
        <v>366000</v>
      </c>
      <c r="AA259" s="11">
        <f t="shared" si="14"/>
        <v>1</v>
      </c>
      <c r="AB259" s="11">
        <v>2041</v>
      </c>
      <c r="AC259" s="11">
        <v>2041</v>
      </c>
      <c r="AD259" s="11">
        <v>2041</v>
      </c>
      <c r="AE259" s="19">
        <f>ROUND((Z259*'Data-CostAssumptions'!$G$5)*(1+'Data-CostAssumptions'!$G$3)^(AB259-'Data-CostAssumptions'!$G$4),-3)</f>
        <v>206000</v>
      </c>
      <c r="AF259" s="19">
        <f>ROUND((Z259)*(1+'Data-CostAssumptions'!$G$3)^(AD259-'Data-CostAssumptions'!$G$4),-3)</f>
        <v>938000</v>
      </c>
      <c r="AG259" s="170" t="str">
        <f t="shared" si="15"/>
        <v>No</v>
      </c>
    </row>
    <row r="260" spans="1:33" ht="15" customHeight="1" x14ac:dyDescent="0.2">
      <c r="B260" s="11" t="s">
        <v>1211</v>
      </c>
      <c r="C260" s="13">
        <v>510</v>
      </c>
      <c r="D260" s="13" t="s">
        <v>420</v>
      </c>
      <c r="E260" s="20">
        <v>154</v>
      </c>
      <c r="F260" s="20">
        <v>170</v>
      </c>
      <c r="G260" s="20">
        <v>715</v>
      </c>
      <c r="H260" s="13" t="s">
        <v>2078</v>
      </c>
      <c r="I260" s="13" t="str">
        <f t="shared" si="13"/>
        <v>NW 70th Av (McNab Rd to NW 78th St)</v>
      </c>
      <c r="J260" s="13" t="s">
        <v>27</v>
      </c>
      <c r="K260" s="13" t="str">
        <f>VLOOKUP(J260,'Data-ProjectTypes'!A$3:B$13,2,FALSE)</f>
        <v>Program</v>
      </c>
      <c r="L260" s="21" t="s">
        <v>348</v>
      </c>
      <c r="M260" s="13" t="s">
        <v>1854</v>
      </c>
      <c r="N260" s="13" t="s">
        <v>1932</v>
      </c>
      <c r="O260" s="13" t="s">
        <v>280</v>
      </c>
      <c r="P260" s="13" t="s">
        <v>280</v>
      </c>
      <c r="Q260" s="22">
        <v>1</v>
      </c>
      <c r="R260" s="23">
        <v>364670</v>
      </c>
      <c r="S260" s="21"/>
      <c r="T260" s="21"/>
      <c r="U260" s="21"/>
      <c r="V260" s="24"/>
      <c r="W260" s="24"/>
      <c r="X260" s="24"/>
      <c r="Y260" s="17"/>
      <c r="Z260" s="18">
        <f>ROUND(R260*'Data-CostAssumptions'!$C$8,-3)</f>
        <v>365000</v>
      </c>
      <c r="AA260" s="11">
        <f t="shared" si="14"/>
        <v>0</v>
      </c>
      <c r="AB260" s="11">
        <v>2041</v>
      </c>
      <c r="AC260" s="11">
        <v>2041</v>
      </c>
      <c r="AD260" s="11">
        <v>2041</v>
      </c>
      <c r="AE260" s="19">
        <f>ROUND((Z260*'Data-CostAssumptions'!$G$5)*(1+'Data-CostAssumptions'!$G$3)^(AB260-'Data-CostAssumptions'!$G$4),-3)</f>
        <v>206000</v>
      </c>
      <c r="AF260" s="19">
        <f>ROUND((Z260)*(1+'Data-CostAssumptions'!$G$3)^(AD260-'Data-CostAssumptions'!$G$4),-3)</f>
        <v>936000</v>
      </c>
      <c r="AG260" s="170" t="str">
        <f t="shared" si="15"/>
        <v>No</v>
      </c>
    </row>
    <row r="261" spans="1:33" ht="15" customHeight="1" x14ac:dyDescent="0.2">
      <c r="A261" s="12"/>
      <c r="B261" s="11" t="s">
        <v>1211</v>
      </c>
      <c r="C261" s="12"/>
      <c r="D261" s="84" t="s">
        <v>276</v>
      </c>
      <c r="E261" s="104">
        <v>31</v>
      </c>
      <c r="F261" s="104"/>
      <c r="G261" s="20">
        <v>1554</v>
      </c>
      <c r="H261" s="13" t="s">
        <v>2451</v>
      </c>
      <c r="I261" s="13" t="str">
        <f t="shared" si="13"/>
        <v>Miami Rd (SE 17TH ST to SE 12TH ST)</v>
      </c>
      <c r="J261" s="12" t="s">
        <v>27</v>
      </c>
      <c r="K261" s="13" t="str">
        <f>VLOOKUP(J261,'Data-ProjectTypes'!A$3:B$13,2,FALSE)</f>
        <v>Program</v>
      </c>
      <c r="L261" s="12" t="s">
        <v>1295</v>
      </c>
      <c r="M261" s="105" t="s">
        <v>1245</v>
      </c>
      <c r="N261" s="12" t="s">
        <v>1436</v>
      </c>
      <c r="O261" s="12"/>
      <c r="P261" s="12"/>
      <c r="Q261" s="72">
        <v>0.5</v>
      </c>
      <c r="R261" s="23">
        <v>365000</v>
      </c>
      <c r="Y261" s="12"/>
      <c r="Z261" s="18">
        <f>ROUND(R261*'Data-CostAssumptions'!$C$8,-3)</f>
        <v>365000</v>
      </c>
      <c r="AA261" s="11">
        <f t="shared" si="14"/>
        <v>0</v>
      </c>
      <c r="AB261" s="11">
        <v>2041</v>
      </c>
      <c r="AC261" s="11">
        <v>2041</v>
      </c>
      <c r="AD261" s="11">
        <v>2041</v>
      </c>
      <c r="AE261" s="19">
        <f>ROUND((Z261*'Data-CostAssumptions'!$G$5)*(1+'Data-CostAssumptions'!$G$3)^(AB261-'Data-CostAssumptions'!$G$4),-3)</f>
        <v>206000</v>
      </c>
      <c r="AF261" s="19">
        <f>ROUND((Z261)*(1+'Data-CostAssumptions'!$G$3)^(AD261-'Data-CostAssumptions'!$G$4),-3)</f>
        <v>936000</v>
      </c>
      <c r="AG261" s="170" t="str">
        <f t="shared" si="15"/>
        <v>No</v>
      </c>
    </row>
    <row r="262" spans="1:33" ht="15" customHeight="1" x14ac:dyDescent="0.2">
      <c r="B262" s="11" t="s">
        <v>1211</v>
      </c>
      <c r="C262" s="13">
        <v>420</v>
      </c>
      <c r="D262" s="13" t="s">
        <v>420</v>
      </c>
      <c r="E262" s="20">
        <v>85</v>
      </c>
      <c r="F262" s="20">
        <v>164</v>
      </c>
      <c r="G262" s="20">
        <v>629</v>
      </c>
      <c r="H262" s="13" t="s">
        <v>1894</v>
      </c>
      <c r="I262" s="13" t="str">
        <f t="shared" si="13"/>
        <v>NE 45th St/Floranada Rd (Federal Hwy to NE 12th Terrace)</v>
      </c>
      <c r="J262" s="13" t="s">
        <v>27</v>
      </c>
      <c r="K262" s="13" t="str">
        <f>VLOOKUP(J262,'Data-ProjectTypes'!A$3:B$13,2,FALSE)</f>
        <v>Program</v>
      </c>
      <c r="L262" s="21" t="s">
        <v>700</v>
      </c>
      <c r="M262" s="13" t="s">
        <v>2595</v>
      </c>
      <c r="N262" s="13" t="s">
        <v>151</v>
      </c>
      <c r="O262" s="13" t="s">
        <v>272</v>
      </c>
      <c r="P262" s="13" t="s">
        <v>272</v>
      </c>
      <c r="Q262" s="22">
        <v>0.7</v>
      </c>
      <c r="R262" s="23">
        <v>262363</v>
      </c>
      <c r="S262" s="21"/>
      <c r="T262" s="21"/>
      <c r="U262" s="21"/>
      <c r="V262" s="24"/>
      <c r="W262" s="24"/>
      <c r="X262" s="24"/>
      <c r="Y262" s="17"/>
      <c r="Z262" s="18">
        <f>ROUND(R262*'Data-CostAssumptions'!$C$3,-3)</f>
        <v>363000</v>
      </c>
      <c r="AA262" s="11">
        <f t="shared" si="14"/>
        <v>0</v>
      </c>
      <c r="AB262" s="11">
        <v>2041</v>
      </c>
      <c r="AC262" s="11">
        <v>2041</v>
      </c>
      <c r="AD262" s="11">
        <v>2041</v>
      </c>
      <c r="AE262" s="19">
        <f>ROUND((Z262*'Data-CostAssumptions'!$G$5)*(1+'Data-CostAssumptions'!$G$3)^(AB262-'Data-CostAssumptions'!$G$4),-3)</f>
        <v>205000</v>
      </c>
      <c r="AF262" s="19">
        <f>ROUND((Z262)*(1+'Data-CostAssumptions'!$G$3)^(AD262-'Data-CostAssumptions'!$G$4),-3)</f>
        <v>931000</v>
      </c>
      <c r="AG262" s="170" t="str">
        <f t="shared" si="15"/>
        <v>No</v>
      </c>
    </row>
    <row r="263" spans="1:33" ht="15" customHeight="1" x14ac:dyDescent="0.2">
      <c r="B263" s="11" t="s">
        <v>316</v>
      </c>
      <c r="C263" s="13">
        <v>283</v>
      </c>
      <c r="D263" s="13" t="s">
        <v>420</v>
      </c>
      <c r="E263" s="20">
        <v>23</v>
      </c>
      <c r="F263" s="20">
        <v>156</v>
      </c>
      <c r="G263" s="20">
        <v>703</v>
      </c>
      <c r="H263" s="13" t="s">
        <v>1977</v>
      </c>
      <c r="I263" s="13" t="str">
        <f t="shared" si="13"/>
        <v>Miramar Pkwy (Red Rd to Flamingo Rd)</v>
      </c>
      <c r="J263" s="13" t="s">
        <v>27</v>
      </c>
      <c r="K263" s="13" t="str">
        <f>VLOOKUP(J263,'Data-ProjectTypes'!A$3:B$13,2,FALSE)</f>
        <v>Program</v>
      </c>
      <c r="L263" s="21" t="s">
        <v>686</v>
      </c>
      <c r="M263" s="13" t="s">
        <v>156</v>
      </c>
      <c r="N263" s="13" t="s">
        <v>159</v>
      </c>
      <c r="O263" s="13" t="s">
        <v>274</v>
      </c>
      <c r="P263" s="13" t="s">
        <v>274</v>
      </c>
      <c r="Q263" s="22">
        <v>1</v>
      </c>
      <c r="R263" s="23">
        <v>363155</v>
      </c>
      <c r="S263" s="12"/>
      <c r="T263" s="12"/>
      <c r="U263" s="12"/>
      <c r="V263" s="12"/>
      <c r="W263" s="12"/>
      <c r="X263" s="34"/>
      <c r="Y263" s="12"/>
      <c r="Z263" s="18">
        <f>ROUND(R263*'Data-CostAssumptions'!$C$8,-3)</f>
        <v>363000</v>
      </c>
      <c r="AA263" s="11">
        <f t="shared" si="14"/>
        <v>0</v>
      </c>
      <c r="AB263" s="11">
        <v>2041</v>
      </c>
      <c r="AC263" s="11">
        <v>2041</v>
      </c>
      <c r="AD263" s="11">
        <v>2041</v>
      </c>
      <c r="AE263" s="19">
        <f>ROUND((Z263*'Data-CostAssumptions'!$G$5)*(1+'Data-CostAssumptions'!$G$3)^(AB263-'Data-CostAssumptions'!$G$4),-3)</f>
        <v>205000</v>
      </c>
      <c r="AF263" s="19">
        <f>ROUND((Z263)*(1+'Data-CostAssumptions'!$G$3)^(AD263-'Data-CostAssumptions'!$G$4),-3)</f>
        <v>931000</v>
      </c>
      <c r="AG263" s="170" t="str">
        <f t="shared" si="15"/>
        <v>No</v>
      </c>
    </row>
    <row r="264" spans="1:33" ht="15" customHeight="1" x14ac:dyDescent="0.2">
      <c r="B264" s="11" t="s">
        <v>1211</v>
      </c>
      <c r="C264" s="13">
        <v>499</v>
      </c>
      <c r="D264" s="13" t="s">
        <v>420</v>
      </c>
      <c r="E264" s="20">
        <v>95</v>
      </c>
      <c r="F264" s="20">
        <v>169</v>
      </c>
      <c r="G264" s="20">
        <v>702</v>
      </c>
      <c r="H264" s="13" t="s">
        <v>2094</v>
      </c>
      <c r="I264" s="13" t="str">
        <f t="shared" ref="I264:I327" si="16">IF(M264="@",H264&amp;" ("&amp;M264&amp;"  "&amp;N264&amp;")",H264&amp;" ("&amp;M264&amp;" to "&amp;N264&amp;")")</f>
        <v>SE 7th Dr/SE 28th Av (Atlantic Bl to Federal Hwy)</v>
      </c>
      <c r="J264" s="13" t="s">
        <v>27</v>
      </c>
      <c r="K264" s="13" t="str">
        <f>VLOOKUP(J264,'Data-ProjectTypes'!A$3:B$13,2,FALSE)</f>
        <v>Program</v>
      </c>
      <c r="L264" s="21" t="s">
        <v>348</v>
      </c>
      <c r="M264" s="13" t="s">
        <v>1809</v>
      </c>
      <c r="N264" s="13" t="s">
        <v>2595</v>
      </c>
      <c r="O264" s="13" t="s">
        <v>275</v>
      </c>
      <c r="P264" s="13" t="s">
        <v>275</v>
      </c>
      <c r="Q264" s="22">
        <v>1</v>
      </c>
      <c r="R264" s="23">
        <v>361941</v>
      </c>
      <c r="S264" s="21"/>
      <c r="T264" s="21"/>
      <c r="U264" s="21"/>
      <c r="V264" s="24"/>
      <c r="W264" s="24"/>
      <c r="X264" s="24"/>
      <c r="Y264" s="17"/>
      <c r="Z264" s="18">
        <f>ROUND(R264*'Data-CostAssumptions'!$C$8,-3)</f>
        <v>362000</v>
      </c>
      <c r="AA264" s="11">
        <f t="shared" si="14"/>
        <v>0</v>
      </c>
      <c r="AB264" s="11">
        <v>2041</v>
      </c>
      <c r="AC264" s="11">
        <v>2041</v>
      </c>
      <c r="AD264" s="11">
        <v>2041</v>
      </c>
      <c r="AE264" s="19">
        <f>ROUND((Z264*'Data-CostAssumptions'!$G$5)*(1+'Data-CostAssumptions'!$G$3)^(AB264-'Data-CostAssumptions'!$G$4),-3)</f>
        <v>204000</v>
      </c>
      <c r="AF264" s="19">
        <f>ROUND((Z264)*(1+'Data-CostAssumptions'!$G$3)^(AD264-'Data-CostAssumptions'!$G$4),-3)</f>
        <v>928000</v>
      </c>
      <c r="AG264" s="170" t="str">
        <f t="shared" si="15"/>
        <v>No</v>
      </c>
    </row>
    <row r="265" spans="1:33" ht="15" customHeight="1" x14ac:dyDescent="0.2">
      <c r="B265" s="11" t="s">
        <v>1211</v>
      </c>
      <c r="C265" s="13">
        <v>294</v>
      </c>
      <c r="D265" s="13" t="s">
        <v>420</v>
      </c>
      <c r="E265" s="20">
        <v>109</v>
      </c>
      <c r="F265" s="20">
        <v>157</v>
      </c>
      <c r="G265" s="20">
        <v>506</v>
      </c>
      <c r="H265" s="13" t="s">
        <v>2021</v>
      </c>
      <c r="I265" s="13" t="str">
        <f t="shared" si="16"/>
        <v>NE 11th Av (Atlantic Bl to NE 10th St)</v>
      </c>
      <c r="J265" s="13" t="s">
        <v>27</v>
      </c>
      <c r="K265" s="13" t="str">
        <f>VLOOKUP(J265,'Data-ProjectTypes'!A$3:B$13,2,FALSE)</f>
        <v>Program</v>
      </c>
      <c r="L265" s="21" t="s">
        <v>348</v>
      </c>
      <c r="M265" s="13" t="s">
        <v>1809</v>
      </c>
      <c r="N265" s="13" t="s">
        <v>1882</v>
      </c>
      <c r="O265" s="13" t="s">
        <v>275</v>
      </c>
      <c r="P265" s="13" t="s">
        <v>275</v>
      </c>
      <c r="Q265" s="22">
        <v>0.7</v>
      </c>
      <c r="R265" s="23">
        <v>260571</v>
      </c>
      <c r="S265" s="21"/>
      <c r="T265" s="21"/>
      <c r="U265" s="21"/>
      <c r="V265" s="24"/>
      <c r="W265" s="24"/>
      <c r="X265" s="24"/>
      <c r="Y265" s="17"/>
      <c r="Z265" s="18">
        <f>ROUND(R265*'Data-CostAssumptions'!$C$3,-3)</f>
        <v>361000</v>
      </c>
      <c r="AA265" s="11">
        <f t="shared" si="14"/>
        <v>0</v>
      </c>
      <c r="AB265" s="11">
        <v>2041</v>
      </c>
      <c r="AC265" s="11">
        <v>2041</v>
      </c>
      <c r="AD265" s="11">
        <v>2041</v>
      </c>
      <c r="AE265" s="19">
        <f>ROUND((Z265*'Data-CostAssumptions'!$G$5)*(1+'Data-CostAssumptions'!$G$3)^(AB265-'Data-CostAssumptions'!$G$4),-3)</f>
        <v>204000</v>
      </c>
      <c r="AF265" s="19">
        <f>ROUND((Z265)*(1+'Data-CostAssumptions'!$G$3)^(AD265-'Data-CostAssumptions'!$G$4),-3)</f>
        <v>926000</v>
      </c>
      <c r="AG265" s="170" t="str">
        <f t="shared" si="15"/>
        <v>No</v>
      </c>
    </row>
    <row r="266" spans="1:33" ht="15" customHeight="1" x14ac:dyDescent="0.2">
      <c r="B266" s="11" t="s">
        <v>1211</v>
      </c>
      <c r="C266" s="13">
        <v>442</v>
      </c>
      <c r="D266" s="13" t="s">
        <v>420</v>
      </c>
      <c r="E266" s="20">
        <v>204</v>
      </c>
      <c r="F266" s="20">
        <v>166</v>
      </c>
      <c r="G266" s="20">
        <v>650</v>
      </c>
      <c r="H266" s="13" t="s">
        <v>2709</v>
      </c>
      <c r="I266" s="13" t="str">
        <f t="shared" si="16"/>
        <v>SR 817/University Dr (Johnson St to Sheridan St)</v>
      </c>
      <c r="J266" s="13" t="s">
        <v>27</v>
      </c>
      <c r="K266" s="13" t="str">
        <f>VLOOKUP(J266,'Data-ProjectTypes'!A$3:B$13,2,FALSE)</f>
        <v>Program</v>
      </c>
      <c r="L266" s="21" t="s">
        <v>348</v>
      </c>
      <c r="M266" s="13" t="s">
        <v>1880</v>
      </c>
      <c r="N266" s="13" t="s">
        <v>1951</v>
      </c>
      <c r="O266" s="13" t="s">
        <v>270</v>
      </c>
      <c r="P266" s="13" t="s">
        <v>270</v>
      </c>
      <c r="Q266" s="22">
        <v>1</v>
      </c>
      <c r="R266" s="23">
        <v>360679</v>
      </c>
      <c r="S266" s="21" t="s">
        <v>350</v>
      </c>
      <c r="T266" s="21"/>
      <c r="U266" s="21"/>
      <c r="V266" s="24"/>
      <c r="W266" s="24"/>
      <c r="X266" s="24" t="s">
        <v>477</v>
      </c>
      <c r="Y266" s="17" t="s">
        <v>469</v>
      </c>
      <c r="Z266" s="18">
        <f>ROUND(R266*'Data-CostAssumptions'!$C$8,-3)</f>
        <v>361000</v>
      </c>
      <c r="AA266" s="11">
        <f t="shared" si="14"/>
        <v>0</v>
      </c>
      <c r="AB266" s="11">
        <v>2041</v>
      </c>
      <c r="AC266" s="11">
        <v>2041</v>
      </c>
      <c r="AD266" s="11">
        <v>2041</v>
      </c>
      <c r="AE266" s="19">
        <f>ROUND((Z266*'Data-CostAssumptions'!$G$5)*(1+'Data-CostAssumptions'!$G$3)^(AB266-'Data-CostAssumptions'!$G$4),-3)</f>
        <v>204000</v>
      </c>
      <c r="AF266" s="19">
        <f>ROUND((Z266)*(1+'Data-CostAssumptions'!$G$3)^(AD266-'Data-CostAssumptions'!$G$4),-3)</f>
        <v>926000</v>
      </c>
      <c r="AG266" s="170" t="str">
        <f t="shared" si="15"/>
        <v>No</v>
      </c>
    </row>
    <row r="267" spans="1:33" ht="15" customHeight="1" x14ac:dyDescent="0.2">
      <c r="B267" s="11" t="s">
        <v>1211</v>
      </c>
      <c r="C267" s="13">
        <v>555</v>
      </c>
      <c r="D267" s="13" t="s">
        <v>420</v>
      </c>
      <c r="E267" s="20">
        <v>147</v>
      </c>
      <c r="F267" s="20">
        <v>172</v>
      </c>
      <c r="G267" s="20">
        <v>759</v>
      </c>
      <c r="H267" s="13" t="s">
        <v>1768</v>
      </c>
      <c r="I267" s="13" t="str">
        <f t="shared" si="16"/>
        <v>Rock Island Rd (NW 44th St to Commercial Bl)</v>
      </c>
      <c r="J267" s="13" t="s">
        <v>27</v>
      </c>
      <c r="K267" s="13" t="str">
        <f>VLOOKUP(J267,'Data-ProjectTypes'!A$3:B$13,2,FALSE)</f>
        <v>Program</v>
      </c>
      <c r="L267" s="21" t="s">
        <v>348</v>
      </c>
      <c r="M267" s="13" t="s">
        <v>1189</v>
      </c>
      <c r="N267" s="13" t="s">
        <v>1813</v>
      </c>
      <c r="O267" s="13" t="s">
        <v>273</v>
      </c>
      <c r="P267" s="13" t="s">
        <v>273</v>
      </c>
      <c r="Q267" s="22">
        <v>1</v>
      </c>
      <c r="R267" s="23">
        <v>359996</v>
      </c>
      <c r="Y267" s="12"/>
      <c r="Z267" s="18">
        <f>ROUND(R267*'Data-CostAssumptions'!$C$8,-3)</f>
        <v>360000</v>
      </c>
      <c r="AA267" s="11">
        <f t="shared" si="14"/>
        <v>0</v>
      </c>
      <c r="AB267" s="11">
        <v>2041</v>
      </c>
      <c r="AC267" s="11">
        <v>2041</v>
      </c>
      <c r="AD267" s="11">
        <v>2041</v>
      </c>
      <c r="AE267" s="19">
        <f>ROUND((Z267*'Data-CostAssumptions'!$G$5)*(1+'Data-CostAssumptions'!$G$3)^(AB267-'Data-CostAssumptions'!$G$4),-3)</f>
        <v>203000</v>
      </c>
      <c r="AF267" s="19">
        <f>ROUND((Z267)*(1+'Data-CostAssumptions'!$G$3)^(AD267-'Data-CostAssumptions'!$G$4),-3)</f>
        <v>923000</v>
      </c>
      <c r="AG267" s="170" t="str">
        <f t="shared" si="15"/>
        <v>No</v>
      </c>
    </row>
    <row r="268" spans="1:33" ht="15" customHeight="1" x14ac:dyDescent="0.2">
      <c r="B268" s="11" t="s">
        <v>1211</v>
      </c>
      <c r="C268" s="13">
        <v>411</v>
      </c>
      <c r="D268" s="13" t="s">
        <v>420</v>
      </c>
      <c r="E268" s="20">
        <v>47</v>
      </c>
      <c r="F268" s="20">
        <v>164</v>
      </c>
      <c r="G268" s="20">
        <v>619</v>
      </c>
      <c r="H268" s="13" t="s">
        <v>1951</v>
      </c>
      <c r="I268" s="13" t="str">
        <f t="shared" si="16"/>
        <v>Sheridan St (North 66th Av to North 72nd Av)</v>
      </c>
      <c r="J268" s="13" t="s">
        <v>27</v>
      </c>
      <c r="K268" s="13" t="str">
        <f>VLOOKUP(J268,'Data-ProjectTypes'!A$3:B$13,2,FALSE)</f>
        <v>Program</v>
      </c>
      <c r="L268" s="21" t="s">
        <v>348</v>
      </c>
      <c r="M268" s="13" t="s">
        <v>2382</v>
      </c>
      <c r="N268" s="13" t="s">
        <v>2045</v>
      </c>
      <c r="O268" s="13" t="s">
        <v>273</v>
      </c>
      <c r="P268" s="13" t="s">
        <v>273</v>
      </c>
      <c r="Q268" s="22">
        <v>0.7</v>
      </c>
      <c r="R268" s="23">
        <v>259363</v>
      </c>
      <c r="S268" s="21"/>
      <c r="T268" s="21"/>
      <c r="U268" s="21"/>
      <c r="V268" s="24"/>
      <c r="W268" s="24"/>
      <c r="X268" s="24"/>
      <c r="Y268" s="17" t="s">
        <v>2906</v>
      </c>
      <c r="Z268" s="18">
        <f>ROUND(R268*'Data-CostAssumptions'!$C$3,-3)</f>
        <v>359000</v>
      </c>
      <c r="AA268" s="11">
        <f t="shared" si="14"/>
        <v>0</v>
      </c>
      <c r="AB268" s="11">
        <v>2041</v>
      </c>
      <c r="AC268" s="11">
        <v>2041</v>
      </c>
      <c r="AD268" s="11">
        <v>2041</v>
      </c>
      <c r="AE268" s="19">
        <f>ROUND((Z268*'Data-CostAssumptions'!$G$5)*(1+'Data-CostAssumptions'!$G$3)^(AB268-'Data-CostAssumptions'!$G$4),-3)</f>
        <v>203000</v>
      </c>
      <c r="AF268" s="19">
        <f>ROUND((Z268)*(1+'Data-CostAssumptions'!$G$3)^(AD268-'Data-CostAssumptions'!$G$4),-3)</f>
        <v>920000</v>
      </c>
      <c r="AG268" s="170" t="str">
        <f t="shared" si="15"/>
        <v>No</v>
      </c>
    </row>
    <row r="269" spans="1:33" ht="15" customHeight="1" x14ac:dyDescent="0.2">
      <c r="B269" s="11" t="s">
        <v>1211</v>
      </c>
      <c r="C269" s="13">
        <v>566</v>
      </c>
      <c r="D269" s="13" t="s">
        <v>420</v>
      </c>
      <c r="E269" s="20">
        <v>266</v>
      </c>
      <c r="F269" s="20">
        <v>173</v>
      </c>
      <c r="G269" s="20">
        <v>769</v>
      </c>
      <c r="H269" s="13" t="s">
        <v>1963</v>
      </c>
      <c r="I269" s="13" t="str">
        <f t="shared" si="16"/>
        <v>SW 45th St (Hiatus Rd to Flamingo Rd)</v>
      </c>
      <c r="J269" s="13" t="s">
        <v>27</v>
      </c>
      <c r="K269" s="13" t="str">
        <f>VLOOKUP(J269,'Data-ProjectTypes'!A$3:B$13,2,FALSE)</f>
        <v>Program</v>
      </c>
      <c r="L269" s="21" t="s">
        <v>348</v>
      </c>
      <c r="M269" s="13" t="s">
        <v>1752</v>
      </c>
      <c r="N269" s="13" t="s">
        <v>159</v>
      </c>
      <c r="O269" s="13" t="s">
        <v>279</v>
      </c>
      <c r="P269" s="13" t="s">
        <v>279</v>
      </c>
      <c r="Q269" s="22">
        <v>1</v>
      </c>
      <c r="R269" s="23">
        <v>358310</v>
      </c>
      <c r="V269" s="85" t="s">
        <v>437</v>
      </c>
      <c r="X269" s="11" t="s">
        <v>467</v>
      </c>
      <c r="Y269" s="12"/>
      <c r="Z269" s="18">
        <f>ROUND(R269*'Data-CostAssumptions'!$C$4,-3)</f>
        <v>358000</v>
      </c>
      <c r="AA269" s="11">
        <f t="shared" si="14"/>
        <v>1</v>
      </c>
      <c r="AB269" s="11">
        <v>2041</v>
      </c>
      <c r="AC269" s="11">
        <v>2041</v>
      </c>
      <c r="AD269" s="11">
        <v>2041</v>
      </c>
      <c r="AE269" s="19">
        <f>ROUND((Z269*'Data-CostAssumptions'!$G$5)*(1+'Data-CostAssumptions'!$G$3)^(AB269-'Data-CostAssumptions'!$G$4),-3)</f>
        <v>202000</v>
      </c>
      <c r="AF269" s="19">
        <f>ROUND((Z269)*(1+'Data-CostAssumptions'!$G$3)^(AD269-'Data-CostAssumptions'!$G$4),-3)</f>
        <v>918000</v>
      </c>
      <c r="AG269" s="170" t="str">
        <f t="shared" si="15"/>
        <v>No</v>
      </c>
    </row>
    <row r="270" spans="1:33" ht="15" customHeight="1" x14ac:dyDescent="0.2">
      <c r="B270" s="11" t="s">
        <v>1211</v>
      </c>
      <c r="C270" s="13">
        <v>292</v>
      </c>
      <c r="D270" s="13" t="s">
        <v>420</v>
      </c>
      <c r="E270" s="20">
        <v>97</v>
      </c>
      <c r="F270" s="20">
        <v>157</v>
      </c>
      <c r="G270" s="20">
        <v>504</v>
      </c>
      <c r="H270" s="13" t="s">
        <v>1943</v>
      </c>
      <c r="I270" s="13" t="str">
        <f t="shared" si="16"/>
        <v>SE 2nd St (US 1/Federal Hwy to SE 11th Av)</v>
      </c>
      <c r="J270" s="13" t="s">
        <v>27</v>
      </c>
      <c r="K270" s="13" t="str">
        <f>VLOOKUP(J270,'Data-ProjectTypes'!A$3:B$13,2,FALSE)</f>
        <v>Program</v>
      </c>
      <c r="L270" s="21" t="s">
        <v>348</v>
      </c>
      <c r="M270" s="13" t="s">
        <v>2594</v>
      </c>
      <c r="N270" s="13" t="s">
        <v>2088</v>
      </c>
      <c r="O270" s="13" t="s">
        <v>275</v>
      </c>
      <c r="P270" s="13" t="s">
        <v>275</v>
      </c>
      <c r="Q270" s="22">
        <v>0.7</v>
      </c>
      <c r="R270" s="23">
        <v>257745</v>
      </c>
      <c r="S270" s="21"/>
      <c r="T270" s="21"/>
      <c r="U270" s="21"/>
      <c r="V270" s="24"/>
      <c r="W270" s="24"/>
      <c r="X270" s="24"/>
      <c r="Y270" s="17"/>
      <c r="Z270" s="18">
        <f>ROUND(R270*'Data-CostAssumptions'!$C$3,-3)</f>
        <v>357000</v>
      </c>
      <c r="AA270" s="11">
        <f t="shared" si="14"/>
        <v>0</v>
      </c>
      <c r="AB270" s="11">
        <v>2041</v>
      </c>
      <c r="AC270" s="11">
        <v>2041</v>
      </c>
      <c r="AD270" s="11">
        <v>2041</v>
      </c>
      <c r="AE270" s="19">
        <f>ROUND((Z270*'Data-CostAssumptions'!$G$5)*(1+'Data-CostAssumptions'!$G$3)^(AB270-'Data-CostAssumptions'!$G$4),-3)</f>
        <v>201000</v>
      </c>
      <c r="AF270" s="19">
        <f>ROUND((Z270)*(1+'Data-CostAssumptions'!$G$3)^(AD270-'Data-CostAssumptions'!$G$4),-3)</f>
        <v>915000</v>
      </c>
      <c r="AG270" s="170" t="str">
        <f t="shared" si="15"/>
        <v>No</v>
      </c>
    </row>
    <row r="271" spans="1:33" ht="15" customHeight="1" x14ac:dyDescent="0.2">
      <c r="A271" s="12"/>
      <c r="B271" s="11" t="s">
        <v>1211</v>
      </c>
      <c r="C271" s="12"/>
      <c r="D271" s="84" t="s">
        <v>276</v>
      </c>
      <c r="E271" s="104">
        <v>40</v>
      </c>
      <c r="F271" s="104"/>
      <c r="G271" s="20">
        <v>1561</v>
      </c>
      <c r="H271" s="13" t="s">
        <v>1228</v>
      </c>
      <c r="I271" s="13" t="str">
        <f t="shared" si="16"/>
        <v>NE 2ND ST (US 1/SR 5/FEDERAL HW to NE 16TH Av)</v>
      </c>
      <c r="J271" s="12" t="s">
        <v>27</v>
      </c>
      <c r="K271" s="13" t="str">
        <f>VLOOKUP(J271,'Data-ProjectTypes'!A$3:B$13,2,FALSE)</f>
        <v>Program</v>
      </c>
      <c r="L271" s="12" t="s">
        <v>1301</v>
      </c>
      <c r="M271" s="105" t="s">
        <v>1438</v>
      </c>
      <c r="N271" s="12" t="s">
        <v>2614</v>
      </c>
      <c r="O271" s="12"/>
      <c r="P271" s="12"/>
      <c r="Q271" s="72">
        <v>0.6</v>
      </c>
      <c r="R271" s="23">
        <v>354000</v>
      </c>
      <c r="Y271" s="12"/>
      <c r="Z271" s="18">
        <f>ROUND(R271*'Data-CostAssumptions'!$C$8,-3)</f>
        <v>354000</v>
      </c>
      <c r="AA271" s="11">
        <f t="shared" si="14"/>
        <v>0</v>
      </c>
      <c r="AB271" s="11">
        <v>2041</v>
      </c>
      <c r="AC271" s="11">
        <v>2041</v>
      </c>
      <c r="AD271" s="11">
        <v>2041</v>
      </c>
      <c r="AE271" s="19">
        <f>ROUND((Z271*'Data-CostAssumptions'!$G$5)*(1+'Data-CostAssumptions'!$G$3)^(AB271-'Data-CostAssumptions'!$G$4),-3)</f>
        <v>200000</v>
      </c>
      <c r="AF271" s="19">
        <f>ROUND((Z271)*(1+'Data-CostAssumptions'!$G$3)^(AD271-'Data-CostAssumptions'!$G$4),-3)</f>
        <v>908000</v>
      </c>
      <c r="AG271" s="170" t="str">
        <f t="shared" si="15"/>
        <v>No</v>
      </c>
    </row>
    <row r="272" spans="1:33" ht="15" customHeight="1" x14ac:dyDescent="0.2">
      <c r="A272" s="12"/>
      <c r="B272" s="11" t="s">
        <v>1211</v>
      </c>
      <c r="C272" s="12"/>
      <c r="D272" s="84" t="s">
        <v>276</v>
      </c>
      <c r="E272" s="104">
        <v>32</v>
      </c>
      <c r="F272" s="104"/>
      <c r="G272" s="20">
        <v>1555</v>
      </c>
      <c r="H272" s="13" t="s">
        <v>2451</v>
      </c>
      <c r="I272" s="13" t="str">
        <f t="shared" si="16"/>
        <v>Miami Rd (SE 24TH ST/SR 84 to SE 17TH ST)</v>
      </c>
      <c r="J272" s="12" t="s">
        <v>27</v>
      </c>
      <c r="K272" s="13" t="str">
        <f>VLOOKUP(J272,'Data-ProjectTypes'!A$3:B$13,2,FALSE)</f>
        <v>Program</v>
      </c>
      <c r="L272" s="12" t="s">
        <v>1295</v>
      </c>
      <c r="M272" s="105" t="s">
        <v>1437</v>
      </c>
      <c r="N272" s="12" t="s">
        <v>1245</v>
      </c>
      <c r="O272" s="12"/>
      <c r="P272" s="12"/>
      <c r="Q272" s="72">
        <v>0.5</v>
      </c>
      <c r="R272" s="23">
        <v>353000</v>
      </c>
      <c r="Y272" s="12"/>
      <c r="Z272" s="18">
        <f>ROUND(R272*'Data-CostAssumptions'!$C$8,-3)</f>
        <v>353000</v>
      </c>
      <c r="AA272" s="11">
        <f t="shared" si="14"/>
        <v>0</v>
      </c>
      <c r="AB272" s="11">
        <v>2041</v>
      </c>
      <c r="AC272" s="11">
        <v>2041</v>
      </c>
      <c r="AD272" s="11">
        <v>2041</v>
      </c>
      <c r="AE272" s="19">
        <f>ROUND((Z272*'Data-CostAssumptions'!$G$5)*(1+'Data-CostAssumptions'!$G$3)^(AB272-'Data-CostAssumptions'!$G$4),-3)</f>
        <v>199000</v>
      </c>
      <c r="AF272" s="19">
        <f>ROUND((Z272)*(1+'Data-CostAssumptions'!$G$3)^(AD272-'Data-CostAssumptions'!$G$4),-3)</f>
        <v>905000</v>
      </c>
      <c r="AG272" s="170" t="str">
        <f t="shared" si="15"/>
        <v>No</v>
      </c>
    </row>
    <row r="273" spans="1:33" ht="15" customHeight="1" x14ac:dyDescent="0.2">
      <c r="B273" s="11" t="s">
        <v>1211</v>
      </c>
      <c r="C273" s="13">
        <v>515</v>
      </c>
      <c r="D273" s="13" t="s">
        <v>420</v>
      </c>
      <c r="E273" s="20">
        <v>174</v>
      </c>
      <c r="F273" s="20">
        <v>170</v>
      </c>
      <c r="G273" s="20">
        <v>720</v>
      </c>
      <c r="H273" s="13" t="s">
        <v>238</v>
      </c>
      <c r="I273" s="13" t="str">
        <f t="shared" si="16"/>
        <v>South Military Trail (SW 10th St to Hillsboro Bl)</v>
      </c>
      <c r="J273" s="13" t="s">
        <v>27</v>
      </c>
      <c r="K273" s="13" t="str">
        <f>VLOOKUP(J273,'Data-ProjectTypes'!A$3:B$13,2,FALSE)</f>
        <v>Program</v>
      </c>
      <c r="L273" s="21" t="s">
        <v>510</v>
      </c>
      <c r="M273" s="13" t="s">
        <v>1954</v>
      </c>
      <c r="N273" s="13" t="s">
        <v>1819</v>
      </c>
      <c r="O273" s="13" t="s">
        <v>289</v>
      </c>
      <c r="P273" s="13" t="s">
        <v>289</v>
      </c>
      <c r="Q273" s="22">
        <v>1</v>
      </c>
      <c r="R273" s="23">
        <v>349511</v>
      </c>
      <c r="S273" s="21" t="s">
        <v>24</v>
      </c>
      <c r="T273" s="21" t="s">
        <v>684</v>
      </c>
      <c r="U273" s="21" t="s">
        <v>684</v>
      </c>
      <c r="V273" s="24"/>
      <c r="W273" s="24"/>
      <c r="X273" s="24"/>
      <c r="Y273" s="17" t="s">
        <v>685</v>
      </c>
      <c r="Z273" s="18">
        <f>ROUND(R273*'Data-CostAssumptions'!$C$8,-3)</f>
        <v>350000</v>
      </c>
      <c r="AA273" s="11">
        <f t="shared" si="14"/>
        <v>0</v>
      </c>
      <c r="AB273" s="11">
        <v>2041</v>
      </c>
      <c r="AC273" s="11">
        <v>2041</v>
      </c>
      <c r="AD273" s="11">
        <v>2041</v>
      </c>
      <c r="AE273" s="19">
        <f>ROUND((Z273*'Data-CostAssumptions'!$G$5)*(1+'Data-CostAssumptions'!$G$3)^(AB273-'Data-CostAssumptions'!$G$4),-3)</f>
        <v>197000</v>
      </c>
      <c r="AF273" s="19">
        <f>ROUND((Z273)*(1+'Data-CostAssumptions'!$G$3)^(AD273-'Data-CostAssumptions'!$G$4),-3)</f>
        <v>897000</v>
      </c>
      <c r="AG273" s="170" t="str">
        <f t="shared" si="15"/>
        <v>No</v>
      </c>
    </row>
    <row r="274" spans="1:33" ht="15" customHeight="1" x14ac:dyDescent="0.2">
      <c r="B274" s="11" t="s">
        <v>1211</v>
      </c>
      <c r="C274" s="13">
        <v>317</v>
      </c>
      <c r="D274" s="13" t="s">
        <v>420</v>
      </c>
      <c r="E274" s="20">
        <v>258</v>
      </c>
      <c r="F274" s="20">
        <v>158</v>
      </c>
      <c r="G274" s="20">
        <v>528</v>
      </c>
      <c r="H274" s="13" t="s">
        <v>485</v>
      </c>
      <c r="I274" s="13" t="str">
        <f t="shared" si="16"/>
        <v>SW 30th St (College Av to SW 76th Av)</v>
      </c>
      <c r="J274" s="13" t="s">
        <v>27</v>
      </c>
      <c r="K274" s="13" t="str">
        <f>VLOOKUP(J274,'Data-ProjectTypes'!A$3:B$13,2,FALSE)</f>
        <v>Program</v>
      </c>
      <c r="L274" s="21" t="s">
        <v>348</v>
      </c>
      <c r="M274" s="13" t="s">
        <v>2016</v>
      </c>
      <c r="N274" s="13" t="s">
        <v>2271</v>
      </c>
      <c r="O274" s="13" t="s">
        <v>279</v>
      </c>
      <c r="P274" s="13" t="s">
        <v>279</v>
      </c>
      <c r="Q274" s="22">
        <v>0.7</v>
      </c>
      <c r="R274" s="23">
        <v>252109</v>
      </c>
      <c r="S274" s="21" t="s">
        <v>24</v>
      </c>
      <c r="T274" s="21"/>
      <c r="U274" s="21"/>
      <c r="V274" s="24"/>
      <c r="W274" s="24" t="s">
        <v>491</v>
      </c>
      <c r="X274" s="24"/>
      <c r="Y274" s="17" t="s">
        <v>492</v>
      </c>
      <c r="Z274" s="18">
        <f>ROUND(R274*'Data-CostAssumptions'!$C$3,-3)</f>
        <v>349000</v>
      </c>
      <c r="AA274" s="11">
        <f t="shared" si="14"/>
        <v>1</v>
      </c>
      <c r="AB274" s="11">
        <v>2041</v>
      </c>
      <c r="AC274" s="11">
        <v>2041</v>
      </c>
      <c r="AD274" s="11">
        <v>2041</v>
      </c>
      <c r="AE274" s="19">
        <f>ROUND((Z274*'Data-CostAssumptions'!$G$5)*(1+'Data-CostAssumptions'!$G$3)^(AB274-'Data-CostAssumptions'!$G$4),-3)</f>
        <v>197000</v>
      </c>
      <c r="AF274" s="19">
        <f>ROUND((Z274)*(1+'Data-CostAssumptions'!$G$3)^(AD274-'Data-CostAssumptions'!$G$4),-3)</f>
        <v>895000</v>
      </c>
      <c r="AG274" s="170" t="str">
        <f t="shared" si="15"/>
        <v>No</v>
      </c>
    </row>
    <row r="275" spans="1:33" ht="15" customHeight="1" x14ac:dyDescent="0.2">
      <c r="B275" s="11" t="s">
        <v>1211</v>
      </c>
      <c r="C275" s="13">
        <v>214</v>
      </c>
      <c r="D275" s="13" t="s">
        <v>420</v>
      </c>
      <c r="E275" s="20">
        <v>356</v>
      </c>
      <c r="F275" s="20">
        <v>152</v>
      </c>
      <c r="G275" s="20">
        <v>428</v>
      </c>
      <c r="H275" s="13" t="s">
        <v>57</v>
      </c>
      <c r="I275" s="13" t="str">
        <f t="shared" si="16"/>
        <v>SR 7/US 441 (NW 3rd St to NW 8th Place)</v>
      </c>
      <c r="J275" s="13" t="s">
        <v>27</v>
      </c>
      <c r="K275" s="13" t="str">
        <f>VLOOKUP(J275,'Data-ProjectTypes'!A$3:B$13,2,FALSE)</f>
        <v>Program</v>
      </c>
      <c r="L275" s="21" t="s">
        <v>348</v>
      </c>
      <c r="M275" s="13" t="s">
        <v>2533</v>
      </c>
      <c r="N275" s="13" t="s">
        <v>122</v>
      </c>
      <c r="O275" s="13" t="s">
        <v>270</v>
      </c>
      <c r="P275" s="13" t="s">
        <v>270</v>
      </c>
      <c r="Q275" s="22">
        <v>0.7</v>
      </c>
      <c r="R275" s="23">
        <v>251577</v>
      </c>
      <c r="S275" s="21"/>
      <c r="T275" s="21"/>
      <c r="U275" s="21"/>
      <c r="V275" s="24"/>
      <c r="W275" s="24"/>
      <c r="X275" s="24"/>
      <c r="Y275" s="17"/>
      <c r="Z275" s="18">
        <f>ROUND(R275*'Data-CostAssumptions'!$C$3,-3)</f>
        <v>348000</v>
      </c>
      <c r="AA275" s="11">
        <f t="shared" si="14"/>
        <v>0</v>
      </c>
      <c r="AB275" s="11">
        <v>2041</v>
      </c>
      <c r="AC275" s="11">
        <v>2041</v>
      </c>
      <c r="AD275" s="11">
        <v>2041</v>
      </c>
      <c r="AE275" s="19">
        <f>ROUND((Z275*'Data-CostAssumptions'!$G$5)*(1+'Data-CostAssumptions'!$G$3)^(AB275-'Data-CostAssumptions'!$G$4),-3)</f>
        <v>196000</v>
      </c>
      <c r="AF275" s="19">
        <f>ROUND((Z275)*(1+'Data-CostAssumptions'!$G$3)^(AD275-'Data-CostAssumptions'!$G$4),-3)</f>
        <v>892000</v>
      </c>
      <c r="AG275" s="170" t="str">
        <f t="shared" si="15"/>
        <v>No</v>
      </c>
    </row>
    <row r="276" spans="1:33" ht="15" customHeight="1" x14ac:dyDescent="0.2">
      <c r="B276" s="11" t="s">
        <v>1211</v>
      </c>
      <c r="C276" s="13">
        <v>550</v>
      </c>
      <c r="D276" s="13" t="s">
        <v>420</v>
      </c>
      <c r="E276" s="20">
        <v>88</v>
      </c>
      <c r="F276" s="20">
        <v>172</v>
      </c>
      <c r="G276" s="20">
        <v>754</v>
      </c>
      <c r="H276" s="13" t="s">
        <v>1781</v>
      </c>
      <c r="I276" s="13" t="str">
        <f t="shared" si="16"/>
        <v>Bayview Dr (Commercial Bl to Bay Colony Dr)</v>
      </c>
      <c r="J276" s="13" t="s">
        <v>27</v>
      </c>
      <c r="K276" s="13" t="str">
        <f>VLOOKUP(J276,'Data-ProjectTypes'!A$3:B$13,2,FALSE)</f>
        <v>Program</v>
      </c>
      <c r="L276" s="21" t="s">
        <v>348</v>
      </c>
      <c r="M276" s="13" t="s">
        <v>1813</v>
      </c>
      <c r="N276" s="13" t="s">
        <v>2647</v>
      </c>
      <c r="O276" s="13" t="s">
        <v>276</v>
      </c>
      <c r="P276" s="13" t="s">
        <v>276</v>
      </c>
      <c r="Q276" s="22">
        <v>1</v>
      </c>
      <c r="R276" s="23">
        <v>345991</v>
      </c>
      <c r="Y276" s="12"/>
      <c r="Z276" s="71">
        <f>ROUND(R276*'Data-CostAssumptions'!$C$8,-3)</f>
        <v>346000</v>
      </c>
      <c r="AA276" s="11">
        <f t="shared" si="14"/>
        <v>0</v>
      </c>
      <c r="AB276" s="11">
        <v>2041</v>
      </c>
      <c r="AC276" s="11">
        <v>2041</v>
      </c>
      <c r="AD276" s="11">
        <v>2041</v>
      </c>
      <c r="AE276" s="19">
        <f>ROUND((Z276*'Data-CostAssumptions'!$G$5)*(1+'Data-CostAssumptions'!$G$3)^(AB276-'Data-CostAssumptions'!$G$4),-3)</f>
        <v>195000</v>
      </c>
      <c r="AF276" s="19">
        <f>ROUND((Z276)*(1+'Data-CostAssumptions'!$G$3)^(AD276-'Data-CostAssumptions'!$G$4),-3)</f>
        <v>887000</v>
      </c>
      <c r="AG276" s="170" t="str">
        <f t="shared" si="15"/>
        <v>No</v>
      </c>
    </row>
    <row r="277" spans="1:33" ht="15" customHeight="1" x14ac:dyDescent="0.2">
      <c r="B277" s="11" t="s">
        <v>1211</v>
      </c>
      <c r="C277" s="13">
        <v>245</v>
      </c>
      <c r="D277" s="13" t="s">
        <v>420</v>
      </c>
      <c r="E277" s="20">
        <v>237</v>
      </c>
      <c r="F277" s="20">
        <v>154</v>
      </c>
      <c r="G277" s="20">
        <v>458</v>
      </c>
      <c r="H277" s="13" t="s">
        <v>1926</v>
      </c>
      <c r="I277" s="13" t="str">
        <f t="shared" si="16"/>
        <v>NW 5th St (NW 70th Av to University Dr)</v>
      </c>
      <c r="J277" s="13" t="s">
        <v>27</v>
      </c>
      <c r="K277" s="13" t="str">
        <f>VLOOKUP(J277,'Data-ProjectTypes'!A$3:B$13,2,FALSE)</f>
        <v>Program</v>
      </c>
      <c r="L277" s="21" t="s">
        <v>348</v>
      </c>
      <c r="M277" s="13" t="s">
        <v>2078</v>
      </c>
      <c r="N277" s="13" t="s">
        <v>1804</v>
      </c>
      <c r="O277" s="13" t="s">
        <v>284</v>
      </c>
      <c r="P277" s="13" t="s">
        <v>284</v>
      </c>
      <c r="Q277" s="22">
        <v>0.7</v>
      </c>
      <c r="R277" s="23">
        <v>249512</v>
      </c>
      <c r="S277" s="21"/>
      <c r="T277" s="21"/>
      <c r="U277" s="21"/>
      <c r="V277" s="24"/>
      <c r="W277" s="24"/>
      <c r="X277" s="24"/>
      <c r="Y277" s="17"/>
      <c r="Z277" s="18">
        <f>ROUND(R277*'Data-CostAssumptions'!$C$3,-3)</f>
        <v>345000</v>
      </c>
      <c r="AA277" s="11">
        <f t="shared" si="14"/>
        <v>0</v>
      </c>
      <c r="AB277" s="11">
        <v>2041</v>
      </c>
      <c r="AC277" s="11">
        <v>2041</v>
      </c>
      <c r="AD277" s="11">
        <v>2041</v>
      </c>
      <c r="AE277" s="19">
        <f>ROUND((Z277*'Data-CostAssumptions'!$G$5)*(1+'Data-CostAssumptions'!$G$3)^(AB277-'Data-CostAssumptions'!$G$4),-3)</f>
        <v>195000</v>
      </c>
      <c r="AF277" s="19">
        <f>ROUND((Z277)*(1+'Data-CostAssumptions'!$G$3)^(AD277-'Data-CostAssumptions'!$G$4),-3)</f>
        <v>885000</v>
      </c>
      <c r="AG277" s="170" t="str">
        <f t="shared" si="15"/>
        <v>No</v>
      </c>
    </row>
    <row r="278" spans="1:33" ht="15" customHeight="1" x14ac:dyDescent="0.2">
      <c r="B278" s="11" t="s">
        <v>1211</v>
      </c>
      <c r="C278" s="13">
        <v>242</v>
      </c>
      <c r="D278" s="13" t="s">
        <v>420</v>
      </c>
      <c r="E278" s="20">
        <v>223</v>
      </c>
      <c r="F278" s="20">
        <v>153</v>
      </c>
      <c r="G278" s="20">
        <v>455</v>
      </c>
      <c r="H278" s="13" t="s">
        <v>2071</v>
      </c>
      <c r="I278" s="13" t="str">
        <f t="shared" si="16"/>
        <v>NW 49th Av/NW 26th St (NW 47th Av to Access Rd)</v>
      </c>
      <c r="J278" s="13" t="s">
        <v>27</v>
      </c>
      <c r="K278" s="13" t="str">
        <f>VLOOKUP(J278,'Data-ProjectTypes'!A$3:B$13,2,FALSE)</f>
        <v>Program</v>
      </c>
      <c r="L278" s="21" t="s">
        <v>348</v>
      </c>
      <c r="M278" s="13" t="s">
        <v>2070</v>
      </c>
      <c r="N278" s="13" t="s">
        <v>1743</v>
      </c>
      <c r="O278" s="13" t="s">
        <v>272</v>
      </c>
      <c r="P278" s="13" t="s">
        <v>272</v>
      </c>
      <c r="Q278" s="22">
        <v>0.7</v>
      </c>
      <c r="R278" s="23">
        <v>248285</v>
      </c>
      <c r="S278" s="21"/>
      <c r="T278" s="21"/>
      <c r="U278" s="21"/>
      <c r="V278" s="24"/>
      <c r="W278" s="24"/>
      <c r="X278" s="24"/>
      <c r="Y278" s="17"/>
      <c r="Z278" s="18">
        <f>ROUND(R278*'Data-CostAssumptions'!$C$3,-3)</f>
        <v>344000</v>
      </c>
      <c r="AA278" s="11">
        <f t="shared" si="14"/>
        <v>0</v>
      </c>
      <c r="AB278" s="11">
        <v>2041</v>
      </c>
      <c r="AC278" s="11">
        <v>2041</v>
      </c>
      <c r="AD278" s="11">
        <v>2041</v>
      </c>
      <c r="AE278" s="19">
        <f>ROUND((Z278*'Data-CostAssumptions'!$G$5)*(1+'Data-CostAssumptions'!$G$3)^(AB278-'Data-CostAssumptions'!$G$4),-3)</f>
        <v>194000</v>
      </c>
      <c r="AF278" s="19">
        <f>ROUND((Z278)*(1+'Data-CostAssumptions'!$G$3)^(AD278-'Data-CostAssumptions'!$G$4),-3)</f>
        <v>882000</v>
      </c>
      <c r="AG278" s="170" t="str">
        <f t="shared" si="15"/>
        <v>No</v>
      </c>
    </row>
    <row r="279" spans="1:33" ht="15" customHeight="1" x14ac:dyDescent="0.2">
      <c r="B279" s="11" t="s">
        <v>1211</v>
      </c>
      <c r="C279" s="13">
        <v>238</v>
      </c>
      <c r="D279" s="13" t="s">
        <v>420</v>
      </c>
      <c r="E279" s="20">
        <v>200</v>
      </c>
      <c r="F279" s="20">
        <v>153</v>
      </c>
      <c r="G279" s="20">
        <v>451</v>
      </c>
      <c r="H279" s="13" t="s">
        <v>2709</v>
      </c>
      <c r="I279" s="13" t="str">
        <f t="shared" si="16"/>
        <v>SR 817/University Dr (Homestead Turnpike Ext. to Miramar Parkway)</v>
      </c>
      <c r="J279" s="13" t="s">
        <v>27</v>
      </c>
      <c r="K279" s="13" t="str">
        <f>VLOOKUP(J279,'Data-ProjectTypes'!A$3:B$13,2,FALSE)</f>
        <v>Program</v>
      </c>
      <c r="L279" s="21" t="s">
        <v>348</v>
      </c>
      <c r="M279" s="13" t="s">
        <v>161</v>
      </c>
      <c r="N279" s="13" t="s">
        <v>39</v>
      </c>
      <c r="O279" s="13" t="s">
        <v>270</v>
      </c>
      <c r="P279" s="13" t="s">
        <v>270</v>
      </c>
      <c r="Q279" s="22">
        <v>0.7</v>
      </c>
      <c r="R279" s="23">
        <v>247948</v>
      </c>
      <c r="S279" s="21"/>
      <c r="T279" s="21"/>
      <c r="U279" s="21"/>
      <c r="V279" s="24"/>
      <c r="W279" s="24"/>
      <c r="X279" s="24"/>
      <c r="Y279" s="17"/>
      <c r="Z279" s="18">
        <f>ROUND(R279*'Data-CostAssumptions'!$C$3,-3)</f>
        <v>343000</v>
      </c>
      <c r="AA279" s="11">
        <f t="shared" si="14"/>
        <v>0</v>
      </c>
      <c r="AB279" s="11">
        <v>2041</v>
      </c>
      <c r="AC279" s="11">
        <v>2041</v>
      </c>
      <c r="AD279" s="11">
        <v>2041</v>
      </c>
      <c r="AE279" s="19">
        <f>ROUND((Z279*'Data-CostAssumptions'!$G$5)*(1+'Data-CostAssumptions'!$G$3)^(AB279-'Data-CostAssumptions'!$G$4),-3)</f>
        <v>193000</v>
      </c>
      <c r="AF279" s="19">
        <f>ROUND((Z279)*(1+'Data-CostAssumptions'!$G$3)^(AD279-'Data-CostAssumptions'!$G$4),-3)</f>
        <v>879000</v>
      </c>
      <c r="AG279" s="170" t="str">
        <f t="shared" si="15"/>
        <v>No</v>
      </c>
    </row>
    <row r="280" spans="1:33" ht="15" customHeight="1" x14ac:dyDescent="0.2">
      <c r="B280" s="11" t="s">
        <v>1211</v>
      </c>
      <c r="C280" s="13">
        <v>398</v>
      </c>
      <c r="D280" s="13" t="s">
        <v>420</v>
      </c>
      <c r="E280" s="20">
        <v>400</v>
      </c>
      <c r="F280" s="20">
        <v>163</v>
      </c>
      <c r="G280" s="20">
        <v>607</v>
      </c>
      <c r="H280" s="13" t="s">
        <v>2062</v>
      </c>
      <c r="I280" s="13" t="str">
        <f t="shared" si="16"/>
        <v>NW 31st Av (Atlantic Bl to Hammondville Bl)</v>
      </c>
      <c r="J280" s="13" t="s">
        <v>27</v>
      </c>
      <c r="K280" s="13" t="str">
        <f>VLOOKUP(J280,'Data-ProjectTypes'!A$3:B$13,2,FALSE)</f>
        <v>Program</v>
      </c>
      <c r="L280" s="21" t="s">
        <v>348</v>
      </c>
      <c r="M280" s="13" t="s">
        <v>1809</v>
      </c>
      <c r="N280" s="13" t="s">
        <v>2276</v>
      </c>
      <c r="O280" s="13" t="s">
        <v>270</v>
      </c>
      <c r="P280" s="13" t="s">
        <v>270</v>
      </c>
      <c r="Q280" s="22">
        <v>1</v>
      </c>
      <c r="R280" s="23">
        <v>342820</v>
      </c>
      <c r="Y280" s="17"/>
      <c r="Z280" s="18">
        <f>ROUND(R280*'Data-CostAssumptions'!$C$8,-3)</f>
        <v>343000</v>
      </c>
      <c r="AA280" s="11">
        <f t="shared" si="14"/>
        <v>0</v>
      </c>
      <c r="AB280" s="11">
        <v>2041</v>
      </c>
      <c r="AC280" s="11">
        <v>2041</v>
      </c>
      <c r="AD280" s="11">
        <v>2041</v>
      </c>
      <c r="AE280" s="19">
        <f>ROUND((Z280*'Data-CostAssumptions'!$G$5)*(1+'Data-CostAssumptions'!$G$3)^(AB280-'Data-CostAssumptions'!$G$4),-3)</f>
        <v>193000</v>
      </c>
      <c r="AF280" s="19">
        <f>ROUND((Z280)*(1+'Data-CostAssumptions'!$G$3)^(AD280-'Data-CostAssumptions'!$G$4),-3)</f>
        <v>879000</v>
      </c>
      <c r="AG280" s="170" t="str">
        <f t="shared" si="15"/>
        <v>No</v>
      </c>
    </row>
    <row r="281" spans="1:33" ht="15" customHeight="1" x14ac:dyDescent="0.2">
      <c r="B281" s="11" t="s">
        <v>1211</v>
      </c>
      <c r="D281" s="84" t="s">
        <v>276</v>
      </c>
      <c r="E281" s="14">
        <v>7</v>
      </c>
      <c r="F281" s="14"/>
      <c r="G281" s="20">
        <v>1624</v>
      </c>
      <c r="H281" s="13" t="s">
        <v>2798</v>
      </c>
      <c r="I281" s="13" t="str">
        <f t="shared" si="16"/>
        <v>SR 842/Broward Bl (NE/SE 15TH Av to SR-5/US-1)</v>
      </c>
      <c r="J281" s="11" t="s">
        <v>27</v>
      </c>
      <c r="K281" s="13" t="str">
        <f>VLOOKUP(J281,'Data-ProjectTypes'!A$3:B$13,2,FALSE)</f>
        <v>Program</v>
      </c>
      <c r="L281" s="11" t="s">
        <v>1262</v>
      </c>
      <c r="M281" s="106" t="s">
        <v>2600</v>
      </c>
      <c r="N281" s="84" t="s">
        <v>1423</v>
      </c>
      <c r="Q281" s="107">
        <v>0.5</v>
      </c>
      <c r="R281" s="23">
        <v>342000</v>
      </c>
      <c r="X281" s="38"/>
      <c r="Y281" s="12"/>
      <c r="Z281" s="18">
        <f>ROUND(R281*'Data-CostAssumptions'!$C$4,-3)</f>
        <v>342000</v>
      </c>
      <c r="AA281" s="11">
        <f t="shared" si="14"/>
        <v>0</v>
      </c>
      <c r="AB281" s="11">
        <v>2041</v>
      </c>
      <c r="AC281" s="11">
        <v>2041</v>
      </c>
      <c r="AD281" s="11">
        <v>2041</v>
      </c>
      <c r="AE281" s="19">
        <f>ROUND((Z281*'Data-CostAssumptions'!$G$5)*(1+'Data-CostAssumptions'!$G$3)^(AB281-'Data-CostAssumptions'!$G$4),-3)</f>
        <v>193000</v>
      </c>
      <c r="AF281" s="19">
        <f>ROUND((Z281)*(1+'Data-CostAssumptions'!$G$3)^(AD281-'Data-CostAssumptions'!$G$4),-3)</f>
        <v>877000</v>
      </c>
      <c r="AG281" s="170" t="str">
        <f t="shared" si="15"/>
        <v>No</v>
      </c>
    </row>
    <row r="282" spans="1:33" ht="15" customHeight="1" x14ac:dyDescent="0.2">
      <c r="B282" s="11" t="s">
        <v>1211</v>
      </c>
      <c r="C282" s="13">
        <v>617</v>
      </c>
      <c r="D282" s="13" t="s">
        <v>420</v>
      </c>
      <c r="E282" s="20">
        <v>178</v>
      </c>
      <c r="F282" s="20">
        <v>176</v>
      </c>
      <c r="G282" s="20">
        <v>818</v>
      </c>
      <c r="H282" s="13" t="s">
        <v>1771</v>
      </c>
      <c r="I282" s="13" t="str">
        <f t="shared" si="16"/>
        <v>South Powerline Rd (NW 48th St to SW 10th St)</v>
      </c>
      <c r="J282" s="13" t="s">
        <v>27</v>
      </c>
      <c r="K282" s="13" t="str">
        <f>VLOOKUP(J282,'Data-ProjectTypes'!A$3:B$13,2,FALSE)</f>
        <v>Program</v>
      </c>
      <c r="L282" s="21" t="s">
        <v>348</v>
      </c>
      <c r="M282" s="13" t="s">
        <v>2562</v>
      </c>
      <c r="N282" s="13" t="s">
        <v>1954</v>
      </c>
      <c r="O282" s="13" t="s">
        <v>270</v>
      </c>
      <c r="P282" s="13" t="s">
        <v>270</v>
      </c>
      <c r="Q282" s="22">
        <v>0.9</v>
      </c>
      <c r="R282" s="23">
        <v>336636</v>
      </c>
      <c r="Y282" s="12"/>
      <c r="Z282" s="71">
        <f>ROUND(R282*'Data-CostAssumptions'!$C$8,-3)</f>
        <v>337000</v>
      </c>
      <c r="AA282" s="11">
        <f t="shared" si="14"/>
        <v>0</v>
      </c>
      <c r="AB282" s="11">
        <v>2041</v>
      </c>
      <c r="AC282" s="11">
        <v>2041</v>
      </c>
      <c r="AD282" s="11">
        <v>2041</v>
      </c>
      <c r="AE282" s="19">
        <f>ROUND((Z282*'Data-CostAssumptions'!$G$5)*(1+'Data-CostAssumptions'!$G$3)^(AB282-'Data-CostAssumptions'!$G$4),-3)</f>
        <v>190000</v>
      </c>
      <c r="AF282" s="19">
        <f>ROUND((Z282)*(1+'Data-CostAssumptions'!$G$3)^(AD282-'Data-CostAssumptions'!$G$4),-3)</f>
        <v>864000</v>
      </c>
      <c r="AG282" s="170" t="str">
        <f t="shared" si="15"/>
        <v>No</v>
      </c>
    </row>
    <row r="283" spans="1:33" ht="15" customHeight="1" x14ac:dyDescent="0.2">
      <c r="B283" s="11" t="s">
        <v>1211</v>
      </c>
      <c r="C283" s="13">
        <v>567</v>
      </c>
      <c r="D283" s="13" t="s">
        <v>420</v>
      </c>
      <c r="E283" s="20">
        <v>267</v>
      </c>
      <c r="F283" s="20">
        <v>173</v>
      </c>
      <c r="G283" s="20">
        <v>770</v>
      </c>
      <c r="H283" s="13" t="s">
        <v>1963</v>
      </c>
      <c r="I283" s="13" t="str">
        <f t="shared" si="16"/>
        <v>SW 45th St (Nob Hill Rd to Just east of Hiatus Rd)</v>
      </c>
      <c r="J283" s="13" t="s">
        <v>27</v>
      </c>
      <c r="K283" s="13" t="str">
        <f>VLOOKUP(J283,'Data-ProjectTypes'!A$3:B$13,2,FALSE)</f>
        <v>Program</v>
      </c>
      <c r="L283" s="21" t="s">
        <v>348</v>
      </c>
      <c r="M283" s="13" t="s">
        <v>1755</v>
      </c>
      <c r="N283" s="13" t="s">
        <v>2461</v>
      </c>
      <c r="O283" s="13" t="s">
        <v>279</v>
      </c>
      <c r="P283" s="13" t="s">
        <v>279</v>
      </c>
      <c r="Q283" s="22">
        <v>0.9</v>
      </c>
      <c r="R283" s="23">
        <v>336134</v>
      </c>
      <c r="V283" s="85" t="s">
        <v>444</v>
      </c>
      <c r="X283" s="11" t="s">
        <v>467</v>
      </c>
      <c r="Y283" s="12"/>
      <c r="Z283" s="18">
        <f>ROUND(R283*'Data-CostAssumptions'!$C$4,-3)</f>
        <v>336000</v>
      </c>
      <c r="AA283" s="11">
        <f t="shared" si="14"/>
        <v>1</v>
      </c>
      <c r="AB283" s="11">
        <v>2041</v>
      </c>
      <c r="AC283" s="11">
        <v>2041</v>
      </c>
      <c r="AD283" s="11">
        <v>2041</v>
      </c>
      <c r="AE283" s="19">
        <f>ROUND((Z283*'Data-CostAssumptions'!$G$5)*(1+'Data-CostAssumptions'!$G$3)^(AB283-'Data-CostAssumptions'!$G$4),-3)</f>
        <v>190000</v>
      </c>
      <c r="AF283" s="19">
        <f>ROUND((Z283)*(1+'Data-CostAssumptions'!$G$3)^(AD283-'Data-CostAssumptions'!$G$4),-3)</f>
        <v>861000</v>
      </c>
      <c r="AG283" s="170" t="str">
        <f t="shared" si="15"/>
        <v>No</v>
      </c>
    </row>
    <row r="284" spans="1:33" ht="15" customHeight="1" x14ac:dyDescent="0.2">
      <c r="A284" s="12"/>
      <c r="B284" s="11" t="s">
        <v>1211</v>
      </c>
      <c r="C284" s="12"/>
      <c r="D284" s="84" t="s">
        <v>276</v>
      </c>
      <c r="E284" s="104">
        <v>43</v>
      </c>
      <c r="F284" s="104"/>
      <c r="G284" s="20">
        <v>1585</v>
      </c>
      <c r="H284" s="13" t="s">
        <v>1235</v>
      </c>
      <c r="I284" s="13" t="str">
        <f t="shared" si="16"/>
        <v>NW 4TH ST (NW 18TH Av to NW 7TH Av)</v>
      </c>
      <c r="J284" s="12" t="s">
        <v>27</v>
      </c>
      <c r="K284" s="13" t="str">
        <f>VLOOKUP(J284,'Data-ProjectTypes'!A$3:B$13,2,FALSE)</f>
        <v>Program</v>
      </c>
      <c r="L284" s="12" t="s">
        <v>1322</v>
      </c>
      <c r="M284" s="105" t="s">
        <v>2623</v>
      </c>
      <c r="N284" s="12" t="s">
        <v>2601</v>
      </c>
      <c r="O284" s="12"/>
      <c r="P284" s="12"/>
      <c r="Q284" s="72">
        <v>1</v>
      </c>
      <c r="R284" s="23">
        <v>243000</v>
      </c>
      <c r="Y284" s="12"/>
      <c r="Z284" s="18">
        <f>ROUND(R284*'Data-CostAssumptions'!$C$3,-3)</f>
        <v>336000</v>
      </c>
      <c r="AA284" s="11">
        <f t="shared" si="14"/>
        <v>0</v>
      </c>
      <c r="AB284" s="11">
        <v>2041</v>
      </c>
      <c r="AC284" s="11">
        <v>2041</v>
      </c>
      <c r="AD284" s="11">
        <v>2041</v>
      </c>
      <c r="AE284" s="19">
        <f>ROUND((Z284*'Data-CostAssumptions'!$G$5)*(1+'Data-CostAssumptions'!$G$3)^(AB284-'Data-CostAssumptions'!$G$4),-3)</f>
        <v>190000</v>
      </c>
      <c r="AF284" s="19">
        <f>ROUND((Z284)*(1+'Data-CostAssumptions'!$G$3)^(AD284-'Data-CostAssumptions'!$G$4),-3)</f>
        <v>861000</v>
      </c>
      <c r="AG284" s="170" t="str">
        <f t="shared" si="15"/>
        <v>No</v>
      </c>
    </row>
    <row r="285" spans="1:33" ht="15" customHeight="1" x14ac:dyDescent="0.2">
      <c r="B285" s="11" t="s">
        <v>1211</v>
      </c>
      <c r="C285" s="13">
        <v>200</v>
      </c>
      <c r="D285" s="13" t="s">
        <v>420</v>
      </c>
      <c r="E285" s="20">
        <v>111</v>
      </c>
      <c r="F285" s="20">
        <v>151</v>
      </c>
      <c r="G285" s="20">
        <v>415</v>
      </c>
      <c r="H285" s="13" t="s">
        <v>2755</v>
      </c>
      <c r="I285" s="13" t="str">
        <f t="shared" si="16"/>
        <v>SR 811/Dixie Hwy (Atlantic Bl to NE 10th St)</v>
      </c>
      <c r="J285" s="13" t="s">
        <v>27</v>
      </c>
      <c r="K285" s="13" t="str">
        <f>VLOOKUP(J285,'Data-ProjectTypes'!A$3:B$13,2,FALSE)</f>
        <v>Program</v>
      </c>
      <c r="L285" s="21" t="s">
        <v>348</v>
      </c>
      <c r="M285" s="13" t="s">
        <v>1809</v>
      </c>
      <c r="N285" s="13" t="s">
        <v>1882</v>
      </c>
      <c r="O285" s="13" t="s">
        <v>270</v>
      </c>
      <c r="P285" s="13" t="s">
        <v>270</v>
      </c>
      <c r="Q285" s="22">
        <v>0.7</v>
      </c>
      <c r="R285" s="23">
        <v>240296</v>
      </c>
      <c r="S285" s="21" t="s">
        <v>24</v>
      </c>
      <c r="T285" s="21" t="s">
        <v>25</v>
      </c>
      <c r="U285" s="21" t="s">
        <v>24</v>
      </c>
      <c r="V285" s="24"/>
      <c r="W285" s="24" t="s">
        <v>557</v>
      </c>
      <c r="X285" s="24"/>
      <c r="Y285" s="17" t="s">
        <v>556</v>
      </c>
      <c r="Z285" s="18">
        <f>ROUND(R285*'Data-CostAssumptions'!$C$3,-3)</f>
        <v>333000</v>
      </c>
      <c r="AA285" s="11">
        <f t="shared" si="14"/>
        <v>1</v>
      </c>
      <c r="AB285" s="11">
        <v>2041</v>
      </c>
      <c r="AC285" s="11">
        <v>2041</v>
      </c>
      <c r="AD285" s="11">
        <v>2041</v>
      </c>
      <c r="AE285" s="19">
        <f>ROUND((Z285*'Data-CostAssumptions'!$G$5)*(1+'Data-CostAssumptions'!$G$3)^(AB285-'Data-CostAssumptions'!$G$4),-3)</f>
        <v>188000</v>
      </c>
      <c r="AF285" s="19">
        <f>ROUND((Z285)*(1+'Data-CostAssumptions'!$G$3)^(AD285-'Data-CostAssumptions'!$G$4),-3)</f>
        <v>854000</v>
      </c>
      <c r="AG285" s="170" t="str">
        <f t="shared" si="15"/>
        <v>No</v>
      </c>
    </row>
    <row r="286" spans="1:33" ht="15" customHeight="1" x14ac:dyDescent="0.2">
      <c r="B286" s="11" t="s">
        <v>1211</v>
      </c>
      <c r="C286" s="13">
        <v>313</v>
      </c>
      <c r="D286" s="13" t="s">
        <v>420</v>
      </c>
      <c r="E286" s="20">
        <v>252</v>
      </c>
      <c r="F286" s="20">
        <v>158</v>
      </c>
      <c r="G286" s="20">
        <v>524</v>
      </c>
      <c r="H286" s="13" t="s">
        <v>1767</v>
      </c>
      <c r="I286" s="13" t="str">
        <f t="shared" si="16"/>
        <v>Riverland Rd (SW 27th Av to SW 38th Av)</v>
      </c>
      <c r="J286" s="13" t="s">
        <v>27</v>
      </c>
      <c r="K286" s="13" t="str">
        <f>VLOOKUP(J286,'Data-ProjectTypes'!A$3:B$13,2,FALSE)</f>
        <v>Program</v>
      </c>
      <c r="L286" s="21" t="s">
        <v>348</v>
      </c>
      <c r="M286" s="13" t="s">
        <v>2117</v>
      </c>
      <c r="N286" s="13" t="s">
        <v>2256</v>
      </c>
      <c r="O286" s="13" t="s">
        <v>276</v>
      </c>
      <c r="P286" s="13" t="s">
        <v>276</v>
      </c>
      <c r="Q286" s="22">
        <v>0.7</v>
      </c>
      <c r="R286" s="23">
        <v>239503</v>
      </c>
      <c r="S286" s="21"/>
      <c r="T286" s="21"/>
      <c r="U286" s="21"/>
      <c r="V286" s="24"/>
      <c r="W286" s="24"/>
      <c r="X286" s="24"/>
      <c r="Y286" s="17"/>
      <c r="Z286" s="18">
        <f>ROUND(R286*'Data-CostAssumptions'!$C$3,-3)</f>
        <v>331000</v>
      </c>
      <c r="AA286" s="11">
        <f t="shared" si="14"/>
        <v>0</v>
      </c>
      <c r="AB286" s="11">
        <v>2041</v>
      </c>
      <c r="AC286" s="11">
        <v>2041</v>
      </c>
      <c r="AD286" s="11">
        <v>2041</v>
      </c>
      <c r="AE286" s="19">
        <f>ROUND((Z286*'Data-CostAssumptions'!$G$5)*(1+'Data-CostAssumptions'!$G$3)^(AB286-'Data-CostAssumptions'!$G$4),-3)</f>
        <v>187000</v>
      </c>
      <c r="AF286" s="19">
        <f>ROUND((Z286)*(1+'Data-CostAssumptions'!$G$3)^(AD286-'Data-CostAssumptions'!$G$4),-3)</f>
        <v>849000</v>
      </c>
      <c r="AG286" s="170" t="str">
        <f t="shared" si="15"/>
        <v>No</v>
      </c>
    </row>
    <row r="287" spans="1:33" ht="15" customHeight="1" x14ac:dyDescent="0.2">
      <c r="B287" s="11" t="s">
        <v>1211</v>
      </c>
      <c r="C287" s="11">
        <v>12014</v>
      </c>
      <c r="D287" s="84" t="s">
        <v>292</v>
      </c>
      <c r="E287" s="14"/>
      <c r="F287" s="14"/>
      <c r="G287" s="20">
        <v>1097</v>
      </c>
      <c r="H287" s="13" t="s">
        <v>2049</v>
      </c>
      <c r="I287" s="13" t="str">
        <f t="shared" si="16"/>
        <v>NW 120 Av (Wiles Rd to Sample Rd )</v>
      </c>
      <c r="J287" s="11" t="s">
        <v>27</v>
      </c>
      <c r="K287" s="13" t="str">
        <f>VLOOKUP(J287,'Data-ProjectTypes'!A$3:B$13,2,FALSE)</f>
        <v>Program</v>
      </c>
      <c r="L287" s="11" t="s">
        <v>428</v>
      </c>
      <c r="M287" s="11" t="s">
        <v>1780</v>
      </c>
      <c r="N287" s="11" t="s">
        <v>2433</v>
      </c>
      <c r="Q287" s="15">
        <v>0.85</v>
      </c>
      <c r="R287" s="16">
        <v>330857.27060592186</v>
      </c>
      <c r="Y287" s="12"/>
      <c r="Z287" s="71">
        <f>ROUND(R287*'Data-CostAssumptions'!$C$8,-3)</f>
        <v>331000</v>
      </c>
      <c r="AA287" s="11">
        <f t="shared" si="14"/>
        <v>0</v>
      </c>
      <c r="AB287" s="11">
        <v>2041</v>
      </c>
      <c r="AC287" s="11">
        <v>2041</v>
      </c>
      <c r="AD287" s="11">
        <v>2041</v>
      </c>
      <c r="AE287" s="19">
        <f>ROUND((Z287*'Data-CostAssumptions'!$G$5)*(1+'Data-CostAssumptions'!$G$3)^(AB287-'Data-CostAssumptions'!$G$4),-3)</f>
        <v>187000</v>
      </c>
      <c r="AF287" s="19">
        <f>ROUND((Z287)*(1+'Data-CostAssumptions'!$G$3)^(AD287-'Data-CostAssumptions'!$G$4),-3)</f>
        <v>849000</v>
      </c>
      <c r="AG287" s="170" t="str">
        <f t="shared" si="15"/>
        <v>No</v>
      </c>
    </row>
    <row r="288" spans="1:33" ht="15" customHeight="1" x14ac:dyDescent="0.2">
      <c r="B288" s="11" t="s">
        <v>1211</v>
      </c>
      <c r="C288" s="13">
        <v>259</v>
      </c>
      <c r="D288" s="13" t="s">
        <v>420</v>
      </c>
      <c r="E288" s="20">
        <v>318</v>
      </c>
      <c r="F288" s="20">
        <v>154</v>
      </c>
      <c r="G288" s="20">
        <v>474</v>
      </c>
      <c r="H288" s="13" t="s">
        <v>1898</v>
      </c>
      <c r="I288" s="13" t="str">
        <f t="shared" si="16"/>
        <v>NE 56th St (Dixie Hwy to NE 3rd Av)</v>
      </c>
      <c r="J288" s="13" t="s">
        <v>27</v>
      </c>
      <c r="K288" s="13" t="str">
        <f>VLOOKUP(J288,'Data-ProjectTypes'!A$3:B$13,2,FALSE)</f>
        <v>Program</v>
      </c>
      <c r="L288" s="21" t="s">
        <v>348</v>
      </c>
      <c r="M288" s="13" t="s">
        <v>728</v>
      </c>
      <c r="N288" s="13" t="s">
        <v>2033</v>
      </c>
      <c r="O288" s="13" t="s">
        <v>273</v>
      </c>
      <c r="P288" s="13" t="s">
        <v>273</v>
      </c>
      <c r="Q288" s="22">
        <v>0.7</v>
      </c>
      <c r="R288" s="23">
        <v>234715</v>
      </c>
      <c r="S288" s="21"/>
      <c r="T288" s="21"/>
      <c r="U288" s="21"/>
      <c r="V288" s="24"/>
      <c r="W288" s="24"/>
      <c r="X288" s="24"/>
      <c r="Y288" s="17"/>
      <c r="Z288" s="18">
        <f>ROUND(R288*'Data-CostAssumptions'!$C$3,-3)</f>
        <v>325000</v>
      </c>
      <c r="AA288" s="11">
        <f t="shared" si="14"/>
        <v>0</v>
      </c>
      <c r="AB288" s="11">
        <v>2041</v>
      </c>
      <c r="AC288" s="11">
        <v>2041</v>
      </c>
      <c r="AD288" s="11">
        <v>2041</v>
      </c>
      <c r="AE288" s="19">
        <f>ROUND((Z288*'Data-CostAssumptions'!$G$5)*(1+'Data-CostAssumptions'!$G$3)^(AB288-'Data-CostAssumptions'!$G$4),-3)</f>
        <v>183000</v>
      </c>
      <c r="AF288" s="19">
        <f>ROUND((Z288)*(1+'Data-CostAssumptions'!$G$3)^(AD288-'Data-CostAssumptions'!$G$4),-3)</f>
        <v>833000</v>
      </c>
      <c r="AG288" s="170" t="str">
        <f t="shared" si="15"/>
        <v>No</v>
      </c>
    </row>
    <row r="289" spans="2:33" ht="15" customHeight="1" x14ac:dyDescent="0.2">
      <c r="B289" s="11" t="s">
        <v>1211</v>
      </c>
      <c r="C289" s="13">
        <v>342</v>
      </c>
      <c r="D289" s="13" t="s">
        <v>420</v>
      </c>
      <c r="E289" s="20">
        <v>429</v>
      </c>
      <c r="F289" s="20">
        <v>160</v>
      </c>
      <c r="G289" s="20">
        <v>553</v>
      </c>
      <c r="H289" s="13" t="s">
        <v>2709</v>
      </c>
      <c r="I289" s="13" t="str">
        <f t="shared" si="16"/>
        <v>SR 817/University Dr (Peters Rd to Federated Rd)</v>
      </c>
      <c r="J289" s="13" t="s">
        <v>27</v>
      </c>
      <c r="K289" s="13" t="str">
        <f>VLOOKUP(J289,'Data-ProjectTypes'!A$3:B$13,2,FALSE)</f>
        <v>Program</v>
      </c>
      <c r="L289" s="21" t="s">
        <v>348</v>
      </c>
      <c r="M289" s="13" t="s">
        <v>1763</v>
      </c>
      <c r="N289" s="13" t="s">
        <v>2463</v>
      </c>
      <c r="O289" s="13" t="s">
        <v>270</v>
      </c>
      <c r="P289" s="13" t="s">
        <v>270</v>
      </c>
      <c r="Q289" s="22">
        <v>0.7</v>
      </c>
      <c r="R289" s="23">
        <v>234693</v>
      </c>
      <c r="S289" s="21"/>
      <c r="T289" s="21"/>
      <c r="U289" s="21"/>
      <c r="V289" s="24"/>
      <c r="W289" s="24" t="s">
        <v>714</v>
      </c>
      <c r="X289" s="29" t="s">
        <v>304</v>
      </c>
      <c r="Y289" s="17" t="s">
        <v>538</v>
      </c>
      <c r="Z289" s="18">
        <f>ROUND(R289*'Data-CostAssumptions'!$C$3,-3)</f>
        <v>325000</v>
      </c>
      <c r="AA289" s="11">
        <f t="shared" si="14"/>
        <v>1</v>
      </c>
      <c r="AB289" s="11">
        <v>2041</v>
      </c>
      <c r="AC289" s="11">
        <v>2041</v>
      </c>
      <c r="AD289" s="11">
        <v>2041</v>
      </c>
      <c r="AE289" s="19">
        <f>ROUND((Z289*'Data-CostAssumptions'!$G$5)*(1+'Data-CostAssumptions'!$G$3)^(AB289-'Data-CostAssumptions'!$G$4),-3)</f>
        <v>183000</v>
      </c>
      <c r="AF289" s="19">
        <f>ROUND((Z289)*(1+'Data-CostAssumptions'!$G$3)^(AD289-'Data-CostAssumptions'!$G$4),-3)</f>
        <v>833000</v>
      </c>
      <c r="AG289" s="170" t="str">
        <f t="shared" si="15"/>
        <v>No</v>
      </c>
    </row>
    <row r="290" spans="2:33" ht="15" customHeight="1" x14ac:dyDescent="0.2">
      <c r="B290" s="11" t="s">
        <v>1211</v>
      </c>
      <c r="C290" s="13">
        <v>270</v>
      </c>
      <c r="D290" s="13" t="s">
        <v>420</v>
      </c>
      <c r="E290" s="20">
        <v>412</v>
      </c>
      <c r="F290" s="20">
        <v>155</v>
      </c>
      <c r="G290" s="20">
        <v>484</v>
      </c>
      <c r="H290" s="13" t="s">
        <v>2070</v>
      </c>
      <c r="I290" s="13" t="str">
        <f t="shared" si="16"/>
        <v>NW 47th Av (Sunrise Bl to NW 16th St)</v>
      </c>
      <c r="J290" s="13" t="s">
        <v>27</v>
      </c>
      <c r="K290" s="13" t="str">
        <f>VLOOKUP(J290,'Data-ProjectTypes'!A$3:B$13,2,FALSE)</f>
        <v>Program</v>
      </c>
      <c r="L290" s="21" t="s">
        <v>348</v>
      </c>
      <c r="M290" s="13" t="s">
        <v>1830</v>
      </c>
      <c r="N290" s="13" t="s">
        <v>1910</v>
      </c>
      <c r="O290" s="13" t="s">
        <v>272</v>
      </c>
      <c r="P290" s="13" t="s">
        <v>272</v>
      </c>
      <c r="Q290" s="22">
        <v>0.7</v>
      </c>
      <c r="R290" s="23">
        <v>233254</v>
      </c>
      <c r="S290" s="21" t="s">
        <v>24</v>
      </c>
      <c r="T290" s="21" t="s">
        <v>25</v>
      </c>
      <c r="U290" s="21"/>
      <c r="V290" s="24"/>
      <c r="W290" s="24"/>
      <c r="X290" s="24"/>
      <c r="Y290" s="17" t="s">
        <v>469</v>
      </c>
      <c r="Z290" s="18">
        <f>ROUND(R290*'Data-CostAssumptions'!$C$3,-3)</f>
        <v>323000</v>
      </c>
      <c r="AA290" s="11">
        <f t="shared" si="14"/>
        <v>0</v>
      </c>
      <c r="AB290" s="11">
        <v>2041</v>
      </c>
      <c r="AC290" s="11">
        <v>2041</v>
      </c>
      <c r="AD290" s="11">
        <v>2041</v>
      </c>
      <c r="AE290" s="19">
        <f>ROUND((Z290*'Data-CostAssumptions'!$G$5)*(1+'Data-CostAssumptions'!$G$3)^(AB290-'Data-CostAssumptions'!$G$4),-3)</f>
        <v>182000</v>
      </c>
      <c r="AF290" s="19">
        <f>ROUND((Z290)*(1+'Data-CostAssumptions'!$G$3)^(AD290-'Data-CostAssumptions'!$G$4),-3)</f>
        <v>828000</v>
      </c>
      <c r="AG290" s="170" t="str">
        <f t="shared" si="15"/>
        <v>No</v>
      </c>
    </row>
    <row r="291" spans="2:33" ht="15" customHeight="1" x14ac:dyDescent="0.2">
      <c r="B291" s="11" t="s">
        <v>1211</v>
      </c>
      <c r="C291" s="13">
        <v>518</v>
      </c>
      <c r="D291" s="13" t="s">
        <v>420</v>
      </c>
      <c r="E291" s="20">
        <v>206</v>
      </c>
      <c r="F291" s="20">
        <v>170</v>
      </c>
      <c r="G291" s="20">
        <v>723</v>
      </c>
      <c r="H291" s="13" t="s">
        <v>1968</v>
      </c>
      <c r="I291" s="13" t="str">
        <f t="shared" si="16"/>
        <v>Taft St (University Dr to NW 88th Terrace)</v>
      </c>
      <c r="J291" s="13" t="s">
        <v>27</v>
      </c>
      <c r="K291" s="13" t="str">
        <f>VLOOKUP(J291,'Data-ProjectTypes'!A$3:B$13,2,FALSE)</f>
        <v>Program</v>
      </c>
      <c r="L291" s="21" t="s">
        <v>348</v>
      </c>
      <c r="M291" s="13" t="s">
        <v>1804</v>
      </c>
      <c r="N291" s="13" t="s">
        <v>132</v>
      </c>
      <c r="O291" s="13" t="s">
        <v>271</v>
      </c>
      <c r="P291" s="13" t="s">
        <v>271</v>
      </c>
      <c r="Q291" s="22">
        <v>0.9</v>
      </c>
      <c r="R291" s="23">
        <v>322635</v>
      </c>
      <c r="S291" s="21" t="s">
        <v>24</v>
      </c>
      <c r="T291" s="21"/>
      <c r="U291" s="21"/>
      <c r="V291" s="24"/>
      <c r="W291" s="24"/>
      <c r="X291" s="24"/>
      <c r="Y291" s="17" t="s">
        <v>469</v>
      </c>
      <c r="Z291" s="18">
        <f>ROUND(R291*'Data-CostAssumptions'!$C$8,-3)</f>
        <v>323000</v>
      </c>
      <c r="AA291" s="11">
        <f t="shared" si="14"/>
        <v>0</v>
      </c>
      <c r="AB291" s="11">
        <v>2041</v>
      </c>
      <c r="AC291" s="11">
        <v>2041</v>
      </c>
      <c r="AD291" s="11">
        <v>2041</v>
      </c>
      <c r="AE291" s="19">
        <f>ROUND((Z291*'Data-CostAssumptions'!$G$5)*(1+'Data-CostAssumptions'!$G$3)^(AB291-'Data-CostAssumptions'!$G$4),-3)</f>
        <v>182000</v>
      </c>
      <c r="AF291" s="19">
        <f>ROUND((Z291)*(1+'Data-CostAssumptions'!$G$3)^(AD291-'Data-CostAssumptions'!$G$4),-3)</f>
        <v>828000</v>
      </c>
      <c r="AG291" s="170" t="str">
        <f t="shared" si="15"/>
        <v>No</v>
      </c>
    </row>
    <row r="292" spans="2:33" ht="15" customHeight="1" x14ac:dyDescent="0.2">
      <c r="B292" s="11" t="s">
        <v>1211</v>
      </c>
      <c r="C292" s="13">
        <v>523</v>
      </c>
      <c r="D292" s="13" t="s">
        <v>420</v>
      </c>
      <c r="E292" s="20">
        <v>222</v>
      </c>
      <c r="F292" s="20">
        <v>170</v>
      </c>
      <c r="G292" s="20">
        <v>727</v>
      </c>
      <c r="H292" s="13" t="s">
        <v>1189</v>
      </c>
      <c r="I292" s="13" t="str">
        <f t="shared" si="16"/>
        <v>NW 44th St (Access Rd to Pine Island Rd)</v>
      </c>
      <c r="J292" s="13" t="s">
        <v>27</v>
      </c>
      <c r="K292" s="13" t="str">
        <f>VLOOKUP(J292,'Data-ProjectTypes'!A$3:B$13,2,FALSE)</f>
        <v>Program</v>
      </c>
      <c r="L292" s="21" t="s">
        <v>809</v>
      </c>
      <c r="M292" s="13" t="s">
        <v>1743</v>
      </c>
      <c r="N292" s="13" t="s">
        <v>266</v>
      </c>
      <c r="O292" s="13" t="s">
        <v>278</v>
      </c>
      <c r="P292" s="13" t="s">
        <v>278</v>
      </c>
      <c r="Q292" s="22">
        <v>0.9</v>
      </c>
      <c r="R292" s="23">
        <v>322041</v>
      </c>
      <c r="S292" s="21" t="s">
        <v>350</v>
      </c>
      <c r="T292" s="21"/>
      <c r="U292" s="21"/>
      <c r="V292" s="24"/>
      <c r="W292" s="24"/>
      <c r="X292" s="24" t="s">
        <v>476</v>
      </c>
      <c r="Y292" s="17" t="s">
        <v>469</v>
      </c>
      <c r="Z292" s="18">
        <f>ROUND(R292*'Data-CostAssumptions'!$C$8,-3)</f>
        <v>322000</v>
      </c>
      <c r="AA292" s="11">
        <f t="shared" si="14"/>
        <v>0</v>
      </c>
      <c r="AB292" s="11">
        <v>2041</v>
      </c>
      <c r="AC292" s="11">
        <v>2041</v>
      </c>
      <c r="AD292" s="11">
        <v>2041</v>
      </c>
      <c r="AE292" s="19">
        <f>ROUND((Z292*'Data-CostAssumptions'!$G$5)*(1+'Data-CostAssumptions'!$G$3)^(AB292-'Data-CostAssumptions'!$G$4),-3)</f>
        <v>182000</v>
      </c>
      <c r="AF292" s="19">
        <f>ROUND((Z292)*(1+'Data-CostAssumptions'!$G$3)^(AD292-'Data-CostAssumptions'!$G$4),-3)</f>
        <v>826000</v>
      </c>
      <c r="AG292" s="170" t="str">
        <f t="shared" si="15"/>
        <v>No</v>
      </c>
    </row>
    <row r="293" spans="2:33" ht="15" customHeight="1" x14ac:dyDescent="0.2">
      <c r="B293" s="11" t="s">
        <v>1211</v>
      </c>
      <c r="C293" s="13">
        <v>201</v>
      </c>
      <c r="D293" s="13" t="s">
        <v>420</v>
      </c>
      <c r="E293" s="20">
        <v>114</v>
      </c>
      <c r="F293" s="20">
        <v>151</v>
      </c>
      <c r="G293" s="20">
        <v>416</v>
      </c>
      <c r="H293" s="13" t="s">
        <v>2734</v>
      </c>
      <c r="I293" s="13" t="str">
        <f t="shared" si="16"/>
        <v>SR 814/Atlantic Bl (Dixie Hwy to I-95)</v>
      </c>
      <c r="J293" s="13" t="s">
        <v>27</v>
      </c>
      <c r="K293" s="13" t="str">
        <f>VLOOKUP(J293,'Data-ProjectTypes'!A$3:B$13,2,FALSE)</f>
        <v>Program</v>
      </c>
      <c r="L293" s="21" t="s">
        <v>348</v>
      </c>
      <c r="M293" s="13" t="s">
        <v>728</v>
      </c>
      <c r="N293" s="13" t="s">
        <v>41</v>
      </c>
      <c r="O293" s="13" t="s">
        <v>270</v>
      </c>
      <c r="P293" s="13" t="s">
        <v>270</v>
      </c>
      <c r="Q293" s="22">
        <v>0.6</v>
      </c>
      <c r="R293" s="23">
        <v>229830</v>
      </c>
      <c r="S293" s="21"/>
      <c r="T293" s="21"/>
      <c r="U293" s="21"/>
      <c r="V293" s="24"/>
      <c r="W293" s="24"/>
      <c r="X293" s="34" t="s">
        <v>1174</v>
      </c>
      <c r="Y293" s="17" t="s">
        <v>1171</v>
      </c>
      <c r="Z293" s="18">
        <f>ROUND(R293*'Data-CostAssumptions'!$C$3,-3)</f>
        <v>318000</v>
      </c>
      <c r="AA293" s="11">
        <f t="shared" si="14"/>
        <v>0</v>
      </c>
      <c r="AB293" s="11">
        <v>2041</v>
      </c>
      <c r="AC293" s="11">
        <v>2041</v>
      </c>
      <c r="AD293" s="11">
        <v>2041</v>
      </c>
      <c r="AE293" s="19">
        <f>ROUND((Z293*'Data-CostAssumptions'!$G$5)*(1+'Data-CostAssumptions'!$G$3)^(AB293-'Data-CostAssumptions'!$G$4),-3)</f>
        <v>179000</v>
      </c>
      <c r="AF293" s="19">
        <f>ROUND((Z293)*(1+'Data-CostAssumptions'!$G$3)^(AD293-'Data-CostAssumptions'!$G$4),-3)</f>
        <v>815000</v>
      </c>
      <c r="AG293" s="170" t="str">
        <f t="shared" si="15"/>
        <v>No</v>
      </c>
    </row>
    <row r="294" spans="2:33" ht="15" customHeight="1" x14ac:dyDescent="0.2">
      <c r="B294" s="11" t="s">
        <v>1211</v>
      </c>
      <c r="C294" s="13">
        <v>206</v>
      </c>
      <c r="D294" s="13" t="s">
        <v>420</v>
      </c>
      <c r="E294" s="20">
        <v>255</v>
      </c>
      <c r="F294" s="20">
        <v>151</v>
      </c>
      <c r="G294" s="20">
        <v>421</v>
      </c>
      <c r="H294" s="13" t="s">
        <v>1897</v>
      </c>
      <c r="I294" s="13" t="str">
        <f t="shared" si="16"/>
        <v>NE 4th St (NE 12th Av to NW 1st Av)</v>
      </c>
      <c r="J294" s="13" t="s">
        <v>27</v>
      </c>
      <c r="K294" s="13" t="str">
        <f>VLOOKUP(J294,'Data-ProjectTypes'!A$3:B$13,2,FALSE)</f>
        <v>Program</v>
      </c>
      <c r="L294" s="21" t="s">
        <v>348</v>
      </c>
      <c r="M294" s="13" t="s">
        <v>2363</v>
      </c>
      <c r="N294" s="13" t="s">
        <v>2056</v>
      </c>
      <c r="O294" s="13" t="s">
        <v>276</v>
      </c>
      <c r="P294" s="13" t="s">
        <v>276</v>
      </c>
      <c r="Q294" s="22">
        <v>0.6</v>
      </c>
      <c r="R294" s="23">
        <v>229093</v>
      </c>
      <c r="S294" s="21"/>
      <c r="T294" s="21"/>
      <c r="U294" s="21"/>
      <c r="V294" s="24"/>
      <c r="W294" s="24"/>
      <c r="X294" s="24"/>
      <c r="Y294" s="17"/>
      <c r="Z294" s="18">
        <f>ROUND(R294*'Data-CostAssumptions'!$C$3,-3)</f>
        <v>317000</v>
      </c>
      <c r="AA294" s="11">
        <f t="shared" si="14"/>
        <v>0</v>
      </c>
      <c r="AB294" s="11">
        <v>2041</v>
      </c>
      <c r="AC294" s="11">
        <v>2041</v>
      </c>
      <c r="AD294" s="11">
        <v>2041</v>
      </c>
      <c r="AE294" s="19">
        <f>ROUND((Z294*'Data-CostAssumptions'!$G$5)*(1+'Data-CostAssumptions'!$G$3)^(AB294-'Data-CostAssumptions'!$G$4),-3)</f>
        <v>179000</v>
      </c>
      <c r="AF294" s="19">
        <f>ROUND((Z294)*(1+'Data-CostAssumptions'!$G$3)^(AD294-'Data-CostAssumptions'!$G$4),-3)</f>
        <v>813000</v>
      </c>
      <c r="AG294" s="170" t="str">
        <f t="shared" si="15"/>
        <v>No</v>
      </c>
    </row>
    <row r="295" spans="2:33" ht="15" customHeight="1" x14ac:dyDescent="0.2">
      <c r="B295" s="11" t="s">
        <v>1211</v>
      </c>
      <c r="C295" s="13">
        <v>285</v>
      </c>
      <c r="D295" s="13" t="s">
        <v>420</v>
      </c>
      <c r="E295" s="20">
        <v>25</v>
      </c>
      <c r="F295" s="20">
        <v>156</v>
      </c>
      <c r="G295" s="20">
        <v>498</v>
      </c>
      <c r="H295" s="13" t="s">
        <v>2099</v>
      </c>
      <c r="I295" s="13" t="str">
        <f t="shared" si="16"/>
        <v>SW 101st Av/Palm Av (Homestead Turnpike to Miramar Parkway)</v>
      </c>
      <c r="J295" s="13" t="s">
        <v>27</v>
      </c>
      <c r="K295" s="13" t="str">
        <f>VLOOKUP(J295,'Data-ProjectTypes'!A$3:B$13,2,FALSE)</f>
        <v>Program</v>
      </c>
      <c r="L295" s="21" t="s">
        <v>348</v>
      </c>
      <c r="M295" s="13" t="s">
        <v>163</v>
      </c>
      <c r="N295" s="13" t="s">
        <v>39</v>
      </c>
      <c r="O295" s="13" t="s">
        <v>273</v>
      </c>
      <c r="P295" s="13" t="s">
        <v>273</v>
      </c>
      <c r="Q295" s="22">
        <v>0.6</v>
      </c>
      <c r="R295" s="23">
        <v>221748</v>
      </c>
      <c r="S295" s="21" t="s">
        <v>24</v>
      </c>
      <c r="T295" s="21" t="s">
        <v>24</v>
      </c>
      <c r="U295" s="21"/>
      <c r="V295" s="24"/>
      <c r="W295" s="24"/>
      <c r="X295" s="24"/>
      <c r="Y295" s="17" t="s">
        <v>469</v>
      </c>
      <c r="Z295" s="18">
        <f>ROUND(R295*'Data-CostAssumptions'!$C$3,-3)</f>
        <v>307000</v>
      </c>
      <c r="AA295" s="11">
        <f t="shared" si="14"/>
        <v>0</v>
      </c>
      <c r="AB295" s="11">
        <v>2041</v>
      </c>
      <c r="AC295" s="11">
        <v>2041</v>
      </c>
      <c r="AD295" s="11">
        <v>2041</v>
      </c>
      <c r="AE295" s="19">
        <f>ROUND((Z295*'Data-CostAssumptions'!$G$5)*(1+'Data-CostAssumptions'!$G$3)^(AB295-'Data-CostAssumptions'!$G$4),-3)</f>
        <v>173000</v>
      </c>
      <c r="AF295" s="19">
        <f>ROUND((Z295)*(1+'Data-CostAssumptions'!$G$3)^(AD295-'Data-CostAssumptions'!$G$4),-3)</f>
        <v>787000</v>
      </c>
      <c r="AG295" s="170" t="str">
        <f t="shared" si="15"/>
        <v>No</v>
      </c>
    </row>
    <row r="296" spans="2:33" ht="15" customHeight="1" x14ac:dyDescent="0.2">
      <c r="B296" s="11" t="s">
        <v>1211</v>
      </c>
      <c r="C296" s="13">
        <v>438</v>
      </c>
      <c r="D296" s="13" t="s">
        <v>420</v>
      </c>
      <c r="E296" s="20">
        <v>180</v>
      </c>
      <c r="F296" s="20">
        <v>165</v>
      </c>
      <c r="G296" s="20">
        <v>647</v>
      </c>
      <c r="H296" s="13" t="s">
        <v>2738</v>
      </c>
      <c r="I296" s="13" t="str">
        <f t="shared" si="16"/>
        <v>SR 834/West Sample Rd (Powerline Rd to Sample Rd Ramp)</v>
      </c>
      <c r="J296" s="13" t="s">
        <v>27</v>
      </c>
      <c r="K296" s="13" t="str">
        <f>VLOOKUP(J296,'Data-ProjectTypes'!A$3:B$13,2,FALSE)</f>
        <v>Program</v>
      </c>
      <c r="L296" s="21" t="s">
        <v>348</v>
      </c>
      <c r="M296" s="13" t="s">
        <v>1858</v>
      </c>
      <c r="N296" s="13" t="s">
        <v>2407</v>
      </c>
      <c r="O296" s="13" t="s">
        <v>270</v>
      </c>
      <c r="P296" s="13" t="s">
        <v>270</v>
      </c>
      <c r="Q296" s="22">
        <v>0.9</v>
      </c>
      <c r="R296" s="23">
        <v>307242</v>
      </c>
      <c r="Y296" s="17"/>
      <c r="Z296" s="18">
        <f>ROUND(R296*'Data-CostAssumptions'!$C$8,-3)</f>
        <v>307000</v>
      </c>
      <c r="AA296" s="11">
        <f t="shared" si="14"/>
        <v>0</v>
      </c>
      <c r="AB296" s="11">
        <v>2041</v>
      </c>
      <c r="AC296" s="11">
        <v>2041</v>
      </c>
      <c r="AD296" s="11">
        <v>2041</v>
      </c>
      <c r="AE296" s="19">
        <f>ROUND((Z296*'Data-CostAssumptions'!$G$5)*(1+'Data-CostAssumptions'!$G$3)^(AB296-'Data-CostAssumptions'!$G$4),-3)</f>
        <v>173000</v>
      </c>
      <c r="AF296" s="19">
        <f>ROUND((Z296)*(1+'Data-CostAssumptions'!$G$3)^(AD296-'Data-CostAssumptions'!$G$4),-3)</f>
        <v>787000</v>
      </c>
      <c r="AG296" s="170" t="str">
        <f t="shared" si="15"/>
        <v>No</v>
      </c>
    </row>
    <row r="297" spans="2:33" ht="15" customHeight="1" x14ac:dyDescent="0.2">
      <c r="B297" s="11" t="s">
        <v>1211</v>
      </c>
      <c r="C297" s="13">
        <v>204</v>
      </c>
      <c r="D297" s="13" t="s">
        <v>420</v>
      </c>
      <c r="E297" s="20">
        <v>230</v>
      </c>
      <c r="F297" s="20">
        <v>151</v>
      </c>
      <c r="G297" s="20">
        <v>419</v>
      </c>
      <c r="H297" s="13" t="s">
        <v>2739</v>
      </c>
      <c r="I297" s="13" t="str">
        <f t="shared" si="16"/>
        <v>SR 838/West Sunrise Bl (NW 34th Av to SR 7/US 441)</v>
      </c>
      <c r="J297" s="13" t="s">
        <v>27</v>
      </c>
      <c r="K297" s="13" t="str">
        <f>VLOOKUP(J297,'Data-ProjectTypes'!A$3:B$13,2,FALSE)</f>
        <v>Program</v>
      </c>
      <c r="L297" s="21" t="s">
        <v>348</v>
      </c>
      <c r="M297" s="13" t="s">
        <v>2065</v>
      </c>
      <c r="N297" s="13" t="s">
        <v>57</v>
      </c>
      <c r="O297" s="13" t="s">
        <v>270</v>
      </c>
      <c r="P297" s="13" t="s">
        <v>270</v>
      </c>
      <c r="Q297" s="22">
        <v>0.6</v>
      </c>
      <c r="R297" s="23">
        <v>221410</v>
      </c>
      <c r="S297" s="21"/>
      <c r="T297" s="21"/>
      <c r="U297" s="21"/>
      <c r="V297" s="24"/>
      <c r="W297" s="24"/>
      <c r="X297" s="24" t="s">
        <v>764</v>
      </c>
      <c r="Y297" s="17" t="s">
        <v>765</v>
      </c>
      <c r="Z297" s="18">
        <f>ROUND(R297*'Data-CostAssumptions'!$C$3,-3)</f>
        <v>306000</v>
      </c>
      <c r="AA297" s="11">
        <f t="shared" si="14"/>
        <v>0</v>
      </c>
      <c r="AB297" s="11">
        <v>2041</v>
      </c>
      <c r="AC297" s="11">
        <v>2041</v>
      </c>
      <c r="AD297" s="11">
        <v>2041</v>
      </c>
      <c r="AE297" s="19">
        <f>ROUND((Z297*'Data-CostAssumptions'!$G$5)*(1+'Data-CostAssumptions'!$G$3)^(AB297-'Data-CostAssumptions'!$G$4),-3)</f>
        <v>173000</v>
      </c>
      <c r="AF297" s="19">
        <f>ROUND((Z297)*(1+'Data-CostAssumptions'!$G$3)^(AD297-'Data-CostAssumptions'!$G$4),-3)</f>
        <v>785000</v>
      </c>
      <c r="AG297" s="170" t="str">
        <f t="shared" si="15"/>
        <v>No</v>
      </c>
    </row>
    <row r="298" spans="2:33" ht="15" customHeight="1" x14ac:dyDescent="0.2">
      <c r="B298" s="11" t="s">
        <v>1211</v>
      </c>
      <c r="C298" s="13">
        <v>494</v>
      </c>
      <c r="D298" s="13" t="s">
        <v>420</v>
      </c>
      <c r="E298" s="20">
        <v>58</v>
      </c>
      <c r="F298" s="20">
        <v>169</v>
      </c>
      <c r="G298" s="20">
        <v>698</v>
      </c>
      <c r="H298" s="13" t="s">
        <v>2736</v>
      </c>
      <c r="I298" s="13" t="str">
        <f t="shared" si="16"/>
        <v>SR 858/West Hallandale Beach Bl (SW 38th Av to SW 56th Av)</v>
      </c>
      <c r="J298" s="13" t="s">
        <v>27</v>
      </c>
      <c r="K298" s="13" t="str">
        <f>VLOOKUP(J298,'Data-ProjectTypes'!A$3:B$13,2,FALSE)</f>
        <v>Program</v>
      </c>
      <c r="L298" s="21" t="s">
        <v>348</v>
      </c>
      <c r="M298" s="13" t="s">
        <v>2256</v>
      </c>
      <c r="N298" s="13" t="s">
        <v>2128</v>
      </c>
      <c r="O298" s="13" t="s">
        <v>270</v>
      </c>
      <c r="P298" s="13" t="s">
        <v>270</v>
      </c>
      <c r="Q298" s="22">
        <v>0.9</v>
      </c>
      <c r="R298" s="23">
        <v>306236</v>
      </c>
      <c r="S298" s="21"/>
      <c r="T298" s="21"/>
      <c r="U298" s="21"/>
      <c r="V298" s="24"/>
      <c r="W298" s="24"/>
      <c r="X298" s="24"/>
      <c r="Y298" s="17"/>
      <c r="Z298" s="18">
        <f>ROUND(R298*'Data-CostAssumptions'!$C$8,-3)</f>
        <v>306000</v>
      </c>
      <c r="AA298" s="11">
        <f t="shared" si="14"/>
        <v>0</v>
      </c>
      <c r="AB298" s="11">
        <v>2041</v>
      </c>
      <c r="AC298" s="11">
        <v>2041</v>
      </c>
      <c r="AD298" s="11">
        <v>2041</v>
      </c>
      <c r="AE298" s="19">
        <f>ROUND((Z298*'Data-CostAssumptions'!$G$5)*(1+'Data-CostAssumptions'!$G$3)^(AB298-'Data-CostAssumptions'!$G$4),-3)</f>
        <v>173000</v>
      </c>
      <c r="AF298" s="19">
        <f>ROUND((Z298)*(1+'Data-CostAssumptions'!$G$3)^(AD298-'Data-CostAssumptions'!$G$4),-3)</f>
        <v>785000</v>
      </c>
      <c r="AG298" s="170" t="str">
        <f t="shared" si="15"/>
        <v>No</v>
      </c>
    </row>
    <row r="299" spans="2:33" ht="15" customHeight="1" x14ac:dyDescent="0.2">
      <c r="B299" s="11" t="s">
        <v>1211</v>
      </c>
      <c r="C299" s="13">
        <v>543</v>
      </c>
      <c r="D299" s="13" t="s">
        <v>420</v>
      </c>
      <c r="E299" s="20">
        <v>32</v>
      </c>
      <c r="F299" s="20">
        <v>171</v>
      </c>
      <c r="G299" s="20">
        <v>747</v>
      </c>
      <c r="H299" s="13" t="s">
        <v>177</v>
      </c>
      <c r="I299" s="13" t="str">
        <f t="shared" si="16"/>
        <v>Stirling Rd (SW 106th Av to Hiatus Rd)</v>
      </c>
      <c r="J299" s="13" t="s">
        <v>27</v>
      </c>
      <c r="K299" s="13" t="str">
        <f>VLOOKUP(J299,'Data-ProjectTypes'!A$3:B$13,2,FALSE)</f>
        <v>Program</v>
      </c>
      <c r="L299" s="21" t="s">
        <v>348</v>
      </c>
      <c r="M299" s="13" t="s">
        <v>2387</v>
      </c>
      <c r="N299" s="13" t="s">
        <v>1752</v>
      </c>
      <c r="O299" s="13" t="s">
        <v>290</v>
      </c>
      <c r="P299" s="13" t="s">
        <v>290</v>
      </c>
      <c r="Q299" s="22">
        <v>0.6</v>
      </c>
      <c r="R299" s="23">
        <v>214135</v>
      </c>
      <c r="Y299" s="17" t="s">
        <v>2970</v>
      </c>
      <c r="Z299" s="18">
        <f>ROUND(R299*'Data-CostAssumptions'!$C$3,-3)</f>
        <v>296000</v>
      </c>
      <c r="AA299" s="11">
        <f t="shared" si="14"/>
        <v>0</v>
      </c>
      <c r="AB299" s="11">
        <v>2041</v>
      </c>
      <c r="AC299" s="11">
        <v>2041</v>
      </c>
      <c r="AD299" s="11">
        <v>2041</v>
      </c>
      <c r="AE299" s="19">
        <f>ROUND((Z299*'Data-CostAssumptions'!$G$5)*(1+'Data-CostAssumptions'!$G$3)^(AB299-'Data-CostAssumptions'!$G$4),-3)</f>
        <v>167000</v>
      </c>
      <c r="AF299" s="19">
        <f>ROUND((Z299)*(1+'Data-CostAssumptions'!$G$3)^(AD299-'Data-CostAssumptions'!$G$4),-3)</f>
        <v>759000</v>
      </c>
      <c r="AG299" s="170" t="str">
        <f t="shared" si="15"/>
        <v>No</v>
      </c>
    </row>
    <row r="300" spans="2:33" ht="15" customHeight="1" x14ac:dyDescent="0.2">
      <c r="B300" s="11" t="s">
        <v>1211</v>
      </c>
      <c r="C300" s="13">
        <v>556</v>
      </c>
      <c r="D300" s="13" t="s">
        <v>420</v>
      </c>
      <c r="E300" s="20">
        <v>148</v>
      </c>
      <c r="F300" s="20">
        <v>172</v>
      </c>
      <c r="G300" s="20">
        <v>760</v>
      </c>
      <c r="H300" s="13" t="s">
        <v>1925</v>
      </c>
      <c r="I300" s="13" t="str">
        <f t="shared" si="16"/>
        <v>NW 57th St (NW 64th Av to Just west of NW 73rd Av)</v>
      </c>
      <c r="J300" s="13" t="s">
        <v>27</v>
      </c>
      <c r="K300" s="13" t="str">
        <f>VLOOKUP(J300,'Data-ProjectTypes'!A$3:B$13,2,FALSE)</f>
        <v>Program</v>
      </c>
      <c r="L300" s="21" t="s">
        <v>348</v>
      </c>
      <c r="M300" s="13" t="s">
        <v>2225</v>
      </c>
      <c r="N300" s="13" t="s">
        <v>2247</v>
      </c>
      <c r="O300" s="13" t="s">
        <v>280</v>
      </c>
      <c r="P300" s="13" t="s">
        <v>280</v>
      </c>
      <c r="Q300" s="22">
        <v>0.8</v>
      </c>
      <c r="R300" s="23">
        <v>295534</v>
      </c>
      <c r="V300" s="85" t="s">
        <v>437</v>
      </c>
      <c r="X300" s="11" t="s">
        <v>464</v>
      </c>
      <c r="Y300" s="12"/>
      <c r="Z300" s="18">
        <f>ROUND(R300*'Data-CostAssumptions'!$C$4,-3)</f>
        <v>296000</v>
      </c>
      <c r="AA300" s="11">
        <f t="shared" si="14"/>
        <v>1</v>
      </c>
      <c r="AB300" s="11">
        <v>2041</v>
      </c>
      <c r="AC300" s="11">
        <v>2041</v>
      </c>
      <c r="AD300" s="11">
        <v>2041</v>
      </c>
      <c r="AE300" s="19">
        <f>ROUND((Z300*'Data-CostAssumptions'!$G$5)*(1+'Data-CostAssumptions'!$G$3)^(AB300-'Data-CostAssumptions'!$G$4),-3)</f>
        <v>167000</v>
      </c>
      <c r="AF300" s="19">
        <f>ROUND((Z300)*(1+'Data-CostAssumptions'!$G$3)^(AD300-'Data-CostAssumptions'!$G$4),-3)</f>
        <v>759000</v>
      </c>
      <c r="AG300" s="170" t="str">
        <f t="shared" si="15"/>
        <v>No</v>
      </c>
    </row>
    <row r="301" spans="2:33" ht="15" customHeight="1" x14ac:dyDescent="0.2">
      <c r="B301" s="11" t="s">
        <v>1211</v>
      </c>
      <c r="C301" s="13">
        <v>599</v>
      </c>
      <c r="D301" s="13" t="s">
        <v>420</v>
      </c>
      <c r="E301" s="20">
        <v>198</v>
      </c>
      <c r="F301" s="20">
        <v>175</v>
      </c>
      <c r="G301" s="20">
        <v>801</v>
      </c>
      <c r="H301" s="13" t="s">
        <v>159</v>
      </c>
      <c r="I301" s="13" t="str">
        <f t="shared" si="16"/>
        <v>Flamingo Rd (Panther Parkway to Oakland Park Bl)</v>
      </c>
      <c r="J301" s="13" t="s">
        <v>27</v>
      </c>
      <c r="K301" s="13" t="str">
        <f>VLOOKUP(J301,'Data-ProjectTypes'!A$3:B$13,2,FALSE)</f>
        <v>Program</v>
      </c>
      <c r="L301" s="21" t="s">
        <v>809</v>
      </c>
      <c r="M301" s="13" t="s">
        <v>86</v>
      </c>
      <c r="N301" s="13" t="s">
        <v>1825</v>
      </c>
      <c r="O301" s="13" t="s">
        <v>278</v>
      </c>
      <c r="P301" s="13" t="s">
        <v>278</v>
      </c>
      <c r="Q301" s="22">
        <v>0.6</v>
      </c>
      <c r="R301" s="23">
        <v>213451</v>
      </c>
      <c r="V301" s="85" t="s">
        <v>1164</v>
      </c>
      <c r="Y301" s="12"/>
      <c r="Z301" s="18">
        <f>ROUND(R301*'Data-CostAssumptions'!$C$3,-3)</f>
        <v>295000</v>
      </c>
      <c r="AA301" s="11">
        <f t="shared" si="14"/>
        <v>1</v>
      </c>
      <c r="AB301" s="11">
        <v>2041</v>
      </c>
      <c r="AC301" s="11">
        <v>2041</v>
      </c>
      <c r="AD301" s="11">
        <v>2041</v>
      </c>
      <c r="AE301" s="19">
        <f>ROUND((Z301*'Data-CostAssumptions'!$G$5)*(1+'Data-CostAssumptions'!$G$3)^(AB301-'Data-CostAssumptions'!$G$4),-3)</f>
        <v>166000</v>
      </c>
      <c r="AF301" s="19">
        <f>ROUND((Z301)*(1+'Data-CostAssumptions'!$G$3)^(AD301-'Data-CostAssumptions'!$G$4),-3)</f>
        <v>756000</v>
      </c>
      <c r="AG301" s="170" t="str">
        <f t="shared" si="15"/>
        <v>No</v>
      </c>
    </row>
    <row r="302" spans="2:33" ht="15" customHeight="1" x14ac:dyDescent="0.2">
      <c r="B302" s="11" t="s">
        <v>1211</v>
      </c>
      <c r="C302" s="13">
        <v>312</v>
      </c>
      <c r="D302" s="13" t="s">
        <v>420</v>
      </c>
      <c r="E302" s="20">
        <v>248</v>
      </c>
      <c r="F302" s="20">
        <v>158</v>
      </c>
      <c r="G302" s="20">
        <v>523</v>
      </c>
      <c r="H302" s="13" t="s">
        <v>63</v>
      </c>
      <c r="I302" s="13" t="str">
        <f t="shared" si="16"/>
        <v>SW 44th Terrace (SW 21st St to Davie Bl)</v>
      </c>
      <c r="J302" s="13" t="s">
        <v>27</v>
      </c>
      <c r="K302" s="13" t="str">
        <f>VLOOKUP(J302,'Data-ProjectTypes'!A$3:B$13,2,FALSE)</f>
        <v>Program</v>
      </c>
      <c r="L302" s="21" t="s">
        <v>348</v>
      </c>
      <c r="M302" s="13" t="s">
        <v>2578</v>
      </c>
      <c r="N302" s="13" t="s">
        <v>1816</v>
      </c>
      <c r="O302" s="13" t="s">
        <v>273</v>
      </c>
      <c r="P302" s="13" t="s">
        <v>273</v>
      </c>
      <c r="Q302" s="22">
        <v>0.6</v>
      </c>
      <c r="R302" s="23">
        <v>211809</v>
      </c>
      <c r="S302" s="21"/>
      <c r="T302" s="21"/>
      <c r="U302" s="21"/>
      <c r="V302" s="24"/>
      <c r="W302" s="24"/>
      <c r="X302" s="24" t="s">
        <v>764</v>
      </c>
      <c r="Y302" s="17" t="s">
        <v>765</v>
      </c>
      <c r="Z302" s="18">
        <f>ROUND(R302*'Data-CostAssumptions'!$C$3,-3)</f>
        <v>293000</v>
      </c>
      <c r="AA302" s="11">
        <f t="shared" si="14"/>
        <v>0</v>
      </c>
      <c r="AB302" s="11">
        <v>2041</v>
      </c>
      <c r="AC302" s="11">
        <v>2041</v>
      </c>
      <c r="AD302" s="11">
        <v>2041</v>
      </c>
      <c r="AE302" s="19">
        <f>ROUND((Z302*'Data-CostAssumptions'!$G$5)*(1+'Data-CostAssumptions'!$G$3)^(AB302-'Data-CostAssumptions'!$G$4),-3)</f>
        <v>165000</v>
      </c>
      <c r="AF302" s="19">
        <f>ROUND((Z302)*(1+'Data-CostAssumptions'!$G$3)^(AD302-'Data-CostAssumptions'!$G$4),-3)</f>
        <v>751000</v>
      </c>
      <c r="AG302" s="170" t="str">
        <f t="shared" si="15"/>
        <v>No</v>
      </c>
    </row>
    <row r="303" spans="2:33" ht="15" customHeight="1" x14ac:dyDescent="0.2">
      <c r="B303" s="11" t="s">
        <v>1211</v>
      </c>
      <c r="C303" s="13">
        <v>558</v>
      </c>
      <c r="D303" s="13" t="s">
        <v>420</v>
      </c>
      <c r="E303" s="20">
        <v>166</v>
      </c>
      <c r="F303" s="20">
        <v>172</v>
      </c>
      <c r="G303" s="20">
        <v>762</v>
      </c>
      <c r="H303" s="13" t="s">
        <v>1780</v>
      </c>
      <c r="I303" s="13" t="str">
        <f t="shared" si="16"/>
        <v>Wiles Rd (Coral Ridge Dr to West of NW 126th Av)</v>
      </c>
      <c r="J303" s="13" t="s">
        <v>27</v>
      </c>
      <c r="K303" s="13" t="str">
        <f>VLOOKUP(J303,'Data-ProjectTypes'!A$3:B$13,2,FALSE)</f>
        <v>Program</v>
      </c>
      <c r="L303" s="21" t="s">
        <v>348</v>
      </c>
      <c r="M303" s="13" t="s">
        <v>1786</v>
      </c>
      <c r="N303" s="13" t="s">
        <v>2243</v>
      </c>
      <c r="O303" s="13" t="s">
        <v>273</v>
      </c>
      <c r="P303" s="13" t="s">
        <v>273</v>
      </c>
      <c r="Q303" s="22">
        <v>0.8</v>
      </c>
      <c r="R303" s="23">
        <v>291546</v>
      </c>
      <c r="V303" s="85" t="s">
        <v>439</v>
      </c>
      <c r="X303" s="11" t="s">
        <v>465</v>
      </c>
      <c r="Y303" s="12"/>
      <c r="Z303" s="18">
        <f>ROUND(R303*'Data-CostAssumptions'!$C$4,-3)</f>
        <v>292000</v>
      </c>
      <c r="AA303" s="11">
        <f t="shared" si="14"/>
        <v>1</v>
      </c>
      <c r="AB303" s="11">
        <v>2041</v>
      </c>
      <c r="AC303" s="11">
        <v>2041</v>
      </c>
      <c r="AD303" s="11">
        <v>2041</v>
      </c>
      <c r="AE303" s="19">
        <f>ROUND((Z303*'Data-CostAssumptions'!$G$5)*(1+'Data-CostAssumptions'!$G$3)^(AB303-'Data-CostAssumptions'!$G$4),-3)</f>
        <v>165000</v>
      </c>
      <c r="AF303" s="19">
        <f>ROUND((Z303)*(1+'Data-CostAssumptions'!$G$3)^(AD303-'Data-CostAssumptions'!$G$4),-3)</f>
        <v>749000</v>
      </c>
      <c r="AG303" s="170" t="str">
        <f t="shared" si="15"/>
        <v>No</v>
      </c>
    </row>
    <row r="304" spans="2:33" ht="15" customHeight="1" x14ac:dyDescent="0.2">
      <c r="B304" s="11" t="s">
        <v>1211</v>
      </c>
      <c r="C304" s="13">
        <v>505</v>
      </c>
      <c r="D304" s="13" t="s">
        <v>420</v>
      </c>
      <c r="E304" s="20">
        <v>142</v>
      </c>
      <c r="F304" s="20">
        <v>169</v>
      </c>
      <c r="G304" s="20">
        <v>709</v>
      </c>
      <c r="H304" s="13" t="s">
        <v>1187</v>
      </c>
      <c r="I304" s="13" t="str">
        <f t="shared" si="16"/>
        <v>Inverrary Dr (Inverrary Bl to NW 44th St)</v>
      </c>
      <c r="J304" s="13" t="s">
        <v>27</v>
      </c>
      <c r="K304" s="13" t="str">
        <f>VLOOKUP(J304,'Data-ProjectTypes'!A$3:B$13,2,FALSE)</f>
        <v>Program</v>
      </c>
      <c r="L304" s="21" t="s">
        <v>348</v>
      </c>
      <c r="M304" s="13" t="s">
        <v>1821</v>
      </c>
      <c r="N304" s="13" t="s">
        <v>1189</v>
      </c>
      <c r="O304" s="13" t="s">
        <v>281</v>
      </c>
      <c r="P304" s="13" t="s">
        <v>281</v>
      </c>
      <c r="Q304" s="22">
        <v>0.8</v>
      </c>
      <c r="R304" s="23">
        <v>289505</v>
      </c>
      <c r="S304" s="21"/>
      <c r="T304" s="21"/>
      <c r="U304" s="21"/>
      <c r="V304" s="24"/>
      <c r="W304" s="24"/>
      <c r="X304" s="24"/>
      <c r="Y304" s="17"/>
      <c r="Z304" s="18">
        <f>ROUND(R304*'Data-CostAssumptions'!$C$8,-3)</f>
        <v>290000</v>
      </c>
      <c r="AA304" s="11">
        <f t="shared" si="14"/>
        <v>0</v>
      </c>
      <c r="AB304" s="11">
        <v>2041</v>
      </c>
      <c r="AC304" s="11">
        <v>2041</v>
      </c>
      <c r="AD304" s="11">
        <v>2041</v>
      </c>
      <c r="AE304" s="19">
        <f>ROUND((Z304*'Data-CostAssumptions'!$G$5)*(1+'Data-CostAssumptions'!$G$3)^(AB304-'Data-CostAssumptions'!$G$4),-3)</f>
        <v>164000</v>
      </c>
      <c r="AF304" s="19">
        <f>ROUND((Z304)*(1+'Data-CostAssumptions'!$G$3)^(AD304-'Data-CostAssumptions'!$G$4),-3)</f>
        <v>744000</v>
      </c>
      <c r="AG304" s="170" t="str">
        <f t="shared" si="15"/>
        <v>No</v>
      </c>
    </row>
    <row r="305" spans="1:33" ht="15" customHeight="1" x14ac:dyDescent="0.2">
      <c r="A305" s="12"/>
      <c r="B305" s="11" t="s">
        <v>1211</v>
      </c>
      <c r="C305" s="12"/>
      <c r="D305" s="84" t="s">
        <v>276</v>
      </c>
      <c r="E305" s="104">
        <v>41</v>
      </c>
      <c r="F305" s="104"/>
      <c r="G305" s="20">
        <v>1560</v>
      </c>
      <c r="H305" s="13" t="s">
        <v>1231</v>
      </c>
      <c r="I305" s="13" t="str">
        <f t="shared" si="16"/>
        <v>NE 26TH ST (US 1/SR 5/FEDERAL HWY to BAYVIEW DR)</v>
      </c>
      <c r="J305" s="12" t="s">
        <v>27</v>
      </c>
      <c r="K305" s="13" t="str">
        <f>VLOOKUP(J305,'Data-ProjectTypes'!A$3:B$13,2,FALSE)</f>
        <v>Program</v>
      </c>
      <c r="L305" s="12" t="s">
        <v>1316</v>
      </c>
      <c r="M305" s="105" t="s">
        <v>1425</v>
      </c>
      <c r="N305" s="12" t="s">
        <v>1224</v>
      </c>
      <c r="O305" s="12"/>
      <c r="P305" s="12"/>
      <c r="Q305" s="72">
        <v>0.5</v>
      </c>
      <c r="R305" s="23">
        <v>290000</v>
      </c>
      <c r="Y305" s="12"/>
      <c r="Z305" s="18">
        <f>ROUND(R305*'Data-CostAssumptions'!$C$8,-3)</f>
        <v>290000</v>
      </c>
      <c r="AA305" s="11">
        <f t="shared" si="14"/>
        <v>0</v>
      </c>
      <c r="AB305" s="11">
        <v>2041</v>
      </c>
      <c r="AC305" s="11">
        <v>2041</v>
      </c>
      <c r="AD305" s="11">
        <v>2041</v>
      </c>
      <c r="AE305" s="19">
        <f>ROUND((Z305*'Data-CostAssumptions'!$G$5)*(1+'Data-CostAssumptions'!$G$3)^(AB305-'Data-CostAssumptions'!$G$4),-3)</f>
        <v>164000</v>
      </c>
      <c r="AF305" s="19">
        <f>ROUND((Z305)*(1+'Data-CostAssumptions'!$G$3)^(AD305-'Data-CostAssumptions'!$G$4),-3)</f>
        <v>744000</v>
      </c>
      <c r="AG305" s="170" t="str">
        <f t="shared" si="15"/>
        <v>No</v>
      </c>
    </row>
    <row r="306" spans="1:33" ht="15" customHeight="1" x14ac:dyDescent="0.2">
      <c r="B306" s="11" t="s">
        <v>1211</v>
      </c>
      <c r="C306" s="13">
        <v>512</v>
      </c>
      <c r="D306" s="13" t="s">
        <v>420</v>
      </c>
      <c r="E306" s="20">
        <v>165</v>
      </c>
      <c r="F306" s="20">
        <v>170</v>
      </c>
      <c r="G306" s="20">
        <v>717</v>
      </c>
      <c r="H306" s="13" t="s">
        <v>1919</v>
      </c>
      <c r="I306" s="13" t="str">
        <f t="shared" si="16"/>
        <v>NW 39th St (Coral Ridge Dr to West of NW 126th Av)</v>
      </c>
      <c r="J306" s="13" t="s">
        <v>27</v>
      </c>
      <c r="K306" s="13" t="str">
        <f>VLOOKUP(J306,'Data-ProjectTypes'!A$3:B$13,2,FALSE)</f>
        <v>Program</v>
      </c>
      <c r="L306" s="21" t="s">
        <v>348</v>
      </c>
      <c r="M306" s="13" t="s">
        <v>1786</v>
      </c>
      <c r="N306" s="13" t="s">
        <v>2243</v>
      </c>
      <c r="O306" s="13" t="s">
        <v>292</v>
      </c>
      <c r="P306" s="13" t="s">
        <v>292</v>
      </c>
      <c r="Q306" s="22">
        <v>0.8</v>
      </c>
      <c r="R306" s="23">
        <v>286893</v>
      </c>
      <c r="S306" s="21" t="s">
        <v>24</v>
      </c>
      <c r="T306" s="21" t="s">
        <v>25</v>
      </c>
      <c r="U306" s="21"/>
      <c r="V306" s="24"/>
      <c r="W306" s="24" t="s">
        <v>518</v>
      </c>
      <c r="X306" s="24"/>
      <c r="Y306" s="17" t="s">
        <v>297</v>
      </c>
      <c r="Z306" s="18">
        <f>ROUND(R306*'Data-CostAssumptions'!$C$8,-3)</f>
        <v>287000</v>
      </c>
      <c r="AA306" s="11">
        <f t="shared" si="14"/>
        <v>1</v>
      </c>
      <c r="AB306" s="11">
        <v>2041</v>
      </c>
      <c r="AC306" s="11">
        <v>2041</v>
      </c>
      <c r="AD306" s="11">
        <v>2041</v>
      </c>
      <c r="AE306" s="19">
        <f>ROUND((Z306*'Data-CostAssumptions'!$G$5)*(1+'Data-CostAssumptions'!$G$3)^(AB306-'Data-CostAssumptions'!$G$4),-3)</f>
        <v>162000</v>
      </c>
      <c r="AF306" s="19">
        <f>ROUND((Z306)*(1+'Data-CostAssumptions'!$G$3)^(AD306-'Data-CostAssumptions'!$G$4),-3)</f>
        <v>736000</v>
      </c>
      <c r="AG306" s="170" t="str">
        <f t="shared" si="15"/>
        <v>No</v>
      </c>
    </row>
    <row r="307" spans="1:33" ht="15" customHeight="1" x14ac:dyDescent="0.2">
      <c r="B307" s="11" t="s">
        <v>1211</v>
      </c>
      <c r="C307" s="13">
        <v>570</v>
      </c>
      <c r="D307" s="13" t="s">
        <v>420</v>
      </c>
      <c r="E307" s="20">
        <v>281</v>
      </c>
      <c r="F307" s="20">
        <v>173</v>
      </c>
      <c r="G307" s="20">
        <v>773</v>
      </c>
      <c r="H307" s="13" t="s">
        <v>1880</v>
      </c>
      <c r="I307" s="13" t="str">
        <f t="shared" si="16"/>
        <v>Johnson St (Pines Bl to NW 208th Av)</v>
      </c>
      <c r="J307" s="13" t="s">
        <v>27</v>
      </c>
      <c r="K307" s="13" t="str">
        <f>VLOOKUP(J307,'Data-ProjectTypes'!A$3:B$13,2,FALSE)</f>
        <v>Program</v>
      </c>
      <c r="L307" s="21" t="s">
        <v>348</v>
      </c>
      <c r="M307" s="13" t="s">
        <v>1826</v>
      </c>
      <c r="N307" s="13" t="s">
        <v>2224</v>
      </c>
      <c r="O307" s="13" t="s">
        <v>271</v>
      </c>
      <c r="P307" s="13" t="s">
        <v>271</v>
      </c>
      <c r="Q307" s="22">
        <v>0.8</v>
      </c>
      <c r="R307" s="23">
        <v>286631</v>
      </c>
      <c r="V307" s="85" t="s">
        <v>447</v>
      </c>
      <c r="X307" s="11" t="s">
        <v>464</v>
      </c>
      <c r="Y307" s="12"/>
      <c r="Z307" s="18">
        <f>ROUND(R307*'Data-CostAssumptions'!$C$4,-3)</f>
        <v>287000</v>
      </c>
      <c r="AA307" s="11">
        <f t="shared" si="14"/>
        <v>1</v>
      </c>
      <c r="AB307" s="11">
        <v>2041</v>
      </c>
      <c r="AC307" s="11">
        <v>2041</v>
      </c>
      <c r="AD307" s="11">
        <v>2041</v>
      </c>
      <c r="AE307" s="19">
        <f>ROUND((Z307*'Data-CostAssumptions'!$G$5)*(1+'Data-CostAssumptions'!$G$3)^(AB307-'Data-CostAssumptions'!$G$4),-3)</f>
        <v>162000</v>
      </c>
      <c r="AF307" s="19">
        <f>ROUND((Z307)*(1+'Data-CostAssumptions'!$G$3)^(AD307-'Data-CostAssumptions'!$G$4),-3)</f>
        <v>736000</v>
      </c>
      <c r="AG307" s="170" t="str">
        <f t="shared" si="15"/>
        <v>No</v>
      </c>
    </row>
    <row r="308" spans="1:33" ht="15" customHeight="1" x14ac:dyDescent="0.2">
      <c r="B308" s="11" t="s">
        <v>1211</v>
      </c>
      <c r="C308" s="13">
        <v>227</v>
      </c>
      <c r="D308" s="13" t="s">
        <v>420</v>
      </c>
      <c r="E308" s="20">
        <v>53</v>
      </c>
      <c r="F308" s="20">
        <v>152</v>
      </c>
      <c r="G308" s="20">
        <v>441</v>
      </c>
      <c r="H308" s="13" t="s">
        <v>57</v>
      </c>
      <c r="I308" s="13" t="str">
        <f t="shared" si="16"/>
        <v>SR 7/US 441 (Dewey St to Hollywood Bl)</v>
      </c>
      <c r="J308" s="13" t="s">
        <v>27</v>
      </c>
      <c r="K308" s="13" t="str">
        <f>VLOOKUP(J308,'Data-ProjectTypes'!A$3:B$13,2,FALSE)</f>
        <v>Program</v>
      </c>
      <c r="L308" s="21" t="s">
        <v>348</v>
      </c>
      <c r="M308" s="13" t="s">
        <v>2566</v>
      </c>
      <c r="N308" s="13" t="s">
        <v>1820</v>
      </c>
      <c r="O308" s="13" t="s">
        <v>270</v>
      </c>
      <c r="P308" s="13" t="s">
        <v>270</v>
      </c>
      <c r="Q308" s="22">
        <v>0.6</v>
      </c>
      <c r="R308" s="23">
        <v>206855</v>
      </c>
      <c r="S308" s="21" t="s">
        <v>24</v>
      </c>
      <c r="T308" s="21" t="s">
        <v>25</v>
      </c>
      <c r="U308" s="21" t="s">
        <v>24</v>
      </c>
      <c r="V308" s="24" t="s">
        <v>808</v>
      </c>
      <c r="W308" s="24"/>
      <c r="X308" s="24" t="s">
        <v>807</v>
      </c>
      <c r="Y308" s="17" t="s">
        <v>806</v>
      </c>
      <c r="Z308" s="18">
        <f>ROUND(R308*'Data-CostAssumptions'!$C$3,-3)</f>
        <v>286000</v>
      </c>
      <c r="AA308" s="11">
        <f t="shared" si="14"/>
        <v>1</v>
      </c>
      <c r="AB308" s="11">
        <v>2041</v>
      </c>
      <c r="AC308" s="11">
        <v>2041</v>
      </c>
      <c r="AD308" s="11">
        <v>2041</v>
      </c>
      <c r="AE308" s="19">
        <f>ROUND((Z308*'Data-CostAssumptions'!$G$5)*(1+'Data-CostAssumptions'!$G$3)^(AB308-'Data-CostAssumptions'!$G$4),-3)</f>
        <v>161000</v>
      </c>
      <c r="AF308" s="19">
        <f>ROUND((Z308)*(1+'Data-CostAssumptions'!$G$3)^(AD308-'Data-CostAssumptions'!$G$4),-3)</f>
        <v>733000</v>
      </c>
      <c r="AG308" s="170" t="str">
        <f t="shared" si="15"/>
        <v>No</v>
      </c>
    </row>
    <row r="309" spans="1:33" ht="15" customHeight="1" x14ac:dyDescent="0.2">
      <c r="B309" s="11" t="s">
        <v>1211</v>
      </c>
      <c r="C309" s="13">
        <v>243</v>
      </c>
      <c r="D309" s="13" t="s">
        <v>420</v>
      </c>
      <c r="E309" s="20">
        <v>227</v>
      </c>
      <c r="F309" s="20">
        <v>153</v>
      </c>
      <c r="G309" s="20">
        <v>456</v>
      </c>
      <c r="H309" s="13" t="s">
        <v>57</v>
      </c>
      <c r="I309" s="13" t="str">
        <f t="shared" si="16"/>
        <v>SR 7/US 441 (Just north of State Rd 7 ramp to NW 16th St)</v>
      </c>
      <c r="J309" s="13" t="s">
        <v>27</v>
      </c>
      <c r="K309" s="13" t="str">
        <f>VLOOKUP(J309,'Data-ProjectTypes'!A$3:B$13,2,FALSE)</f>
        <v>Program</v>
      </c>
      <c r="L309" s="21" t="s">
        <v>348</v>
      </c>
      <c r="M309" s="13" t="s">
        <v>2454</v>
      </c>
      <c r="N309" s="13" t="s">
        <v>1910</v>
      </c>
      <c r="O309" s="13" t="s">
        <v>270</v>
      </c>
      <c r="P309" s="13" t="s">
        <v>270</v>
      </c>
      <c r="Q309" s="22">
        <v>0.6</v>
      </c>
      <c r="R309" s="23">
        <v>206707</v>
      </c>
      <c r="S309" s="21"/>
      <c r="T309" s="21"/>
      <c r="U309" s="21"/>
      <c r="V309" s="24"/>
      <c r="W309" s="24"/>
      <c r="X309" s="28"/>
      <c r="Y309" s="17"/>
      <c r="Z309" s="18">
        <f>ROUND(R309*'Data-CostAssumptions'!$C$3,-3)</f>
        <v>286000</v>
      </c>
      <c r="AA309" s="11">
        <f t="shared" si="14"/>
        <v>0</v>
      </c>
      <c r="AB309" s="11">
        <v>2041</v>
      </c>
      <c r="AC309" s="11">
        <v>2041</v>
      </c>
      <c r="AD309" s="11">
        <v>2041</v>
      </c>
      <c r="AE309" s="19">
        <f>ROUND((Z309*'Data-CostAssumptions'!$G$5)*(1+'Data-CostAssumptions'!$G$3)^(AB309-'Data-CostAssumptions'!$G$4),-3)</f>
        <v>161000</v>
      </c>
      <c r="AF309" s="19">
        <f>ROUND((Z309)*(1+'Data-CostAssumptions'!$G$3)^(AD309-'Data-CostAssumptions'!$G$4),-3)</f>
        <v>733000</v>
      </c>
      <c r="AG309" s="170" t="str">
        <f t="shared" si="15"/>
        <v>No</v>
      </c>
    </row>
    <row r="310" spans="1:33" ht="15" customHeight="1" x14ac:dyDescent="0.2">
      <c r="B310" s="11" t="s">
        <v>1211</v>
      </c>
      <c r="C310" s="13">
        <v>516</v>
      </c>
      <c r="D310" s="13" t="s">
        <v>420</v>
      </c>
      <c r="E310" s="20">
        <v>181</v>
      </c>
      <c r="F310" s="20">
        <v>170</v>
      </c>
      <c r="G310" s="20">
        <v>721</v>
      </c>
      <c r="H310" s="13" t="s">
        <v>2708</v>
      </c>
      <c r="I310" s="13" t="str">
        <f t="shared" si="16"/>
        <v>SR 845/North Powerline Rd (Copans Rd to NW 33rd Court)</v>
      </c>
      <c r="J310" s="13" t="s">
        <v>27</v>
      </c>
      <c r="K310" s="13" t="str">
        <f>VLOOKUP(J310,'Data-ProjectTypes'!A$3:B$13,2,FALSE)</f>
        <v>Program</v>
      </c>
      <c r="L310" s="21" t="s">
        <v>348</v>
      </c>
      <c r="M310" s="13" t="s">
        <v>1836</v>
      </c>
      <c r="N310" s="13" t="s">
        <v>109</v>
      </c>
      <c r="O310" s="13" t="s">
        <v>270</v>
      </c>
      <c r="P310" s="13" t="s">
        <v>270</v>
      </c>
      <c r="Q310" s="22">
        <v>0.8</v>
      </c>
      <c r="R310" s="23">
        <v>285187</v>
      </c>
      <c r="Y310" s="17"/>
      <c r="Z310" s="18">
        <f>ROUND(R310*'Data-CostAssumptions'!$C$8,-3)</f>
        <v>285000</v>
      </c>
      <c r="AA310" s="11">
        <f t="shared" si="14"/>
        <v>0</v>
      </c>
      <c r="AB310" s="11">
        <v>2041</v>
      </c>
      <c r="AC310" s="11">
        <v>2041</v>
      </c>
      <c r="AD310" s="11">
        <v>2041</v>
      </c>
      <c r="AE310" s="19">
        <f>ROUND((Z310*'Data-CostAssumptions'!$G$5)*(1+'Data-CostAssumptions'!$G$3)^(AB310-'Data-CostAssumptions'!$G$4),-3)</f>
        <v>161000</v>
      </c>
      <c r="AF310" s="19">
        <f>ROUND((Z310)*(1+'Data-CostAssumptions'!$G$3)^(AD310-'Data-CostAssumptions'!$G$4),-3)</f>
        <v>731000</v>
      </c>
      <c r="AG310" s="170" t="str">
        <f t="shared" si="15"/>
        <v>No</v>
      </c>
    </row>
    <row r="311" spans="1:33" ht="15" customHeight="1" x14ac:dyDescent="0.2">
      <c r="A311" s="12"/>
      <c r="B311" s="11" t="s">
        <v>1211</v>
      </c>
      <c r="C311" s="12"/>
      <c r="D311" s="84" t="s">
        <v>276</v>
      </c>
      <c r="E311" s="104">
        <v>56</v>
      </c>
      <c r="F311" s="104"/>
      <c r="G311" s="20">
        <v>1576</v>
      </c>
      <c r="H311" s="13" t="s">
        <v>2164</v>
      </c>
      <c r="I311" s="13" t="str">
        <f t="shared" si="16"/>
        <v>NW 21ST Av (PROSPECT RD to COMMERCIAL Bl)</v>
      </c>
      <c r="J311" s="12" t="s">
        <v>27</v>
      </c>
      <c r="K311" s="13" t="str">
        <f>VLOOKUP(J311,'Data-ProjectTypes'!A$3:B$13,2,FALSE)</f>
        <v>Program</v>
      </c>
      <c r="L311" s="12" t="s">
        <v>1305</v>
      </c>
      <c r="M311" s="105" t="s">
        <v>1242</v>
      </c>
      <c r="N311" s="12" t="s">
        <v>1990</v>
      </c>
      <c r="O311" s="12"/>
      <c r="P311" s="12"/>
      <c r="Q311" s="72">
        <v>0.3</v>
      </c>
      <c r="R311" s="23">
        <v>205700</v>
      </c>
      <c r="Y311" s="12"/>
      <c r="Z311" s="18">
        <f>ROUND(R311*'Data-CostAssumptions'!$C$3,-3)</f>
        <v>285000</v>
      </c>
      <c r="AA311" s="11">
        <f t="shared" si="14"/>
        <v>0</v>
      </c>
      <c r="AB311" s="11">
        <v>2041</v>
      </c>
      <c r="AC311" s="11">
        <v>2041</v>
      </c>
      <c r="AD311" s="11">
        <v>2041</v>
      </c>
      <c r="AE311" s="19">
        <f>ROUND((Z311*'Data-CostAssumptions'!$G$5)*(1+'Data-CostAssumptions'!$G$3)^(AB311-'Data-CostAssumptions'!$G$4),-3)</f>
        <v>161000</v>
      </c>
      <c r="AF311" s="19">
        <f>ROUND((Z311)*(1+'Data-CostAssumptions'!$G$3)^(AD311-'Data-CostAssumptions'!$G$4),-3)</f>
        <v>731000</v>
      </c>
      <c r="AG311" s="170" t="str">
        <f t="shared" si="15"/>
        <v>No</v>
      </c>
    </row>
    <row r="312" spans="1:33" ht="15" customHeight="1" x14ac:dyDescent="0.2">
      <c r="B312" s="11" t="s">
        <v>1211</v>
      </c>
      <c r="C312" s="13">
        <v>386</v>
      </c>
      <c r="D312" s="13" t="s">
        <v>420</v>
      </c>
      <c r="E312" s="20">
        <v>299</v>
      </c>
      <c r="F312" s="20">
        <v>162</v>
      </c>
      <c r="G312" s="20">
        <v>597</v>
      </c>
      <c r="H312" s="13" t="s">
        <v>1747</v>
      </c>
      <c r="I312" s="13" t="str">
        <f t="shared" si="16"/>
        <v>Cordova Rd (SE 15th St to SE 9th St)</v>
      </c>
      <c r="J312" s="13" t="s">
        <v>27</v>
      </c>
      <c r="K312" s="13" t="str">
        <f>VLOOKUP(J312,'Data-ProjectTypes'!A$3:B$13,2,FALSE)</f>
        <v>Program</v>
      </c>
      <c r="L312" s="21" t="s">
        <v>348</v>
      </c>
      <c r="M312" s="13" t="s">
        <v>1939</v>
      </c>
      <c r="N312" s="13" t="s">
        <v>2479</v>
      </c>
      <c r="O312" s="13" t="s">
        <v>276</v>
      </c>
      <c r="P312" s="13" t="s">
        <v>276</v>
      </c>
      <c r="Q312" s="22">
        <v>0.6</v>
      </c>
      <c r="R312" s="23">
        <v>205231</v>
      </c>
      <c r="S312" s="21"/>
      <c r="T312" s="21"/>
      <c r="U312" s="21"/>
      <c r="V312" s="24"/>
      <c r="W312" s="24"/>
      <c r="X312" s="24"/>
      <c r="Y312" s="17"/>
      <c r="Z312" s="71">
        <f>ROUND(R312*'Data-CostAssumptions'!$C$3,-3)</f>
        <v>284000</v>
      </c>
      <c r="AA312" s="11">
        <f t="shared" si="14"/>
        <v>0</v>
      </c>
      <c r="AB312" s="11">
        <v>2041</v>
      </c>
      <c r="AC312" s="11">
        <v>2041</v>
      </c>
      <c r="AD312" s="11">
        <v>2041</v>
      </c>
      <c r="AE312" s="19">
        <f>ROUND((Z312*'Data-CostAssumptions'!$G$5)*(1+'Data-CostAssumptions'!$G$3)^(AB312-'Data-CostAssumptions'!$G$4),-3)</f>
        <v>160000</v>
      </c>
      <c r="AF312" s="19">
        <f>ROUND((Z312)*(1+'Data-CostAssumptions'!$G$3)^(AD312-'Data-CostAssumptions'!$G$4),-3)</f>
        <v>728000</v>
      </c>
      <c r="AG312" s="170" t="str">
        <f t="shared" si="15"/>
        <v>No</v>
      </c>
    </row>
    <row r="313" spans="1:33" ht="15" customHeight="1" x14ac:dyDescent="0.2">
      <c r="A313" s="76"/>
      <c r="B313" s="76" t="s">
        <v>1211</v>
      </c>
      <c r="C313" s="76">
        <v>12282</v>
      </c>
      <c r="D313" s="144" t="s">
        <v>282</v>
      </c>
      <c r="E313" s="77"/>
      <c r="F313" s="77"/>
      <c r="G313" s="20">
        <v>1780</v>
      </c>
      <c r="H313" s="47" t="s">
        <v>1880</v>
      </c>
      <c r="I313" s="47" t="str">
        <f t="shared" si="16"/>
        <v>Johnson St (Federal Hwy to N 8th Av)</v>
      </c>
      <c r="J313" s="76" t="s">
        <v>27</v>
      </c>
      <c r="K313" s="47" t="str">
        <f>VLOOKUP(J313,'Data-ProjectTypes'!A$3:B$13,2,FALSE)</f>
        <v>Program</v>
      </c>
      <c r="L313" s="142" t="s">
        <v>621</v>
      </c>
      <c r="M313" s="76" t="s">
        <v>2595</v>
      </c>
      <c r="N313" s="76" t="s">
        <v>2228</v>
      </c>
      <c r="O313" s="76"/>
      <c r="P313" s="76"/>
      <c r="Q313" s="79">
        <v>1.4</v>
      </c>
      <c r="R313" s="143">
        <f>ROUND('Data-CostAssumptions'!$C$23*Q313,-1)</f>
        <v>204400</v>
      </c>
      <c r="S313" s="12"/>
      <c r="T313" s="12"/>
      <c r="U313" s="12"/>
      <c r="V313" s="12"/>
      <c r="W313" s="12"/>
      <c r="X313" s="12"/>
      <c r="Y313" s="12"/>
      <c r="Z313" s="18">
        <f>ROUND(R313*'Data-CostAssumptions'!$C$3,-3)</f>
        <v>283000</v>
      </c>
      <c r="AA313" s="11">
        <f t="shared" si="14"/>
        <v>0</v>
      </c>
      <c r="AB313" s="11">
        <v>2041</v>
      </c>
      <c r="AC313" s="11">
        <v>2041</v>
      </c>
      <c r="AD313" s="11">
        <v>2041</v>
      </c>
      <c r="AE313" s="19">
        <f>ROUND((Z313*'Data-CostAssumptions'!$G$5)*(1+'Data-CostAssumptions'!$G$3)^(AB313-'Data-CostAssumptions'!$G$4),-3)</f>
        <v>160000</v>
      </c>
      <c r="AF313" s="19">
        <f>ROUND((Z313)*(1+'Data-CostAssumptions'!$G$3)^(AD313-'Data-CostAssumptions'!$G$4),-3)</f>
        <v>726000</v>
      </c>
      <c r="AG313" s="170" t="str">
        <f t="shared" si="15"/>
        <v>No</v>
      </c>
    </row>
    <row r="314" spans="1:33" ht="15" customHeight="1" x14ac:dyDescent="0.2">
      <c r="B314" s="11" t="s">
        <v>1211</v>
      </c>
      <c r="C314" s="13">
        <v>284</v>
      </c>
      <c r="D314" s="13" t="s">
        <v>420</v>
      </c>
      <c r="E314" s="20">
        <v>24</v>
      </c>
      <c r="F314" s="20">
        <v>156</v>
      </c>
      <c r="G314" s="20">
        <v>497</v>
      </c>
      <c r="H314" s="13" t="s">
        <v>1977</v>
      </c>
      <c r="I314" s="13" t="str">
        <f t="shared" si="16"/>
        <v>Miramar Pkwy (Executive Way to Red Rd)</v>
      </c>
      <c r="J314" s="13" t="s">
        <v>27</v>
      </c>
      <c r="K314" s="13" t="str">
        <f>VLOOKUP(J314,'Data-ProjectTypes'!A$3:B$13,2,FALSE)</f>
        <v>Program</v>
      </c>
      <c r="L314" s="21" t="s">
        <v>686</v>
      </c>
      <c r="M314" s="13" t="s">
        <v>164</v>
      </c>
      <c r="N314" s="13" t="s">
        <v>156</v>
      </c>
      <c r="O314" s="13" t="s">
        <v>274</v>
      </c>
      <c r="P314" s="13" t="s">
        <v>274</v>
      </c>
      <c r="Q314" s="22">
        <v>0.6</v>
      </c>
      <c r="R314" s="23">
        <v>203493</v>
      </c>
      <c r="S314" s="21" t="s">
        <v>24</v>
      </c>
      <c r="T314" s="21" t="s">
        <v>25</v>
      </c>
      <c r="U314" s="21" t="s">
        <v>25</v>
      </c>
      <c r="V314" s="24"/>
      <c r="W314" s="24"/>
      <c r="X314" s="24"/>
      <c r="Y314" s="17" t="s">
        <v>685</v>
      </c>
      <c r="Z314" s="18">
        <f>ROUND(R314*'Data-CostAssumptions'!$C$3,-3)</f>
        <v>282000</v>
      </c>
      <c r="AA314" s="11">
        <f t="shared" si="14"/>
        <v>0</v>
      </c>
      <c r="AB314" s="11">
        <v>2041</v>
      </c>
      <c r="AC314" s="11">
        <v>2041</v>
      </c>
      <c r="AD314" s="11">
        <v>2041</v>
      </c>
      <c r="AE314" s="19">
        <f>ROUND((Z314*'Data-CostAssumptions'!$G$5)*(1+'Data-CostAssumptions'!$G$3)^(AB314-'Data-CostAssumptions'!$G$4),-3)</f>
        <v>159000</v>
      </c>
      <c r="AF314" s="19">
        <f>ROUND((Z314)*(1+'Data-CostAssumptions'!$G$3)^(AD314-'Data-CostAssumptions'!$G$4),-3)</f>
        <v>723000</v>
      </c>
      <c r="AG314" s="170" t="str">
        <f t="shared" si="15"/>
        <v>No</v>
      </c>
    </row>
    <row r="315" spans="1:33" ht="15" customHeight="1" x14ac:dyDescent="0.2">
      <c r="B315" s="11" t="s">
        <v>1211</v>
      </c>
      <c r="C315" s="13">
        <v>348</v>
      </c>
      <c r="D315" s="13" t="s">
        <v>420</v>
      </c>
      <c r="E315" s="20">
        <v>20</v>
      </c>
      <c r="F315" s="20">
        <v>160</v>
      </c>
      <c r="G315" s="20">
        <v>559</v>
      </c>
      <c r="H315" s="13" t="s">
        <v>159</v>
      </c>
      <c r="I315" s="13" t="str">
        <f t="shared" si="16"/>
        <v>Flamingo Rd (Homestead Turnpike Extension to Miramar Parkway)</v>
      </c>
      <c r="J315" s="13" t="s">
        <v>27</v>
      </c>
      <c r="K315" s="13" t="str">
        <f>VLOOKUP(J315,'Data-ProjectTypes'!A$3:B$13,2,FALSE)</f>
        <v>Program</v>
      </c>
      <c r="L315" s="21" t="s">
        <v>348</v>
      </c>
      <c r="M315" s="13" t="s">
        <v>165</v>
      </c>
      <c r="N315" s="13" t="s">
        <v>39</v>
      </c>
      <c r="O315" s="13" t="s">
        <v>273</v>
      </c>
      <c r="P315" s="13" t="s">
        <v>273</v>
      </c>
      <c r="Q315" s="22">
        <v>0.6</v>
      </c>
      <c r="R315" s="23">
        <v>203811</v>
      </c>
      <c r="S315" s="21" t="s">
        <v>24</v>
      </c>
      <c r="T315" s="21"/>
      <c r="U315" s="21"/>
      <c r="V315" s="24"/>
      <c r="W315" s="24"/>
      <c r="X315" s="12"/>
      <c r="Y315" s="17" t="s">
        <v>469</v>
      </c>
      <c r="Z315" s="18">
        <f>ROUND(R315*'Data-CostAssumptions'!$C$3,-3)</f>
        <v>282000</v>
      </c>
      <c r="AA315" s="11">
        <f t="shared" si="14"/>
        <v>0</v>
      </c>
      <c r="AB315" s="11">
        <v>2041</v>
      </c>
      <c r="AC315" s="11">
        <v>2041</v>
      </c>
      <c r="AD315" s="11">
        <v>2041</v>
      </c>
      <c r="AE315" s="19">
        <f>ROUND((Z315*'Data-CostAssumptions'!$G$5)*(1+'Data-CostAssumptions'!$G$3)^(AB315-'Data-CostAssumptions'!$G$4),-3)</f>
        <v>159000</v>
      </c>
      <c r="AF315" s="19">
        <f>ROUND((Z315)*(1+'Data-CostAssumptions'!$G$3)^(AD315-'Data-CostAssumptions'!$G$4),-3)</f>
        <v>723000</v>
      </c>
      <c r="AG315" s="170" t="str">
        <f t="shared" si="15"/>
        <v>No</v>
      </c>
    </row>
    <row r="316" spans="1:33" ht="15" customHeight="1" x14ac:dyDescent="0.2">
      <c r="B316" s="11" t="s">
        <v>1211</v>
      </c>
      <c r="C316" s="13">
        <v>353</v>
      </c>
      <c r="D316" s="13" t="s">
        <v>420</v>
      </c>
      <c r="E316" s="20">
        <v>69</v>
      </c>
      <c r="F316" s="20">
        <v>160</v>
      </c>
      <c r="G316" s="20">
        <v>564</v>
      </c>
      <c r="H316" s="13" t="s">
        <v>1789</v>
      </c>
      <c r="I316" s="13" t="str">
        <f t="shared" si="16"/>
        <v>Eller Dr (I-595 Ramp to Andrews Av Intersection)</v>
      </c>
      <c r="J316" s="13" t="s">
        <v>27</v>
      </c>
      <c r="K316" s="13" t="str">
        <f>VLOOKUP(J316,'Data-ProjectTypes'!A$3:B$13,2,FALSE)</f>
        <v>Program</v>
      </c>
      <c r="L316" s="21" t="s">
        <v>348</v>
      </c>
      <c r="M316" s="13" t="s">
        <v>219</v>
      </c>
      <c r="N316" s="13" t="s">
        <v>2218</v>
      </c>
      <c r="O316" s="13" t="s">
        <v>272</v>
      </c>
      <c r="P316" s="13" t="s">
        <v>272</v>
      </c>
      <c r="Q316" s="22">
        <v>0.6</v>
      </c>
      <c r="R316" s="23">
        <v>203531</v>
      </c>
      <c r="S316" s="21" t="s">
        <v>24</v>
      </c>
      <c r="T316" s="21" t="s">
        <v>25</v>
      </c>
      <c r="U316" s="21" t="s">
        <v>25</v>
      </c>
      <c r="V316" s="24"/>
      <c r="W316" s="24"/>
      <c r="X316" s="24"/>
      <c r="Y316" s="17" t="s">
        <v>685</v>
      </c>
      <c r="Z316" s="18">
        <f>ROUND(R316*'Data-CostAssumptions'!$C$3,-3)</f>
        <v>282000</v>
      </c>
      <c r="AA316" s="11">
        <f t="shared" si="14"/>
        <v>0</v>
      </c>
      <c r="AB316" s="11">
        <v>2041</v>
      </c>
      <c r="AC316" s="11">
        <v>2041</v>
      </c>
      <c r="AD316" s="11">
        <v>2041</v>
      </c>
      <c r="AE316" s="19">
        <f>ROUND((Z316*'Data-CostAssumptions'!$G$5)*(1+'Data-CostAssumptions'!$G$3)^(AB316-'Data-CostAssumptions'!$G$4),-3)</f>
        <v>159000</v>
      </c>
      <c r="AF316" s="19">
        <f>ROUND((Z316)*(1+'Data-CostAssumptions'!$G$3)^(AD316-'Data-CostAssumptions'!$G$4),-3)</f>
        <v>723000</v>
      </c>
      <c r="AG316" s="170" t="str">
        <f t="shared" si="15"/>
        <v>No</v>
      </c>
    </row>
    <row r="317" spans="1:33" ht="15" customHeight="1" x14ac:dyDescent="0.2">
      <c r="B317" s="11" t="s">
        <v>1211</v>
      </c>
      <c r="C317" s="13">
        <v>347</v>
      </c>
      <c r="D317" s="13" t="s">
        <v>420</v>
      </c>
      <c r="E317" s="20">
        <v>13</v>
      </c>
      <c r="F317" s="20">
        <v>160</v>
      </c>
      <c r="G317" s="20">
        <v>558</v>
      </c>
      <c r="H317" s="13" t="s">
        <v>2102</v>
      </c>
      <c r="I317" s="13" t="str">
        <f t="shared" si="16"/>
        <v>SW 136th Av (SW 10th St to Pines Bl)</v>
      </c>
      <c r="J317" s="13" t="s">
        <v>27</v>
      </c>
      <c r="K317" s="13" t="str">
        <f>VLOOKUP(J317,'Data-ProjectTypes'!A$3:B$13,2,FALSE)</f>
        <v>Program</v>
      </c>
      <c r="L317" s="21" t="s">
        <v>348</v>
      </c>
      <c r="M317" s="13" t="s">
        <v>1954</v>
      </c>
      <c r="N317" s="13" t="s">
        <v>1826</v>
      </c>
      <c r="O317" s="13" t="s">
        <v>271</v>
      </c>
      <c r="P317" s="13" t="s">
        <v>271</v>
      </c>
      <c r="Q317" s="22">
        <v>0.6</v>
      </c>
      <c r="R317" s="23">
        <v>202367</v>
      </c>
      <c r="S317" s="21" t="s">
        <v>24</v>
      </c>
      <c r="T317" s="21" t="s">
        <v>25</v>
      </c>
      <c r="U317" s="21" t="s">
        <v>25</v>
      </c>
      <c r="V317" s="24"/>
      <c r="W317" s="31" t="s">
        <v>749</v>
      </c>
      <c r="X317" s="31" t="s">
        <v>748</v>
      </c>
      <c r="Y317" s="17" t="s">
        <v>735</v>
      </c>
      <c r="Z317" s="18">
        <f>ROUND(R317*'Data-CostAssumptions'!$C$3,-3)</f>
        <v>280000</v>
      </c>
      <c r="AA317" s="11">
        <f t="shared" si="14"/>
        <v>1</v>
      </c>
      <c r="AB317" s="11">
        <v>2041</v>
      </c>
      <c r="AC317" s="11">
        <v>2041</v>
      </c>
      <c r="AD317" s="11">
        <v>2041</v>
      </c>
      <c r="AE317" s="19">
        <f>ROUND((Z317*'Data-CostAssumptions'!$G$5)*(1+'Data-CostAssumptions'!$G$3)^(AB317-'Data-CostAssumptions'!$G$4),-3)</f>
        <v>158000</v>
      </c>
      <c r="AF317" s="19">
        <f>ROUND((Z317)*(1+'Data-CostAssumptions'!$G$3)^(AD317-'Data-CostAssumptions'!$G$4),-3)</f>
        <v>718000</v>
      </c>
      <c r="AG317" s="170" t="str">
        <f t="shared" si="15"/>
        <v>No</v>
      </c>
    </row>
    <row r="318" spans="1:33" ht="15" customHeight="1" x14ac:dyDescent="0.2">
      <c r="B318" s="11" t="s">
        <v>1211</v>
      </c>
      <c r="C318" s="13">
        <v>432</v>
      </c>
      <c r="D318" s="13" t="s">
        <v>420</v>
      </c>
      <c r="E318" s="20">
        <v>156</v>
      </c>
      <c r="F318" s="20">
        <v>165</v>
      </c>
      <c r="G318" s="20">
        <v>642</v>
      </c>
      <c r="H318" s="13" t="s">
        <v>1829</v>
      </c>
      <c r="I318" s="13" t="str">
        <f t="shared" si="16"/>
        <v>Southgate Bl (SW 73rd Terrace to Just west of SW 79th Av)</v>
      </c>
      <c r="J318" s="13" t="s">
        <v>27</v>
      </c>
      <c r="K318" s="13" t="str">
        <f>VLOOKUP(J318,'Data-ProjectTypes'!A$3:B$13,2,FALSE)</f>
        <v>Program</v>
      </c>
      <c r="L318" s="21" t="s">
        <v>348</v>
      </c>
      <c r="M318" s="13" t="s">
        <v>154</v>
      </c>
      <c r="N318" s="13" t="s">
        <v>2265</v>
      </c>
      <c r="O318" s="13" t="s">
        <v>272</v>
      </c>
      <c r="P318" s="13" t="s">
        <v>272</v>
      </c>
      <c r="Q318" s="22">
        <v>0.6</v>
      </c>
      <c r="R318" s="23">
        <v>200860</v>
      </c>
      <c r="S318" s="21" t="s">
        <v>24</v>
      </c>
      <c r="T318" s="21"/>
      <c r="U318" s="21"/>
      <c r="V318" s="24"/>
      <c r="W318" s="24"/>
      <c r="X318" s="24"/>
      <c r="Y318" s="17" t="s">
        <v>460</v>
      </c>
      <c r="Z318" s="18">
        <f>ROUND(R318*'Data-CostAssumptions'!$C$3,-3)</f>
        <v>278000</v>
      </c>
      <c r="AA318" s="11">
        <f t="shared" si="14"/>
        <v>0</v>
      </c>
      <c r="AB318" s="11">
        <v>2041</v>
      </c>
      <c r="AC318" s="11">
        <v>2041</v>
      </c>
      <c r="AD318" s="11">
        <v>2041</v>
      </c>
      <c r="AE318" s="19">
        <f>ROUND((Z318*'Data-CostAssumptions'!$G$5)*(1+'Data-CostAssumptions'!$G$3)^(AB318-'Data-CostAssumptions'!$G$4),-3)</f>
        <v>157000</v>
      </c>
      <c r="AF318" s="19">
        <f>ROUND((Z318)*(1+'Data-CostAssumptions'!$G$3)^(AD318-'Data-CostAssumptions'!$G$4),-3)</f>
        <v>713000</v>
      </c>
      <c r="AG318" s="170" t="str">
        <f t="shared" si="15"/>
        <v>No</v>
      </c>
    </row>
    <row r="319" spans="1:33" ht="15" customHeight="1" x14ac:dyDescent="0.2">
      <c r="B319" s="11" t="s">
        <v>1211</v>
      </c>
      <c r="C319" s="13">
        <v>377</v>
      </c>
      <c r="D319" s="13" t="s">
        <v>420</v>
      </c>
      <c r="E319" s="20">
        <v>224</v>
      </c>
      <c r="F319" s="20">
        <v>162</v>
      </c>
      <c r="G319" s="20">
        <v>588</v>
      </c>
      <c r="H319" s="13" t="s">
        <v>2070</v>
      </c>
      <c r="I319" s="13" t="str">
        <f t="shared" si="16"/>
        <v>NW 47th Av (NW 16th St to NW 21st Av)</v>
      </c>
      <c r="J319" s="13" t="s">
        <v>27</v>
      </c>
      <c r="K319" s="13" t="str">
        <f>VLOOKUP(J319,'Data-ProjectTypes'!A$3:B$13,2,FALSE)</f>
        <v>Program</v>
      </c>
      <c r="L319" s="21" t="s">
        <v>348</v>
      </c>
      <c r="M319" s="13" t="s">
        <v>1910</v>
      </c>
      <c r="N319" s="13" t="s">
        <v>2057</v>
      </c>
      <c r="O319" s="13" t="s">
        <v>281</v>
      </c>
      <c r="P319" s="13" t="s">
        <v>281</v>
      </c>
      <c r="Q319" s="22">
        <v>0.6</v>
      </c>
      <c r="R319" s="23">
        <v>198445</v>
      </c>
      <c r="S319" s="21" t="s">
        <v>24</v>
      </c>
      <c r="T319" s="21"/>
      <c r="U319" s="21"/>
      <c r="V319" s="24"/>
      <c r="W319" s="24" t="s">
        <v>552</v>
      </c>
      <c r="X319" s="24"/>
      <c r="Y319" s="17" t="s">
        <v>538</v>
      </c>
      <c r="Z319" s="18">
        <f>ROUND(R319*'Data-CostAssumptions'!$C$3,-3)</f>
        <v>275000</v>
      </c>
      <c r="AA319" s="11">
        <f t="shared" si="14"/>
        <v>1</v>
      </c>
      <c r="AB319" s="11">
        <v>2041</v>
      </c>
      <c r="AC319" s="11">
        <v>2041</v>
      </c>
      <c r="AD319" s="11">
        <v>2041</v>
      </c>
      <c r="AE319" s="19">
        <f>ROUND((Z319*'Data-CostAssumptions'!$G$5)*(1+'Data-CostAssumptions'!$G$3)^(AB319-'Data-CostAssumptions'!$G$4),-3)</f>
        <v>155000</v>
      </c>
      <c r="AF319" s="19">
        <f>ROUND((Z319)*(1+'Data-CostAssumptions'!$G$3)^(AD319-'Data-CostAssumptions'!$G$4),-3)</f>
        <v>705000</v>
      </c>
      <c r="AG319" s="170" t="str">
        <f t="shared" si="15"/>
        <v>No</v>
      </c>
    </row>
    <row r="320" spans="1:33" ht="15" customHeight="1" x14ac:dyDescent="0.2">
      <c r="B320" s="11" t="s">
        <v>1211</v>
      </c>
      <c r="C320" s="13">
        <v>503</v>
      </c>
      <c r="D320" s="13" t="s">
        <v>420</v>
      </c>
      <c r="E320" s="20">
        <v>120</v>
      </c>
      <c r="F320" s="20">
        <v>169</v>
      </c>
      <c r="G320" s="20">
        <v>707</v>
      </c>
      <c r="H320" s="13" t="s">
        <v>1745</v>
      </c>
      <c r="I320" s="13" t="str">
        <f t="shared" si="16"/>
        <v>Banks Rd (Coconut Creek Parkway to Copans Rd)</v>
      </c>
      <c r="J320" s="13" t="s">
        <v>27</v>
      </c>
      <c r="K320" s="13" t="str">
        <f>VLOOKUP(J320,'Data-ProjectTypes'!A$3:B$13,2,FALSE)</f>
        <v>Program</v>
      </c>
      <c r="L320" s="21" t="s">
        <v>348</v>
      </c>
      <c r="M320" s="13" t="s">
        <v>70</v>
      </c>
      <c r="N320" s="13" t="s">
        <v>1836</v>
      </c>
      <c r="O320" s="13" t="s">
        <v>272</v>
      </c>
      <c r="P320" s="13" t="s">
        <v>272</v>
      </c>
      <c r="Q320" s="22">
        <v>0.8</v>
      </c>
      <c r="R320" s="23">
        <v>274518</v>
      </c>
      <c r="S320" s="21"/>
      <c r="T320" s="21"/>
      <c r="U320" s="21"/>
      <c r="V320" s="24"/>
      <c r="W320" s="24"/>
      <c r="X320" s="24"/>
      <c r="Y320" s="17"/>
      <c r="Z320" s="18">
        <f>ROUND(R320*'Data-CostAssumptions'!$C$8,-3)</f>
        <v>275000</v>
      </c>
      <c r="AA320" s="11">
        <f t="shared" si="14"/>
        <v>0</v>
      </c>
      <c r="AB320" s="11">
        <v>2041</v>
      </c>
      <c r="AC320" s="11">
        <v>2041</v>
      </c>
      <c r="AD320" s="11">
        <v>2041</v>
      </c>
      <c r="AE320" s="19">
        <f>ROUND((Z320*'Data-CostAssumptions'!$G$5)*(1+'Data-CostAssumptions'!$G$3)^(AB320-'Data-CostAssumptions'!$G$4),-3)</f>
        <v>155000</v>
      </c>
      <c r="AF320" s="19">
        <f>ROUND((Z320)*(1+'Data-CostAssumptions'!$G$3)^(AD320-'Data-CostAssumptions'!$G$4),-3)</f>
        <v>705000</v>
      </c>
      <c r="AG320" s="170" t="str">
        <f t="shared" si="15"/>
        <v>No</v>
      </c>
    </row>
    <row r="321" spans="1:33" ht="15" customHeight="1" x14ac:dyDescent="0.2">
      <c r="B321" s="11" t="s">
        <v>1211</v>
      </c>
      <c r="C321" s="13">
        <v>572</v>
      </c>
      <c r="D321" s="13" t="s">
        <v>420</v>
      </c>
      <c r="E321" s="20">
        <v>307</v>
      </c>
      <c r="F321" s="20">
        <v>173</v>
      </c>
      <c r="G321" s="20">
        <v>776</v>
      </c>
      <c r="H321" s="13" t="s">
        <v>1794</v>
      </c>
      <c r="I321" s="13" t="str">
        <f t="shared" si="16"/>
        <v>Mayan Dr/Grace Dr/Ocean Dr Loop (SE 20th St to SE 17th St)</v>
      </c>
      <c r="J321" s="13" t="s">
        <v>27</v>
      </c>
      <c r="K321" s="13" t="str">
        <f>VLOOKUP(J321,'Data-ProjectTypes'!A$3:B$13,2,FALSE)</f>
        <v>Program</v>
      </c>
      <c r="L321" s="21" t="s">
        <v>348</v>
      </c>
      <c r="M321" s="13" t="s">
        <v>2498</v>
      </c>
      <c r="N321" s="13" t="s">
        <v>182</v>
      </c>
      <c r="O321" s="13" t="s">
        <v>270</v>
      </c>
      <c r="P321" s="13" t="s">
        <v>270</v>
      </c>
      <c r="Q321" s="22">
        <v>0.8</v>
      </c>
      <c r="R321" s="23">
        <v>274934</v>
      </c>
      <c r="V321" s="85" t="s">
        <v>449</v>
      </c>
      <c r="X321" s="11" t="s">
        <v>467</v>
      </c>
      <c r="Y321" s="12"/>
      <c r="Z321" s="18">
        <f>ROUND(R321*'Data-CostAssumptions'!$C$4,-3)</f>
        <v>275000</v>
      </c>
      <c r="AA321" s="11">
        <f t="shared" si="14"/>
        <v>1</v>
      </c>
      <c r="AB321" s="11">
        <v>2041</v>
      </c>
      <c r="AC321" s="11">
        <v>2041</v>
      </c>
      <c r="AD321" s="11">
        <v>2041</v>
      </c>
      <c r="AE321" s="19">
        <f>ROUND((Z321*'Data-CostAssumptions'!$G$5)*(1+'Data-CostAssumptions'!$G$3)^(AB321-'Data-CostAssumptions'!$G$4),-3)</f>
        <v>155000</v>
      </c>
      <c r="AF321" s="19">
        <f>ROUND((Z321)*(1+'Data-CostAssumptions'!$G$3)^(AD321-'Data-CostAssumptions'!$G$4),-3)</f>
        <v>705000</v>
      </c>
      <c r="AG321" s="170" t="str">
        <f t="shared" si="15"/>
        <v>No</v>
      </c>
    </row>
    <row r="322" spans="1:33" ht="15" customHeight="1" x14ac:dyDescent="0.2">
      <c r="B322" s="11" t="s">
        <v>1211</v>
      </c>
      <c r="C322" s="13">
        <v>257</v>
      </c>
      <c r="D322" s="13" t="s">
        <v>420</v>
      </c>
      <c r="E322" s="20">
        <v>305</v>
      </c>
      <c r="F322" s="20">
        <v>154</v>
      </c>
      <c r="G322" s="20">
        <v>472</v>
      </c>
      <c r="H322" s="13" t="s">
        <v>1770</v>
      </c>
      <c r="I322" s="13" t="str">
        <f t="shared" si="16"/>
        <v>South Miami Rd (SE 17th St to SE 12th St)</v>
      </c>
      <c r="J322" s="13" t="s">
        <v>27</v>
      </c>
      <c r="K322" s="13" t="str">
        <f>VLOOKUP(J322,'Data-ProjectTypes'!A$3:B$13,2,FALSE)</f>
        <v>Program</v>
      </c>
      <c r="L322" s="21" t="s">
        <v>348</v>
      </c>
      <c r="M322" s="13" t="s">
        <v>182</v>
      </c>
      <c r="N322" s="13" t="s">
        <v>1938</v>
      </c>
      <c r="O322" s="13" t="s">
        <v>276</v>
      </c>
      <c r="P322" s="13" t="s">
        <v>276</v>
      </c>
      <c r="Q322" s="22">
        <v>0.5</v>
      </c>
      <c r="R322" s="23">
        <v>197035</v>
      </c>
      <c r="S322" s="21"/>
      <c r="T322" s="21"/>
      <c r="U322" s="21"/>
      <c r="V322" s="24"/>
      <c r="W322" s="24"/>
      <c r="X322" s="24"/>
      <c r="Y322" s="17"/>
      <c r="Z322" s="18">
        <f>ROUND(R322*'Data-CostAssumptions'!$C$3,-3)</f>
        <v>273000</v>
      </c>
      <c r="AA322" s="11">
        <f t="shared" ref="AA322:AA385" si="17">IF(V322="",IF(W322="",0,1),1)</f>
        <v>0</v>
      </c>
      <c r="AB322" s="11">
        <v>2041</v>
      </c>
      <c r="AC322" s="11">
        <v>2041</v>
      </c>
      <c r="AD322" s="11">
        <v>2041</v>
      </c>
      <c r="AE322" s="19">
        <f>ROUND((Z322*'Data-CostAssumptions'!$G$5)*(1+'Data-CostAssumptions'!$G$3)^(AB322-'Data-CostAssumptions'!$G$4),-3)</f>
        <v>154000</v>
      </c>
      <c r="AF322" s="19">
        <f>ROUND((Z322)*(1+'Data-CostAssumptions'!$G$3)^(AD322-'Data-CostAssumptions'!$G$4),-3)</f>
        <v>700000</v>
      </c>
      <c r="AG322" s="170" t="str">
        <f t="shared" ref="AG322:AG385" si="18">IF(MIN(AC322:AD322)&lt;2041,"Yes","No")</f>
        <v>No</v>
      </c>
    </row>
    <row r="323" spans="1:33" ht="15" customHeight="1" x14ac:dyDescent="0.2">
      <c r="B323" s="11" t="s">
        <v>1211</v>
      </c>
      <c r="C323" s="13">
        <v>544</v>
      </c>
      <c r="D323" s="13" t="s">
        <v>420</v>
      </c>
      <c r="E323" s="20">
        <v>51</v>
      </c>
      <c r="F323" s="20">
        <v>171</v>
      </c>
      <c r="G323" s="20">
        <v>748</v>
      </c>
      <c r="H323" s="13" t="s">
        <v>2044</v>
      </c>
      <c r="I323" s="13" t="str">
        <f t="shared" si="16"/>
        <v>North 68th Av (Greene St to Stirling Rd)</v>
      </c>
      <c r="J323" s="13" t="s">
        <v>27</v>
      </c>
      <c r="K323" s="13" t="str">
        <f>VLOOKUP(J323,'Data-ProjectTypes'!A$3:B$13,2,FALSE)</f>
        <v>Program</v>
      </c>
      <c r="L323" s="21" t="s">
        <v>543</v>
      </c>
      <c r="M323" s="13" t="s">
        <v>2524</v>
      </c>
      <c r="N323" s="13" t="s">
        <v>177</v>
      </c>
      <c r="O323" s="13" t="s">
        <v>272</v>
      </c>
      <c r="P323" s="13" t="s">
        <v>272</v>
      </c>
      <c r="Q323" s="22">
        <v>0.6</v>
      </c>
      <c r="R323" s="23">
        <v>197495</v>
      </c>
      <c r="Y323" s="12" t="s">
        <v>3013</v>
      </c>
      <c r="Z323" s="18">
        <f>ROUND(R323*'Data-CostAssumptions'!$C$3,-3)</f>
        <v>273000</v>
      </c>
      <c r="AA323" s="11">
        <f t="shared" si="17"/>
        <v>0</v>
      </c>
      <c r="AB323" s="11">
        <v>2041</v>
      </c>
      <c r="AC323" s="11">
        <v>2041</v>
      </c>
      <c r="AD323" s="11">
        <v>2041</v>
      </c>
      <c r="AE323" s="19">
        <f>ROUND((Z323*'Data-CostAssumptions'!$G$5)*(1+'Data-CostAssumptions'!$G$3)^(AB323-'Data-CostAssumptions'!$G$4),-3)</f>
        <v>154000</v>
      </c>
      <c r="AF323" s="19">
        <f>ROUND((Z323)*(1+'Data-CostAssumptions'!$G$3)^(AD323-'Data-CostAssumptions'!$G$4),-3)</f>
        <v>700000</v>
      </c>
      <c r="AG323" s="170" t="str">
        <f t="shared" si="18"/>
        <v>No</v>
      </c>
    </row>
    <row r="324" spans="1:33" ht="15" customHeight="1" x14ac:dyDescent="0.2">
      <c r="B324" s="11" t="s">
        <v>1211</v>
      </c>
      <c r="C324" s="13">
        <v>363</v>
      </c>
      <c r="D324" s="13" t="s">
        <v>420</v>
      </c>
      <c r="E324" s="20">
        <v>116</v>
      </c>
      <c r="F324" s="20">
        <v>161</v>
      </c>
      <c r="G324" s="20">
        <v>574</v>
      </c>
      <c r="H324" s="13" t="s">
        <v>2734</v>
      </c>
      <c r="I324" s="13" t="str">
        <f t="shared" si="16"/>
        <v>SR 814/Atlantic Bl (SR 845 / Powerline Rd to NW 31st Rd)</v>
      </c>
      <c r="J324" s="13" t="s">
        <v>27</v>
      </c>
      <c r="K324" s="13" t="str">
        <f>VLOOKUP(J324,'Data-ProjectTypes'!A$3:B$13,2,FALSE)</f>
        <v>Program</v>
      </c>
      <c r="L324" s="21" t="s">
        <v>348</v>
      </c>
      <c r="M324" s="13" t="s">
        <v>2210</v>
      </c>
      <c r="N324" s="13" t="s">
        <v>2401</v>
      </c>
      <c r="O324" s="13" t="s">
        <v>270</v>
      </c>
      <c r="P324" s="13" t="s">
        <v>270</v>
      </c>
      <c r="Q324" s="22">
        <v>0.5</v>
      </c>
      <c r="R324" s="23">
        <v>195026</v>
      </c>
      <c r="S324" s="21" t="s">
        <v>24</v>
      </c>
      <c r="T324" s="21" t="s">
        <v>25</v>
      </c>
      <c r="U324" s="21" t="s">
        <v>25</v>
      </c>
      <c r="V324" s="24"/>
      <c r="W324" s="31" t="s">
        <v>753</v>
      </c>
      <c r="X324" s="31" t="s">
        <v>752</v>
      </c>
      <c r="Y324" s="17" t="s">
        <v>735</v>
      </c>
      <c r="Z324" s="18">
        <f>ROUND(R324*'Data-CostAssumptions'!$C$3,-3)</f>
        <v>270000</v>
      </c>
      <c r="AA324" s="11">
        <f t="shared" si="17"/>
        <v>1</v>
      </c>
      <c r="AB324" s="11">
        <v>2041</v>
      </c>
      <c r="AC324" s="11">
        <v>2041</v>
      </c>
      <c r="AD324" s="11">
        <v>2041</v>
      </c>
      <c r="AE324" s="19">
        <f>ROUND((Z324*'Data-CostAssumptions'!$G$5)*(1+'Data-CostAssumptions'!$G$3)^(AB324-'Data-CostAssumptions'!$G$4),-3)</f>
        <v>152000</v>
      </c>
      <c r="AF324" s="19">
        <f>ROUND((Z324)*(1+'Data-CostAssumptions'!$G$3)^(AD324-'Data-CostAssumptions'!$G$4),-3)</f>
        <v>692000</v>
      </c>
      <c r="AG324" s="170" t="str">
        <f t="shared" si="18"/>
        <v>No</v>
      </c>
    </row>
    <row r="325" spans="1:33" ht="15" customHeight="1" x14ac:dyDescent="0.2">
      <c r="B325" s="11" t="s">
        <v>1211</v>
      </c>
      <c r="C325" s="13">
        <v>587</v>
      </c>
      <c r="D325" s="13" t="s">
        <v>420</v>
      </c>
      <c r="E325" s="20">
        <v>62</v>
      </c>
      <c r="F325" s="20">
        <v>174</v>
      </c>
      <c r="G325" s="20">
        <v>791</v>
      </c>
      <c r="H325" s="13" t="s">
        <v>1795</v>
      </c>
      <c r="I325" s="13" t="str">
        <f t="shared" si="16"/>
        <v>North Ocean Dr (Sheridan St to Palm St)</v>
      </c>
      <c r="J325" s="13" t="s">
        <v>27</v>
      </c>
      <c r="K325" s="13" t="str">
        <f>VLOOKUP(J325,'Data-ProjectTypes'!A$3:B$13,2,FALSE)</f>
        <v>Program</v>
      </c>
      <c r="L325" s="21" t="s">
        <v>348</v>
      </c>
      <c r="M325" s="13" t="s">
        <v>1951</v>
      </c>
      <c r="N325" s="13" t="s">
        <v>2532</v>
      </c>
      <c r="O325" s="13" t="s">
        <v>270</v>
      </c>
      <c r="P325" s="13" t="s">
        <v>270</v>
      </c>
      <c r="Q325" s="22">
        <v>0.7</v>
      </c>
      <c r="R325" s="23">
        <v>266562</v>
      </c>
      <c r="V325" s="85" t="s">
        <v>1162</v>
      </c>
      <c r="Y325" s="12"/>
      <c r="Z325" s="18">
        <f>ROUND(R325*'Data-CostAssumptions'!$C$5,-3)</f>
        <v>267000</v>
      </c>
      <c r="AA325" s="11">
        <f t="shared" si="17"/>
        <v>1</v>
      </c>
      <c r="AB325" s="11">
        <v>2041</v>
      </c>
      <c r="AC325" s="11">
        <v>2041</v>
      </c>
      <c r="AD325" s="11">
        <v>2041</v>
      </c>
      <c r="AE325" s="19">
        <f>ROUND((Z325*'Data-CostAssumptions'!$G$5)*(1+'Data-CostAssumptions'!$G$3)^(AB325-'Data-CostAssumptions'!$G$4),-3)</f>
        <v>151000</v>
      </c>
      <c r="AF325" s="19">
        <f>ROUND((Z325)*(1+'Data-CostAssumptions'!$G$3)^(AD325-'Data-CostAssumptions'!$G$4),-3)</f>
        <v>685000</v>
      </c>
      <c r="AG325" s="170" t="str">
        <f t="shared" si="18"/>
        <v>No</v>
      </c>
    </row>
    <row r="326" spans="1:33" ht="15" customHeight="1" x14ac:dyDescent="0.2">
      <c r="B326" s="11" t="s">
        <v>1211</v>
      </c>
      <c r="C326" s="13">
        <v>205</v>
      </c>
      <c r="D326" s="13" t="s">
        <v>420</v>
      </c>
      <c r="E326" s="20">
        <v>246</v>
      </c>
      <c r="F326" s="20">
        <v>151</v>
      </c>
      <c r="G326" s="20">
        <v>420</v>
      </c>
      <c r="H326" s="13" t="s">
        <v>2084</v>
      </c>
      <c r="I326" s="13" t="str">
        <f t="shared" si="16"/>
        <v>Peters Rd/SW 42nd Av (SW 42nd Av to SW 12th St)</v>
      </c>
      <c r="J326" s="13" t="s">
        <v>27</v>
      </c>
      <c r="K326" s="13" t="str">
        <f>VLOOKUP(J326,'Data-ProjectTypes'!A$3:B$13,2,FALSE)</f>
        <v>Program</v>
      </c>
      <c r="L326" s="21" t="s">
        <v>348</v>
      </c>
      <c r="M326" s="13" t="s">
        <v>2347</v>
      </c>
      <c r="N326" s="13" t="s">
        <v>2550</v>
      </c>
      <c r="O326" s="13" t="s">
        <v>273</v>
      </c>
      <c r="P326" s="13" t="s">
        <v>273</v>
      </c>
      <c r="Q326" s="22">
        <v>0.5</v>
      </c>
      <c r="R326" s="23">
        <v>191049</v>
      </c>
      <c r="S326" s="21" t="s">
        <v>24</v>
      </c>
      <c r="T326" s="21"/>
      <c r="U326" s="21"/>
      <c r="V326" s="24"/>
      <c r="W326" s="24"/>
      <c r="X326" s="24" t="s">
        <v>491</v>
      </c>
      <c r="Y326" s="17" t="s">
        <v>492</v>
      </c>
      <c r="Z326" s="18">
        <f>ROUND(R326*'Data-CostAssumptions'!$C$3,-3)</f>
        <v>264000</v>
      </c>
      <c r="AA326" s="11">
        <f t="shared" si="17"/>
        <v>0</v>
      </c>
      <c r="AB326" s="11">
        <v>2041</v>
      </c>
      <c r="AC326" s="11">
        <v>2041</v>
      </c>
      <c r="AD326" s="11">
        <v>2041</v>
      </c>
      <c r="AE326" s="19">
        <f>ROUND((Z326*'Data-CostAssumptions'!$G$5)*(1+'Data-CostAssumptions'!$G$3)^(AB326-'Data-CostAssumptions'!$G$4),-3)</f>
        <v>149000</v>
      </c>
      <c r="AF326" s="19">
        <f>ROUND((Z326)*(1+'Data-CostAssumptions'!$G$3)^(AD326-'Data-CostAssumptions'!$G$4),-3)</f>
        <v>677000</v>
      </c>
      <c r="AG326" s="170" t="str">
        <f t="shared" si="18"/>
        <v>No</v>
      </c>
    </row>
    <row r="327" spans="1:33" ht="15" customHeight="1" x14ac:dyDescent="0.2">
      <c r="B327" s="11" t="s">
        <v>1211</v>
      </c>
      <c r="C327" s="13">
        <v>457</v>
      </c>
      <c r="D327" s="13" t="s">
        <v>420</v>
      </c>
      <c r="E327" s="20">
        <v>319</v>
      </c>
      <c r="F327" s="20">
        <v>167</v>
      </c>
      <c r="G327" s="20">
        <v>665</v>
      </c>
      <c r="H327" s="13" t="s">
        <v>1898</v>
      </c>
      <c r="I327" s="13" t="str">
        <f t="shared" si="16"/>
        <v>NE 56th St (Just west of NE 21st Dr to Just west of NE 15th Av)</v>
      </c>
      <c r="J327" s="13" t="s">
        <v>27</v>
      </c>
      <c r="K327" s="13" t="str">
        <f>VLOOKUP(J327,'Data-ProjectTypes'!A$3:B$13,2,FALSE)</f>
        <v>Program</v>
      </c>
      <c r="L327" s="21" t="s">
        <v>348</v>
      </c>
      <c r="M327" s="13" t="s">
        <v>2659</v>
      </c>
      <c r="N327" s="13" t="s">
        <v>2236</v>
      </c>
      <c r="O327" s="13" t="s">
        <v>273</v>
      </c>
      <c r="P327" s="13" t="s">
        <v>273</v>
      </c>
      <c r="Q327" s="22">
        <v>0.7</v>
      </c>
      <c r="R327" s="23">
        <v>261407</v>
      </c>
      <c r="S327" s="21" t="s">
        <v>350</v>
      </c>
      <c r="T327" s="21"/>
      <c r="U327" s="21"/>
      <c r="V327" s="24"/>
      <c r="W327" s="31" t="s">
        <v>756</v>
      </c>
      <c r="X327" s="31" t="s">
        <v>754</v>
      </c>
      <c r="Y327" s="17" t="s">
        <v>735</v>
      </c>
      <c r="Z327" s="18">
        <f>ROUND(R327*'Data-CostAssumptions'!$C$8,-3)</f>
        <v>261000</v>
      </c>
      <c r="AA327" s="11">
        <f t="shared" si="17"/>
        <v>1</v>
      </c>
      <c r="AB327" s="11">
        <v>2041</v>
      </c>
      <c r="AC327" s="11">
        <v>2041</v>
      </c>
      <c r="AD327" s="11">
        <v>2041</v>
      </c>
      <c r="AE327" s="19">
        <f>ROUND((Z327*'Data-CostAssumptions'!$G$5)*(1+'Data-CostAssumptions'!$G$3)^(AB327-'Data-CostAssumptions'!$G$4),-3)</f>
        <v>147000</v>
      </c>
      <c r="AF327" s="19">
        <f>ROUND((Z327)*(1+'Data-CostAssumptions'!$G$3)^(AD327-'Data-CostAssumptions'!$G$4),-3)</f>
        <v>669000</v>
      </c>
      <c r="AG327" s="170" t="str">
        <f t="shared" si="18"/>
        <v>No</v>
      </c>
    </row>
    <row r="328" spans="1:33" ht="15" customHeight="1" x14ac:dyDescent="0.2">
      <c r="A328" s="12"/>
      <c r="B328" s="11" t="s">
        <v>1211</v>
      </c>
      <c r="C328" s="12"/>
      <c r="D328" s="84" t="s">
        <v>276</v>
      </c>
      <c r="E328" s="104">
        <v>49</v>
      </c>
      <c r="F328" s="104"/>
      <c r="G328" s="20">
        <v>1569</v>
      </c>
      <c r="H328" s="13" t="s">
        <v>2156</v>
      </c>
      <c r="I328" s="13" t="str">
        <f t="shared" ref="I328:I388" si="19">IF(M328="@",H328&amp;" ("&amp;M328&amp;"  "&amp;N328&amp;")",H328&amp;" ("&amp;M328&amp;" to "&amp;N328&amp;")")</f>
        <v>NE 7TH ST/NE 20TH Av (VICTORIA PARK RD to SUNRISE Bl)</v>
      </c>
      <c r="J328" s="12" t="s">
        <v>27</v>
      </c>
      <c r="K328" s="13" t="str">
        <f>VLOOKUP(J328,'Data-ProjectTypes'!A$3:B$13,2,FALSE)</f>
        <v>Program</v>
      </c>
      <c r="L328" s="12" t="s">
        <v>1258</v>
      </c>
      <c r="M328" s="105" t="s">
        <v>1252</v>
      </c>
      <c r="N328" s="12" t="s">
        <v>2002</v>
      </c>
      <c r="O328" s="12"/>
      <c r="P328" s="12"/>
      <c r="Q328" s="72">
        <v>0.9</v>
      </c>
      <c r="R328" s="23">
        <v>261000</v>
      </c>
      <c r="Y328" s="12"/>
      <c r="Z328" s="18">
        <f>ROUND(R328*'Data-CostAssumptions'!$C$8,-3)</f>
        <v>261000</v>
      </c>
      <c r="AA328" s="11">
        <f t="shared" si="17"/>
        <v>0</v>
      </c>
      <c r="AB328" s="11">
        <v>2041</v>
      </c>
      <c r="AC328" s="11">
        <v>2041</v>
      </c>
      <c r="AD328" s="11">
        <v>2041</v>
      </c>
      <c r="AE328" s="19">
        <f>ROUND((Z328*'Data-CostAssumptions'!$G$5)*(1+'Data-CostAssumptions'!$G$3)^(AB328-'Data-CostAssumptions'!$G$4),-3)</f>
        <v>147000</v>
      </c>
      <c r="AF328" s="19">
        <f>ROUND((Z328)*(1+'Data-CostAssumptions'!$G$3)^(AD328-'Data-CostAssumptions'!$G$4),-3)</f>
        <v>669000</v>
      </c>
      <c r="AG328" s="170" t="str">
        <f t="shared" si="18"/>
        <v>No</v>
      </c>
    </row>
    <row r="329" spans="1:33" ht="15" customHeight="1" x14ac:dyDescent="0.2">
      <c r="A329" s="12"/>
      <c r="B329" s="11" t="s">
        <v>1211</v>
      </c>
      <c r="C329" s="12"/>
      <c r="D329" s="84" t="s">
        <v>276</v>
      </c>
      <c r="E329" s="104">
        <v>93</v>
      </c>
      <c r="F329" s="104"/>
      <c r="G329" s="20">
        <v>1634</v>
      </c>
      <c r="H329" s="13" t="s">
        <v>1249</v>
      </c>
      <c r="I329" s="13" t="str">
        <f t="shared" si="19"/>
        <v>SW 17TH ST (SW 9TH Av to SW 4TH Av)</v>
      </c>
      <c r="J329" s="12" t="s">
        <v>27</v>
      </c>
      <c r="K329" s="13" t="str">
        <f>VLOOKUP(J329,'Data-ProjectTypes'!A$3:B$13,2,FALSE)</f>
        <v>Program</v>
      </c>
      <c r="L329" s="12" t="s">
        <v>1402</v>
      </c>
      <c r="M329" s="105" t="s">
        <v>2196</v>
      </c>
      <c r="N329" s="12" t="s">
        <v>2194</v>
      </c>
      <c r="O329" s="12"/>
      <c r="P329" s="12"/>
      <c r="Q329" s="72">
        <v>0.4</v>
      </c>
      <c r="R329" s="23">
        <v>260000</v>
      </c>
      <c r="Y329" s="12"/>
      <c r="Z329" s="18">
        <f>ROUND(R329*'Data-CostAssumptions'!$C$8,-3)</f>
        <v>260000</v>
      </c>
      <c r="AA329" s="11">
        <f t="shared" si="17"/>
        <v>0</v>
      </c>
      <c r="AB329" s="11">
        <v>2041</v>
      </c>
      <c r="AC329" s="11">
        <v>2041</v>
      </c>
      <c r="AD329" s="11">
        <v>2041</v>
      </c>
      <c r="AE329" s="19">
        <f>ROUND((Z329*'Data-CostAssumptions'!$G$5)*(1+'Data-CostAssumptions'!$G$3)^(AB329-'Data-CostAssumptions'!$G$4),-3)</f>
        <v>147000</v>
      </c>
      <c r="AF329" s="19">
        <f>ROUND((Z329)*(1+'Data-CostAssumptions'!$G$3)^(AD329-'Data-CostAssumptions'!$G$4),-3)</f>
        <v>667000</v>
      </c>
      <c r="AG329" s="170" t="str">
        <f t="shared" si="18"/>
        <v>No</v>
      </c>
    </row>
    <row r="330" spans="1:33" ht="15" customHeight="1" x14ac:dyDescent="0.2">
      <c r="B330" s="11" t="s">
        <v>1211</v>
      </c>
      <c r="C330" s="13">
        <v>537</v>
      </c>
      <c r="D330" s="13" t="s">
        <v>420</v>
      </c>
      <c r="E330" s="20">
        <v>367</v>
      </c>
      <c r="F330" s="20">
        <v>171</v>
      </c>
      <c r="G330" s="20">
        <v>741</v>
      </c>
      <c r="H330" s="13" t="s">
        <v>2757</v>
      </c>
      <c r="I330" s="13" t="str">
        <f t="shared" si="19"/>
        <v>SR 870/ Commercial Bl (Rock Island Rd to at Stirling Bl)</v>
      </c>
      <c r="J330" s="13" t="s">
        <v>27</v>
      </c>
      <c r="K330" s="13" t="str">
        <f>VLOOKUP(J330,'Data-ProjectTypes'!A$3:B$13,2,FALSE)</f>
        <v>Program</v>
      </c>
      <c r="L330" s="21" t="s">
        <v>348</v>
      </c>
      <c r="M330" s="13" t="s">
        <v>1768</v>
      </c>
      <c r="N330" s="11" t="s">
        <v>2315</v>
      </c>
      <c r="O330" s="13" t="s">
        <v>270</v>
      </c>
      <c r="P330" s="13" t="s">
        <v>270</v>
      </c>
      <c r="Q330" s="22">
        <v>1</v>
      </c>
      <c r="R330" s="23">
        <v>357826</v>
      </c>
      <c r="S330" s="21"/>
      <c r="T330" s="21"/>
      <c r="U330" s="21"/>
      <c r="V330" s="24"/>
      <c r="W330" s="24"/>
      <c r="X330" s="24"/>
      <c r="Y330" s="17"/>
      <c r="Z330" s="18">
        <f>ROUND(R330/1.384,-3)</f>
        <v>259000</v>
      </c>
      <c r="AA330" s="11">
        <f t="shared" si="17"/>
        <v>0</v>
      </c>
      <c r="AB330" s="11">
        <v>2041</v>
      </c>
      <c r="AC330" s="11">
        <v>2041</v>
      </c>
      <c r="AD330" s="11">
        <v>2041</v>
      </c>
      <c r="AE330" s="19">
        <f>ROUND((Z330*'Data-CostAssumptions'!$G$5)*(1+'Data-CostAssumptions'!$G$3)^(AB330-'Data-CostAssumptions'!$G$4),-3)</f>
        <v>146000</v>
      </c>
      <c r="AF330" s="19">
        <f>ROUND((Z330)*(1+'Data-CostAssumptions'!$G$3)^(AD330-'Data-CostAssumptions'!$G$4),-3)</f>
        <v>664000</v>
      </c>
      <c r="AG330" s="170" t="str">
        <f t="shared" si="18"/>
        <v>No</v>
      </c>
    </row>
    <row r="331" spans="1:33" ht="15" customHeight="1" x14ac:dyDescent="0.2">
      <c r="B331" s="11" t="s">
        <v>1211</v>
      </c>
      <c r="C331" s="13">
        <v>368</v>
      </c>
      <c r="D331" s="13" t="s">
        <v>420</v>
      </c>
      <c r="E331" s="20">
        <v>129</v>
      </c>
      <c r="F331" s="20">
        <v>161</v>
      </c>
      <c r="G331" s="20">
        <v>579</v>
      </c>
      <c r="H331" s="13" t="s">
        <v>2051</v>
      </c>
      <c r="I331" s="13" t="str">
        <f t="shared" si="19"/>
        <v>NW 12th Av (NW 62nd St/Cypress Creek Rd to McNab Rd)</v>
      </c>
      <c r="J331" s="13" t="s">
        <v>27</v>
      </c>
      <c r="K331" s="13" t="str">
        <f>VLOOKUP(J331,'Data-ProjectTypes'!A$3:B$13,2,FALSE)</f>
        <v>Program</v>
      </c>
      <c r="L331" s="21" t="s">
        <v>348</v>
      </c>
      <c r="M331" s="13" t="s">
        <v>1928</v>
      </c>
      <c r="N331" s="13" t="s">
        <v>1854</v>
      </c>
      <c r="O331" s="13" t="s">
        <v>273</v>
      </c>
      <c r="P331" s="13" t="s">
        <v>273</v>
      </c>
      <c r="Q331" s="22">
        <v>0.5</v>
      </c>
      <c r="R331" s="23">
        <v>185455</v>
      </c>
      <c r="S331" s="21"/>
      <c r="T331" s="21"/>
      <c r="U331" s="21"/>
      <c r="V331" s="24"/>
      <c r="W331" s="24"/>
      <c r="X331" s="24"/>
      <c r="Y331" s="17"/>
      <c r="Z331" s="18">
        <f>ROUND(R331*'Data-CostAssumptions'!$C$3,-3)</f>
        <v>257000</v>
      </c>
      <c r="AA331" s="11">
        <f t="shared" si="17"/>
        <v>0</v>
      </c>
      <c r="AB331" s="11">
        <v>2041</v>
      </c>
      <c r="AC331" s="11">
        <v>2041</v>
      </c>
      <c r="AD331" s="11">
        <v>2041</v>
      </c>
      <c r="AE331" s="19">
        <f>ROUND((Z331*'Data-CostAssumptions'!$G$5)*(1+'Data-CostAssumptions'!$G$3)^(AB331-'Data-CostAssumptions'!$G$4),-3)</f>
        <v>145000</v>
      </c>
      <c r="AF331" s="19">
        <f>ROUND((Z331)*(1+'Data-CostAssumptions'!$G$3)^(AD331-'Data-CostAssumptions'!$G$4),-3)</f>
        <v>659000</v>
      </c>
      <c r="AG331" s="170" t="str">
        <f t="shared" si="18"/>
        <v>No</v>
      </c>
    </row>
    <row r="332" spans="1:33" ht="15" customHeight="1" x14ac:dyDescent="0.2">
      <c r="B332" s="11" t="s">
        <v>1211</v>
      </c>
      <c r="C332" s="13">
        <v>514</v>
      </c>
      <c r="D332" s="13" t="s">
        <v>420</v>
      </c>
      <c r="E332" s="20">
        <v>173</v>
      </c>
      <c r="F332" s="20">
        <v>170</v>
      </c>
      <c r="G332" s="20">
        <v>719</v>
      </c>
      <c r="H332" s="13" t="s">
        <v>2708</v>
      </c>
      <c r="I332" s="13" t="str">
        <f t="shared" si="19"/>
        <v>SR 845/North Powerline Rd (Hillsboro Bl to North end of Powerline Rd)</v>
      </c>
      <c r="J332" s="13" t="s">
        <v>27</v>
      </c>
      <c r="K332" s="13" t="str">
        <f>VLOOKUP(J332,'Data-ProjectTypes'!A$3:B$13,2,FALSE)</f>
        <v>Program</v>
      </c>
      <c r="L332" s="21" t="s">
        <v>348</v>
      </c>
      <c r="M332" s="13" t="s">
        <v>1819</v>
      </c>
      <c r="N332" s="13" t="s">
        <v>2430</v>
      </c>
      <c r="O332" s="13" t="s">
        <v>270</v>
      </c>
      <c r="P332" s="13" t="s">
        <v>270</v>
      </c>
      <c r="Q332" s="22">
        <v>0.7</v>
      </c>
      <c r="R332" s="23">
        <v>257168</v>
      </c>
      <c r="S332" s="21" t="s">
        <v>24</v>
      </c>
      <c r="T332" s="21" t="s">
        <v>25</v>
      </c>
      <c r="U332" s="21"/>
      <c r="V332" s="24"/>
      <c r="W332" s="24" t="s">
        <v>518</v>
      </c>
      <c r="X332" s="24"/>
      <c r="Y332" s="17" t="s">
        <v>297</v>
      </c>
      <c r="Z332" s="18">
        <f>ROUND(R332*'Data-CostAssumptions'!$C$8,-3)</f>
        <v>257000</v>
      </c>
      <c r="AA332" s="11">
        <f t="shared" si="17"/>
        <v>1</v>
      </c>
      <c r="AB332" s="11">
        <v>2041</v>
      </c>
      <c r="AC332" s="11">
        <v>2041</v>
      </c>
      <c r="AD332" s="11">
        <v>2041</v>
      </c>
      <c r="AE332" s="19">
        <f>ROUND((Z332*'Data-CostAssumptions'!$G$5)*(1+'Data-CostAssumptions'!$G$3)^(AB332-'Data-CostAssumptions'!$G$4),-3)</f>
        <v>145000</v>
      </c>
      <c r="AF332" s="19">
        <f>ROUND((Z332)*(1+'Data-CostAssumptions'!$G$3)^(AD332-'Data-CostAssumptions'!$G$4),-3)</f>
        <v>659000</v>
      </c>
      <c r="AG332" s="170" t="str">
        <f t="shared" si="18"/>
        <v>No</v>
      </c>
    </row>
    <row r="333" spans="1:33" ht="15" customHeight="1" x14ac:dyDescent="0.2">
      <c r="B333" s="11" t="s">
        <v>1211</v>
      </c>
      <c r="C333" s="13">
        <v>390</v>
      </c>
      <c r="D333" s="13" t="s">
        <v>420</v>
      </c>
      <c r="E333" s="20">
        <v>304</v>
      </c>
      <c r="F333" s="20">
        <v>163</v>
      </c>
      <c r="G333" s="20">
        <v>601</v>
      </c>
      <c r="H333" s="13" t="s">
        <v>2087</v>
      </c>
      <c r="I333" s="13" t="str">
        <f t="shared" si="19"/>
        <v>SE 10th Av (SE 17th St to SE 12th St)</v>
      </c>
      <c r="J333" s="13" t="s">
        <v>27</v>
      </c>
      <c r="K333" s="13" t="str">
        <f>VLOOKUP(J333,'Data-ProjectTypes'!A$3:B$13,2,FALSE)</f>
        <v>Program</v>
      </c>
      <c r="L333" s="21" t="s">
        <v>348</v>
      </c>
      <c r="M333" s="13" t="s">
        <v>182</v>
      </c>
      <c r="N333" s="13" t="s">
        <v>1938</v>
      </c>
      <c r="O333" s="13" t="s">
        <v>276</v>
      </c>
      <c r="P333" s="13" t="s">
        <v>276</v>
      </c>
      <c r="Q333" s="22">
        <v>0.5</v>
      </c>
      <c r="R333" s="23">
        <v>183244</v>
      </c>
      <c r="S333" s="21" t="s">
        <v>350</v>
      </c>
      <c r="T333" s="21"/>
      <c r="U333" s="21"/>
      <c r="V333" s="24"/>
      <c r="W333" s="24" t="s">
        <v>580</v>
      </c>
      <c r="X333" s="24"/>
      <c r="Y333" s="17" t="s">
        <v>3019</v>
      </c>
      <c r="Z333" s="71">
        <f>ROUND(R333*'Data-CostAssumptions'!$C$3,-3)</f>
        <v>254000</v>
      </c>
      <c r="AA333" s="11">
        <f t="shared" si="17"/>
        <v>1</v>
      </c>
      <c r="AB333" s="11">
        <v>2041</v>
      </c>
      <c r="AC333" s="11">
        <v>2041</v>
      </c>
      <c r="AD333" s="11">
        <v>2041</v>
      </c>
      <c r="AE333" s="19">
        <f>ROUND((Z333*'Data-CostAssumptions'!$G$5)*(1+'Data-CostAssumptions'!$G$3)^(AB333-'Data-CostAssumptions'!$G$4),-3)</f>
        <v>143000</v>
      </c>
      <c r="AF333" s="19">
        <f>ROUND((Z333)*(1+'Data-CostAssumptions'!$G$3)^(AD333-'Data-CostAssumptions'!$G$4),-3)</f>
        <v>651000</v>
      </c>
      <c r="AG333" s="170" t="str">
        <f t="shared" si="18"/>
        <v>No</v>
      </c>
    </row>
    <row r="334" spans="1:33" ht="15" customHeight="1" x14ac:dyDescent="0.2">
      <c r="B334" s="11" t="s">
        <v>1211</v>
      </c>
      <c r="C334" s="13">
        <v>588</v>
      </c>
      <c r="D334" s="13" t="s">
        <v>420</v>
      </c>
      <c r="E334" s="20">
        <v>76</v>
      </c>
      <c r="F334" s="20">
        <v>174</v>
      </c>
      <c r="G334" s="20">
        <v>792</v>
      </c>
      <c r="H334" s="13" t="s">
        <v>2115</v>
      </c>
      <c r="I334" s="13" t="str">
        <f t="shared" si="19"/>
        <v>SW 19th Av/SW 16th St (SW 15th Av to Just north of Davie Bl)</v>
      </c>
      <c r="J334" s="13" t="s">
        <v>27</v>
      </c>
      <c r="K334" s="13" t="str">
        <f>VLOOKUP(J334,'Data-ProjectTypes'!A$3:B$13,2,FALSE)</f>
        <v>Program</v>
      </c>
      <c r="L334" s="21" t="s">
        <v>348</v>
      </c>
      <c r="M334" s="13" t="s">
        <v>2106</v>
      </c>
      <c r="N334" s="13" t="s">
        <v>2288</v>
      </c>
      <c r="O334" s="13" t="s">
        <v>270</v>
      </c>
      <c r="P334" s="13" t="s">
        <v>270</v>
      </c>
      <c r="Q334" s="22">
        <v>0.7</v>
      </c>
      <c r="R334" s="23">
        <v>254095</v>
      </c>
      <c r="V334" s="85" t="s">
        <v>1162</v>
      </c>
      <c r="Y334" s="12"/>
      <c r="Z334" s="18">
        <f>ROUND(R334*'Data-CostAssumptions'!$C$5,-3)</f>
        <v>254000</v>
      </c>
      <c r="AA334" s="11">
        <f t="shared" si="17"/>
        <v>1</v>
      </c>
      <c r="AB334" s="11">
        <v>2041</v>
      </c>
      <c r="AC334" s="11">
        <v>2041</v>
      </c>
      <c r="AD334" s="11">
        <v>2041</v>
      </c>
      <c r="AE334" s="19">
        <f>ROUND((Z334*'Data-CostAssumptions'!$G$5)*(1+'Data-CostAssumptions'!$G$3)^(AB334-'Data-CostAssumptions'!$G$4),-3)</f>
        <v>143000</v>
      </c>
      <c r="AF334" s="19">
        <f>ROUND((Z334)*(1+'Data-CostAssumptions'!$G$3)^(AD334-'Data-CostAssumptions'!$G$4),-3)</f>
        <v>651000</v>
      </c>
      <c r="AG334" s="170" t="str">
        <f t="shared" si="18"/>
        <v>No</v>
      </c>
    </row>
    <row r="335" spans="1:33" ht="15" customHeight="1" x14ac:dyDescent="0.2">
      <c r="B335" s="11" t="s">
        <v>1211</v>
      </c>
      <c r="C335" s="13">
        <v>367</v>
      </c>
      <c r="D335" s="13" t="s">
        <v>420</v>
      </c>
      <c r="E335" s="20">
        <v>128</v>
      </c>
      <c r="F335" s="20">
        <v>161</v>
      </c>
      <c r="G335" s="20">
        <v>578</v>
      </c>
      <c r="H335" s="13" t="s">
        <v>2054</v>
      </c>
      <c r="I335" s="13" t="str">
        <f t="shared" si="19"/>
        <v>NW 15th Av (NW 62nd St/Cypress Creek Rd to McNab Rd)</v>
      </c>
      <c r="J335" s="13" t="s">
        <v>27</v>
      </c>
      <c r="K335" s="13" t="str">
        <f>VLOOKUP(J335,'Data-ProjectTypes'!A$3:B$13,2,FALSE)</f>
        <v>Program</v>
      </c>
      <c r="L335" s="21" t="s">
        <v>348</v>
      </c>
      <c r="M335" s="13" t="s">
        <v>1928</v>
      </c>
      <c r="N335" s="13" t="s">
        <v>1854</v>
      </c>
      <c r="O335" s="13" t="s">
        <v>273</v>
      </c>
      <c r="P335" s="13" t="s">
        <v>273</v>
      </c>
      <c r="Q335" s="22">
        <v>0.5</v>
      </c>
      <c r="R335" s="23">
        <v>182971</v>
      </c>
      <c r="S335" s="21" t="s">
        <v>24</v>
      </c>
      <c r="T335" s="21"/>
      <c r="U335" s="21"/>
      <c r="V335" s="24"/>
      <c r="W335" s="24"/>
      <c r="X335" s="31" t="s">
        <v>755</v>
      </c>
      <c r="Y335" s="17" t="s">
        <v>742</v>
      </c>
      <c r="Z335" s="18">
        <f>ROUND(R335*'Data-CostAssumptions'!$C$3,-3)</f>
        <v>253000</v>
      </c>
      <c r="AA335" s="11">
        <f t="shared" si="17"/>
        <v>0</v>
      </c>
      <c r="AB335" s="11">
        <v>2041</v>
      </c>
      <c r="AC335" s="11">
        <v>2041</v>
      </c>
      <c r="AD335" s="11">
        <v>2041</v>
      </c>
      <c r="AE335" s="19">
        <f>ROUND((Z335*'Data-CostAssumptions'!$G$5)*(1+'Data-CostAssumptions'!$G$3)^(AB335-'Data-CostAssumptions'!$G$4),-3)</f>
        <v>143000</v>
      </c>
      <c r="AF335" s="19">
        <f>ROUND((Z335)*(1+'Data-CostAssumptions'!$G$3)^(AD335-'Data-CostAssumptions'!$G$4),-3)</f>
        <v>649000</v>
      </c>
      <c r="AG335" s="170" t="str">
        <f t="shared" si="18"/>
        <v>No</v>
      </c>
    </row>
    <row r="336" spans="1:33" ht="15" customHeight="1" x14ac:dyDescent="0.2">
      <c r="B336" s="11" t="s">
        <v>1211</v>
      </c>
      <c r="C336" s="13">
        <v>511</v>
      </c>
      <c r="D336" s="13" t="s">
        <v>420</v>
      </c>
      <c r="E336" s="20">
        <v>163</v>
      </c>
      <c r="F336" s="20">
        <v>170</v>
      </c>
      <c r="G336" s="20">
        <v>716</v>
      </c>
      <c r="H336" s="13" t="s">
        <v>1785</v>
      </c>
      <c r="I336" s="13" t="str">
        <f t="shared" si="19"/>
        <v>Coral Hills Dr (NW 25th Court to Sample Rd)</v>
      </c>
      <c r="J336" s="13" t="s">
        <v>27</v>
      </c>
      <c r="K336" s="13" t="str">
        <f>VLOOKUP(J336,'Data-ProjectTypes'!A$3:B$13,2,FALSE)</f>
        <v>Program</v>
      </c>
      <c r="L336" s="21" t="s">
        <v>348</v>
      </c>
      <c r="M336" s="13" t="s">
        <v>108</v>
      </c>
      <c r="N336" s="13" t="s">
        <v>1864</v>
      </c>
      <c r="O336" s="13" t="s">
        <v>292</v>
      </c>
      <c r="P336" s="13" t="s">
        <v>292</v>
      </c>
      <c r="Q336" s="22">
        <v>0.7</v>
      </c>
      <c r="R336" s="23">
        <v>251013</v>
      </c>
      <c r="S336" s="21" t="s">
        <v>24</v>
      </c>
      <c r="T336" s="21"/>
      <c r="U336" s="21"/>
      <c r="V336" s="24"/>
      <c r="W336" s="24"/>
      <c r="X336" s="24"/>
      <c r="Y336" s="17" t="s">
        <v>469</v>
      </c>
      <c r="Z336" s="18">
        <f>ROUND(R336*'Data-CostAssumptions'!$C$8,-3)</f>
        <v>251000</v>
      </c>
      <c r="AA336" s="11">
        <f t="shared" si="17"/>
        <v>0</v>
      </c>
      <c r="AB336" s="11">
        <v>2041</v>
      </c>
      <c r="AC336" s="11">
        <v>2041</v>
      </c>
      <c r="AD336" s="11">
        <v>2041</v>
      </c>
      <c r="AE336" s="19">
        <f>ROUND((Z336*'Data-CostAssumptions'!$G$5)*(1+'Data-CostAssumptions'!$G$3)^(AB336-'Data-CostAssumptions'!$G$4),-3)</f>
        <v>142000</v>
      </c>
      <c r="AF336" s="19">
        <f>ROUND((Z336)*(1+'Data-CostAssumptions'!$G$3)^(AD336-'Data-CostAssumptions'!$G$4),-3)</f>
        <v>644000</v>
      </c>
      <c r="AG336" s="170" t="str">
        <f t="shared" si="18"/>
        <v>No</v>
      </c>
    </row>
    <row r="337" spans="1:33" ht="15" customHeight="1" x14ac:dyDescent="0.2">
      <c r="B337" s="11" t="s">
        <v>1211</v>
      </c>
      <c r="C337" s="13">
        <v>509</v>
      </c>
      <c r="D337" s="13" t="s">
        <v>420</v>
      </c>
      <c r="E337" s="20">
        <v>153</v>
      </c>
      <c r="F337" s="20">
        <v>170</v>
      </c>
      <c r="G337" s="20">
        <v>714</v>
      </c>
      <c r="H337" s="13" t="s">
        <v>1930</v>
      </c>
      <c r="I337" s="13" t="str">
        <f t="shared" si="19"/>
        <v>NW 75th St (NW 80th Av to Pine Island Rd)</v>
      </c>
      <c r="J337" s="13" t="s">
        <v>27</v>
      </c>
      <c r="K337" s="13" t="str">
        <f>VLOOKUP(J337,'Data-ProjectTypes'!A$3:B$13,2,FALSE)</f>
        <v>Program</v>
      </c>
      <c r="L337" s="21" t="s">
        <v>348</v>
      </c>
      <c r="M337" s="13" t="s">
        <v>2248</v>
      </c>
      <c r="N337" s="13" t="s">
        <v>266</v>
      </c>
      <c r="O337" s="13" t="s">
        <v>280</v>
      </c>
      <c r="P337" s="13" t="s">
        <v>280</v>
      </c>
      <c r="Q337" s="22">
        <v>0.7</v>
      </c>
      <c r="R337" s="23">
        <v>249724</v>
      </c>
      <c r="Y337" s="17"/>
      <c r="Z337" s="18">
        <f>ROUND(R337*'Data-CostAssumptions'!$C$8,-3)</f>
        <v>250000</v>
      </c>
      <c r="AA337" s="11">
        <f t="shared" si="17"/>
        <v>0</v>
      </c>
      <c r="AB337" s="11">
        <v>2041</v>
      </c>
      <c r="AC337" s="11">
        <v>2041</v>
      </c>
      <c r="AD337" s="11">
        <v>2041</v>
      </c>
      <c r="AE337" s="19">
        <f>ROUND((Z337*'Data-CostAssumptions'!$G$5)*(1+'Data-CostAssumptions'!$G$3)^(AB337-'Data-CostAssumptions'!$G$4),-3)</f>
        <v>141000</v>
      </c>
      <c r="AF337" s="19">
        <f>ROUND((Z337)*(1+'Data-CostAssumptions'!$G$3)^(AD337-'Data-CostAssumptions'!$G$4),-3)</f>
        <v>641000</v>
      </c>
      <c r="AG337" s="170" t="str">
        <f t="shared" si="18"/>
        <v>No</v>
      </c>
    </row>
    <row r="338" spans="1:33" ht="15" customHeight="1" x14ac:dyDescent="0.2">
      <c r="B338" s="11" t="s">
        <v>1211</v>
      </c>
      <c r="C338" s="13">
        <v>606</v>
      </c>
      <c r="D338" s="13" t="s">
        <v>420</v>
      </c>
      <c r="E338" s="20">
        <v>332</v>
      </c>
      <c r="F338" s="20">
        <v>175</v>
      </c>
      <c r="G338" s="20">
        <v>808</v>
      </c>
      <c r="H338" s="13" t="s">
        <v>250</v>
      </c>
      <c r="I338" s="13" t="str">
        <f t="shared" si="19"/>
        <v>SW 36th Court (Flamingo Rd to West end of the Rd)</v>
      </c>
      <c r="J338" s="13" t="s">
        <v>27</v>
      </c>
      <c r="K338" s="13" t="str">
        <f>VLOOKUP(J338,'Data-ProjectTypes'!A$3:B$13,2,FALSE)</f>
        <v>Program</v>
      </c>
      <c r="L338" s="21" t="s">
        <v>348</v>
      </c>
      <c r="M338" s="13" t="s">
        <v>159</v>
      </c>
      <c r="N338" s="13" t="s">
        <v>2460</v>
      </c>
      <c r="O338" s="13" t="s">
        <v>270</v>
      </c>
      <c r="P338" s="13" t="s">
        <v>270</v>
      </c>
      <c r="Q338" s="22">
        <v>0.5</v>
      </c>
      <c r="R338" s="23">
        <v>180438</v>
      </c>
      <c r="Y338" s="12"/>
      <c r="Z338" s="18">
        <f>ROUND(R338*'Data-CostAssumptions'!$C$3,-3)</f>
        <v>250000</v>
      </c>
      <c r="AA338" s="11">
        <f t="shared" si="17"/>
        <v>0</v>
      </c>
      <c r="AB338" s="11">
        <v>2041</v>
      </c>
      <c r="AC338" s="11">
        <v>2041</v>
      </c>
      <c r="AD338" s="11">
        <v>2041</v>
      </c>
      <c r="AE338" s="19">
        <f>ROUND((Z338*'Data-CostAssumptions'!$G$5)*(1+'Data-CostAssumptions'!$G$3)^(AB338-'Data-CostAssumptions'!$G$4),-3)</f>
        <v>141000</v>
      </c>
      <c r="AF338" s="19">
        <f>ROUND((Z338)*(1+'Data-CostAssumptions'!$G$3)^(AD338-'Data-CostAssumptions'!$G$4),-3)</f>
        <v>641000</v>
      </c>
      <c r="AG338" s="170" t="str">
        <f t="shared" si="18"/>
        <v>No</v>
      </c>
    </row>
    <row r="339" spans="1:33" ht="15" customHeight="1" x14ac:dyDescent="0.2">
      <c r="A339" s="76"/>
      <c r="B339" s="76" t="s">
        <v>1211</v>
      </c>
      <c r="C339" s="76">
        <v>12293</v>
      </c>
      <c r="D339" s="144" t="s">
        <v>282</v>
      </c>
      <c r="E339" s="77"/>
      <c r="F339" s="77"/>
      <c r="G339" s="20">
        <v>1783</v>
      </c>
      <c r="H339" s="47" t="s">
        <v>2813</v>
      </c>
      <c r="I339" s="47" t="str">
        <f t="shared" si="19"/>
        <v>SR 820/Hollywood Bl (West of RR Tracks to )</v>
      </c>
      <c r="J339" s="76" t="s">
        <v>27</v>
      </c>
      <c r="K339" s="47" t="str">
        <f>VLOOKUP(J339,'Data-ProjectTypes'!A$3:B$13,2,FALSE)</f>
        <v>Program</v>
      </c>
      <c r="L339" s="142" t="s">
        <v>631</v>
      </c>
      <c r="M339" s="76" t="s">
        <v>655</v>
      </c>
      <c r="N339" s="76"/>
      <c r="O339" s="76"/>
      <c r="P339" s="76"/>
      <c r="Q339" s="79">
        <v>0</v>
      </c>
      <c r="R339" s="143">
        <v>250000</v>
      </c>
      <c r="S339" s="12"/>
      <c r="T339" s="12"/>
      <c r="U339" s="12"/>
      <c r="V339" s="12"/>
      <c r="W339" s="12"/>
      <c r="X339" s="12"/>
      <c r="Y339" s="12"/>
      <c r="Z339" s="18">
        <f>ROUND(R339*'Data-CostAssumptions'!$C$8,-3)</f>
        <v>250000</v>
      </c>
      <c r="AA339" s="11">
        <f t="shared" si="17"/>
        <v>0</v>
      </c>
      <c r="AB339" s="11">
        <v>2041</v>
      </c>
      <c r="AC339" s="11">
        <v>2041</v>
      </c>
      <c r="AD339" s="11">
        <v>2041</v>
      </c>
      <c r="AE339" s="19">
        <f>ROUND((Z339*'Data-CostAssumptions'!$G$5)*(1+'Data-CostAssumptions'!$G$3)^(AB339-'Data-CostAssumptions'!$G$4),-3)</f>
        <v>141000</v>
      </c>
      <c r="AF339" s="19">
        <f>ROUND((Z339)*(1+'Data-CostAssumptions'!$G$3)^(AD339-'Data-CostAssumptions'!$G$4),-3)</f>
        <v>641000</v>
      </c>
      <c r="AG339" s="170" t="str">
        <f t="shared" si="18"/>
        <v>No</v>
      </c>
    </row>
    <row r="340" spans="1:33" ht="15" customHeight="1" x14ac:dyDescent="0.2">
      <c r="B340" s="11" t="s">
        <v>1211</v>
      </c>
      <c r="C340" s="13">
        <v>431</v>
      </c>
      <c r="D340" s="13" t="s">
        <v>420</v>
      </c>
      <c r="E340" s="20">
        <v>155</v>
      </c>
      <c r="F340" s="20">
        <v>165</v>
      </c>
      <c r="G340" s="20">
        <v>641</v>
      </c>
      <c r="H340" s="13" t="s">
        <v>1931</v>
      </c>
      <c r="I340" s="13" t="str">
        <f t="shared" si="19"/>
        <v>NW 76th St (NW 70th Av to University Dr)</v>
      </c>
      <c r="J340" s="13" t="s">
        <v>27</v>
      </c>
      <c r="K340" s="13" t="str">
        <f>VLOOKUP(J340,'Data-ProjectTypes'!A$3:B$13,2,FALSE)</f>
        <v>Program</v>
      </c>
      <c r="L340" s="21" t="s">
        <v>348</v>
      </c>
      <c r="M340" s="13" t="s">
        <v>2078</v>
      </c>
      <c r="N340" s="13" t="s">
        <v>1804</v>
      </c>
      <c r="O340" s="13" t="s">
        <v>280</v>
      </c>
      <c r="P340" s="13" t="s">
        <v>280</v>
      </c>
      <c r="Q340" s="22">
        <v>0.5</v>
      </c>
      <c r="R340" s="23">
        <v>178572</v>
      </c>
      <c r="S340" s="21" t="s">
        <v>24</v>
      </c>
      <c r="T340" s="21" t="s">
        <v>684</v>
      </c>
      <c r="U340" s="21" t="s">
        <v>684</v>
      </c>
      <c r="V340" s="24"/>
      <c r="W340" s="24"/>
      <c r="X340" s="24"/>
      <c r="Y340" s="17" t="s">
        <v>685</v>
      </c>
      <c r="Z340" s="18">
        <f>ROUND(R340*'Data-CostAssumptions'!$C$3,-3)</f>
        <v>247000</v>
      </c>
      <c r="AA340" s="11">
        <f t="shared" si="17"/>
        <v>0</v>
      </c>
      <c r="AB340" s="11">
        <v>2041</v>
      </c>
      <c r="AC340" s="11">
        <v>2041</v>
      </c>
      <c r="AD340" s="11">
        <v>2041</v>
      </c>
      <c r="AE340" s="19">
        <f>ROUND((Z340*'Data-CostAssumptions'!$G$5)*(1+'Data-CostAssumptions'!$G$3)^(AB340-'Data-CostAssumptions'!$G$4),-3)</f>
        <v>139000</v>
      </c>
      <c r="AF340" s="19">
        <f>ROUND((Z340)*(1+'Data-CostAssumptions'!$G$3)^(AD340-'Data-CostAssumptions'!$G$4),-3)</f>
        <v>633000</v>
      </c>
      <c r="AG340" s="170" t="str">
        <f t="shared" si="18"/>
        <v>No</v>
      </c>
    </row>
    <row r="341" spans="1:33" ht="15" customHeight="1" x14ac:dyDescent="0.2">
      <c r="B341" s="11" t="s">
        <v>1211</v>
      </c>
      <c r="C341" s="13">
        <v>613</v>
      </c>
      <c r="D341" s="13" t="s">
        <v>420</v>
      </c>
      <c r="E341" s="20">
        <v>440</v>
      </c>
      <c r="F341" s="20">
        <v>176</v>
      </c>
      <c r="G341" s="20">
        <v>814</v>
      </c>
      <c r="H341" s="13" t="s">
        <v>231</v>
      </c>
      <c r="I341" s="13" t="str">
        <f t="shared" si="19"/>
        <v>Crystreetal Lake 
Drive (Just west of NW 9th Av to NW 45th St)</v>
      </c>
      <c r="J341" s="13" t="s">
        <v>27</v>
      </c>
      <c r="K341" s="13" t="str">
        <f>VLOOKUP(J341,'Data-ProjectTypes'!A$3:B$13,2,FALSE)</f>
        <v>Program</v>
      </c>
      <c r="L341" s="21" t="s">
        <v>348</v>
      </c>
      <c r="M341" s="13" t="s">
        <v>2342</v>
      </c>
      <c r="N341" s="13" t="s">
        <v>1923</v>
      </c>
      <c r="O341" s="13" t="s">
        <v>289</v>
      </c>
      <c r="P341" s="13" t="s">
        <v>289</v>
      </c>
      <c r="Q341" s="22">
        <v>0.7</v>
      </c>
      <c r="R341" s="23">
        <v>247264</v>
      </c>
      <c r="Y341" s="12"/>
      <c r="Z341" s="71">
        <f>ROUND(R341*'Data-CostAssumptions'!$C$8,-3)</f>
        <v>247000</v>
      </c>
      <c r="AA341" s="11">
        <f t="shared" si="17"/>
        <v>0</v>
      </c>
      <c r="AB341" s="11">
        <v>2041</v>
      </c>
      <c r="AC341" s="11">
        <v>2041</v>
      </c>
      <c r="AD341" s="11">
        <v>2041</v>
      </c>
      <c r="AE341" s="19">
        <f>ROUND((Z341*'Data-CostAssumptions'!$G$5)*(1+'Data-CostAssumptions'!$G$3)^(AB341-'Data-CostAssumptions'!$G$4),-3)</f>
        <v>139000</v>
      </c>
      <c r="AF341" s="19">
        <f>ROUND((Z341)*(1+'Data-CostAssumptions'!$G$3)^(AD341-'Data-CostAssumptions'!$G$4),-3)</f>
        <v>633000</v>
      </c>
      <c r="AG341" s="170" t="str">
        <f t="shared" si="18"/>
        <v>No</v>
      </c>
    </row>
    <row r="342" spans="1:33" ht="15" customHeight="1" x14ac:dyDescent="0.2">
      <c r="A342" s="12"/>
      <c r="B342" s="11" t="s">
        <v>1211</v>
      </c>
      <c r="C342" s="12"/>
      <c r="D342" s="84" t="s">
        <v>276</v>
      </c>
      <c r="E342" s="104">
        <v>48</v>
      </c>
      <c r="F342" s="104"/>
      <c r="G342" s="20">
        <v>1566</v>
      </c>
      <c r="H342" s="13" t="s">
        <v>1230</v>
      </c>
      <c r="I342" s="13" t="str">
        <f t="shared" si="19"/>
        <v>NE 6TH ST (NE 14TH Av to VICTORIA TER)</v>
      </c>
      <c r="J342" s="12" t="s">
        <v>27</v>
      </c>
      <c r="K342" s="13" t="str">
        <f>VLOOKUP(J342,'Data-ProjectTypes'!A$3:B$13,2,FALSE)</f>
        <v>Program</v>
      </c>
      <c r="L342" s="12" t="s">
        <v>1308</v>
      </c>
      <c r="M342" s="105" t="s">
        <v>2142</v>
      </c>
      <c r="N342" s="12" t="s">
        <v>1441</v>
      </c>
      <c r="O342" s="12"/>
      <c r="P342" s="12"/>
      <c r="Q342" s="72">
        <v>0.4</v>
      </c>
      <c r="R342" s="23">
        <v>247000</v>
      </c>
      <c r="Y342" s="12"/>
      <c r="Z342" s="18">
        <f>ROUND(R342*'Data-CostAssumptions'!$C$8,-3)</f>
        <v>247000</v>
      </c>
      <c r="AA342" s="11">
        <f t="shared" si="17"/>
        <v>0</v>
      </c>
      <c r="AB342" s="11">
        <v>2041</v>
      </c>
      <c r="AC342" s="11">
        <v>2041</v>
      </c>
      <c r="AD342" s="11">
        <v>2041</v>
      </c>
      <c r="AE342" s="19">
        <f>ROUND((Z342*'Data-CostAssumptions'!$G$5)*(1+'Data-CostAssumptions'!$G$3)^(AB342-'Data-CostAssumptions'!$G$4),-3)</f>
        <v>139000</v>
      </c>
      <c r="AF342" s="19">
        <f>ROUND((Z342)*(1+'Data-CostAssumptions'!$G$3)^(AD342-'Data-CostAssumptions'!$G$4),-3)</f>
        <v>633000</v>
      </c>
      <c r="AG342" s="170" t="str">
        <f t="shared" si="18"/>
        <v>No</v>
      </c>
    </row>
    <row r="343" spans="1:33" ht="15" customHeight="1" x14ac:dyDescent="0.2">
      <c r="B343" s="11" t="s">
        <v>1211</v>
      </c>
      <c r="C343" s="13">
        <v>529</v>
      </c>
      <c r="D343" s="13" t="s">
        <v>420</v>
      </c>
      <c r="E343" s="20">
        <v>279</v>
      </c>
      <c r="F343" s="20">
        <v>171</v>
      </c>
      <c r="G343" s="20">
        <v>733</v>
      </c>
      <c r="H343" s="13" t="s">
        <v>2055</v>
      </c>
      <c r="I343" s="13" t="str">
        <f t="shared" si="19"/>
        <v>NW 196th Av (Taft St to Sheridan St)</v>
      </c>
      <c r="J343" s="13" t="s">
        <v>27</v>
      </c>
      <c r="K343" s="13" t="str">
        <f>VLOOKUP(J343,'Data-ProjectTypes'!A$3:B$13,2,FALSE)</f>
        <v>Program</v>
      </c>
      <c r="L343" s="21" t="s">
        <v>348</v>
      </c>
      <c r="M343" s="13" t="s">
        <v>1968</v>
      </c>
      <c r="N343" s="13" t="s">
        <v>1951</v>
      </c>
      <c r="O343" s="13" t="s">
        <v>271</v>
      </c>
      <c r="P343" s="13" t="s">
        <v>271</v>
      </c>
      <c r="Q343" s="22">
        <v>0.7</v>
      </c>
      <c r="R343" s="23">
        <v>245220</v>
      </c>
      <c r="S343" s="21"/>
      <c r="T343" s="21"/>
      <c r="U343" s="21"/>
      <c r="V343" s="24"/>
      <c r="W343" s="24" t="s">
        <v>491</v>
      </c>
      <c r="X343" s="24"/>
      <c r="Y343" s="17" t="s">
        <v>492</v>
      </c>
      <c r="Z343" s="18">
        <f>ROUND(R343*'Data-CostAssumptions'!$C$8,-3)</f>
        <v>245000</v>
      </c>
      <c r="AA343" s="11">
        <f t="shared" si="17"/>
        <v>1</v>
      </c>
      <c r="AB343" s="11">
        <v>2041</v>
      </c>
      <c r="AC343" s="11">
        <v>2041</v>
      </c>
      <c r="AD343" s="11">
        <v>2041</v>
      </c>
      <c r="AE343" s="19">
        <f>ROUND((Z343*'Data-CostAssumptions'!$G$5)*(1+'Data-CostAssumptions'!$G$3)^(AB343-'Data-CostAssumptions'!$G$4),-3)</f>
        <v>138000</v>
      </c>
      <c r="AF343" s="19">
        <f>ROUND((Z343)*(1+'Data-CostAssumptions'!$G$3)^(AD343-'Data-CostAssumptions'!$G$4),-3)</f>
        <v>628000</v>
      </c>
      <c r="AG343" s="170" t="str">
        <f t="shared" si="18"/>
        <v>No</v>
      </c>
    </row>
    <row r="344" spans="1:33" ht="15" customHeight="1" x14ac:dyDescent="0.2">
      <c r="B344" s="11" t="s">
        <v>1211</v>
      </c>
      <c r="C344" s="13">
        <v>615</v>
      </c>
      <c r="D344" s="13" t="s">
        <v>420</v>
      </c>
      <c r="E344" s="20">
        <v>150</v>
      </c>
      <c r="F344" s="20">
        <v>176</v>
      </c>
      <c r="G344" s="20">
        <v>816</v>
      </c>
      <c r="H344" s="13" t="s">
        <v>79</v>
      </c>
      <c r="I344" s="13" t="str">
        <f t="shared" si="19"/>
        <v>NW 84th Terrace (Commercial Bl to Lagos De Campo Bl)</v>
      </c>
      <c r="J344" s="13" t="s">
        <v>27</v>
      </c>
      <c r="K344" s="13" t="str">
        <f>VLOOKUP(J344,'Data-ProjectTypes'!A$3:B$13,2,FALSE)</f>
        <v>Program</v>
      </c>
      <c r="L344" s="21" t="s">
        <v>348</v>
      </c>
      <c r="M344" s="13" t="s">
        <v>1813</v>
      </c>
      <c r="N344" s="13" t="s">
        <v>2280</v>
      </c>
      <c r="O344" s="13" t="s">
        <v>280</v>
      </c>
      <c r="P344" s="13" t="s">
        <v>280</v>
      </c>
      <c r="Q344" s="22">
        <v>0.7</v>
      </c>
      <c r="R344" s="23">
        <v>244062</v>
      </c>
      <c r="Y344" s="12"/>
      <c r="Z344" s="71">
        <f>ROUND(R344*'Data-CostAssumptions'!$C$8,-3)</f>
        <v>244000</v>
      </c>
      <c r="AA344" s="11">
        <f t="shared" si="17"/>
        <v>0</v>
      </c>
      <c r="AB344" s="11">
        <v>2041</v>
      </c>
      <c r="AC344" s="11">
        <v>2041</v>
      </c>
      <c r="AD344" s="11">
        <v>2041</v>
      </c>
      <c r="AE344" s="19">
        <f>ROUND((Z344*'Data-CostAssumptions'!$G$5)*(1+'Data-CostAssumptions'!$G$3)^(AB344-'Data-CostAssumptions'!$G$4),-3)</f>
        <v>138000</v>
      </c>
      <c r="AF344" s="19">
        <f>ROUND((Z344)*(1+'Data-CostAssumptions'!$G$3)^(AD344-'Data-CostAssumptions'!$G$4),-3)</f>
        <v>626000</v>
      </c>
      <c r="AG344" s="170" t="str">
        <f t="shared" si="18"/>
        <v>No</v>
      </c>
    </row>
    <row r="345" spans="1:33" ht="15" customHeight="1" x14ac:dyDescent="0.2">
      <c r="B345" s="11" t="s">
        <v>1211</v>
      </c>
      <c r="C345" s="13">
        <v>425</v>
      </c>
      <c r="D345" s="13" t="s">
        <v>420</v>
      </c>
      <c r="E345" s="20">
        <v>121</v>
      </c>
      <c r="F345" s="20">
        <v>165</v>
      </c>
      <c r="G345" s="20">
        <v>634</v>
      </c>
      <c r="H345" s="13" t="s">
        <v>2726</v>
      </c>
      <c r="I345" s="13" t="str">
        <f t="shared" si="19"/>
        <v>SR 7/US 441/Coconut Creek Pkwy (Lakeside Dr to Margate Bl)</v>
      </c>
      <c r="J345" s="13" t="s">
        <v>27</v>
      </c>
      <c r="K345" s="13" t="str">
        <f>VLOOKUP(J345,'Data-ProjectTypes'!A$3:B$13,2,FALSE)</f>
        <v>Program</v>
      </c>
      <c r="L345" s="21" t="s">
        <v>348</v>
      </c>
      <c r="M345" s="13" t="s">
        <v>2679</v>
      </c>
      <c r="N345" s="13" t="s">
        <v>2285</v>
      </c>
      <c r="O345" s="13" t="s">
        <v>270</v>
      </c>
      <c r="P345" s="13" t="s">
        <v>270</v>
      </c>
      <c r="Q345" s="22">
        <v>0.5</v>
      </c>
      <c r="R345" s="23">
        <v>175792</v>
      </c>
      <c r="S345" s="21" t="s">
        <v>24</v>
      </c>
      <c r="T345" s="21" t="s">
        <v>684</v>
      </c>
      <c r="U345" s="21" t="s">
        <v>684</v>
      </c>
      <c r="V345" s="24"/>
      <c r="W345" s="24"/>
      <c r="X345" s="24"/>
      <c r="Y345" s="17" t="s">
        <v>685</v>
      </c>
      <c r="Z345" s="18">
        <f>ROUND(R345*'Data-CostAssumptions'!$C$3,-3)</f>
        <v>243000</v>
      </c>
      <c r="AA345" s="11">
        <f t="shared" si="17"/>
        <v>0</v>
      </c>
      <c r="AB345" s="11">
        <v>2041</v>
      </c>
      <c r="AC345" s="11">
        <v>2041</v>
      </c>
      <c r="AD345" s="11">
        <v>2041</v>
      </c>
      <c r="AE345" s="19">
        <f>ROUND((Z345*'Data-CostAssumptions'!$G$5)*(1+'Data-CostAssumptions'!$G$3)^(AB345-'Data-CostAssumptions'!$G$4),-3)</f>
        <v>137000</v>
      </c>
      <c r="AF345" s="19">
        <f>ROUND((Z345)*(1+'Data-CostAssumptions'!$G$3)^(AD345-'Data-CostAssumptions'!$G$4),-3)</f>
        <v>623000</v>
      </c>
      <c r="AG345" s="170" t="str">
        <f t="shared" si="18"/>
        <v>No</v>
      </c>
    </row>
    <row r="346" spans="1:33" ht="15" customHeight="1" x14ac:dyDescent="0.2">
      <c r="B346" s="11" t="s">
        <v>1211</v>
      </c>
      <c r="C346" s="13">
        <v>502</v>
      </c>
      <c r="D346" s="13" t="s">
        <v>420</v>
      </c>
      <c r="E346" s="20">
        <v>112</v>
      </c>
      <c r="F346" s="20">
        <v>169</v>
      </c>
      <c r="G346" s="20">
        <v>706</v>
      </c>
      <c r="H346" s="13" t="s">
        <v>1809</v>
      </c>
      <c r="I346" s="13" t="str">
        <f t="shared" si="19"/>
        <v>Atlantic Bl (SR A1A to NE 22nd Av)</v>
      </c>
      <c r="J346" s="13" t="s">
        <v>27</v>
      </c>
      <c r="K346" s="13" t="str">
        <f>VLOOKUP(J346,'Data-ProjectTypes'!A$3:B$13,2,FALSE)</f>
        <v>Program</v>
      </c>
      <c r="L346" s="21" t="s">
        <v>348</v>
      </c>
      <c r="M346" s="13" t="s">
        <v>110</v>
      </c>
      <c r="N346" s="13" t="s">
        <v>2217</v>
      </c>
      <c r="O346" s="13" t="s">
        <v>270</v>
      </c>
      <c r="P346" s="13" t="s">
        <v>270</v>
      </c>
      <c r="Q346" s="22">
        <v>0.7</v>
      </c>
      <c r="R346" s="23">
        <v>243185</v>
      </c>
      <c r="S346" s="21"/>
      <c r="T346" s="21"/>
      <c r="U346" s="21"/>
      <c r="V346" s="24"/>
      <c r="W346" s="24"/>
      <c r="X346" s="24"/>
      <c r="Y346" s="17"/>
      <c r="Z346" s="18">
        <f>ROUND(R346*'Data-CostAssumptions'!$C$8,-3)</f>
        <v>243000</v>
      </c>
      <c r="AA346" s="11">
        <f t="shared" si="17"/>
        <v>0</v>
      </c>
      <c r="AB346" s="11">
        <v>2041</v>
      </c>
      <c r="AC346" s="11">
        <v>2041</v>
      </c>
      <c r="AD346" s="11">
        <v>2041</v>
      </c>
      <c r="AE346" s="19">
        <f>ROUND((Z346*'Data-CostAssumptions'!$G$5)*(1+'Data-CostAssumptions'!$G$3)^(AB346-'Data-CostAssumptions'!$G$4),-3)</f>
        <v>137000</v>
      </c>
      <c r="AF346" s="19">
        <f>ROUND((Z346)*(1+'Data-CostAssumptions'!$G$3)^(AD346-'Data-CostAssumptions'!$G$4),-3)</f>
        <v>623000</v>
      </c>
      <c r="AG346" s="170" t="str">
        <f t="shared" si="18"/>
        <v>No</v>
      </c>
    </row>
    <row r="347" spans="1:33" ht="15" customHeight="1" x14ac:dyDescent="0.2">
      <c r="B347" s="11" t="s">
        <v>1211</v>
      </c>
      <c r="C347" s="13">
        <v>557</v>
      </c>
      <c r="D347" s="13" t="s">
        <v>420</v>
      </c>
      <c r="E347" s="20">
        <v>152</v>
      </c>
      <c r="F347" s="20">
        <v>172</v>
      </c>
      <c r="G347" s="20">
        <v>761</v>
      </c>
      <c r="H347" s="13" t="s">
        <v>1929</v>
      </c>
      <c r="I347" s="13" t="str">
        <f t="shared" si="19"/>
        <v>NW 70th St (NW 80th Av to Pine Island Rd)</v>
      </c>
      <c r="J347" s="13" t="s">
        <v>27</v>
      </c>
      <c r="K347" s="13" t="str">
        <f>VLOOKUP(J347,'Data-ProjectTypes'!A$3:B$13,2,FALSE)</f>
        <v>Program</v>
      </c>
      <c r="L347" s="21" t="s">
        <v>348</v>
      </c>
      <c r="M347" s="13" t="s">
        <v>2248</v>
      </c>
      <c r="N347" s="13" t="s">
        <v>266</v>
      </c>
      <c r="O347" s="13" t="s">
        <v>273</v>
      </c>
      <c r="P347" s="13" t="s">
        <v>273</v>
      </c>
      <c r="Q347" s="22">
        <v>0.7</v>
      </c>
      <c r="R347" s="23">
        <v>242722</v>
      </c>
      <c r="V347" s="85" t="s">
        <v>438</v>
      </c>
      <c r="X347" s="11" t="s">
        <v>464</v>
      </c>
      <c r="Y347" s="12"/>
      <c r="Z347" s="18">
        <f>ROUND(R347*'Data-CostAssumptions'!$C$4,-3)</f>
        <v>243000</v>
      </c>
      <c r="AA347" s="11">
        <f t="shared" si="17"/>
        <v>1</v>
      </c>
      <c r="AB347" s="11">
        <v>2041</v>
      </c>
      <c r="AC347" s="11">
        <v>2041</v>
      </c>
      <c r="AD347" s="11">
        <v>2041</v>
      </c>
      <c r="AE347" s="19">
        <f>ROUND((Z347*'Data-CostAssumptions'!$G$5)*(1+'Data-CostAssumptions'!$G$3)^(AB347-'Data-CostAssumptions'!$G$4),-3)</f>
        <v>137000</v>
      </c>
      <c r="AF347" s="19">
        <f>ROUND((Z347)*(1+'Data-CostAssumptions'!$G$3)^(AD347-'Data-CostAssumptions'!$G$4),-3)</f>
        <v>623000</v>
      </c>
      <c r="AG347" s="170" t="str">
        <f t="shared" si="18"/>
        <v>No</v>
      </c>
    </row>
    <row r="348" spans="1:33" ht="15" customHeight="1" x14ac:dyDescent="0.2">
      <c r="B348" s="11" t="s">
        <v>1211</v>
      </c>
      <c r="C348" s="13">
        <v>345</v>
      </c>
      <c r="D348" s="13" t="s">
        <v>420</v>
      </c>
      <c r="E348" s="20">
        <v>436</v>
      </c>
      <c r="F348" s="20">
        <v>160</v>
      </c>
      <c r="G348" s="20">
        <v>556</v>
      </c>
      <c r="H348" s="13" t="s">
        <v>1897</v>
      </c>
      <c r="I348" s="13" t="str">
        <f t="shared" si="19"/>
        <v>NE 4th St (US 1/Federal Hwy to NE 14th Av)</v>
      </c>
      <c r="J348" s="13" t="s">
        <v>27</v>
      </c>
      <c r="K348" s="13" t="str">
        <f>VLOOKUP(J348,'Data-ProjectTypes'!A$3:B$13,2,FALSE)</f>
        <v>Program</v>
      </c>
      <c r="L348" s="21" t="s">
        <v>348</v>
      </c>
      <c r="M348" s="13" t="s">
        <v>2594</v>
      </c>
      <c r="N348" s="13" t="s">
        <v>2235</v>
      </c>
      <c r="O348" s="13" t="s">
        <v>270</v>
      </c>
      <c r="P348" s="13" t="s">
        <v>270</v>
      </c>
      <c r="Q348" s="22">
        <v>0.5</v>
      </c>
      <c r="R348" s="23">
        <v>174088</v>
      </c>
      <c r="S348" s="21" t="s">
        <v>24</v>
      </c>
      <c r="T348" s="21"/>
      <c r="U348" s="21"/>
      <c r="V348" s="24"/>
      <c r="W348" s="24" t="s">
        <v>578</v>
      </c>
      <c r="X348" s="24" t="s">
        <v>579</v>
      </c>
      <c r="Y348" s="17" t="s">
        <v>547</v>
      </c>
      <c r="Z348" s="18">
        <f>ROUND(R348*'Data-CostAssumptions'!$C$3,-3)</f>
        <v>241000</v>
      </c>
      <c r="AA348" s="11">
        <f t="shared" si="17"/>
        <v>1</v>
      </c>
      <c r="AB348" s="11">
        <v>2041</v>
      </c>
      <c r="AC348" s="11">
        <v>2041</v>
      </c>
      <c r="AD348" s="11">
        <v>2041</v>
      </c>
      <c r="AE348" s="19">
        <f>ROUND((Z348*'Data-CostAssumptions'!$G$5)*(1+'Data-CostAssumptions'!$G$3)^(AB348-'Data-CostAssumptions'!$G$4),-3)</f>
        <v>136000</v>
      </c>
      <c r="AF348" s="19">
        <f>ROUND((Z348)*(1+'Data-CostAssumptions'!$G$3)^(AD348-'Data-CostAssumptions'!$G$4),-3)</f>
        <v>618000</v>
      </c>
      <c r="AG348" s="170" t="str">
        <f t="shared" si="18"/>
        <v>No</v>
      </c>
    </row>
    <row r="349" spans="1:33" ht="15" customHeight="1" x14ac:dyDescent="0.2">
      <c r="B349" s="11" t="s">
        <v>1211</v>
      </c>
      <c r="C349" s="13">
        <v>208</v>
      </c>
      <c r="D349" s="13" t="s">
        <v>420</v>
      </c>
      <c r="E349" s="20">
        <v>295</v>
      </c>
      <c r="F349" s="20">
        <v>151</v>
      </c>
      <c r="G349" s="20">
        <v>423</v>
      </c>
      <c r="H349" s="13" t="s">
        <v>2127</v>
      </c>
      <c r="I349" s="13" t="str">
        <f t="shared" si="19"/>
        <v>SW 4th Av (Park Lane to SR 84)</v>
      </c>
      <c r="J349" s="13" t="s">
        <v>27</v>
      </c>
      <c r="K349" s="13" t="str">
        <f>VLOOKUP(J349,'Data-ProjectTypes'!A$3:B$13,2,FALSE)</f>
        <v>Program</v>
      </c>
      <c r="L349" s="21" t="s">
        <v>348</v>
      </c>
      <c r="M349" s="13" t="s">
        <v>211</v>
      </c>
      <c r="N349" s="13" t="s">
        <v>45</v>
      </c>
      <c r="O349" s="13" t="s">
        <v>273</v>
      </c>
      <c r="P349" s="13" t="s">
        <v>273</v>
      </c>
      <c r="Q349" s="22">
        <v>0.5</v>
      </c>
      <c r="R349" s="23">
        <v>173442</v>
      </c>
      <c r="S349" s="21"/>
      <c r="T349" s="21"/>
      <c r="U349" s="21"/>
      <c r="V349" s="24"/>
      <c r="W349" s="24"/>
      <c r="X349" s="24"/>
      <c r="Y349" s="17"/>
      <c r="Z349" s="18">
        <f>ROUND(R349*'Data-CostAssumptions'!$C$3,-3)</f>
        <v>240000</v>
      </c>
      <c r="AA349" s="11">
        <f t="shared" si="17"/>
        <v>0</v>
      </c>
      <c r="AB349" s="11">
        <v>2041</v>
      </c>
      <c r="AC349" s="11">
        <v>2041</v>
      </c>
      <c r="AD349" s="11">
        <v>2041</v>
      </c>
      <c r="AE349" s="19">
        <f>ROUND((Z349*'Data-CostAssumptions'!$G$5)*(1+'Data-CostAssumptions'!$G$3)^(AB349-'Data-CostAssumptions'!$G$4),-3)</f>
        <v>135000</v>
      </c>
      <c r="AF349" s="19">
        <f>ROUND((Z349)*(1+'Data-CostAssumptions'!$G$3)^(AD349-'Data-CostAssumptions'!$G$4),-3)</f>
        <v>615000</v>
      </c>
      <c r="AG349" s="170" t="str">
        <f t="shared" si="18"/>
        <v>No</v>
      </c>
    </row>
    <row r="350" spans="1:33" ht="15" customHeight="1" x14ac:dyDescent="0.2">
      <c r="B350" s="11" t="s">
        <v>1211</v>
      </c>
      <c r="C350" s="13">
        <v>328</v>
      </c>
      <c r="D350" s="13" t="s">
        <v>420</v>
      </c>
      <c r="E350" s="20">
        <v>324</v>
      </c>
      <c r="F350" s="20">
        <v>159</v>
      </c>
      <c r="G350" s="20">
        <v>539</v>
      </c>
      <c r="H350" s="13" t="s">
        <v>1983</v>
      </c>
      <c r="I350" s="13" t="str">
        <f t="shared" si="19"/>
        <v>NW 9th Av (Just south of Cypress Creek Rd to McNab Rd)</v>
      </c>
      <c r="J350" s="13" t="s">
        <v>27</v>
      </c>
      <c r="K350" s="13" t="str">
        <f>VLOOKUP(J350,'Data-ProjectTypes'!A$3:B$13,2,FALSE)</f>
        <v>Program</v>
      </c>
      <c r="L350" s="21" t="s">
        <v>348</v>
      </c>
      <c r="M350" s="13" t="s">
        <v>2438</v>
      </c>
      <c r="N350" s="13" t="s">
        <v>1854</v>
      </c>
      <c r="O350" s="13" t="s">
        <v>270</v>
      </c>
      <c r="P350" s="13" t="s">
        <v>270</v>
      </c>
      <c r="Q350" s="22">
        <v>0.5</v>
      </c>
      <c r="R350" s="23">
        <v>172862</v>
      </c>
      <c r="S350" s="21" t="s">
        <v>350</v>
      </c>
      <c r="T350" s="21"/>
      <c r="U350" s="21"/>
      <c r="V350" s="24"/>
      <c r="W350" s="24"/>
      <c r="X350" s="24" t="s">
        <v>463</v>
      </c>
      <c r="Y350" s="17" t="s">
        <v>3017</v>
      </c>
      <c r="Z350" s="18">
        <f>ROUND(R350*'Data-CostAssumptions'!$C$3,-3)</f>
        <v>239000</v>
      </c>
      <c r="AA350" s="11">
        <f t="shared" si="17"/>
        <v>0</v>
      </c>
      <c r="AB350" s="11">
        <v>2041</v>
      </c>
      <c r="AC350" s="11">
        <v>2041</v>
      </c>
      <c r="AD350" s="11">
        <v>2041</v>
      </c>
      <c r="AE350" s="19">
        <f>ROUND((Z350*'Data-CostAssumptions'!$G$5)*(1+'Data-CostAssumptions'!$G$3)^(AB350-'Data-CostAssumptions'!$G$4),-3)</f>
        <v>135000</v>
      </c>
      <c r="AF350" s="19">
        <f>ROUND((Z350)*(1+'Data-CostAssumptions'!$G$3)^(AD350-'Data-CostAssumptions'!$G$4),-3)</f>
        <v>613000</v>
      </c>
      <c r="AG350" s="170" t="str">
        <f t="shared" si="18"/>
        <v>No</v>
      </c>
    </row>
    <row r="351" spans="1:33" ht="15" customHeight="1" x14ac:dyDescent="0.2">
      <c r="B351" s="11" t="s">
        <v>1211</v>
      </c>
      <c r="C351" s="13">
        <v>412</v>
      </c>
      <c r="D351" s="13" t="s">
        <v>420</v>
      </c>
      <c r="E351" s="20">
        <v>48</v>
      </c>
      <c r="F351" s="20">
        <v>164</v>
      </c>
      <c r="G351" s="20">
        <v>620</v>
      </c>
      <c r="H351" s="13" t="s">
        <v>191</v>
      </c>
      <c r="I351" s="13" t="str">
        <f t="shared" si="19"/>
        <v>North 72nd Terrace/North 70th Terrace Loop (Lee St to Sheridan St)</v>
      </c>
      <c r="J351" s="13" t="s">
        <v>27</v>
      </c>
      <c r="K351" s="13" t="str">
        <f>VLOOKUP(J351,'Data-ProjectTypes'!A$3:B$13,2,FALSE)</f>
        <v>Program</v>
      </c>
      <c r="L351" s="21" t="s">
        <v>551</v>
      </c>
      <c r="M351" s="13" t="s">
        <v>2527</v>
      </c>
      <c r="N351" s="13" t="s">
        <v>1951</v>
      </c>
      <c r="O351" s="13" t="s">
        <v>282</v>
      </c>
      <c r="P351" s="13" t="s">
        <v>282</v>
      </c>
      <c r="Q351" s="22">
        <v>0.5</v>
      </c>
      <c r="R351" s="23">
        <v>172824</v>
      </c>
      <c r="Y351" s="17"/>
      <c r="Z351" s="18">
        <f>ROUND(R351*'Data-CostAssumptions'!$C$3,-3)</f>
        <v>239000</v>
      </c>
      <c r="AA351" s="11">
        <f t="shared" si="17"/>
        <v>0</v>
      </c>
      <c r="AB351" s="11">
        <v>2041</v>
      </c>
      <c r="AC351" s="11">
        <v>2041</v>
      </c>
      <c r="AD351" s="11">
        <v>2041</v>
      </c>
      <c r="AE351" s="19">
        <f>ROUND((Z351*'Data-CostAssumptions'!$G$5)*(1+'Data-CostAssumptions'!$G$3)^(AB351-'Data-CostAssumptions'!$G$4),-3)</f>
        <v>135000</v>
      </c>
      <c r="AF351" s="19">
        <f>ROUND((Z351)*(1+'Data-CostAssumptions'!$G$3)^(AD351-'Data-CostAssumptions'!$G$4),-3)</f>
        <v>613000</v>
      </c>
      <c r="AG351" s="170" t="str">
        <f t="shared" si="18"/>
        <v>No</v>
      </c>
    </row>
    <row r="352" spans="1:33" ht="15" customHeight="1" x14ac:dyDescent="0.2">
      <c r="B352" s="11" t="s">
        <v>1211</v>
      </c>
      <c r="C352" s="13">
        <v>241</v>
      </c>
      <c r="D352" s="13" t="s">
        <v>420</v>
      </c>
      <c r="E352" s="20">
        <v>216</v>
      </c>
      <c r="F352" s="20">
        <v>153</v>
      </c>
      <c r="G352" s="20">
        <v>454</v>
      </c>
      <c r="H352" s="13" t="s">
        <v>1780</v>
      </c>
      <c r="I352" s="13" t="str">
        <f t="shared" si="19"/>
        <v>Wiles Rd (Just east of Turtle Run Boulecard to East Leitner Dr)</v>
      </c>
      <c r="J352" s="13" t="s">
        <v>27</v>
      </c>
      <c r="K352" s="13" t="str">
        <f>VLOOKUP(J352,'Data-ProjectTypes'!A$3:B$13,2,FALSE)</f>
        <v>Program</v>
      </c>
      <c r="L352" s="21" t="s">
        <v>348</v>
      </c>
      <c r="M352" s="13" t="s">
        <v>263</v>
      </c>
      <c r="N352" s="13" t="s">
        <v>2684</v>
      </c>
      <c r="O352" s="13" t="s">
        <v>273</v>
      </c>
      <c r="P352" s="13" t="s">
        <v>273</v>
      </c>
      <c r="Q352" s="22">
        <v>0.5</v>
      </c>
      <c r="R352" s="23">
        <v>167081</v>
      </c>
      <c r="S352" s="21"/>
      <c r="T352" s="21"/>
      <c r="U352" s="21"/>
      <c r="V352" s="24"/>
      <c r="W352" s="24"/>
      <c r="X352" s="24"/>
      <c r="Y352" s="17"/>
      <c r="Z352" s="18">
        <f>ROUND(R352*'Data-CostAssumptions'!$C$3,-3)</f>
        <v>231000</v>
      </c>
      <c r="AA352" s="11">
        <f t="shared" si="17"/>
        <v>0</v>
      </c>
      <c r="AB352" s="11">
        <v>2041</v>
      </c>
      <c r="AC352" s="11">
        <v>2041</v>
      </c>
      <c r="AD352" s="11">
        <v>2041</v>
      </c>
      <c r="AE352" s="19">
        <f>ROUND((Z352*'Data-CostAssumptions'!$G$5)*(1+'Data-CostAssumptions'!$G$3)^(AB352-'Data-CostAssumptions'!$G$4),-3)</f>
        <v>130000</v>
      </c>
      <c r="AF352" s="19">
        <f>ROUND((Z352)*(1+'Data-CostAssumptions'!$G$3)^(AD352-'Data-CostAssumptions'!$G$4),-3)</f>
        <v>592000</v>
      </c>
      <c r="AG352" s="170" t="str">
        <f t="shared" si="18"/>
        <v>No</v>
      </c>
    </row>
    <row r="353" spans="1:33" ht="15" customHeight="1" x14ac:dyDescent="0.2">
      <c r="B353" s="11" t="s">
        <v>1211</v>
      </c>
      <c r="C353" s="13">
        <v>498</v>
      </c>
      <c r="D353" s="13" t="s">
        <v>420</v>
      </c>
      <c r="E353" s="20">
        <v>89</v>
      </c>
      <c r="F353" s="20">
        <v>169</v>
      </c>
      <c r="G353" s="20">
        <v>701</v>
      </c>
      <c r="H353" s="13" t="s">
        <v>2803</v>
      </c>
      <c r="I353" s="13" t="str">
        <f t="shared" si="19"/>
        <v>SR 870/Commercial Bl (Dupont Bl to Federal Hwy)</v>
      </c>
      <c r="J353" s="13" t="s">
        <v>27</v>
      </c>
      <c r="K353" s="13" t="str">
        <f>VLOOKUP(J353,'Data-ProjectTypes'!A$3:B$13,2,FALSE)</f>
        <v>Program</v>
      </c>
      <c r="L353" s="21" t="s">
        <v>348</v>
      </c>
      <c r="M353" s="13" t="s">
        <v>2325</v>
      </c>
      <c r="N353" s="13" t="s">
        <v>2595</v>
      </c>
      <c r="O353" s="13" t="s">
        <v>270</v>
      </c>
      <c r="P353" s="13" t="s">
        <v>270</v>
      </c>
      <c r="Q353" s="22">
        <v>0.6</v>
      </c>
      <c r="R353" s="23">
        <v>228623</v>
      </c>
      <c r="S353" s="21"/>
      <c r="T353" s="21"/>
      <c r="U353" s="21"/>
      <c r="V353" s="24"/>
      <c r="W353" s="24"/>
      <c r="X353" s="24"/>
      <c r="Y353" s="17"/>
      <c r="Z353" s="18">
        <f>ROUND(R353*'Data-CostAssumptions'!$C$8,-3)</f>
        <v>229000</v>
      </c>
      <c r="AA353" s="11">
        <f t="shared" si="17"/>
        <v>0</v>
      </c>
      <c r="AB353" s="11">
        <v>2041</v>
      </c>
      <c r="AC353" s="11">
        <v>2041</v>
      </c>
      <c r="AD353" s="11">
        <v>2041</v>
      </c>
      <c r="AE353" s="19">
        <f>ROUND((Z353*'Data-CostAssumptions'!$G$5)*(1+'Data-CostAssumptions'!$G$3)^(AB353-'Data-CostAssumptions'!$G$4),-3)</f>
        <v>129000</v>
      </c>
      <c r="AF353" s="19">
        <f>ROUND((Z353)*(1+'Data-CostAssumptions'!$G$3)^(AD353-'Data-CostAssumptions'!$G$4),-3)</f>
        <v>587000</v>
      </c>
      <c r="AG353" s="170" t="str">
        <f t="shared" si="18"/>
        <v>No</v>
      </c>
    </row>
    <row r="354" spans="1:33" ht="15" customHeight="1" x14ac:dyDescent="0.2">
      <c r="B354" s="11" t="s">
        <v>1211</v>
      </c>
      <c r="C354" s="13">
        <v>258</v>
      </c>
      <c r="D354" s="13" t="s">
        <v>420</v>
      </c>
      <c r="E354" s="20">
        <v>317</v>
      </c>
      <c r="F354" s="20">
        <v>154</v>
      </c>
      <c r="G354" s="20">
        <v>473</v>
      </c>
      <c r="H354" s="13" t="s">
        <v>146</v>
      </c>
      <c r="I354" s="13" t="str">
        <f t="shared" si="19"/>
        <v>NE 53rd Court (NE 6th Av to Andrews Av)</v>
      </c>
      <c r="J354" s="13" t="s">
        <v>27</v>
      </c>
      <c r="K354" s="13" t="str">
        <f>VLOOKUP(J354,'Data-ProjectTypes'!A$3:B$13,2,FALSE)</f>
        <v>Program</v>
      </c>
      <c r="L354" s="21" t="s">
        <v>348</v>
      </c>
      <c r="M354" s="13" t="s">
        <v>2036</v>
      </c>
      <c r="N354" s="13" t="s">
        <v>2014</v>
      </c>
      <c r="O354" s="13" t="s">
        <v>273</v>
      </c>
      <c r="P354" s="13" t="s">
        <v>273</v>
      </c>
      <c r="Q354" s="22">
        <v>0.5</v>
      </c>
      <c r="R354" s="23">
        <v>163727</v>
      </c>
      <c r="S354" s="21"/>
      <c r="T354" s="21"/>
      <c r="U354" s="21"/>
      <c r="V354" s="24"/>
      <c r="W354" s="24"/>
      <c r="X354" s="24"/>
      <c r="Y354" s="17"/>
      <c r="Z354" s="18">
        <f>ROUND(R354*'Data-CostAssumptions'!$C$3,-3)</f>
        <v>227000</v>
      </c>
      <c r="AA354" s="11">
        <f t="shared" si="17"/>
        <v>0</v>
      </c>
      <c r="AB354" s="11">
        <v>2041</v>
      </c>
      <c r="AC354" s="11">
        <v>2041</v>
      </c>
      <c r="AD354" s="11">
        <v>2041</v>
      </c>
      <c r="AE354" s="19">
        <f>ROUND((Z354*'Data-CostAssumptions'!$G$5)*(1+'Data-CostAssumptions'!$G$3)^(AB354-'Data-CostAssumptions'!$G$4),-3)</f>
        <v>128000</v>
      </c>
      <c r="AF354" s="19">
        <f>ROUND((Z354)*(1+'Data-CostAssumptions'!$G$3)^(AD354-'Data-CostAssumptions'!$G$4),-3)</f>
        <v>582000</v>
      </c>
      <c r="AG354" s="170" t="str">
        <f t="shared" si="18"/>
        <v>No</v>
      </c>
    </row>
    <row r="355" spans="1:33" ht="15" customHeight="1" x14ac:dyDescent="0.2">
      <c r="B355" s="11" t="s">
        <v>1211</v>
      </c>
      <c r="C355" s="13">
        <v>620</v>
      </c>
      <c r="D355" s="13" t="s">
        <v>420</v>
      </c>
      <c r="E355" s="20">
        <v>415</v>
      </c>
      <c r="F355" s="20">
        <v>176</v>
      </c>
      <c r="G355" s="20">
        <v>821</v>
      </c>
      <c r="H355" s="13" t="s">
        <v>1923</v>
      </c>
      <c r="I355" s="13" t="str">
        <f t="shared" si="19"/>
        <v>NW 45th St (Military Trail to Crystal Lake Dr)</v>
      </c>
      <c r="J355" s="13" t="s">
        <v>27</v>
      </c>
      <c r="K355" s="13" t="str">
        <f>VLOOKUP(J355,'Data-ProjectTypes'!A$3:B$13,2,FALSE)</f>
        <v>Program</v>
      </c>
      <c r="L355" s="21" t="s">
        <v>348</v>
      </c>
      <c r="M355" s="13" t="s">
        <v>113</v>
      </c>
      <c r="N355" s="13" t="s">
        <v>2666</v>
      </c>
      <c r="O355" s="13" t="s">
        <v>273</v>
      </c>
      <c r="P355" s="13" t="s">
        <v>273</v>
      </c>
      <c r="Q355" s="22">
        <v>0.6</v>
      </c>
      <c r="R355" s="23">
        <v>226528</v>
      </c>
      <c r="Y355" s="12"/>
      <c r="Z355" s="71">
        <f>ROUND(R355*'Data-CostAssumptions'!$C$8,-3)</f>
        <v>227000</v>
      </c>
      <c r="AA355" s="11">
        <f t="shared" si="17"/>
        <v>0</v>
      </c>
      <c r="AB355" s="11">
        <v>2041</v>
      </c>
      <c r="AC355" s="11">
        <v>2041</v>
      </c>
      <c r="AD355" s="11">
        <v>2041</v>
      </c>
      <c r="AE355" s="19">
        <f>ROUND((Z355*'Data-CostAssumptions'!$G$5)*(1+'Data-CostAssumptions'!$G$3)^(AB355-'Data-CostAssumptions'!$G$4),-3)</f>
        <v>128000</v>
      </c>
      <c r="AF355" s="19">
        <f>ROUND((Z355)*(1+'Data-CostAssumptions'!$G$3)^(AD355-'Data-CostAssumptions'!$G$4),-3)</f>
        <v>582000</v>
      </c>
      <c r="AG355" s="170" t="str">
        <f t="shared" si="18"/>
        <v>No</v>
      </c>
    </row>
    <row r="356" spans="1:33" ht="15" customHeight="1" x14ac:dyDescent="0.2">
      <c r="B356" s="11" t="s">
        <v>1211</v>
      </c>
      <c r="C356" s="13">
        <v>249</v>
      </c>
      <c r="D356" s="13" t="s">
        <v>420</v>
      </c>
      <c r="E356" s="20">
        <v>262</v>
      </c>
      <c r="F356" s="20">
        <v>154</v>
      </c>
      <c r="G356" s="20">
        <v>461</v>
      </c>
      <c r="H356" s="13" t="s">
        <v>45</v>
      </c>
      <c r="I356" s="13" t="str">
        <f t="shared" si="19"/>
        <v>SR 84 (Davie Rd to College Av)</v>
      </c>
      <c r="J356" s="13" t="s">
        <v>27</v>
      </c>
      <c r="K356" s="13" t="str">
        <f>VLOOKUP(J356,'Data-ProjectTypes'!A$3:B$13,2,FALSE)</f>
        <v>Program</v>
      </c>
      <c r="L356" s="21" t="s">
        <v>348</v>
      </c>
      <c r="M356" s="13" t="s">
        <v>1845</v>
      </c>
      <c r="N356" s="13" t="s">
        <v>2016</v>
      </c>
      <c r="O356" s="13" t="s">
        <v>270</v>
      </c>
      <c r="P356" s="13" t="s">
        <v>270</v>
      </c>
      <c r="Q356" s="22">
        <v>0.5</v>
      </c>
      <c r="R356" s="23">
        <v>163455</v>
      </c>
      <c r="S356" s="21" t="s">
        <v>24</v>
      </c>
      <c r="T356" s="21" t="s">
        <v>25</v>
      </c>
      <c r="U356" s="21" t="s">
        <v>24</v>
      </c>
      <c r="V356" s="24"/>
      <c r="W356" s="24"/>
      <c r="X356" s="24"/>
      <c r="Y356" s="17" t="s">
        <v>547</v>
      </c>
      <c r="Z356" s="18">
        <f>ROUND(R356*'Data-CostAssumptions'!$C$3,-3)</f>
        <v>226000</v>
      </c>
      <c r="AA356" s="11">
        <f t="shared" si="17"/>
        <v>0</v>
      </c>
      <c r="AB356" s="11">
        <v>2041</v>
      </c>
      <c r="AC356" s="11">
        <v>2041</v>
      </c>
      <c r="AD356" s="11">
        <v>2041</v>
      </c>
      <c r="AE356" s="19">
        <f>ROUND((Z356*'Data-CostAssumptions'!$G$5)*(1+'Data-CostAssumptions'!$G$3)^(AB356-'Data-CostAssumptions'!$G$4),-3)</f>
        <v>127000</v>
      </c>
      <c r="AF356" s="19">
        <f>ROUND((Z356)*(1+'Data-CostAssumptions'!$G$3)^(AD356-'Data-CostAssumptions'!$G$4),-3)</f>
        <v>579000</v>
      </c>
      <c r="AG356" s="170" t="str">
        <f t="shared" si="18"/>
        <v>No</v>
      </c>
    </row>
    <row r="357" spans="1:33" ht="15" customHeight="1" x14ac:dyDescent="0.2">
      <c r="B357" s="11" t="s">
        <v>1211</v>
      </c>
      <c r="C357" s="13">
        <v>561</v>
      </c>
      <c r="D357" s="13" t="s">
        <v>420</v>
      </c>
      <c r="E357" s="20">
        <v>197</v>
      </c>
      <c r="F357" s="20">
        <v>172</v>
      </c>
      <c r="G357" s="20">
        <v>763</v>
      </c>
      <c r="H357" s="13" t="s">
        <v>88</v>
      </c>
      <c r="I357" s="13" t="str">
        <f t="shared" si="19"/>
        <v>Sawgrass Mills Circle (Just south of Green Toad Rd to Orange Grove Lane)</v>
      </c>
      <c r="J357" s="13" t="s">
        <v>27</v>
      </c>
      <c r="K357" s="13" t="str">
        <f>VLOOKUP(J357,'Data-ProjectTypes'!A$3:B$13,2,FALSE)</f>
        <v>Program</v>
      </c>
      <c r="L357" s="21" t="s">
        <v>809</v>
      </c>
      <c r="M357" s="13" t="s">
        <v>2450</v>
      </c>
      <c r="N357" s="13" t="s">
        <v>87</v>
      </c>
      <c r="O357" s="13" t="s">
        <v>278</v>
      </c>
      <c r="P357" s="13" t="s">
        <v>278</v>
      </c>
      <c r="Q357" s="22">
        <v>0.6</v>
      </c>
      <c r="R357" s="23">
        <v>226256</v>
      </c>
      <c r="V357" s="85" t="s">
        <v>440</v>
      </c>
      <c r="X357" s="11" t="s">
        <v>466</v>
      </c>
      <c r="Y357" s="12"/>
      <c r="Z357" s="18">
        <f>ROUND(R357*'Data-CostAssumptions'!$C$4,-3)</f>
        <v>226000</v>
      </c>
      <c r="AA357" s="11">
        <f t="shared" si="17"/>
        <v>1</v>
      </c>
      <c r="AB357" s="11">
        <v>2041</v>
      </c>
      <c r="AC357" s="11">
        <v>2041</v>
      </c>
      <c r="AD357" s="11">
        <v>2041</v>
      </c>
      <c r="AE357" s="19">
        <f>ROUND((Z357*'Data-CostAssumptions'!$G$5)*(1+'Data-CostAssumptions'!$G$3)^(AB357-'Data-CostAssumptions'!$G$4),-3)</f>
        <v>127000</v>
      </c>
      <c r="AF357" s="19">
        <f>ROUND((Z357)*(1+'Data-CostAssumptions'!$G$3)^(AD357-'Data-CostAssumptions'!$G$4),-3)</f>
        <v>579000</v>
      </c>
      <c r="AG357" s="170" t="str">
        <f t="shared" si="18"/>
        <v>No</v>
      </c>
    </row>
    <row r="358" spans="1:33" ht="15" customHeight="1" x14ac:dyDescent="0.2">
      <c r="B358" s="11" t="s">
        <v>1211</v>
      </c>
      <c r="C358" s="13">
        <v>590</v>
      </c>
      <c r="D358" s="13" t="s">
        <v>420</v>
      </c>
      <c r="E358" s="20">
        <v>131</v>
      </c>
      <c r="F358" s="20">
        <v>174</v>
      </c>
      <c r="G358" s="20">
        <v>794</v>
      </c>
      <c r="H358" s="13" t="s">
        <v>1761</v>
      </c>
      <c r="I358" s="13" t="str">
        <f t="shared" si="19"/>
        <v>Perimeter Rd (Commercial Bl to NW 21st Av)</v>
      </c>
      <c r="J358" s="13" t="s">
        <v>27</v>
      </c>
      <c r="K358" s="13" t="str">
        <f>VLOOKUP(J358,'Data-ProjectTypes'!A$3:B$13,2,FALSE)</f>
        <v>Program</v>
      </c>
      <c r="L358" s="21" t="s">
        <v>348</v>
      </c>
      <c r="M358" s="13" t="s">
        <v>1813</v>
      </c>
      <c r="N358" s="13" t="s">
        <v>2057</v>
      </c>
      <c r="O358" s="13" t="s">
        <v>270</v>
      </c>
      <c r="P358" s="13" t="s">
        <v>270</v>
      </c>
      <c r="Q358" s="22">
        <v>0.6</v>
      </c>
      <c r="R358" s="23">
        <v>226223</v>
      </c>
      <c r="V358" s="85" t="s">
        <v>1167</v>
      </c>
      <c r="Y358" s="12"/>
      <c r="Z358" s="18">
        <f>ROUND(R358*'Data-CostAssumptions'!$C$5,-3)</f>
        <v>226000</v>
      </c>
      <c r="AA358" s="11">
        <f t="shared" si="17"/>
        <v>1</v>
      </c>
      <c r="AB358" s="11">
        <v>2041</v>
      </c>
      <c r="AC358" s="11">
        <v>2041</v>
      </c>
      <c r="AD358" s="11">
        <v>2041</v>
      </c>
      <c r="AE358" s="19">
        <f>ROUND((Z358*'Data-CostAssumptions'!$G$5)*(1+'Data-CostAssumptions'!$G$3)^(AB358-'Data-CostAssumptions'!$G$4),-3)</f>
        <v>127000</v>
      </c>
      <c r="AF358" s="19">
        <f>ROUND((Z358)*(1+'Data-CostAssumptions'!$G$3)^(AD358-'Data-CostAssumptions'!$G$4),-3)</f>
        <v>579000</v>
      </c>
      <c r="AG358" s="170" t="str">
        <f t="shared" si="18"/>
        <v>No</v>
      </c>
    </row>
    <row r="359" spans="1:33" ht="15" customHeight="1" x14ac:dyDescent="0.2">
      <c r="B359" s="11" t="s">
        <v>1211</v>
      </c>
      <c r="C359" s="13">
        <v>547</v>
      </c>
      <c r="D359" s="13" t="s">
        <v>420</v>
      </c>
      <c r="E359" s="20">
        <v>80</v>
      </c>
      <c r="F359" s="20">
        <v>172</v>
      </c>
      <c r="G359" s="20">
        <v>751</v>
      </c>
      <c r="H359" s="13" t="s">
        <v>1886</v>
      </c>
      <c r="I359" s="13" t="str">
        <f t="shared" si="19"/>
        <v>NE 18th St (US 1/Federal Hwy to NE 15th Av)</v>
      </c>
      <c r="J359" s="13" t="s">
        <v>27</v>
      </c>
      <c r="K359" s="13" t="str">
        <f>VLOOKUP(J359,'Data-ProjectTypes'!A$3:B$13,2,FALSE)</f>
        <v>Program</v>
      </c>
      <c r="L359" s="21" t="s">
        <v>348</v>
      </c>
      <c r="M359" s="13" t="s">
        <v>2594</v>
      </c>
      <c r="N359" s="13" t="s">
        <v>2024</v>
      </c>
      <c r="O359" s="13" t="s">
        <v>276</v>
      </c>
      <c r="P359" s="13" t="s">
        <v>276</v>
      </c>
      <c r="Q359" s="22">
        <v>0.6</v>
      </c>
      <c r="R359" s="23">
        <v>225041</v>
      </c>
      <c r="Y359" s="12" t="s">
        <v>3016</v>
      </c>
      <c r="Z359" s="71">
        <f>ROUND(R359*'Data-CostAssumptions'!$C$8,-3)</f>
        <v>225000</v>
      </c>
      <c r="AA359" s="11">
        <f t="shared" si="17"/>
        <v>0</v>
      </c>
      <c r="AB359" s="11">
        <v>2041</v>
      </c>
      <c r="AC359" s="11">
        <v>2041</v>
      </c>
      <c r="AD359" s="11">
        <v>2041</v>
      </c>
      <c r="AE359" s="19">
        <f>ROUND((Z359*'Data-CostAssumptions'!$G$5)*(1+'Data-CostAssumptions'!$G$3)^(AB359-'Data-CostAssumptions'!$G$4),-3)</f>
        <v>127000</v>
      </c>
      <c r="AF359" s="19">
        <f>ROUND((Z359)*(1+'Data-CostAssumptions'!$G$3)^(AD359-'Data-CostAssumptions'!$G$4),-3)</f>
        <v>577000</v>
      </c>
      <c r="AG359" s="170" t="str">
        <f t="shared" si="18"/>
        <v>No</v>
      </c>
    </row>
    <row r="360" spans="1:33" ht="15" customHeight="1" x14ac:dyDescent="0.2">
      <c r="B360" s="11" t="s">
        <v>1211</v>
      </c>
      <c r="C360" s="13">
        <v>382</v>
      </c>
      <c r="D360" s="13" t="s">
        <v>420</v>
      </c>
      <c r="E360" s="20">
        <v>263</v>
      </c>
      <c r="F360" s="20">
        <v>162</v>
      </c>
      <c r="G360" s="20">
        <v>593</v>
      </c>
      <c r="H360" s="13" t="s">
        <v>487</v>
      </c>
      <c r="I360" s="13" t="str">
        <f t="shared" si="19"/>
        <v>Nova Dr (Davie Rd to College Av)</v>
      </c>
      <c r="J360" s="13" t="s">
        <v>27</v>
      </c>
      <c r="K360" s="13" t="str">
        <f>VLOOKUP(J360,'Data-ProjectTypes'!A$3:B$13,2,FALSE)</f>
        <v>Program</v>
      </c>
      <c r="L360" s="21" t="s">
        <v>348</v>
      </c>
      <c r="M360" s="13" t="s">
        <v>1845</v>
      </c>
      <c r="N360" s="13" t="s">
        <v>2016</v>
      </c>
      <c r="O360" s="13" t="s">
        <v>273</v>
      </c>
      <c r="P360" s="13" t="s">
        <v>273</v>
      </c>
      <c r="Q360" s="22">
        <v>0.5</v>
      </c>
      <c r="R360" s="23">
        <v>162106</v>
      </c>
      <c r="S360" s="21"/>
      <c r="T360" s="21"/>
      <c r="U360" s="21"/>
      <c r="V360" s="24"/>
      <c r="W360" s="24"/>
      <c r="X360" s="24"/>
      <c r="Y360" s="17"/>
      <c r="Z360" s="18">
        <f>ROUND(R360*'Data-CostAssumptions'!$C$3,-3)</f>
        <v>224000</v>
      </c>
      <c r="AA360" s="11">
        <f t="shared" si="17"/>
        <v>0</v>
      </c>
      <c r="AB360" s="11">
        <v>2041</v>
      </c>
      <c r="AC360" s="11">
        <v>2041</v>
      </c>
      <c r="AD360" s="11">
        <v>2041</v>
      </c>
      <c r="AE360" s="19">
        <f>ROUND((Z360*'Data-CostAssumptions'!$G$5)*(1+'Data-CostAssumptions'!$G$3)^(AB360-'Data-CostAssumptions'!$G$4),-3)</f>
        <v>126000</v>
      </c>
      <c r="AF360" s="19">
        <f>ROUND((Z360)*(1+'Data-CostAssumptions'!$G$3)^(AD360-'Data-CostAssumptions'!$G$4),-3)</f>
        <v>574000</v>
      </c>
      <c r="AG360" s="170" t="str">
        <f t="shared" si="18"/>
        <v>No</v>
      </c>
    </row>
    <row r="361" spans="1:33" ht="15" customHeight="1" x14ac:dyDescent="0.2">
      <c r="B361" s="11" t="s">
        <v>1211</v>
      </c>
      <c r="C361" s="13">
        <v>593</v>
      </c>
      <c r="D361" s="13" t="s">
        <v>420</v>
      </c>
      <c r="E361" s="20">
        <v>137</v>
      </c>
      <c r="F361" s="20">
        <v>174</v>
      </c>
      <c r="G361" s="20">
        <v>797</v>
      </c>
      <c r="H361" s="13" t="s">
        <v>2063</v>
      </c>
      <c r="I361" s="13" t="str">
        <f t="shared" si="19"/>
        <v>NW 33rd Av (Commercial Bl to Prospect Rd)</v>
      </c>
      <c r="J361" s="13" t="s">
        <v>27</v>
      </c>
      <c r="K361" s="13" t="str">
        <f>VLOOKUP(J361,'Data-ProjectTypes'!A$3:B$13,2,FALSE)</f>
        <v>Program</v>
      </c>
      <c r="L361" s="21" t="s">
        <v>348</v>
      </c>
      <c r="M361" s="13" t="s">
        <v>1813</v>
      </c>
      <c r="N361" s="13" t="s">
        <v>1859</v>
      </c>
      <c r="O361" s="13" t="s">
        <v>273</v>
      </c>
      <c r="P361" s="13" t="s">
        <v>273</v>
      </c>
      <c r="Q361" s="22">
        <v>0.6</v>
      </c>
      <c r="R361" s="23">
        <v>222120</v>
      </c>
      <c r="V361" s="85" t="s">
        <v>1170</v>
      </c>
      <c r="Y361" s="12"/>
      <c r="Z361" s="18">
        <f>ROUND(R361*'Data-CostAssumptions'!$C$5,-3)</f>
        <v>222000</v>
      </c>
      <c r="AA361" s="11">
        <f t="shared" si="17"/>
        <v>1</v>
      </c>
      <c r="AB361" s="11">
        <v>2041</v>
      </c>
      <c r="AC361" s="11">
        <v>2041</v>
      </c>
      <c r="AD361" s="11">
        <v>2041</v>
      </c>
      <c r="AE361" s="19">
        <f>ROUND((Z361*'Data-CostAssumptions'!$G$5)*(1+'Data-CostAssumptions'!$G$3)^(AB361-'Data-CostAssumptions'!$G$4),-3)</f>
        <v>125000</v>
      </c>
      <c r="AF361" s="19">
        <f>ROUND((Z361)*(1+'Data-CostAssumptions'!$G$3)^(AD361-'Data-CostAssumptions'!$G$4),-3)</f>
        <v>569000</v>
      </c>
      <c r="AG361" s="170" t="str">
        <f t="shared" si="18"/>
        <v>No</v>
      </c>
    </row>
    <row r="362" spans="1:33" ht="15" customHeight="1" x14ac:dyDescent="0.2">
      <c r="B362" s="11" t="s">
        <v>1211</v>
      </c>
      <c r="C362" s="13">
        <v>474</v>
      </c>
      <c r="D362" s="13" t="s">
        <v>420</v>
      </c>
      <c r="E362" s="20">
        <v>391</v>
      </c>
      <c r="F362" s="20">
        <v>167</v>
      </c>
      <c r="G362" s="20">
        <v>682</v>
      </c>
      <c r="H362" s="13" t="s">
        <v>2033</v>
      </c>
      <c r="I362" s="13" t="str">
        <f t="shared" si="19"/>
        <v>NE 3rd Av (NE 38th St to NE 45th St)</v>
      </c>
      <c r="J362" s="13" t="s">
        <v>27</v>
      </c>
      <c r="K362" s="13" t="str">
        <f>VLOOKUP(J362,'Data-ProjectTypes'!A$3:B$13,2,FALSE)</f>
        <v>Program</v>
      </c>
      <c r="L362" s="21" t="s">
        <v>348</v>
      </c>
      <c r="M362" s="13" t="s">
        <v>1891</v>
      </c>
      <c r="N362" s="13" t="s">
        <v>2513</v>
      </c>
      <c r="O362" s="13" t="s">
        <v>289</v>
      </c>
      <c r="P362" s="13" t="s">
        <v>289</v>
      </c>
      <c r="Q362" s="22">
        <v>0.6</v>
      </c>
      <c r="R362" s="23">
        <v>221102</v>
      </c>
      <c r="S362" s="21"/>
      <c r="T362" s="21"/>
      <c r="U362" s="21"/>
      <c r="V362" s="24"/>
      <c r="W362" s="24"/>
      <c r="X362" s="24"/>
      <c r="Y362" s="17"/>
      <c r="Z362" s="18">
        <f>ROUND(R362*'Data-CostAssumptions'!$C$8,-3)</f>
        <v>221000</v>
      </c>
      <c r="AA362" s="11">
        <f t="shared" si="17"/>
        <v>0</v>
      </c>
      <c r="AB362" s="11">
        <v>2041</v>
      </c>
      <c r="AC362" s="11">
        <v>2041</v>
      </c>
      <c r="AD362" s="11">
        <v>2041</v>
      </c>
      <c r="AE362" s="19">
        <f>ROUND((Z362*'Data-CostAssumptions'!$G$5)*(1+'Data-CostAssumptions'!$G$3)^(AB362-'Data-CostAssumptions'!$G$4),-3)</f>
        <v>125000</v>
      </c>
      <c r="AF362" s="19">
        <f>ROUND((Z362)*(1+'Data-CostAssumptions'!$G$3)^(AD362-'Data-CostAssumptions'!$G$4),-3)</f>
        <v>567000</v>
      </c>
      <c r="AG362" s="170" t="str">
        <f t="shared" si="18"/>
        <v>No</v>
      </c>
    </row>
    <row r="363" spans="1:33" ht="15" customHeight="1" x14ac:dyDescent="0.2">
      <c r="B363" s="11" t="s">
        <v>1211</v>
      </c>
      <c r="C363" s="11">
        <v>12505</v>
      </c>
      <c r="D363" s="84" t="s">
        <v>287</v>
      </c>
      <c r="E363" s="14"/>
      <c r="F363" s="14"/>
      <c r="G363" s="20">
        <v>1817</v>
      </c>
      <c r="H363" s="13" t="s">
        <v>1184</v>
      </c>
      <c r="I363" s="13" t="str">
        <f t="shared" si="19"/>
        <v>NW 44 St (NW 21 Av. to NW 31 Av.)</v>
      </c>
      <c r="J363" s="11" t="s">
        <v>27</v>
      </c>
      <c r="K363" s="13" t="str">
        <f>VLOOKUP(J363,'Data-ProjectTypes'!A$3:B$13,2,FALSE)</f>
        <v>Program</v>
      </c>
      <c r="L363" s="85" t="s">
        <v>724</v>
      </c>
      <c r="M363" s="11" t="s">
        <v>2622</v>
      </c>
      <c r="N363" s="11" t="s">
        <v>2621</v>
      </c>
      <c r="Q363" s="15">
        <v>0.8</v>
      </c>
      <c r="R363" s="16">
        <v>220000</v>
      </c>
      <c r="Y363" s="12"/>
      <c r="Z363" s="18">
        <f>ROUND(R363*'Data-CostAssumptions'!$C$8,-3)</f>
        <v>220000</v>
      </c>
      <c r="AA363" s="11">
        <f t="shared" si="17"/>
        <v>0</v>
      </c>
      <c r="AB363" s="11">
        <v>2041</v>
      </c>
      <c r="AC363" s="11">
        <v>2041</v>
      </c>
      <c r="AD363" s="11">
        <v>2041</v>
      </c>
      <c r="AE363" s="19">
        <f>ROUND((Z363*'Data-CostAssumptions'!$G$5)*(1+'Data-CostAssumptions'!$G$3)^(AB363-'Data-CostAssumptions'!$G$4),-3)</f>
        <v>124000</v>
      </c>
      <c r="AF363" s="19">
        <f>ROUND((Z363)*(1+'Data-CostAssumptions'!$G$3)^(AD363-'Data-CostAssumptions'!$G$4),-3)</f>
        <v>564000</v>
      </c>
      <c r="AG363" s="170" t="str">
        <f t="shared" si="18"/>
        <v>No</v>
      </c>
    </row>
    <row r="364" spans="1:33" ht="15" customHeight="1" x14ac:dyDescent="0.2">
      <c r="B364" s="11" t="s">
        <v>1211</v>
      </c>
      <c r="C364" s="13">
        <v>293</v>
      </c>
      <c r="D364" s="13" t="s">
        <v>420</v>
      </c>
      <c r="E364" s="20">
        <v>105</v>
      </c>
      <c r="F364" s="20">
        <v>157</v>
      </c>
      <c r="G364" s="20">
        <v>505</v>
      </c>
      <c r="H364" s="13" t="s">
        <v>2755</v>
      </c>
      <c r="I364" s="13" t="str">
        <f t="shared" si="19"/>
        <v>SR 811/Dixie Hwy (Just north of NE 48th St to SW 15th St)</v>
      </c>
      <c r="J364" s="13" t="s">
        <v>27</v>
      </c>
      <c r="K364" s="13" t="str">
        <f>VLOOKUP(J364,'Data-ProjectTypes'!A$3:B$13,2,FALSE)</f>
        <v>Program</v>
      </c>
      <c r="L364" s="21" t="s">
        <v>348</v>
      </c>
      <c r="M364" s="13" t="s">
        <v>2530</v>
      </c>
      <c r="N364" s="13" t="s">
        <v>1956</v>
      </c>
      <c r="O364" s="13" t="s">
        <v>270</v>
      </c>
      <c r="P364" s="13" t="s">
        <v>270</v>
      </c>
      <c r="Q364" s="22">
        <v>0.4</v>
      </c>
      <c r="R364" s="23">
        <v>157822</v>
      </c>
      <c r="S364" s="21"/>
      <c r="T364" s="21"/>
      <c r="U364" s="21"/>
      <c r="V364" s="24"/>
      <c r="W364" s="24"/>
      <c r="X364" s="24"/>
      <c r="Y364" s="17"/>
      <c r="Z364" s="18">
        <f>ROUND(R364*'Data-CostAssumptions'!$C$3,-3)</f>
        <v>218000</v>
      </c>
      <c r="AA364" s="11">
        <f t="shared" si="17"/>
        <v>0</v>
      </c>
      <c r="AB364" s="11">
        <v>2041</v>
      </c>
      <c r="AC364" s="11">
        <v>2041</v>
      </c>
      <c r="AD364" s="11">
        <v>2041</v>
      </c>
      <c r="AE364" s="19">
        <f>ROUND((Z364*'Data-CostAssumptions'!$G$5)*(1+'Data-CostAssumptions'!$G$3)^(AB364-'Data-CostAssumptions'!$G$4),-3)</f>
        <v>123000</v>
      </c>
      <c r="AF364" s="19">
        <f>ROUND((Z364)*(1+'Data-CostAssumptions'!$G$3)^(AD364-'Data-CostAssumptions'!$G$4),-3)</f>
        <v>559000</v>
      </c>
      <c r="AG364" s="170" t="str">
        <f t="shared" si="18"/>
        <v>No</v>
      </c>
    </row>
    <row r="365" spans="1:33" ht="15" customHeight="1" x14ac:dyDescent="0.2">
      <c r="B365" s="11" t="s">
        <v>1211</v>
      </c>
      <c r="C365" s="13">
        <v>360</v>
      </c>
      <c r="D365" s="13" t="s">
        <v>420</v>
      </c>
      <c r="E365" s="20">
        <v>104</v>
      </c>
      <c r="F365" s="20">
        <v>161</v>
      </c>
      <c r="G365" s="20">
        <v>571</v>
      </c>
      <c r="H365" s="13" t="s">
        <v>1940</v>
      </c>
      <c r="I365" s="13" t="str">
        <f t="shared" si="19"/>
        <v>SE 15th St/NE 54th St (Federal Hwy to NE 15th Av)</v>
      </c>
      <c r="J365" s="13" t="s">
        <v>27</v>
      </c>
      <c r="K365" s="13" t="str">
        <f>VLOOKUP(J365,'Data-ProjectTypes'!A$3:B$13,2,FALSE)</f>
        <v>Program</v>
      </c>
      <c r="L365" s="21" t="s">
        <v>348</v>
      </c>
      <c r="M365" s="13" t="s">
        <v>2595</v>
      </c>
      <c r="N365" s="13" t="s">
        <v>2024</v>
      </c>
      <c r="O365" s="13" t="s">
        <v>289</v>
      </c>
      <c r="P365" s="13" t="s">
        <v>289</v>
      </c>
      <c r="Q365" s="22">
        <v>0.4</v>
      </c>
      <c r="R365" s="23">
        <v>157302</v>
      </c>
      <c r="S365" s="21"/>
      <c r="T365" s="21"/>
      <c r="U365" s="21"/>
      <c r="V365" s="24"/>
      <c r="W365" s="24"/>
      <c r="X365" s="24"/>
      <c r="Y365" s="17"/>
      <c r="Z365" s="18">
        <f>ROUND(R365*'Data-CostAssumptions'!$C$3,-3)</f>
        <v>218000</v>
      </c>
      <c r="AA365" s="11">
        <f t="shared" si="17"/>
        <v>0</v>
      </c>
      <c r="AB365" s="11">
        <v>2041</v>
      </c>
      <c r="AC365" s="11">
        <v>2041</v>
      </c>
      <c r="AD365" s="11">
        <v>2041</v>
      </c>
      <c r="AE365" s="19">
        <f>ROUND((Z365*'Data-CostAssumptions'!$G$5)*(1+'Data-CostAssumptions'!$G$3)^(AB365-'Data-CostAssumptions'!$G$4),-3)</f>
        <v>123000</v>
      </c>
      <c r="AF365" s="19">
        <f>ROUND((Z365)*(1+'Data-CostAssumptions'!$G$3)^(AD365-'Data-CostAssumptions'!$G$4),-3)</f>
        <v>559000</v>
      </c>
      <c r="AG365" s="170" t="str">
        <f t="shared" si="18"/>
        <v>No</v>
      </c>
    </row>
    <row r="366" spans="1:33" ht="15" customHeight="1" x14ac:dyDescent="0.2">
      <c r="B366" s="11" t="s">
        <v>1211</v>
      </c>
      <c r="C366" s="13">
        <v>549</v>
      </c>
      <c r="D366" s="13" t="s">
        <v>420</v>
      </c>
      <c r="E366" s="20">
        <v>87</v>
      </c>
      <c r="F366" s="20">
        <v>172</v>
      </c>
      <c r="G366" s="20">
        <v>753</v>
      </c>
      <c r="H366" s="13" t="s">
        <v>1782</v>
      </c>
      <c r="I366" s="13" t="str">
        <f t="shared" si="19"/>
        <v>Bougainvilla Dr/Ocean Dr (Fort Royal Isle to Commercial Bl)</v>
      </c>
      <c r="J366" s="13" t="s">
        <v>27</v>
      </c>
      <c r="K366" s="13" t="str">
        <f>VLOOKUP(J366,'Data-ProjectTypes'!A$3:B$13,2,FALSE)</f>
        <v>Program</v>
      </c>
      <c r="L366" s="21" t="s">
        <v>348</v>
      </c>
      <c r="M366" s="13" t="s">
        <v>176</v>
      </c>
      <c r="N366" s="13" t="s">
        <v>1813</v>
      </c>
      <c r="O366" s="13" t="s">
        <v>270</v>
      </c>
      <c r="P366" s="13" t="s">
        <v>270</v>
      </c>
      <c r="Q366" s="22">
        <v>0.6</v>
      </c>
      <c r="R366" s="23">
        <v>217415</v>
      </c>
      <c r="Y366" s="12"/>
      <c r="Z366" s="71">
        <f>ROUND(R366*'Data-CostAssumptions'!$C$8,-3)</f>
        <v>217000</v>
      </c>
      <c r="AA366" s="11">
        <f t="shared" si="17"/>
        <v>0</v>
      </c>
      <c r="AB366" s="11">
        <v>2041</v>
      </c>
      <c r="AC366" s="11">
        <v>2041</v>
      </c>
      <c r="AD366" s="11">
        <v>2041</v>
      </c>
      <c r="AE366" s="19">
        <f>ROUND((Z366*'Data-CostAssumptions'!$G$5)*(1+'Data-CostAssumptions'!$G$3)^(AB366-'Data-CostAssumptions'!$G$4),-3)</f>
        <v>122000</v>
      </c>
      <c r="AF366" s="19">
        <f>ROUND((Z366)*(1+'Data-CostAssumptions'!$G$3)^(AD366-'Data-CostAssumptions'!$G$4),-3)</f>
        <v>556000</v>
      </c>
      <c r="AG366" s="170" t="str">
        <f t="shared" si="18"/>
        <v>No</v>
      </c>
    </row>
    <row r="367" spans="1:33" ht="15" customHeight="1" x14ac:dyDescent="0.2">
      <c r="A367" s="12"/>
      <c r="B367" s="11" t="s">
        <v>1211</v>
      </c>
      <c r="C367" s="12"/>
      <c r="D367" s="84" t="s">
        <v>276</v>
      </c>
      <c r="E367" s="104">
        <v>23</v>
      </c>
      <c r="F367" s="104"/>
      <c r="G367" s="20">
        <v>1550</v>
      </c>
      <c r="H367" s="13" t="s">
        <v>1823</v>
      </c>
      <c r="I367" s="13" t="str">
        <f t="shared" si="19"/>
        <v>Las Olas Bl (US 1/SR 5/FEDERAL HWY to SW 1ST Av)</v>
      </c>
      <c r="J367" s="12" t="s">
        <v>27</v>
      </c>
      <c r="K367" s="13" t="str">
        <f>VLOOKUP(J367,'Data-ProjectTypes'!A$3:B$13,2,FALSE)</f>
        <v>Program</v>
      </c>
      <c r="L367" s="12" t="s">
        <v>1291</v>
      </c>
      <c r="M367" s="105" t="s">
        <v>1425</v>
      </c>
      <c r="N367" s="12" t="s">
        <v>2187</v>
      </c>
      <c r="O367" s="12"/>
      <c r="P367" s="12"/>
      <c r="Q367" s="72">
        <v>0.3</v>
      </c>
      <c r="R367" s="23">
        <v>216000</v>
      </c>
      <c r="Y367" s="12"/>
      <c r="Z367" s="18">
        <f>ROUND(R367*'Data-CostAssumptions'!$C$8,-3)</f>
        <v>216000</v>
      </c>
      <c r="AA367" s="11">
        <f t="shared" si="17"/>
        <v>0</v>
      </c>
      <c r="AB367" s="11">
        <v>2041</v>
      </c>
      <c r="AC367" s="11">
        <v>2041</v>
      </c>
      <c r="AD367" s="11">
        <v>2041</v>
      </c>
      <c r="AE367" s="19">
        <f>ROUND((Z367*'Data-CostAssumptions'!$G$5)*(1+'Data-CostAssumptions'!$G$3)^(AB367-'Data-CostAssumptions'!$G$4),-3)</f>
        <v>122000</v>
      </c>
      <c r="AF367" s="19">
        <f>ROUND((Z367)*(1+'Data-CostAssumptions'!$G$3)^(AD367-'Data-CostAssumptions'!$G$4),-3)</f>
        <v>554000</v>
      </c>
      <c r="AG367" s="170" t="str">
        <f t="shared" si="18"/>
        <v>No</v>
      </c>
    </row>
    <row r="368" spans="1:33" ht="15" customHeight="1" x14ac:dyDescent="0.2">
      <c r="A368" s="12"/>
      <c r="B368" s="11" t="s">
        <v>1211</v>
      </c>
      <c r="C368" s="12"/>
      <c r="D368" s="84" t="s">
        <v>276</v>
      </c>
      <c r="E368" s="104">
        <v>118</v>
      </c>
      <c r="F368" s="104"/>
      <c r="G368" s="20">
        <v>1567</v>
      </c>
      <c r="H368" s="13" t="s">
        <v>1230</v>
      </c>
      <c r="I368" s="13" t="str">
        <f t="shared" si="19"/>
        <v>NE 6TH ST (US 1/SR 5/ FEDERAL HWY to NE 3RD Av)</v>
      </c>
      <c r="J368" s="12" t="s">
        <v>27</v>
      </c>
      <c r="K368" s="13" t="str">
        <f>VLOOKUP(J368,'Data-ProjectTypes'!A$3:B$13,2,FALSE)</f>
        <v>Program</v>
      </c>
      <c r="L368" s="12" t="s">
        <v>1325</v>
      </c>
      <c r="M368" s="105" t="s">
        <v>1443</v>
      </c>
      <c r="N368" s="12" t="s">
        <v>2152</v>
      </c>
      <c r="O368" s="12"/>
      <c r="P368" s="12"/>
      <c r="Q368" s="72">
        <v>0.2</v>
      </c>
      <c r="R368" s="23">
        <v>214000</v>
      </c>
      <c r="Y368" s="12"/>
      <c r="Z368" s="18">
        <f>ROUND(R368*'Data-CostAssumptions'!$C$8,-3)</f>
        <v>214000</v>
      </c>
      <c r="AA368" s="11">
        <f t="shared" si="17"/>
        <v>0</v>
      </c>
      <c r="AB368" s="11">
        <v>2041</v>
      </c>
      <c r="AC368" s="11">
        <v>2041</v>
      </c>
      <c r="AD368" s="11">
        <v>2041</v>
      </c>
      <c r="AE368" s="19">
        <f>ROUND((Z368*'Data-CostAssumptions'!$G$5)*(1+'Data-CostAssumptions'!$G$3)^(AB368-'Data-CostAssumptions'!$G$4),-3)</f>
        <v>121000</v>
      </c>
      <c r="AF368" s="19">
        <f>ROUND((Z368)*(1+'Data-CostAssumptions'!$G$3)^(AD368-'Data-CostAssumptions'!$G$4),-3)</f>
        <v>549000</v>
      </c>
      <c r="AG368" s="170" t="str">
        <f t="shared" si="18"/>
        <v>No</v>
      </c>
    </row>
    <row r="369" spans="2:33" ht="15" customHeight="1" x14ac:dyDescent="0.2">
      <c r="B369" s="11" t="s">
        <v>1211</v>
      </c>
      <c r="C369" s="13">
        <v>504</v>
      </c>
      <c r="D369" s="13" t="s">
        <v>420</v>
      </c>
      <c r="E369" s="20">
        <v>130</v>
      </c>
      <c r="F369" s="20">
        <v>169</v>
      </c>
      <c r="G369" s="20">
        <v>708</v>
      </c>
      <c r="H369" s="13" t="s">
        <v>2051</v>
      </c>
      <c r="I369" s="13" t="str">
        <f t="shared" si="19"/>
        <v>NW 12th Av (NW 51st St to NW 10th Terrace)</v>
      </c>
      <c r="J369" s="13" t="s">
        <v>27</v>
      </c>
      <c r="K369" s="13" t="str">
        <f>VLOOKUP(J369,'Data-ProjectTypes'!A$3:B$13,2,FALSE)</f>
        <v>Program</v>
      </c>
      <c r="L369" s="21" t="s">
        <v>348</v>
      </c>
      <c r="M369" s="13" t="s">
        <v>2537</v>
      </c>
      <c r="N369" s="13" t="s">
        <v>209</v>
      </c>
      <c r="O369" s="13" t="s">
        <v>276</v>
      </c>
      <c r="P369" s="13" t="s">
        <v>276</v>
      </c>
      <c r="Q369" s="22">
        <v>0.6</v>
      </c>
      <c r="R369" s="23">
        <v>213254</v>
      </c>
      <c r="S369" s="21"/>
      <c r="T369" s="21"/>
      <c r="U369" s="21"/>
      <c r="V369" s="24"/>
      <c r="W369" s="24"/>
      <c r="X369" s="24"/>
      <c r="Y369" s="17"/>
      <c r="Z369" s="18">
        <f>ROUND(R369*'Data-CostAssumptions'!$C$8,-3)</f>
        <v>213000</v>
      </c>
      <c r="AA369" s="11">
        <f t="shared" si="17"/>
        <v>0</v>
      </c>
      <c r="AB369" s="11">
        <v>2041</v>
      </c>
      <c r="AC369" s="11">
        <v>2041</v>
      </c>
      <c r="AD369" s="11">
        <v>2041</v>
      </c>
      <c r="AE369" s="19">
        <f>ROUND((Z369*'Data-CostAssumptions'!$G$5)*(1+'Data-CostAssumptions'!$G$3)^(AB369-'Data-CostAssumptions'!$G$4),-3)</f>
        <v>120000</v>
      </c>
      <c r="AF369" s="19">
        <f>ROUND((Z369)*(1+'Data-CostAssumptions'!$G$3)^(AD369-'Data-CostAssumptions'!$G$4),-3)</f>
        <v>546000</v>
      </c>
      <c r="AG369" s="170" t="str">
        <f t="shared" si="18"/>
        <v>No</v>
      </c>
    </row>
    <row r="370" spans="2:33" ht="15" customHeight="1" x14ac:dyDescent="0.2">
      <c r="B370" s="11" t="s">
        <v>1211</v>
      </c>
      <c r="C370" s="13">
        <v>501</v>
      </c>
      <c r="D370" s="13" t="s">
        <v>420</v>
      </c>
      <c r="E370" s="20">
        <v>103</v>
      </c>
      <c r="F370" s="20">
        <v>169</v>
      </c>
      <c r="G370" s="20">
        <v>705</v>
      </c>
      <c r="H370" s="13" t="s">
        <v>2817</v>
      </c>
      <c r="I370" s="13" t="str">
        <f t="shared" si="19"/>
        <v>SR 810/Hillsboro Bl/NE 2nd St Loop (Ocean Way to Ocean Bl)</v>
      </c>
      <c r="J370" s="13" t="s">
        <v>27</v>
      </c>
      <c r="K370" s="13" t="str">
        <f>VLOOKUP(J370,'Data-ProjectTypes'!A$3:B$13,2,FALSE)</f>
        <v>Program</v>
      </c>
      <c r="L370" s="21" t="s">
        <v>348</v>
      </c>
      <c r="M370" s="13" t="s">
        <v>239</v>
      </c>
      <c r="N370" s="13" t="s">
        <v>2274</v>
      </c>
      <c r="O370" s="13" t="s">
        <v>270</v>
      </c>
      <c r="P370" s="13" t="s">
        <v>270</v>
      </c>
      <c r="Q370" s="22">
        <v>0.6</v>
      </c>
      <c r="R370" s="23">
        <v>203197</v>
      </c>
      <c r="S370" s="21"/>
      <c r="T370" s="21"/>
      <c r="U370" s="21"/>
      <c r="V370" s="24"/>
      <c r="W370" s="24"/>
      <c r="X370" s="24"/>
      <c r="Y370" s="17"/>
      <c r="Z370" s="18">
        <f>ROUND(R370*'Data-CostAssumptions'!$C$8,-3)</f>
        <v>203000</v>
      </c>
      <c r="AA370" s="11">
        <f t="shared" si="17"/>
        <v>0</v>
      </c>
      <c r="AB370" s="11">
        <v>2041</v>
      </c>
      <c r="AC370" s="11">
        <v>2041</v>
      </c>
      <c r="AD370" s="11">
        <v>2041</v>
      </c>
      <c r="AE370" s="19">
        <f>ROUND((Z370*'Data-CostAssumptions'!$G$5)*(1+'Data-CostAssumptions'!$G$3)^(AB370-'Data-CostAssumptions'!$G$4),-3)</f>
        <v>115000</v>
      </c>
      <c r="AF370" s="19">
        <f>ROUND((Z370)*(1+'Data-CostAssumptions'!$G$3)^(AD370-'Data-CostAssumptions'!$G$4),-3)</f>
        <v>520000</v>
      </c>
      <c r="AG370" s="170" t="str">
        <f t="shared" si="18"/>
        <v>No</v>
      </c>
    </row>
    <row r="371" spans="2:33" ht="15" customHeight="1" x14ac:dyDescent="0.2">
      <c r="B371" s="11" t="s">
        <v>1211</v>
      </c>
      <c r="C371" s="13">
        <v>533</v>
      </c>
      <c r="D371" s="13" t="s">
        <v>420</v>
      </c>
      <c r="E371" s="20">
        <v>346</v>
      </c>
      <c r="F371" s="20">
        <v>171</v>
      </c>
      <c r="G371" s="20">
        <v>737</v>
      </c>
      <c r="H371" s="13" t="s">
        <v>1957</v>
      </c>
      <c r="I371" s="13" t="str">
        <f t="shared" si="19"/>
        <v>SW 20th St (SW 12th Av to SW 19th Av)</v>
      </c>
      <c r="J371" s="13" t="s">
        <v>27</v>
      </c>
      <c r="K371" s="13" t="str">
        <f>VLOOKUP(J371,'Data-ProjectTypes'!A$3:B$13,2,FALSE)</f>
        <v>Program</v>
      </c>
      <c r="L371" s="21" t="s">
        <v>348</v>
      </c>
      <c r="M371" s="13" t="s">
        <v>2390</v>
      </c>
      <c r="N371" s="13" t="s">
        <v>2270</v>
      </c>
      <c r="O371" s="13" t="s">
        <v>276</v>
      </c>
      <c r="P371" s="13" t="s">
        <v>276</v>
      </c>
      <c r="Q371" s="22">
        <v>0.6</v>
      </c>
      <c r="R371" s="23">
        <v>203278</v>
      </c>
      <c r="Y371" s="17"/>
      <c r="Z371" s="18">
        <f>ROUND(R371*'Data-CostAssumptions'!$C$8,-3)</f>
        <v>203000</v>
      </c>
      <c r="AA371" s="11">
        <f t="shared" si="17"/>
        <v>0</v>
      </c>
      <c r="AB371" s="11">
        <v>2041</v>
      </c>
      <c r="AC371" s="11">
        <v>2041</v>
      </c>
      <c r="AD371" s="11">
        <v>2041</v>
      </c>
      <c r="AE371" s="19">
        <f>ROUND((Z371*'Data-CostAssumptions'!$G$5)*(1+'Data-CostAssumptions'!$G$3)^(AB371-'Data-CostAssumptions'!$G$4),-3)</f>
        <v>115000</v>
      </c>
      <c r="AF371" s="19">
        <f>ROUND((Z371)*(1+'Data-CostAssumptions'!$G$3)^(AD371-'Data-CostAssumptions'!$G$4),-3)</f>
        <v>520000</v>
      </c>
      <c r="AG371" s="170" t="str">
        <f t="shared" si="18"/>
        <v>No</v>
      </c>
    </row>
    <row r="372" spans="2:33" ht="15" customHeight="1" x14ac:dyDescent="0.2">
      <c r="B372" s="11" t="s">
        <v>1211</v>
      </c>
      <c r="C372" s="13">
        <v>212</v>
      </c>
      <c r="D372" s="13" t="s">
        <v>420</v>
      </c>
      <c r="E372" s="20">
        <v>322</v>
      </c>
      <c r="F372" s="20">
        <v>151</v>
      </c>
      <c r="G372" s="20">
        <v>426</v>
      </c>
      <c r="H372" s="13" t="s">
        <v>2023</v>
      </c>
      <c r="I372" s="13" t="str">
        <f t="shared" si="19"/>
        <v>NE 14th Way/NE 13th Av (Commercial Bl to NE 53rd St)</v>
      </c>
      <c r="J372" s="13" t="s">
        <v>27</v>
      </c>
      <c r="K372" s="13" t="str">
        <f>VLOOKUP(J372,'Data-ProjectTypes'!A$3:B$13,2,FALSE)</f>
        <v>Program</v>
      </c>
      <c r="L372" s="21" t="s">
        <v>348</v>
      </c>
      <c r="M372" s="13" t="s">
        <v>1813</v>
      </c>
      <c r="N372" s="13" t="s">
        <v>2504</v>
      </c>
      <c r="O372" s="13" t="s">
        <v>270</v>
      </c>
      <c r="P372" s="13" t="s">
        <v>270</v>
      </c>
      <c r="Q372" s="22">
        <v>0.4</v>
      </c>
      <c r="R372" s="23">
        <v>145571</v>
      </c>
      <c r="S372" s="21"/>
      <c r="T372" s="21"/>
      <c r="U372" s="21"/>
      <c r="V372" s="24"/>
      <c r="W372" s="24"/>
      <c r="X372" s="24"/>
      <c r="Y372" s="17"/>
      <c r="Z372" s="18">
        <f>ROUND(R372*'Data-CostAssumptions'!$C$3,-3)</f>
        <v>201000</v>
      </c>
      <c r="AA372" s="11">
        <f t="shared" si="17"/>
        <v>0</v>
      </c>
      <c r="AB372" s="11">
        <v>2041</v>
      </c>
      <c r="AC372" s="11">
        <v>2041</v>
      </c>
      <c r="AD372" s="11">
        <v>2041</v>
      </c>
      <c r="AE372" s="19">
        <f>ROUND((Z372*'Data-CostAssumptions'!$G$5)*(1+'Data-CostAssumptions'!$G$3)^(AB372-'Data-CostAssumptions'!$G$4),-3)</f>
        <v>113000</v>
      </c>
      <c r="AF372" s="19">
        <f>ROUND((Z372)*(1+'Data-CostAssumptions'!$G$3)^(AD372-'Data-CostAssumptions'!$G$4),-3)</f>
        <v>515000</v>
      </c>
      <c r="AG372" s="170" t="str">
        <f t="shared" si="18"/>
        <v>No</v>
      </c>
    </row>
    <row r="373" spans="2:33" ht="15" customHeight="1" x14ac:dyDescent="0.2">
      <c r="B373" s="11" t="s">
        <v>1211</v>
      </c>
      <c r="C373" s="13">
        <v>456</v>
      </c>
      <c r="D373" s="13" t="s">
        <v>420</v>
      </c>
      <c r="E373" s="20">
        <v>315</v>
      </c>
      <c r="F373" s="20">
        <v>166</v>
      </c>
      <c r="G373" s="20">
        <v>664</v>
      </c>
      <c r="H373" s="13" t="s">
        <v>2046</v>
      </c>
      <c r="I373" s="13" t="str">
        <f t="shared" si="19"/>
        <v>North Andrews Av (Commercial Bl to NW 56th Court)</v>
      </c>
      <c r="J373" s="13" t="s">
        <v>27</v>
      </c>
      <c r="K373" s="13" t="str">
        <f>VLOOKUP(J373,'Data-ProjectTypes'!A$3:B$13,2,FALSE)</f>
        <v>Program</v>
      </c>
      <c r="L373" s="21" t="s">
        <v>348</v>
      </c>
      <c r="M373" s="13" t="s">
        <v>1813</v>
      </c>
      <c r="N373" s="13" t="s">
        <v>147</v>
      </c>
      <c r="O373" s="13" t="s">
        <v>273</v>
      </c>
      <c r="P373" s="13" t="s">
        <v>273</v>
      </c>
      <c r="Q373" s="22">
        <v>0.6</v>
      </c>
      <c r="R373" s="23">
        <v>199142</v>
      </c>
      <c r="S373" s="21"/>
      <c r="T373" s="21"/>
      <c r="U373" s="21"/>
      <c r="V373" s="24"/>
      <c r="W373" s="24"/>
      <c r="X373" s="24"/>
      <c r="Y373" s="17"/>
      <c r="Z373" s="18">
        <f>ROUND(R373*'Data-CostAssumptions'!$C$8,-3)</f>
        <v>199000</v>
      </c>
      <c r="AA373" s="11">
        <f t="shared" si="17"/>
        <v>0</v>
      </c>
      <c r="AB373" s="11">
        <v>2041</v>
      </c>
      <c r="AC373" s="11">
        <v>2041</v>
      </c>
      <c r="AD373" s="11">
        <v>2041</v>
      </c>
      <c r="AE373" s="19">
        <f>ROUND((Z373*'Data-CostAssumptions'!$G$5)*(1+'Data-CostAssumptions'!$G$3)^(AB373-'Data-CostAssumptions'!$G$4),-3)</f>
        <v>112000</v>
      </c>
      <c r="AF373" s="19">
        <f>ROUND((Z373)*(1+'Data-CostAssumptions'!$G$3)^(AD373-'Data-CostAssumptions'!$G$4),-3)</f>
        <v>510000</v>
      </c>
      <c r="AG373" s="170" t="str">
        <f t="shared" si="18"/>
        <v>No</v>
      </c>
    </row>
    <row r="374" spans="2:33" ht="15" customHeight="1" x14ac:dyDescent="0.2">
      <c r="B374" s="11" t="s">
        <v>1211</v>
      </c>
      <c r="C374" s="13">
        <v>325</v>
      </c>
      <c r="D374" s="13" t="s">
        <v>420</v>
      </c>
      <c r="E374" s="20">
        <v>309</v>
      </c>
      <c r="F374" s="20">
        <v>158</v>
      </c>
      <c r="G374" s="20">
        <v>536</v>
      </c>
      <c r="H374" s="13" t="s">
        <v>1902</v>
      </c>
      <c r="I374" s="13" t="str">
        <f t="shared" si="19"/>
        <v>NE 6th St (US 1/Federal Hwy to Andrews Av)</v>
      </c>
      <c r="J374" s="13" t="s">
        <v>27</v>
      </c>
      <c r="K374" s="13" t="str">
        <f>VLOOKUP(J374,'Data-ProjectTypes'!A$3:B$13,2,FALSE)</f>
        <v>Program</v>
      </c>
      <c r="L374" s="21" t="s">
        <v>348</v>
      </c>
      <c r="M374" s="13" t="s">
        <v>2594</v>
      </c>
      <c r="N374" s="13" t="s">
        <v>2014</v>
      </c>
      <c r="O374" s="13" t="s">
        <v>276</v>
      </c>
      <c r="P374" s="13" t="s">
        <v>276</v>
      </c>
      <c r="Q374" s="22">
        <v>0.4</v>
      </c>
      <c r="R374" s="23">
        <v>140187</v>
      </c>
      <c r="S374" s="21"/>
      <c r="T374" s="21"/>
      <c r="U374" s="21"/>
      <c r="V374" s="24"/>
      <c r="W374" s="24" t="s">
        <v>712</v>
      </c>
      <c r="X374" s="29" t="s">
        <v>713</v>
      </c>
      <c r="Y374" s="17" t="s">
        <v>287</v>
      </c>
      <c r="Z374" s="18">
        <f>ROUND(R374*'Data-CostAssumptions'!$C$3,-3)</f>
        <v>194000</v>
      </c>
      <c r="AA374" s="11">
        <f t="shared" si="17"/>
        <v>1</v>
      </c>
      <c r="AB374" s="11">
        <v>2041</v>
      </c>
      <c r="AC374" s="11">
        <v>2041</v>
      </c>
      <c r="AD374" s="11">
        <v>2041</v>
      </c>
      <c r="AE374" s="19">
        <f>ROUND((Z374*'Data-CostAssumptions'!$G$5)*(1+'Data-CostAssumptions'!$G$3)^(AB374-'Data-CostAssumptions'!$G$4),-3)</f>
        <v>109000</v>
      </c>
      <c r="AF374" s="19">
        <f>ROUND((Z374)*(1+'Data-CostAssumptions'!$G$3)^(AD374-'Data-CostAssumptions'!$G$4),-3)</f>
        <v>497000</v>
      </c>
      <c r="AG374" s="170" t="str">
        <f t="shared" si="18"/>
        <v>No</v>
      </c>
    </row>
    <row r="375" spans="2:33" ht="15" customHeight="1" x14ac:dyDescent="0.2">
      <c r="B375" s="11" t="s">
        <v>1211</v>
      </c>
      <c r="C375" s="13">
        <v>321</v>
      </c>
      <c r="D375" s="13" t="s">
        <v>420</v>
      </c>
      <c r="E375" s="20">
        <v>286</v>
      </c>
      <c r="F375" s="20">
        <v>158</v>
      </c>
      <c r="G375" s="20">
        <v>532</v>
      </c>
      <c r="H375" s="13" t="s">
        <v>2694</v>
      </c>
      <c r="I375" s="13" t="str">
        <f t="shared" si="19"/>
        <v>South Dixie Hwy (Mayo St to Washington St)</v>
      </c>
      <c r="J375" s="13" t="s">
        <v>27</v>
      </c>
      <c r="K375" s="13" t="str">
        <f>VLOOKUP(J375,'Data-ProjectTypes'!A$3:B$13,2,FALSE)</f>
        <v>Program</v>
      </c>
      <c r="L375" s="21" t="s">
        <v>348</v>
      </c>
      <c r="M375" s="13" t="s">
        <v>2561</v>
      </c>
      <c r="N375" s="13" t="s">
        <v>1971</v>
      </c>
      <c r="O375" s="13" t="s">
        <v>273</v>
      </c>
      <c r="P375" s="13" t="s">
        <v>273</v>
      </c>
      <c r="Q375" s="22">
        <v>0.4</v>
      </c>
      <c r="R375" s="23">
        <v>137442</v>
      </c>
      <c r="S375" s="21" t="s">
        <v>24</v>
      </c>
      <c r="T375" s="21"/>
      <c r="U375" s="21"/>
      <c r="V375" s="24"/>
      <c r="W375" s="24" t="s">
        <v>491</v>
      </c>
      <c r="X375" s="24"/>
      <c r="Y375" s="17" t="s">
        <v>492</v>
      </c>
      <c r="Z375" s="18">
        <f>ROUND(R375*'Data-CostAssumptions'!$C$3,-3)</f>
        <v>190000</v>
      </c>
      <c r="AA375" s="11">
        <f t="shared" si="17"/>
        <v>1</v>
      </c>
      <c r="AB375" s="11">
        <v>2041</v>
      </c>
      <c r="AC375" s="11">
        <v>2041</v>
      </c>
      <c r="AD375" s="11">
        <v>2041</v>
      </c>
      <c r="AE375" s="19">
        <f>ROUND((Z375*'Data-CostAssumptions'!$G$5)*(1+'Data-CostAssumptions'!$G$3)^(AB375-'Data-CostAssumptions'!$G$4),-3)</f>
        <v>107000</v>
      </c>
      <c r="AF375" s="19">
        <f>ROUND((Z375)*(1+'Data-CostAssumptions'!$G$3)^(AD375-'Data-CostAssumptions'!$G$4),-3)</f>
        <v>487000</v>
      </c>
      <c r="AG375" s="170" t="str">
        <f t="shared" si="18"/>
        <v>No</v>
      </c>
    </row>
    <row r="376" spans="2:33" ht="15" customHeight="1" x14ac:dyDescent="0.2">
      <c r="B376" s="11" t="s">
        <v>1211</v>
      </c>
      <c r="C376" s="13">
        <v>299</v>
      </c>
      <c r="D376" s="13" t="s">
        <v>420</v>
      </c>
      <c r="E376" s="20">
        <v>168</v>
      </c>
      <c r="F376" s="20">
        <v>157</v>
      </c>
      <c r="G376" s="20">
        <v>511</v>
      </c>
      <c r="H376" s="13" t="s">
        <v>2709</v>
      </c>
      <c r="I376" s="13" t="str">
        <f t="shared" si="19"/>
        <v>SR 817/University Dr (Caroadinal Rd to South of Wiles Rd)</v>
      </c>
      <c r="J376" s="13" t="s">
        <v>27</v>
      </c>
      <c r="K376" s="13" t="str">
        <f>VLOOKUP(J376,'Data-ProjectTypes'!A$3:B$13,2,FALSE)</f>
        <v>Program</v>
      </c>
      <c r="L376" s="21" t="s">
        <v>348</v>
      </c>
      <c r="M376" s="13" t="s">
        <v>2465</v>
      </c>
      <c r="N376" s="13" t="s">
        <v>2464</v>
      </c>
      <c r="O376" s="13" t="s">
        <v>292</v>
      </c>
      <c r="P376" s="13" t="s">
        <v>292</v>
      </c>
      <c r="Q376" s="22">
        <v>0.4</v>
      </c>
      <c r="R376" s="23">
        <v>136865</v>
      </c>
      <c r="S376" s="21" t="s">
        <v>24</v>
      </c>
      <c r="T376" s="21"/>
      <c r="U376" s="21"/>
      <c r="V376" s="24"/>
      <c r="W376" s="24" t="s">
        <v>491</v>
      </c>
      <c r="X376" s="24"/>
      <c r="Y376" s="17" t="s">
        <v>492</v>
      </c>
      <c r="Z376" s="18">
        <f>ROUND(R376*'Data-CostAssumptions'!$C$3,-3)</f>
        <v>189000</v>
      </c>
      <c r="AA376" s="11">
        <f t="shared" si="17"/>
        <v>1</v>
      </c>
      <c r="AB376" s="11">
        <v>2041</v>
      </c>
      <c r="AC376" s="11">
        <v>2041</v>
      </c>
      <c r="AD376" s="11">
        <v>2041</v>
      </c>
      <c r="AE376" s="19">
        <f>ROUND((Z376*'Data-CostAssumptions'!$G$5)*(1+'Data-CostAssumptions'!$G$3)^(AB376-'Data-CostAssumptions'!$G$4),-3)</f>
        <v>107000</v>
      </c>
      <c r="AF376" s="19">
        <f>ROUND((Z376)*(1+'Data-CostAssumptions'!$G$3)^(AD376-'Data-CostAssumptions'!$G$4),-3)</f>
        <v>485000</v>
      </c>
      <c r="AG376" s="170" t="str">
        <f t="shared" si="18"/>
        <v>No</v>
      </c>
    </row>
    <row r="377" spans="2:33" ht="15" customHeight="1" x14ac:dyDescent="0.2">
      <c r="B377" s="11" t="s">
        <v>1211</v>
      </c>
      <c r="C377" s="13">
        <v>307</v>
      </c>
      <c r="D377" s="13" t="s">
        <v>420</v>
      </c>
      <c r="E377" s="20">
        <v>213</v>
      </c>
      <c r="F377" s="20">
        <v>157</v>
      </c>
      <c r="G377" s="20">
        <v>518</v>
      </c>
      <c r="H377" s="13" t="s">
        <v>57</v>
      </c>
      <c r="I377" s="13" t="str">
        <f t="shared" si="19"/>
        <v>SR 7/US 441 (Cullum Rd to Just south of Access Rd)</v>
      </c>
      <c r="J377" s="13" t="s">
        <v>27</v>
      </c>
      <c r="K377" s="13" t="str">
        <f>VLOOKUP(J377,'Data-ProjectTypes'!A$3:B$13,2,FALSE)</f>
        <v>Program</v>
      </c>
      <c r="L377" s="21" t="s">
        <v>348</v>
      </c>
      <c r="M377" s="13" t="s">
        <v>2432</v>
      </c>
      <c r="N377" s="13" t="s">
        <v>2428</v>
      </c>
      <c r="O377" s="13" t="s">
        <v>270</v>
      </c>
      <c r="P377" s="13" t="s">
        <v>270</v>
      </c>
      <c r="Q377" s="22">
        <v>0.4</v>
      </c>
      <c r="R377" s="23">
        <v>134859</v>
      </c>
      <c r="S377" s="21"/>
      <c r="T377" s="21"/>
      <c r="U377" s="21"/>
      <c r="V377" s="24"/>
      <c r="W377" s="24"/>
      <c r="X377" s="24"/>
      <c r="Y377" s="17"/>
      <c r="Z377" s="18">
        <f>ROUND(R377*'Data-CostAssumptions'!$C$3,-3)</f>
        <v>187000</v>
      </c>
      <c r="AA377" s="11">
        <f t="shared" si="17"/>
        <v>0</v>
      </c>
      <c r="AB377" s="11">
        <v>2041</v>
      </c>
      <c r="AC377" s="11">
        <v>2041</v>
      </c>
      <c r="AD377" s="11">
        <v>2041</v>
      </c>
      <c r="AE377" s="19">
        <f>ROUND((Z377*'Data-CostAssumptions'!$G$5)*(1+'Data-CostAssumptions'!$G$3)^(AB377-'Data-CostAssumptions'!$G$4),-3)</f>
        <v>105000</v>
      </c>
      <c r="AF377" s="19">
        <f>ROUND((Z377)*(1+'Data-CostAssumptions'!$G$3)^(AD377-'Data-CostAssumptions'!$G$4),-3)</f>
        <v>479000</v>
      </c>
      <c r="AG377" s="170" t="str">
        <f t="shared" si="18"/>
        <v>No</v>
      </c>
    </row>
    <row r="378" spans="2:33" ht="15" customHeight="1" x14ac:dyDescent="0.2">
      <c r="B378" s="11" t="s">
        <v>1211</v>
      </c>
      <c r="C378" s="13">
        <v>378</v>
      </c>
      <c r="D378" s="13" t="s">
        <v>420</v>
      </c>
      <c r="E378" s="20">
        <v>239</v>
      </c>
      <c r="F378" s="20">
        <v>162</v>
      </c>
      <c r="G378" s="20">
        <v>589</v>
      </c>
      <c r="H378" s="13" t="s">
        <v>2709</v>
      </c>
      <c r="I378" s="13" t="str">
        <f t="shared" si="19"/>
        <v>SR 817/University Dr (NW 11th St to Marcano Bl)</v>
      </c>
      <c r="J378" s="13" t="s">
        <v>27</v>
      </c>
      <c r="K378" s="13" t="str">
        <f>VLOOKUP(J378,'Data-ProjectTypes'!A$3:B$13,2,FALSE)</f>
        <v>Program</v>
      </c>
      <c r="L378" s="21" t="s">
        <v>348</v>
      </c>
      <c r="M378" s="13" t="s">
        <v>2485</v>
      </c>
      <c r="N378" s="13" t="s">
        <v>2275</v>
      </c>
      <c r="O378" s="13" t="s">
        <v>270</v>
      </c>
      <c r="P378" s="13" t="s">
        <v>270</v>
      </c>
      <c r="Q378" s="22">
        <v>0.4</v>
      </c>
      <c r="R378" s="23">
        <v>135093</v>
      </c>
      <c r="S378" s="21"/>
      <c r="T378" s="21"/>
      <c r="U378" s="21"/>
      <c r="V378" s="24"/>
      <c r="W378" s="24"/>
      <c r="X378" s="24"/>
      <c r="Y378" s="17"/>
      <c r="Z378" s="18">
        <f>ROUND(R378*'Data-CostAssumptions'!$C$3,-3)</f>
        <v>187000</v>
      </c>
      <c r="AA378" s="11">
        <f t="shared" si="17"/>
        <v>0</v>
      </c>
      <c r="AB378" s="11">
        <v>2041</v>
      </c>
      <c r="AC378" s="11">
        <v>2041</v>
      </c>
      <c r="AD378" s="11">
        <v>2041</v>
      </c>
      <c r="AE378" s="19">
        <f>ROUND((Z378*'Data-CostAssumptions'!$G$5)*(1+'Data-CostAssumptions'!$G$3)^(AB378-'Data-CostAssumptions'!$G$4),-3)</f>
        <v>105000</v>
      </c>
      <c r="AF378" s="19">
        <f>ROUND((Z378)*(1+'Data-CostAssumptions'!$G$3)^(AD378-'Data-CostAssumptions'!$G$4),-3)</f>
        <v>479000</v>
      </c>
      <c r="AG378" s="170" t="str">
        <f t="shared" si="18"/>
        <v>No</v>
      </c>
    </row>
    <row r="379" spans="2:33" ht="15" customHeight="1" x14ac:dyDescent="0.2">
      <c r="B379" s="11" t="s">
        <v>1211</v>
      </c>
      <c r="C379" s="13">
        <v>323</v>
      </c>
      <c r="D379" s="13" t="s">
        <v>420</v>
      </c>
      <c r="E379" s="20">
        <v>290</v>
      </c>
      <c r="F379" s="20">
        <v>158</v>
      </c>
      <c r="G379" s="20">
        <v>534</v>
      </c>
      <c r="H379" s="13" t="s">
        <v>1968</v>
      </c>
      <c r="I379" s="13" t="str">
        <f t="shared" si="19"/>
        <v>Taft St (Just east of North 14th Av to North 20th St)</v>
      </c>
      <c r="J379" s="13" t="s">
        <v>27</v>
      </c>
      <c r="K379" s="13" t="str">
        <f>VLOOKUP(J379,'Data-ProjectTypes'!A$3:B$13,2,FALSE)</f>
        <v>Program</v>
      </c>
      <c r="L379" s="21" t="s">
        <v>543</v>
      </c>
      <c r="M379" s="13" t="s">
        <v>2396</v>
      </c>
      <c r="N379" s="13" t="s">
        <v>2587</v>
      </c>
      <c r="O379" s="13" t="s">
        <v>282</v>
      </c>
      <c r="P379" s="13" t="s">
        <v>282</v>
      </c>
      <c r="Q379" s="22">
        <v>0.4</v>
      </c>
      <c r="R379" s="23">
        <v>132727</v>
      </c>
      <c r="S379" s="21"/>
      <c r="T379" s="21"/>
      <c r="U379" s="21"/>
      <c r="V379" s="24"/>
      <c r="W379" s="24"/>
      <c r="X379" s="24"/>
      <c r="Y379" s="17"/>
      <c r="Z379" s="18">
        <f>ROUND(R379*'Data-CostAssumptions'!$C$3,-3)</f>
        <v>184000</v>
      </c>
      <c r="AA379" s="11">
        <f t="shared" si="17"/>
        <v>0</v>
      </c>
      <c r="AB379" s="11">
        <v>2041</v>
      </c>
      <c r="AC379" s="11">
        <v>2041</v>
      </c>
      <c r="AD379" s="11">
        <v>2041</v>
      </c>
      <c r="AE379" s="19">
        <f>ROUND((Z379*'Data-CostAssumptions'!$G$5)*(1+'Data-CostAssumptions'!$G$3)^(AB379-'Data-CostAssumptions'!$G$4),-3)</f>
        <v>104000</v>
      </c>
      <c r="AF379" s="19">
        <f>ROUND((Z379)*(1+'Data-CostAssumptions'!$G$3)^(AD379-'Data-CostAssumptions'!$G$4),-3)</f>
        <v>472000</v>
      </c>
      <c r="AG379" s="170" t="str">
        <f t="shared" si="18"/>
        <v>No</v>
      </c>
    </row>
    <row r="380" spans="2:33" ht="15" customHeight="1" x14ac:dyDescent="0.2">
      <c r="B380" s="11" t="s">
        <v>1211</v>
      </c>
      <c r="C380" s="13">
        <v>219</v>
      </c>
      <c r="D380" s="13" t="s">
        <v>420</v>
      </c>
      <c r="E380" s="20">
        <v>435</v>
      </c>
      <c r="F380" s="20">
        <v>152</v>
      </c>
      <c r="G380" s="20">
        <v>433</v>
      </c>
      <c r="H380" s="13" t="s">
        <v>1897</v>
      </c>
      <c r="I380" s="13" t="str">
        <f t="shared" si="19"/>
        <v>NE 4th St (NE 5th Av to Flagler Av)</v>
      </c>
      <c r="J380" s="13" t="s">
        <v>27</v>
      </c>
      <c r="K380" s="13" t="str">
        <f>VLOOKUP(J380,'Data-ProjectTypes'!A$3:B$13,2,FALSE)</f>
        <v>Program</v>
      </c>
      <c r="L380" s="21" t="s">
        <v>348</v>
      </c>
      <c r="M380" s="13" t="s">
        <v>2035</v>
      </c>
      <c r="N380" s="13" t="s">
        <v>2019</v>
      </c>
      <c r="O380" s="13" t="s">
        <v>275</v>
      </c>
      <c r="P380" s="13" t="s">
        <v>275</v>
      </c>
      <c r="Q380" s="22">
        <v>0.4</v>
      </c>
      <c r="R380" s="23">
        <v>131470</v>
      </c>
      <c r="S380" s="21"/>
      <c r="T380" s="21"/>
      <c r="U380" s="21"/>
      <c r="V380" s="24"/>
      <c r="W380" s="24"/>
      <c r="X380" s="24" t="s">
        <v>491</v>
      </c>
      <c r="Y380" s="17" t="s">
        <v>492</v>
      </c>
      <c r="Z380" s="18">
        <f>ROUND(R380*'Data-CostAssumptions'!$C$3,-3)</f>
        <v>182000</v>
      </c>
      <c r="AA380" s="11">
        <f t="shared" si="17"/>
        <v>0</v>
      </c>
      <c r="AB380" s="11">
        <v>2041</v>
      </c>
      <c r="AC380" s="11">
        <v>2041</v>
      </c>
      <c r="AD380" s="11">
        <v>2041</v>
      </c>
      <c r="AE380" s="19">
        <f>ROUND((Z380*'Data-CostAssumptions'!$G$5)*(1+'Data-CostAssumptions'!$G$3)^(AB380-'Data-CostAssumptions'!$G$4),-3)</f>
        <v>103000</v>
      </c>
      <c r="AF380" s="19">
        <f>ROUND((Z380)*(1+'Data-CostAssumptions'!$G$3)^(AD380-'Data-CostAssumptions'!$G$4),-3)</f>
        <v>467000</v>
      </c>
      <c r="AG380" s="170" t="str">
        <f t="shared" si="18"/>
        <v>No</v>
      </c>
    </row>
    <row r="381" spans="2:33" ht="15" customHeight="1" x14ac:dyDescent="0.2">
      <c r="B381" s="11" t="s">
        <v>1211</v>
      </c>
      <c r="C381" s="13">
        <v>586</v>
      </c>
      <c r="D381" s="13" t="s">
        <v>420</v>
      </c>
      <c r="E381" s="20">
        <v>50</v>
      </c>
      <c r="F381" s="20">
        <v>174</v>
      </c>
      <c r="G381" s="20">
        <v>790</v>
      </c>
      <c r="H381" s="13" t="s">
        <v>1968</v>
      </c>
      <c r="I381" s="13" t="str">
        <f t="shared" si="19"/>
        <v>Taft St (State Rd 7/US 441 to North 64th Av)</v>
      </c>
      <c r="J381" s="13" t="s">
        <v>27</v>
      </c>
      <c r="K381" s="13" t="str">
        <f>VLOOKUP(J381,'Data-ProjectTypes'!A$3:B$13,2,FALSE)</f>
        <v>Program</v>
      </c>
      <c r="L381" s="21" t="s">
        <v>543</v>
      </c>
      <c r="M381" s="13" t="s">
        <v>1773</v>
      </c>
      <c r="N381" s="13" t="s">
        <v>2043</v>
      </c>
      <c r="O381" s="13" t="s">
        <v>282</v>
      </c>
      <c r="P381" s="13" t="s">
        <v>282</v>
      </c>
      <c r="Q381" s="22">
        <v>0.5</v>
      </c>
      <c r="R381" s="23">
        <v>181598</v>
      </c>
      <c r="V381" s="85" t="s">
        <v>1163</v>
      </c>
      <c r="Y381" s="12"/>
      <c r="Z381" s="18">
        <f>ROUND(R381*'Data-CostAssumptions'!$C$5,-3)</f>
        <v>182000</v>
      </c>
      <c r="AA381" s="11">
        <f t="shared" si="17"/>
        <v>1</v>
      </c>
      <c r="AB381" s="11">
        <v>2041</v>
      </c>
      <c r="AC381" s="11">
        <v>2041</v>
      </c>
      <c r="AD381" s="11">
        <v>2041</v>
      </c>
      <c r="AE381" s="19">
        <f>ROUND((Z381*'Data-CostAssumptions'!$G$5)*(1+'Data-CostAssumptions'!$G$3)^(AB381-'Data-CostAssumptions'!$G$4),-3)</f>
        <v>103000</v>
      </c>
      <c r="AF381" s="19">
        <f>ROUND((Z381)*(1+'Data-CostAssumptions'!$G$3)^(AD381-'Data-CostAssumptions'!$G$4),-3)</f>
        <v>467000</v>
      </c>
      <c r="AG381" s="170" t="str">
        <f t="shared" si="18"/>
        <v>No</v>
      </c>
    </row>
    <row r="382" spans="2:33" ht="15" customHeight="1" x14ac:dyDescent="0.2">
      <c r="B382" s="11" t="s">
        <v>1211</v>
      </c>
      <c r="C382" s="13">
        <v>618</v>
      </c>
      <c r="D382" s="13" t="s">
        <v>420</v>
      </c>
      <c r="E382" s="20">
        <v>182</v>
      </c>
      <c r="F382" s="20">
        <v>176</v>
      </c>
      <c r="G382" s="20">
        <v>819</v>
      </c>
      <c r="H382" s="13" t="s">
        <v>1776</v>
      </c>
      <c r="I382" s="13" t="str">
        <f t="shared" si="19"/>
        <v>West Copans Rd (NW 15th Av to Powerline Rd)</v>
      </c>
      <c r="J382" s="13" t="s">
        <v>27</v>
      </c>
      <c r="K382" s="13" t="str">
        <f>VLOOKUP(J382,'Data-ProjectTypes'!A$3:B$13,2,FALSE)</f>
        <v>Program</v>
      </c>
      <c r="L382" s="21" t="s">
        <v>348</v>
      </c>
      <c r="M382" s="13" t="s">
        <v>2054</v>
      </c>
      <c r="N382" s="13" t="s">
        <v>1858</v>
      </c>
      <c r="O382" s="13" t="s">
        <v>273</v>
      </c>
      <c r="P382" s="13" t="s">
        <v>273</v>
      </c>
      <c r="Q382" s="22">
        <v>0.5</v>
      </c>
      <c r="R382" s="23">
        <v>182154</v>
      </c>
      <c r="Y382" s="12"/>
      <c r="Z382" s="71">
        <f>ROUND(R382*'Data-CostAssumptions'!$C$8,-3)</f>
        <v>182000</v>
      </c>
      <c r="AA382" s="11">
        <f t="shared" si="17"/>
        <v>0</v>
      </c>
      <c r="AB382" s="11">
        <v>2041</v>
      </c>
      <c r="AC382" s="11">
        <v>2041</v>
      </c>
      <c r="AD382" s="11">
        <v>2041</v>
      </c>
      <c r="AE382" s="19">
        <f>ROUND((Z382*'Data-CostAssumptions'!$G$5)*(1+'Data-CostAssumptions'!$G$3)^(AB382-'Data-CostAssumptions'!$G$4),-3)</f>
        <v>103000</v>
      </c>
      <c r="AF382" s="19">
        <f>ROUND((Z382)*(1+'Data-CostAssumptions'!$G$3)^(AD382-'Data-CostAssumptions'!$G$4),-3)</f>
        <v>467000</v>
      </c>
      <c r="AG382" s="170" t="str">
        <f t="shared" si="18"/>
        <v>No</v>
      </c>
    </row>
    <row r="383" spans="2:33" ht="15" customHeight="1" x14ac:dyDescent="0.2">
      <c r="B383" s="11" t="s">
        <v>1211</v>
      </c>
      <c r="C383" s="13">
        <v>441</v>
      </c>
      <c r="D383" s="13" t="s">
        <v>420</v>
      </c>
      <c r="E383" s="20">
        <v>199</v>
      </c>
      <c r="F383" s="20">
        <v>166</v>
      </c>
      <c r="G383" s="20">
        <v>649</v>
      </c>
      <c r="H383" s="13" t="s">
        <v>1752</v>
      </c>
      <c r="I383" s="13" t="str">
        <f t="shared" si="19"/>
        <v>Hiatus Rd (Pembroke Rd to Washington St)</v>
      </c>
      <c r="J383" s="13" t="s">
        <v>27</v>
      </c>
      <c r="K383" s="13" t="str">
        <f>VLOOKUP(J383,'Data-ProjectTypes'!A$3:B$13,2,FALSE)</f>
        <v>Program</v>
      </c>
      <c r="L383" s="21" t="s">
        <v>348</v>
      </c>
      <c r="M383" s="13" t="s">
        <v>1760</v>
      </c>
      <c r="N383" s="13" t="s">
        <v>1971</v>
      </c>
      <c r="O383" s="13" t="s">
        <v>272</v>
      </c>
      <c r="P383" s="13" t="s">
        <v>272</v>
      </c>
      <c r="Q383" s="22">
        <v>0.5</v>
      </c>
      <c r="R383" s="23">
        <v>180840</v>
      </c>
      <c r="S383" s="21" t="s">
        <v>24</v>
      </c>
      <c r="T383" s="21"/>
      <c r="U383" s="21"/>
      <c r="V383" s="24"/>
      <c r="W383" s="24"/>
      <c r="X383" s="24" t="s">
        <v>475</v>
      </c>
      <c r="Y383" s="17" t="s">
        <v>693</v>
      </c>
      <c r="Z383" s="18">
        <f>ROUND(R383*'Data-CostAssumptions'!$C$8,-3)</f>
        <v>181000</v>
      </c>
      <c r="AA383" s="11">
        <f t="shared" si="17"/>
        <v>0</v>
      </c>
      <c r="AB383" s="11">
        <v>2041</v>
      </c>
      <c r="AC383" s="11">
        <v>2041</v>
      </c>
      <c r="AD383" s="11">
        <v>2041</v>
      </c>
      <c r="AE383" s="19">
        <f>ROUND((Z383*'Data-CostAssumptions'!$G$5)*(1+'Data-CostAssumptions'!$G$3)^(AB383-'Data-CostAssumptions'!$G$4),-3)</f>
        <v>102000</v>
      </c>
      <c r="AF383" s="19">
        <f>ROUND((Z383)*(1+'Data-CostAssumptions'!$G$3)^(AD383-'Data-CostAssumptions'!$G$4),-3)</f>
        <v>464000</v>
      </c>
      <c r="AG383" s="170" t="str">
        <f t="shared" si="18"/>
        <v>No</v>
      </c>
    </row>
    <row r="384" spans="2:33" ht="15" customHeight="1" x14ac:dyDescent="0.2">
      <c r="B384" s="11" t="s">
        <v>1211</v>
      </c>
      <c r="C384" s="13">
        <v>491</v>
      </c>
      <c r="D384" s="13" t="s">
        <v>420</v>
      </c>
      <c r="E384" s="20">
        <v>29</v>
      </c>
      <c r="F384" s="20">
        <v>168</v>
      </c>
      <c r="G384" s="20">
        <v>696</v>
      </c>
      <c r="H384" s="13" t="s">
        <v>2099</v>
      </c>
      <c r="I384" s="13" t="str">
        <f t="shared" si="19"/>
        <v>SW 101st Av/Palm Av (Taft St to Sheridan St)</v>
      </c>
      <c r="J384" s="13" t="s">
        <v>27</v>
      </c>
      <c r="K384" s="13" t="str">
        <f>VLOOKUP(J384,'Data-ProjectTypes'!A$3:B$13,2,FALSE)</f>
        <v>Program</v>
      </c>
      <c r="L384" s="21" t="s">
        <v>348</v>
      </c>
      <c r="M384" s="13" t="s">
        <v>1968</v>
      </c>
      <c r="N384" s="13" t="s">
        <v>1951</v>
      </c>
      <c r="O384" s="13" t="s">
        <v>273</v>
      </c>
      <c r="P384" s="13" t="s">
        <v>273</v>
      </c>
      <c r="Q384" s="22">
        <v>0.5</v>
      </c>
      <c r="R384" s="23">
        <v>179578</v>
      </c>
      <c r="Y384" s="17"/>
      <c r="Z384" s="18">
        <f>ROUND(R384*'Data-CostAssumptions'!$C$8,-3)</f>
        <v>180000</v>
      </c>
      <c r="AA384" s="11">
        <f t="shared" si="17"/>
        <v>0</v>
      </c>
      <c r="AB384" s="11">
        <v>2041</v>
      </c>
      <c r="AC384" s="11">
        <v>2041</v>
      </c>
      <c r="AD384" s="11">
        <v>2041</v>
      </c>
      <c r="AE384" s="19">
        <f>ROUND((Z384*'Data-CostAssumptions'!$G$5)*(1+'Data-CostAssumptions'!$G$3)^(AB384-'Data-CostAssumptions'!$G$4),-3)</f>
        <v>102000</v>
      </c>
      <c r="AF384" s="19">
        <f>ROUND((Z384)*(1+'Data-CostAssumptions'!$G$3)^(AD384-'Data-CostAssumptions'!$G$4),-3)</f>
        <v>462000</v>
      </c>
      <c r="AG384" s="170" t="str">
        <f t="shared" si="18"/>
        <v>No</v>
      </c>
    </row>
    <row r="385" spans="1:33" ht="15" customHeight="1" x14ac:dyDescent="0.2">
      <c r="B385" s="11" t="s">
        <v>1211</v>
      </c>
      <c r="C385" s="13">
        <v>553</v>
      </c>
      <c r="D385" s="13" t="s">
        <v>420</v>
      </c>
      <c r="E385" s="20">
        <v>127</v>
      </c>
      <c r="F385" s="20">
        <v>172</v>
      </c>
      <c r="G385" s="20">
        <v>757</v>
      </c>
      <c r="H385" s="13" t="s">
        <v>2057</v>
      </c>
      <c r="I385" s="13" t="str">
        <f t="shared" si="19"/>
        <v>NW 21st Av (NW 62nd St/Cypress Creek Rd to McNab Rd)</v>
      </c>
      <c r="J385" s="13" t="s">
        <v>27</v>
      </c>
      <c r="K385" s="13" t="str">
        <f>VLOOKUP(J385,'Data-ProjectTypes'!A$3:B$13,2,FALSE)</f>
        <v>Program</v>
      </c>
      <c r="L385" s="21" t="s">
        <v>348</v>
      </c>
      <c r="M385" s="13" t="s">
        <v>1928</v>
      </c>
      <c r="N385" s="13" t="s">
        <v>1854</v>
      </c>
      <c r="O385" s="13" t="s">
        <v>272</v>
      </c>
      <c r="P385" s="13" t="s">
        <v>272</v>
      </c>
      <c r="Q385" s="22">
        <v>0.5</v>
      </c>
      <c r="R385" s="23">
        <v>177966</v>
      </c>
      <c r="Y385" s="12"/>
      <c r="Z385" s="71">
        <f>ROUND(R385*'Data-CostAssumptions'!$C$8,-3)</f>
        <v>178000</v>
      </c>
      <c r="AA385" s="11">
        <f t="shared" si="17"/>
        <v>0</v>
      </c>
      <c r="AB385" s="11">
        <v>2041</v>
      </c>
      <c r="AC385" s="11">
        <v>2041</v>
      </c>
      <c r="AD385" s="11">
        <v>2041</v>
      </c>
      <c r="AE385" s="19">
        <f>ROUND((Z385*'Data-CostAssumptions'!$G$5)*(1+'Data-CostAssumptions'!$G$3)^(AB385-'Data-CostAssumptions'!$G$4),-3)</f>
        <v>100000</v>
      </c>
      <c r="AF385" s="19">
        <f>ROUND((Z385)*(1+'Data-CostAssumptions'!$G$3)^(AD385-'Data-CostAssumptions'!$G$4),-3)</f>
        <v>456000</v>
      </c>
      <c r="AG385" s="170" t="str">
        <f t="shared" si="18"/>
        <v>No</v>
      </c>
    </row>
    <row r="386" spans="1:33" ht="15" customHeight="1" x14ac:dyDescent="0.2">
      <c r="B386" s="11" t="s">
        <v>1211</v>
      </c>
      <c r="C386" s="13">
        <v>601</v>
      </c>
      <c r="D386" s="13" t="s">
        <v>420</v>
      </c>
      <c r="E386" s="20">
        <v>275</v>
      </c>
      <c r="F386" s="20">
        <v>175</v>
      </c>
      <c r="G386" s="20">
        <v>803</v>
      </c>
      <c r="H386" s="13" t="s">
        <v>1805</v>
      </c>
      <c r="I386" s="13" t="str">
        <f t="shared" si="19"/>
        <v>West Palomino Dr (SW 142nd Av to SW 148th Av)</v>
      </c>
      <c r="J386" s="13" t="s">
        <v>27</v>
      </c>
      <c r="K386" s="13" t="str">
        <f>VLOOKUP(J386,'Data-ProjectTypes'!A$3:B$13,2,FALSE)</f>
        <v>Program</v>
      </c>
      <c r="L386" s="21" t="s">
        <v>348</v>
      </c>
      <c r="M386" s="13" t="s">
        <v>2103</v>
      </c>
      <c r="N386" s="13" t="s">
        <v>2104</v>
      </c>
      <c r="O386" s="13" t="s">
        <v>272</v>
      </c>
      <c r="P386" s="13" t="s">
        <v>272</v>
      </c>
      <c r="Q386" s="22">
        <v>0.5</v>
      </c>
      <c r="R386" s="23">
        <v>178099</v>
      </c>
      <c r="V386" s="11" t="s">
        <v>489</v>
      </c>
      <c r="X386" s="12"/>
      <c r="Y386" s="12"/>
      <c r="Z386" s="18">
        <f>ROUND(R386*'Data-CostAssumptions'!$C$6,-3)</f>
        <v>178000</v>
      </c>
      <c r="AA386" s="11">
        <f t="shared" ref="AA386:AA449" si="20">IF(V386="",IF(W386="",0,1),1)</f>
        <v>1</v>
      </c>
      <c r="AB386" s="11">
        <v>2041</v>
      </c>
      <c r="AC386" s="11">
        <v>2041</v>
      </c>
      <c r="AD386" s="11">
        <v>2041</v>
      </c>
      <c r="AE386" s="19">
        <f>ROUND((Z386*'Data-CostAssumptions'!$G$5)*(1+'Data-CostAssumptions'!$G$3)^(AB386-'Data-CostAssumptions'!$G$4),-3)</f>
        <v>100000</v>
      </c>
      <c r="AF386" s="19">
        <f>ROUND((Z386)*(1+'Data-CostAssumptions'!$G$3)^(AD386-'Data-CostAssumptions'!$G$4),-3)</f>
        <v>456000</v>
      </c>
      <c r="AG386" s="170" t="str">
        <f t="shared" ref="AG386:AG449" si="21">IF(MIN(AC386:AD386)&lt;2041,"Yes","No")</f>
        <v>No</v>
      </c>
    </row>
    <row r="387" spans="1:33" ht="15" customHeight="1" x14ac:dyDescent="0.2">
      <c r="B387" s="11" t="s">
        <v>1211</v>
      </c>
      <c r="C387" s="11">
        <v>14003</v>
      </c>
      <c r="D387" s="84" t="s">
        <v>295</v>
      </c>
      <c r="E387" s="14"/>
      <c r="F387" s="14"/>
      <c r="G387" s="20">
        <v>1858</v>
      </c>
      <c r="H387" s="13" t="s">
        <v>2578</v>
      </c>
      <c r="I387" s="13" t="str">
        <f t="shared" si="19"/>
        <v>SW 21st St (S.W. 40th Av to South State Rd 7 (US 441))</v>
      </c>
      <c r="J387" s="11" t="s">
        <v>27</v>
      </c>
      <c r="K387" s="13" t="str">
        <f>VLOOKUP(J387,'Data-ProjectTypes'!A$3:B$13,2,FALSE)</f>
        <v>Program</v>
      </c>
      <c r="L387" s="11" t="s">
        <v>1133</v>
      </c>
      <c r="M387" s="11" t="s">
        <v>2086</v>
      </c>
      <c r="N387" s="11" t="s">
        <v>2447</v>
      </c>
      <c r="O387" s="84" t="s">
        <v>295</v>
      </c>
      <c r="P387" s="84" t="s">
        <v>295</v>
      </c>
      <c r="Q387" s="15">
        <v>1.5</v>
      </c>
      <c r="R387" s="16">
        <v>178455.3</v>
      </c>
      <c r="S387" s="12"/>
      <c r="T387" s="12"/>
      <c r="U387" s="12"/>
      <c r="V387" s="12"/>
      <c r="W387" s="12"/>
      <c r="X387" s="12"/>
      <c r="Y387" s="12"/>
      <c r="Z387" s="18">
        <f>ROUND(R387*'Data-CostAssumptions'!$C$8,-3)</f>
        <v>178000</v>
      </c>
      <c r="AA387" s="11">
        <f t="shared" si="20"/>
        <v>0</v>
      </c>
      <c r="AB387" s="11">
        <v>2041</v>
      </c>
      <c r="AC387" s="11">
        <v>2041</v>
      </c>
      <c r="AD387" s="11">
        <v>2041</v>
      </c>
      <c r="AE387" s="19">
        <f>ROUND((Z387*'Data-CostAssumptions'!$G$5)*(1+'Data-CostAssumptions'!$G$3)^(AB387-'Data-CostAssumptions'!$G$4),-3)</f>
        <v>100000</v>
      </c>
      <c r="AF387" s="19">
        <f>ROUND((Z387)*(1+'Data-CostAssumptions'!$G$3)^(AD387-'Data-CostAssumptions'!$G$4),-3)</f>
        <v>456000</v>
      </c>
      <c r="AG387" s="170" t="str">
        <f t="shared" si="21"/>
        <v>No</v>
      </c>
    </row>
    <row r="388" spans="1:33" ht="15" customHeight="1" x14ac:dyDescent="0.2">
      <c r="B388" s="11" t="s">
        <v>1211</v>
      </c>
      <c r="C388" s="13">
        <v>402</v>
      </c>
      <c r="D388" s="13" t="s">
        <v>420</v>
      </c>
      <c r="E388" s="20">
        <v>19</v>
      </c>
      <c r="F388" s="20">
        <v>163</v>
      </c>
      <c r="G388" s="20">
        <v>610</v>
      </c>
      <c r="H388" s="13" t="s">
        <v>2104</v>
      </c>
      <c r="I388" s="13" t="str">
        <f t="shared" si="19"/>
        <v>SW 148th Av (Miramar Parkway to North of SW 27th St)</v>
      </c>
      <c r="J388" s="13" t="s">
        <v>27</v>
      </c>
      <c r="K388" s="13" t="str">
        <f>VLOOKUP(J388,'Data-ProjectTypes'!A$3:B$13,2,FALSE)</f>
        <v>Program</v>
      </c>
      <c r="L388" s="21" t="s">
        <v>348</v>
      </c>
      <c r="M388" s="13" t="s">
        <v>39</v>
      </c>
      <c r="N388" s="13" t="s">
        <v>2569</v>
      </c>
      <c r="O388" s="13" t="s">
        <v>274</v>
      </c>
      <c r="P388" s="13" t="s">
        <v>274</v>
      </c>
      <c r="Q388" s="22">
        <v>0.5</v>
      </c>
      <c r="R388" s="23">
        <v>175663</v>
      </c>
      <c r="S388" s="21"/>
      <c r="T388" s="21"/>
      <c r="U388" s="21"/>
      <c r="V388" s="24"/>
      <c r="W388" s="24"/>
      <c r="X388" s="24"/>
      <c r="Y388" s="17"/>
      <c r="Z388" s="18">
        <f>ROUND(R388*'Data-CostAssumptions'!$C$8,-3)</f>
        <v>176000</v>
      </c>
      <c r="AA388" s="11">
        <f t="shared" si="20"/>
        <v>0</v>
      </c>
      <c r="AB388" s="11">
        <v>2041</v>
      </c>
      <c r="AC388" s="11">
        <v>2041</v>
      </c>
      <c r="AD388" s="11">
        <v>2041</v>
      </c>
      <c r="AE388" s="19">
        <f>ROUND((Z388*'Data-CostAssumptions'!$G$5)*(1+'Data-CostAssumptions'!$G$3)^(AB388-'Data-CostAssumptions'!$G$4),-3)</f>
        <v>99000</v>
      </c>
      <c r="AF388" s="19">
        <f>ROUND((Z388)*(1+'Data-CostAssumptions'!$G$3)^(AD388-'Data-CostAssumptions'!$G$4),-3)</f>
        <v>451000</v>
      </c>
      <c r="AG388" s="170" t="str">
        <f t="shared" si="21"/>
        <v>No</v>
      </c>
    </row>
    <row r="389" spans="1:33" ht="15" customHeight="1" x14ac:dyDescent="0.2">
      <c r="A389" s="109"/>
      <c r="B389" s="11" t="s">
        <v>1211</v>
      </c>
      <c r="C389" s="109"/>
      <c r="D389" s="109" t="s">
        <v>276</v>
      </c>
      <c r="E389" s="110"/>
      <c r="F389" s="110">
        <v>142</v>
      </c>
      <c r="G389" s="20">
        <v>1648</v>
      </c>
      <c r="H389" s="111" t="s">
        <v>3021</v>
      </c>
      <c r="I389" s="111" t="s">
        <v>3025</v>
      </c>
      <c r="J389" s="109" t="s">
        <v>27</v>
      </c>
      <c r="K389" s="109" t="s">
        <v>1208</v>
      </c>
      <c r="L389" s="111" t="s">
        <v>3022</v>
      </c>
      <c r="M389" s="112" t="s">
        <v>3020</v>
      </c>
      <c r="N389" s="113" t="s">
        <v>3026</v>
      </c>
      <c r="O389" s="12"/>
      <c r="P389" s="12"/>
      <c r="Q389" s="114">
        <v>0.3</v>
      </c>
      <c r="R389" s="115">
        <v>175500</v>
      </c>
      <c r="S389" s="12"/>
      <c r="T389" s="12"/>
      <c r="U389" s="12"/>
      <c r="V389" s="12"/>
      <c r="W389" s="12"/>
      <c r="X389" s="12"/>
      <c r="Y389" s="12"/>
      <c r="Z389" s="18">
        <f>ROUND(R389*'Data-CostAssumptions'!$C$8,-3)</f>
        <v>176000</v>
      </c>
      <c r="AA389" s="11">
        <f t="shared" si="20"/>
        <v>0</v>
      </c>
      <c r="AB389" s="11">
        <v>2041</v>
      </c>
      <c r="AC389" s="11">
        <v>2041</v>
      </c>
      <c r="AD389" s="11">
        <v>2041</v>
      </c>
      <c r="AE389" s="19">
        <f>ROUND((Z389*'Data-CostAssumptions'!$G$5)*(1+'Data-CostAssumptions'!$G$3)^(AB389-'Data-CostAssumptions'!$G$4),-3)</f>
        <v>99000</v>
      </c>
      <c r="AF389" s="19">
        <f>ROUND((Z389)*(1+'Data-CostAssumptions'!$G$3)^(AD389-'Data-CostAssumptions'!$G$4),-3)</f>
        <v>451000</v>
      </c>
      <c r="AG389" s="170" t="str">
        <f t="shared" si="21"/>
        <v>No</v>
      </c>
    </row>
    <row r="390" spans="1:33" ht="15" customHeight="1" x14ac:dyDescent="0.2">
      <c r="B390" s="11" t="s">
        <v>1211</v>
      </c>
      <c r="C390" s="13">
        <v>616</v>
      </c>
      <c r="D390" s="13" t="s">
        <v>420</v>
      </c>
      <c r="E390" s="20">
        <v>177</v>
      </c>
      <c r="F390" s="20">
        <v>176</v>
      </c>
      <c r="G390" s="20">
        <v>817</v>
      </c>
      <c r="H390" s="13" t="s">
        <v>1771</v>
      </c>
      <c r="I390" s="13" t="str">
        <f t="shared" ref="I390:I421" si="22">IF(M390="@",H390&amp;" ("&amp;M390&amp;"  "&amp;N390&amp;")",H390&amp;" ("&amp;M390&amp;" to "&amp;N390&amp;")")</f>
        <v>South Powerline Rd (SW 10th St to SW 4th St)</v>
      </c>
      <c r="J390" s="13" t="s">
        <v>27</v>
      </c>
      <c r="K390" s="13" t="str">
        <f>VLOOKUP(J390,'Data-ProjectTypes'!A$3:B$13,2,FALSE)</f>
        <v>Program</v>
      </c>
      <c r="L390" s="21" t="s">
        <v>348</v>
      </c>
      <c r="M390" s="13" t="s">
        <v>1954</v>
      </c>
      <c r="N390" s="13" t="s">
        <v>1964</v>
      </c>
      <c r="O390" s="13" t="s">
        <v>270</v>
      </c>
      <c r="P390" s="13" t="s">
        <v>270</v>
      </c>
      <c r="Q390" s="22">
        <v>0.5</v>
      </c>
      <c r="R390" s="23">
        <v>174788</v>
      </c>
      <c r="Y390" s="12"/>
      <c r="Z390" s="71">
        <f>ROUND(R390*'Data-CostAssumptions'!$C$8,-3)</f>
        <v>175000</v>
      </c>
      <c r="AA390" s="11">
        <f t="shared" si="20"/>
        <v>0</v>
      </c>
      <c r="AB390" s="11">
        <v>2041</v>
      </c>
      <c r="AC390" s="11">
        <v>2041</v>
      </c>
      <c r="AD390" s="11">
        <v>2041</v>
      </c>
      <c r="AE390" s="19">
        <f>ROUND((Z390*'Data-CostAssumptions'!$G$5)*(1+'Data-CostAssumptions'!$G$3)^(AB390-'Data-CostAssumptions'!$G$4),-3)</f>
        <v>99000</v>
      </c>
      <c r="AF390" s="19">
        <f>ROUND((Z390)*(1+'Data-CostAssumptions'!$G$3)^(AD390-'Data-CostAssumptions'!$G$4),-3)</f>
        <v>449000</v>
      </c>
      <c r="AG390" s="170" t="str">
        <f t="shared" si="21"/>
        <v>No</v>
      </c>
    </row>
    <row r="391" spans="1:33" ht="15" customHeight="1" x14ac:dyDescent="0.2">
      <c r="B391" s="11" t="s">
        <v>1211</v>
      </c>
      <c r="C391" s="11">
        <v>12103</v>
      </c>
      <c r="D391" s="84" t="s">
        <v>279</v>
      </c>
      <c r="E391" s="14"/>
      <c r="F391" s="14"/>
      <c r="G391" s="20">
        <v>1121</v>
      </c>
      <c r="H391" s="13" t="s">
        <v>1766</v>
      </c>
      <c r="I391" s="13" t="str">
        <f t="shared" si="22"/>
        <v>Reese Rd (SW 29th St to Davie Rd )</v>
      </c>
      <c r="J391" s="11" t="s">
        <v>27</v>
      </c>
      <c r="K391" s="13" t="str">
        <f>VLOOKUP(J391,'Data-ProjectTypes'!A$3:B$13,2,FALSE)</f>
        <v>Program</v>
      </c>
      <c r="L391" s="11" t="s">
        <v>484</v>
      </c>
      <c r="M391" s="11" t="s">
        <v>488</v>
      </c>
      <c r="N391" s="11" t="s">
        <v>2446</v>
      </c>
      <c r="Q391" s="15">
        <v>1.2</v>
      </c>
      <c r="R391" s="23">
        <f>ROUND('Data-CostAssumptions'!$C$23*Q391,-3)</f>
        <v>175000</v>
      </c>
      <c r="Y391" s="12"/>
      <c r="Z391" s="71">
        <f>ROUND(R391*'Data-CostAssumptions'!$C$8,-3)</f>
        <v>175000</v>
      </c>
      <c r="AA391" s="11">
        <f t="shared" si="20"/>
        <v>0</v>
      </c>
      <c r="AB391" s="11">
        <v>2041</v>
      </c>
      <c r="AC391" s="11">
        <v>2041</v>
      </c>
      <c r="AD391" s="11">
        <v>2041</v>
      </c>
      <c r="AE391" s="19">
        <f>ROUND((Z391*'Data-CostAssumptions'!$G$5)*(1+'Data-CostAssumptions'!$G$3)^(AB391-'Data-CostAssumptions'!$G$4),-3)</f>
        <v>99000</v>
      </c>
      <c r="AF391" s="19">
        <f>ROUND((Z391)*(1+'Data-CostAssumptions'!$G$3)^(AD391-'Data-CostAssumptions'!$G$4),-3)</f>
        <v>449000</v>
      </c>
      <c r="AG391" s="170" t="str">
        <f t="shared" si="21"/>
        <v>No</v>
      </c>
    </row>
    <row r="392" spans="1:33" ht="15" customHeight="1" x14ac:dyDescent="0.2">
      <c r="B392" s="11" t="s">
        <v>1211</v>
      </c>
      <c r="C392" s="13">
        <v>330</v>
      </c>
      <c r="D392" s="13" t="s">
        <v>420</v>
      </c>
      <c r="E392" s="20">
        <v>352</v>
      </c>
      <c r="F392" s="20">
        <v>159</v>
      </c>
      <c r="G392" s="20">
        <v>541</v>
      </c>
      <c r="H392" s="13" t="s">
        <v>2065</v>
      </c>
      <c r="I392" s="13" t="str">
        <f t="shared" si="22"/>
        <v>NW 34th Av (NW 4th St to NW 6th Court)</v>
      </c>
      <c r="J392" s="13" t="s">
        <v>27</v>
      </c>
      <c r="K392" s="13" t="str">
        <f>VLOOKUP(J392,'Data-ProjectTypes'!A$3:B$13,2,FALSE)</f>
        <v>Program</v>
      </c>
      <c r="L392" s="21" t="s">
        <v>348</v>
      </c>
      <c r="M392" s="13" t="s">
        <v>2536</v>
      </c>
      <c r="N392" s="13" t="s">
        <v>172</v>
      </c>
      <c r="O392" s="13" t="s">
        <v>281</v>
      </c>
      <c r="P392" s="13" t="s">
        <v>281</v>
      </c>
      <c r="Q392" s="22">
        <v>0.3</v>
      </c>
      <c r="R392" s="23">
        <v>119856</v>
      </c>
      <c r="S392" s="21"/>
      <c r="T392" s="21"/>
      <c r="U392" s="21"/>
      <c r="V392" s="24"/>
      <c r="W392" s="24"/>
      <c r="X392" s="24"/>
      <c r="Y392" s="17"/>
      <c r="Z392" s="18">
        <f>ROUND(R392*'Data-CostAssumptions'!$C$3,-3)</f>
        <v>166000</v>
      </c>
      <c r="AA392" s="11">
        <f t="shared" si="20"/>
        <v>0</v>
      </c>
      <c r="AB392" s="11">
        <v>2041</v>
      </c>
      <c r="AC392" s="11">
        <v>2041</v>
      </c>
      <c r="AD392" s="11">
        <v>2041</v>
      </c>
      <c r="AE392" s="19">
        <f>ROUND((Z392*'Data-CostAssumptions'!$G$5)*(1+'Data-CostAssumptions'!$G$3)^(AB392-'Data-CostAssumptions'!$G$4),-3)</f>
        <v>94000</v>
      </c>
      <c r="AF392" s="19">
        <f>ROUND((Z392)*(1+'Data-CostAssumptions'!$G$3)^(AD392-'Data-CostAssumptions'!$G$4),-3)</f>
        <v>426000</v>
      </c>
      <c r="AG392" s="170" t="str">
        <f t="shared" si="21"/>
        <v>No</v>
      </c>
    </row>
    <row r="393" spans="1:33" ht="15" customHeight="1" x14ac:dyDescent="0.2">
      <c r="B393" s="11" t="s">
        <v>1211</v>
      </c>
      <c r="C393" s="13">
        <v>449</v>
      </c>
      <c r="D393" s="13" t="s">
        <v>420</v>
      </c>
      <c r="E393" s="20">
        <v>257</v>
      </c>
      <c r="F393" s="20">
        <v>166</v>
      </c>
      <c r="G393" s="20">
        <v>657</v>
      </c>
      <c r="H393" s="13" t="s">
        <v>1963</v>
      </c>
      <c r="I393" s="13" t="str">
        <f t="shared" si="22"/>
        <v>SW 45th St (State Rd 7/US 441 to Florida's Turnpike)</v>
      </c>
      <c r="J393" s="13" t="s">
        <v>27</v>
      </c>
      <c r="K393" s="13" t="str">
        <f>VLOOKUP(J393,'Data-ProjectTypes'!A$3:B$13,2,FALSE)</f>
        <v>Program</v>
      </c>
      <c r="L393" s="21" t="s">
        <v>348</v>
      </c>
      <c r="M393" s="13" t="s">
        <v>1773</v>
      </c>
      <c r="N393" s="13" t="s">
        <v>42</v>
      </c>
      <c r="O393" s="13" t="s">
        <v>279</v>
      </c>
      <c r="P393" s="13" t="s">
        <v>279</v>
      </c>
      <c r="Q393" s="22">
        <v>0.5</v>
      </c>
      <c r="R393" s="23">
        <v>165106</v>
      </c>
      <c r="S393" s="21"/>
      <c r="T393" s="21"/>
      <c r="U393" s="21"/>
      <c r="V393" s="24"/>
      <c r="W393" s="24"/>
      <c r="X393" s="24"/>
      <c r="Y393" s="17"/>
      <c r="Z393" s="18">
        <f>ROUND(R393*'Data-CostAssumptions'!$C$8,-3)</f>
        <v>165000</v>
      </c>
      <c r="AA393" s="11">
        <f t="shared" si="20"/>
        <v>0</v>
      </c>
      <c r="AB393" s="11">
        <v>2041</v>
      </c>
      <c r="AC393" s="11">
        <v>2041</v>
      </c>
      <c r="AD393" s="11">
        <v>2041</v>
      </c>
      <c r="AE393" s="19">
        <f>ROUND((Z393*'Data-CostAssumptions'!$G$5)*(1+'Data-CostAssumptions'!$G$3)^(AB393-'Data-CostAssumptions'!$G$4),-3)</f>
        <v>93000</v>
      </c>
      <c r="AF393" s="19">
        <f>ROUND((Z393)*(1+'Data-CostAssumptions'!$G$3)^(AD393-'Data-CostAssumptions'!$G$4),-3)</f>
        <v>423000</v>
      </c>
      <c r="AG393" s="170" t="str">
        <f t="shared" si="21"/>
        <v>No</v>
      </c>
    </row>
    <row r="394" spans="1:33" ht="15" customHeight="1" x14ac:dyDescent="0.2">
      <c r="B394" s="11" t="s">
        <v>1211</v>
      </c>
      <c r="C394" s="13">
        <v>253</v>
      </c>
      <c r="D394" s="13" t="s">
        <v>420</v>
      </c>
      <c r="E394" s="20">
        <v>287</v>
      </c>
      <c r="F394" s="20">
        <v>154</v>
      </c>
      <c r="G394" s="20">
        <v>465</v>
      </c>
      <c r="H394" s="13" t="s">
        <v>1892</v>
      </c>
      <c r="I394" s="13" t="str">
        <f t="shared" si="22"/>
        <v>NE 3rd St (Federal Hwy to NE 1st Av)</v>
      </c>
      <c r="J394" s="13" t="s">
        <v>27</v>
      </c>
      <c r="K394" s="13" t="str">
        <f>VLOOKUP(J394,'Data-ProjectTypes'!A$3:B$13,2,FALSE)</f>
        <v>Program</v>
      </c>
      <c r="L394" s="21" t="s">
        <v>514</v>
      </c>
      <c r="M394" s="13" t="s">
        <v>2595</v>
      </c>
      <c r="N394" s="13" t="s">
        <v>2027</v>
      </c>
      <c r="O394" s="13" t="s">
        <v>297</v>
      </c>
      <c r="P394" s="13" t="s">
        <v>297</v>
      </c>
      <c r="Q394" s="22">
        <v>0.3</v>
      </c>
      <c r="R394" s="23">
        <v>118144</v>
      </c>
      <c r="S394" s="21"/>
      <c r="T394" s="21"/>
      <c r="U394" s="21"/>
      <c r="V394" s="24"/>
      <c r="W394" s="24"/>
      <c r="X394" s="24"/>
      <c r="Y394" s="17"/>
      <c r="Z394" s="18">
        <f>ROUND(R394*'Data-CostAssumptions'!$C$3,-3)</f>
        <v>164000</v>
      </c>
      <c r="AA394" s="11">
        <f t="shared" si="20"/>
        <v>0</v>
      </c>
      <c r="AB394" s="11">
        <v>2041</v>
      </c>
      <c r="AC394" s="11">
        <v>2041</v>
      </c>
      <c r="AD394" s="11">
        <v>2041</v>
      </c>
      <c r="AE394" s="19">
        <f>ROUND((Z394*'Data-CostAssumptions'!$G$5)*(1+'Data-CostAssumptions'!$G$3)^(AB394-'Data-CostAssumptions'!$G$4),-3)</f>
        <v>93000</v>
      </c>
      <c r="AF394" s="19">
        <f>ROUND((Z394)*(1+'Data-CostAssumptions'!$G$3)^(AD394-'Data-CostAssumptions'!$G$4),-3)</f>
        <v>420000</v>
      </c>
      <c r="AG394" s="170" t="str">
        <f t="shared" si="21"/>
        <v>No</v>
      </c>
    </row>
    <row r="395" spans="1:33" ht="15" customHeight="1" x14ac:dyDescent="0.2">
      <c r="B395" s="11" t="s">
        <v>1211</v>
      </c>
      <c r="C395" s="13">
        <v>375</v>
      </c>
      <c r="D395" s="13" t="s">
        <v>420</v>
      </c>
      <c r="E395" s="20">
        <v>203</v>
      </c>
      <c r="F395" s="20">
        <v>162</v>
      </c>
      <c r="G395" s="20">
        <v>586</v>
      </c>
      <c r="H395" s="13" t="s">
        <v>2709</v>
      </c>
      <c r="I395" s="13" t="str">
        <f t="shared" si="22"/>
        <v>SR 817/University Dr (Pines Bl to Just south of University Dr)</v>
      </c>
      <c r="J395" s="13" t="s">
        <v>27</v>
      </c>
      <c r="K395" s="13" t="str">
        <f>VLOOKUP(J395,'Data-ProjectTypes'!A$3:B$13,2,FALSE)</f>
        <v>Program</v>
      </c>
      <c r="L395" s="21" t="s">
        <v>348</v>
      </c>
      <c r="M395" s="13" t="s">
        <v>1826</v>
      </c>
      <c r="N395" s="13" t="s">
        <v>2662</v>
      </c>
      <c r="O395" s="13" t="s">
        <v>270</v>
      </c>
      <c r="P395" s="13" t="s">
        <v>270</v>
      </c>
      <c r="Q395" s="22">
        <v>0.3</v>
      </c>
      <c r="R395" s="23">
        <v>117449</v>
      </c>
      <c r="S395" s="21"/>
      <c r="T395" s="21"/>
      <c r="U395" s="21"/>
      <c r="V395" s="24"/>
      <c r="W395" s="24"/>
      <c r="X395" s="24"/>
      <c r="Y395" s="17"/>
      <c r="Z395" s="18">
        <f>ROUND(R395*'Data-CostAssumptions'!$C$3,-3)</f>
        <v>163000</v>
      </c>
      <c r="AA395" s="11">
        <f t="shared" si="20"/>
        <v>0</v>
      </c>
      <c r="AB395" s="11">
        <v>2041</v>
      </c>
      <c r="AC395" s="11">
        <v>2041</v>
      </c>
      <c r="AD395" s="11">
        <v>2041</v>
      </c>
      <c r="AE395" s="19">
        <f>ROUND((Z395*'Data-CostAssumptions'!$G$5)*(1+'Data-CostAssumptions'!$G$3)^(AB395-'Data-CostAssumptions'!$G$4),-3)</f>
        <v>92000</v>
      </c>
      <c r="AF395" s="19">
        <f>ROUND((Z395)*(1+'Data-CostAssumptions'!$G$3)^(AD395-'Data-CostAssumptions'!$G$4),-3)</f>
        <v>418000</v>
      </c>
      <c r="AG395" s="170" t="str">
        <f t="shared" si="21"/>
        <v>No</v>
      </c>
    </row>
    <row r="396" spans="1:33" ht="15" customHeight="1" x14ac:dyDescent="0.2">
      <c r="B396" s="11" t="s">
        <v>1211</v>
      </c>
      <c r="C396" s="13">
        <v>530</v>
      </c>
      <c r="D396" s="13" t="s">
        <v>420</v>
      </c>
      <c r="E396" s="20">
        <v>314</v>
      </c>
      <c r="F396" s="20">
        <v>171</v>
      </c>
      <c r="G396" s="20">
        <v>734</v>
      </c>
      <c r="H396" s="13" t="s">
        <v>2046</v>
      </c>
      <c r="I396" s="13" t="str">
        <f t="shared" si="22"/>
        <v>North Andrews Av (NE 45th St/Floranada Rd to Commercial Bl)</v>
      </c>
      <c r="J396" s="13" t="s">
        <v>27</v>
      </c>
      <c r="K396" s="13" t="str">
        <f>VLOOKUP(J396,'Data-ProjectTypes'!A$3:B$13,2,FALSE)</f>
        <v>Program</v>
      </c>
      <c r="L396" s="21" t="s">
        <v>348</v>
      </c>
      <c r="M396" s="13" t="s">
        <v>1894</v>
      </c>
      <c r="N396" s="13" t="s">
        <v>1813</v>
      </c>
      <c r="O396" s="13" t="s">
        <v>273</v>
      </c>
      <c r="P396" s="13" t="s">
        <v>273</v>
      </c>
      <c r="Q396" s="22">
        <v>0.5</v>
      </c>
      <c r="R396" s="23">
        <v>163422</v>
      </c>
      <c r="S396" s="21" t="s">
        <v>24</v>
      </c>
      <c r="T396" s="21"/>
      <c r="U396" s="21"/>
      <c r="V396" s="24"/>
      <c r="W396" s="24"/>
      <c r="X396" s="24" t="s">
        <v>478</v>
      </c>
      <c r="Y396" s="17" t="s">
        <v>469</v>
      </c>
      <c r="Z396" s="18">
        <f>ROUND(R396*'Data-CostAssumptions'!$C$8,-3)</f>
        <v>163000</v>
      </c>
      <c r="AA396" s="11">
        <f t="shared" si="20"/>
        <v>0</v>
      </c>
      <c r="AB396" s="11">
        <v>2041</v>
      </c>
      <c r="AC396" s="11">
        <v>2041</v>
      </c>
      <c r="AD396" s="11">
        <v>2041</v>
      </c>
      <c r="AE396" s="19">
        <f>ROUND((Z396*'Data-CostAssumptions'!$G$5)*(1+'Data-CostAssumptions'!$G$3)^(AB396-'Data-CostAssumptions'!$G$4),-3)</f>
        <v>92000</v>
      </c>
      <c r="AF396" s="19">
        <f>ROUND((Z396)*(1+'Data-CostAssumptions'!$G$3)^(AD396-'Data-CostAssumptions'!$G$4),-3)</f>
        <v>418000</v>
      </c>
      <c r="AG396" s="170" t="str">
        <f t="shared" si="21"/>
        <v>No</v>
      </c>
    </row>
    <row r="397" spans="1:33" ht="15" customHeight="1" x14ac:dyDescent="0.2">
      <c r="A397" s="12"/>
      <c r="B397" s="11" t="s">
        <v>1211</v>
      </c>
      <c r="C397" s="12"/>
      <c r="D397" s="84" t="s">
        <v>276</v>
      </c>
      <c r="E397" s="104">
        <v>83</v>
      </c>
      <c r="F397" s="104"/>
      <c r="G397" s="20">
        <v>1603</v>
      </c>
      <c r="H397" s="13" t="s">
        <v>1246</v>
      </c>
      <c r="I397" s="13" t="str">
        <f t="shared" si="22"/>
        <v>SE 30TH ST (ANDREWS Av to US 1)</v>
      </c>
      <c r="J397" s="12" t="s">
        <v>27</v>
      </c>
      <c r="K397" s="13" t="str">
        <f>VLOOKUP(J397,'Data-ProjectTypes'!A$3:B$13,2,FALSE)</f>
        <v>Program</v>
      </c>
      <c r="L397" s="12" t="s">
        <v>1378</v>
      </c>
      <c r="M397" s="105" t="s">
        <v>2139</v>
      </c>
      <c r="N397" s="12" t="s">
        <v>98</v>
      </c>
      <c r="O397" s="12"/>
      <c r="P397" s="12"/>
      <c r="Q397" s="72">
        <v>0.2</v>
      </c>
      <c r="R397" s="23">
        <v>116050</v>
      </c>
      <c r="Y397" s="12"/>
      <c r="Z397" s="18">
        <f>ROUND(R397*'Data-CostAssumptions'!$C$3,-3)</f>
        <v>161000</v>
      </c>
      <c r="AA397" s="11">
        <f t="shared" si="20"/>
        <v>0</v>
      </c>
      <c r="AB397" s="11">
        <v>2041</v>
      </c>
      <c r="AC397" s="11">
        <v>2041</v>
      </c>
      <c r="AD397" s="11">
        <v>2041</v>
      </c>
      <c r="AE397" s="19">
        <f>ROUND((Z397*'Data-CostAssumptions'!$G$5)*(1+'Data-CostAssumptions'!$G$3)^(AB397-'Data-CostAssumptions'!$G$4),-3)</f>
        <v>91000</v>
      </c>
      <c r="AF397" s="19">
        <f>ROUND((Z397)*(1+'Data-CostAssumptions'!$G$3)^(AD397-'Data-CostAssumptions'!$G$4),-3)</f>
        <v>413000</v>
      </c>
      <c r="AG397" s="170" t="str">
        <f t="shared" si="21"/>
        <v>No</v>
      </c>
    </row>
    <row r="398" spans="1:33" ht="15" customHeight="1" x14ac:dyDescent="0.2">
      <c r="B398" s="11" t="s">
        <v>1211</v>
      </c>
      <c r="C398" s="13">
        <v>401</v>
      </c>
      <c r="D398" s="13" t="s">
        <v>420</v>
      </c>
      <c r="E398" s="20">
        <v>4</v>
      </c>
      <c r="F398" s="20">
        <v>163</v>
      </c>
      <c r="G398" s="20">
        <v>609</v>
      </c>
      <c r="H398" s="13" t="s">
        <v>1999</v>
      </c>
      <c r="I398" s="13" t="str">
        <f t="shared" si="22"/>
        <v>Sawgrass Exit Ramp/Sunrise Bl (Midpoint of Sawgrass Corporate Parkway and NW 136th Av to Sawgrass Expressway)</v>
      </c>
      <c r="J398" s="13" t="s">
        <v>27</v>
      </c>
      <c r="K398" s="13" t="str">
        <f>VLOOKUP(J398,'Data-ProjectTypes'!A$3:B$13,2,FALSE)</f>
        <v>Program</v>
      </c>
      <c r="L398" s="21" t="s">
        <v>348</v>
      </c>
      <c r="M398" s="13" t="s">
        <v>2376</v>
      </c>
      <c r="N398" s="13" t="s">
        <v>72</v>
      </c>
      <c r="O398" s="13" t="s">
        <v>273</v>
      </c>
      <c r="P398" s="13" t="s">
        <v>273</v>
      </c>
      <c r="Q398" s="22">
        <v>0.4</v>
      </c>
      <c r="R398" s="23">
        <v>159678</v>
      </c>
      <c r="S398" s="21"/>
      <c r="T398" s="21"/>
      <c r="U398" s="21"/>
      <c r="V398" s="24"/>
      <c r="W398" s="24"/>
      <c r="X398" s="24"/>
      <c r="Y398" s="17"/>
      <c r="Z398" s="18">
        <f>ROUND(R398*'Data-CostAssumptions'!$C$8,-3)</f>
        <v>160000</v>
      </c>
      <c r="AA398" s="11">
        <f t="shared" si="20"/>
        <v>0</v>
      </c>
      <c r="AB398" s="11">
        <v>2041</v>
      </c>
      <c r="AC398" s="11">
        <v>2041</v>
      </c>
      <c r="AD398" s="11">
        <v>2041</v>
      </c>
      <c r="AE398" s="19">
        <f>ROUND((Z398*'Data-CostAssumptions'!$G$5)*(1+'Data-CostAssumptions'!$G$3)^(AB398-'Data-CostAssumptions'!$G$4),-3)</f>
        <v>90000</v>
      </c>
      <c r="AF398" s="19">
        <f>ROUND((Z398)*(1+'Data-CostAssumptions'!$G$3)^(AD398-'Data-CostAssumptions'!$G$4),-3)</f>
        <v>410000</v>
      </c>
      <c r="AG398" s="170" t="str">
        <f t="shared" si="21"/>
        <v>No</v>
      </c>
    </row>
    <row r="399" spans="1:33" ht="15" customHeight="1" x14ac:dyDescent="0.2">
      <c r="B399" s="11" t="s">
        <v>1211</v>
      </c>
      <c r="C399" s="13">
        <v>534</v>
      </c>
      <c r="D399" s="13" t="s">
        <v>420</v>
      </c>
      <c r="E399" s="20">
        <v>349</v>
      </c>
      <c r="F399" s="20">
        <v>171</v>
      </c>
      <c r="G399" s="20">
        <v>738</v>
      </c>
      <c r="H399" s="13" t="s">
        <v>60</v>
      </c>
      <c r="I399" s="13" t="str">
        <f t="shared" si="22"/>
        <v>NW 15th Court (NW 23rd Av to NW 27th Av)</v>
      </c>
      <c r="J399" s="13" t="s">
        <v>27</v>
      </c>
      <c r="K399" s="13" t="str">
        <f>VLOOKUP(J399,'Data-ProjectTypes'!A$3:B$13,2,FALSE)</f>
        <v>Program</v>
      </c>
      <c r="L399" s="21" t="s">
        <v>348</v>
      </c>
      <c r="M399" s="13" t="s">
        <v>2365</v>
      </c>
      <c r="N399" s="13" t="s">
        <v>2060</v>
      </c>
      <c r="O399" s="13" t="s">
        <v>273</v>
      </c>
      <c r="P399" s="13" t="s">
        <v>273</v>
      </c>
      <c r="Q399" s="22">
        <v>0.4</v>
      </c>
      <c r="R399" s="23">
        <v>158621</v>
      </c>
      <c r="Y399" s="17"/>
      <c r="Z399" s="18">
        <f>ROUND(R399*'Data-CostAssumptions'!$C$8,-3)</f>
        <v>159000</v>
      </c>
      <c r="AA399" s="11">
        <f t="shared" si="20"/>
        <v>0</v>
      </c>
      <c r="AB399" s="11">
        <v>2041</v>
      </c>
      <c r="AC399" s="11">
        <v>2041</v>
      </c>
      <c r="AD399" s="11">
        <v>2041</v>
      </c>
      <c r="AE399" s="19">
        <f>ROUND((Z399*'Data-CostAssumptions'!$G$5)*(1+'Data-CostAssumptions'!$G$3)^(AB399-'Data-CostAssumptions'!$G$4),-3)</f>
        <v>90000</v>
      </c>
      <c r="AF399" s="19">
        <f>ROUND((Z399)*(1+'Data-CostAssumptions'!$G$3)^(AD399-'Data-CostAssumptions'!$G$4),-3)</f>
        <v>408000</v>
      </c>
      <c r="AG399" s="170" t="str">
        <f t="shared" si="21"/>
        <v>No</v>
      </c>
    </row>
    <row r="400" spans="1:33" ht="15" customHeight="1" x14ac:dyDescent="0.2">
      <c r="B400" s="11" t="s">
        <v>1211</v>
      </c>
      <c r="C400" s="13">
        <v>589</v>
      </c>
      <c r="D400" s="13" t="s">
        <v>420</v>
      </c>
      <c r="E400" s="20">
        <v>90</v>
      </c>
      <c r="F400" s="20">
        <v>174</v>
      </c>
      <c r="G400" s="20">
        <v>793</v>
      </c>
      <c r="H400" s="13" t="s">
        <v>1424</v>
      </c>
      <c r="I400" s="13" t="str">
        <f t="shared" si="22"/>
        <v>SR 5/US 1 (NE 57th St to Bayview Dr)</v>
      </c>
      <c r="J400" s="13" t="s">
        <v>27</v>
      </c>
      <c r="K400" s="13" t="str">
        <f>VLOOKUP(J400,'Data-ProjectTypes'!A$3:B$13,2,FALSE)</f>
        <v>Program</v>
      </c>
      <c r="L400" s="21" t="s">
        <v>348</v>
      </c>
      <c r="M400" s="13" t="s">
        <v>2531</v>
      </c>
      <c r="N400" s="13" t="s">
        <v>1781</v>
      </c>
      <c r="O400" s="13" t="s">
        <v>270</v>
      </c>
      <c r="P400" s="13" t="s">
        <v>270</v>
      </c>
      <c r="Q400" s="22">
        <v>0.4</v>
      </c>
      <c r="R400" s="23">
        <v>158622</v>
      </c>
      <c r="V400" s="85" t="s">
        <v>1166</v>
      </c>
      <c r="Y400" s="12"/>
      <c r="Z400" s="18">
        <f>ROUND(R400*'Data-CostAssumptions'!$C$5,-3)</f>
        <v>159000</v>
      </c>
      <c r="AA400" s="11">
        <f t="shared" si="20"/>
        <v>1</v>
      </c>
      <c r="AB400" s="11">
        <v>2041</v>
      </c>
      <c r="AC400" s="11">
        <v>2041</v>
      </c>
      <c r="AD400" s="11">
        <v>2041</v>
      </c>
      <c r="AE400" s="19">
        <f>ROUND((Z400*'Data-CostAssumptions'!$G$5)*(1+'Data-CostAssumptions'!$G$3)^(AB400-'Data-CostAssumptions'!$G$4),-3)</f>
        <v>90000</v>
      </c>
      <c r="AF400" s="19">
        <f>ROUND((Z400)*(1+'Data-CostAssumptions'!$G$3)^(AD400-'Data-CostAssumptions'!$G$4),-3)</f>
        <v>408000</v>
      </c>
      <c r="AG400" s="170" t="str">
        <f t="shared" si="21"/>
        <v>No</v>
      </c>
    </row>
    <row r="401" spans="2:33" ht="15" customHeight="1" x14ac:dyDescent="0.2">
      <c r="B401" s="11" t="s">
        <v>316</v>
      </c>
      <c r="C401" s="13">
        <v>211</v>
      </c>
      <c r="D401" s="13" t="s">
        <v>420</v>
      </c>
      <c r="E401" s="20">
        <v>311</v>
      </c>
      <c r="F401" s="20">
        <v>151</v>
      </c>
      <c r="G401" s="20">
        <v>712</v>
      </c>
      <c r="H401" s="13" t="s">
        <v>2693</v>
      </c>
      <c r="I401" s="13" t="str">
        <f t="shared" si="22"/>
        <v>N Dixie Hwy (NE 26th St to NE 38th St)</v>
      </c>
      <c r="J401" s="13" t="s">
        <v>27</v>
      </c>
      <c r="K401" s="13" t="str">
        <f>VLOOKUP(J401,'Data-ProjectTypes'!A$3:B$13,2,FALSE)</f>
        <v>Program</v>
      </c>
      <c r="L401" s="26" t="s">
        <v>842</v>
      </c>
      <c r="M401" s="13" t="s">
        <v>1887</v>
      </c>
      <c r="N401" s="13" t="s">
        <v>1891</v>
      </c>
      <c r="O401" s="13" t="s">
        <v>270</v>
      </c>
      <c r="P401" s="13" t="s">
        <v>270</v>
      </c>
      <c r="Q401" s="22">
        <v>0.4</v>
      </c>
      <c r="R401" s="23">
        <v>158944</v>
      </c>
      <c r="S401" s="12"/>
      <c r="T401" s="12"/>
      <c r="U401" s="12"/>
      <c r="V401" s="12"/>
      <c r="W401" s="12"/>
      <c r="X401" s="12"/>
      <c r="Y401" s="12"/>
      <c r="Z401" s="18">
        <f>ROUND(R401*'Data-CostAssumptions'!$C$8,-3)</f>
        <v>159000</v>
      </c>
      <c r="AA401" s="11">
        <f t="shared" si="20"/>
        <v>0</v>
      </c>
      <c r="AB401" s="11">
        <v>2041</v>
      </c>
      <c r="AC401" s="11">
        <v>2041</v>
      </c>
      <c r="AD401" s="11">
        <v>2041</v>
      </c>
      <c r="AE401" s="19">
        <f>ROUND((Z401*'Data-CostAssumptions'!$G$5)*(1+'Data-CostAssumptions'!$G$3)^(AB401-'Data-CostAssumptions'!$G$4),-3)</f>
        <v>90000</v>
      </c>
      <c r="AF401" s="19">
        <f>ROUND((Z401)*(1+'Data-CostAssumptions'!$G$3)^(AD401-'Data-CostAssumptions'!$G$4),-3)</f>
        <v>408000</v>
      </c>
      <c r="AG401" s="170" t="str">
        <f t="shared" si="21"/>
        <v>No</v>
      </c>
    </row>
    <row r="402" spans="2:33" ht="15" customHeight="1" x14ac:dyDescent="0.2">
      <c r="B402" s="11" t="s">
        <v>1211</v>
      </c>
      <c r="C402" s="13">
        <v>444</v>
      </c>
      <c r="D402" s="13" t="s">
        <v>420</v>
      </c>
      <c r="E402" s="20">
        <v>215</v>
      </c>
      <c r="F402" s="20">
        <v>166</v>
      </c>
      <c r="G402" s="20">
        <v>652</v>
      </c>
      <c r="H402" s="13" t="s">
        <v>1754</v>
      </c>
      <c r="I402" s="13" t="str">
        <f t="shared" si="22"/>
        <v>Lyons Rd (NW 30th St to Just south of Access Rd)</v>
      </c>
      <c r="J402" s="13" t="s">
        <v>27</v>
      </c>
      <c r="K402" s="13" t="str">
        <f>VLOOKUP(J402,'Data-ProjectTypes'!A$3:B$13,2,FALSE)</f>
        <v>Program</v>
      </c>
      <c r="L402" s="21" t="s">
        <v>348</v>
      </c>
      <c r="M402" s="13" t="s">
        <v>2496</v>
      </c>
      <c r="N402" s="13" t="s">
        <v>2428</v>
      </c>
      <c r="O402" s="13" t="s">
        <v>283</v>
      </c>
      <c r="P402" s="13" t="s">
        <v>283</v>
      </c>
      <c r="Q402" s="22">
        <v>0.4</v>
      </c>
      <c r="R402" s="23">
        <v>158338</v>
      </c>
      <c r="S402" s="21"/>
      <c r="T402" s="21"/>
      <c r="U402" s="21"/>
      <c r="V402" s="24"/>
      <c r="W402" s="24" t="s">
        <v>491</v>
      </c>
      <c r="X402" s="24"/>
      <c r="Y402" s="17" t="s">
        <v>492</v>
      </c>
      <c r="Z402" s="18">
        <f>ROUND(R402*'Data-CostAssumptions'!$C$8,-3)</f>
        <v>158000</v>
      </c>
      <c r="AA402" s="11">
        <f t="shared" si="20"/>
        <v>1</v>
      </c>
      <c r="AB402" s="11">
        <v>2041</v>
      </c>
      <c r="AC402" s="11">
        <v>2041</v>
      </c>
      <c r="AD402" s="11">
        <v>2041</v>
      </c>
      <c r="AE402" s="19">
        <f>ROUND((Z402*'Data-CostAssumptions'!$G$5)*(1+'Data-CostAssumptions'!$G$3)^(AB402-'Data-CostAssumptions'!$G$4),-3)</f>
        <v>89000</v>
      </c>
      <c r="AF402" s="19">
        <f>ROUND((Z402)*(1+'Data-CostAssumptions'!$G$3)^(AD402-'Data-CostAssumptions'!$G$4),-3)</f>
        <v>405000</v>
      </c>
      <c r="AG402" s="170" t="str">
        <f t="shared" si="21"/>
        <v>No</v>
      </c>
    </row>
    <row r="403" spans="2:33" ht="15" customHeight="1" x14ac:dyDescent="0.2">
      <c r="B403" s="11" t="s">
        <v>1211</v>
      </c>
      <c r="C403" s="13">
        <v>309</v>
      </c>
      <c r="D403" s="13" t="s">
        <v>420</v>
      </c>
      <c r="E403" s="20">
        <v>228</v>
      </c>
      <c r="F403" s="20">
        <v>157</v>
      </c>
      <c r="G403" s="20">
        <v>520</v>
      </c>
      <c r="H403" s="13" t="s">
        <v>1907</v>
      </c>
      <c r="I403" s="13" t="str">
        <f t="shared" si="22"/>
        <v>NW 12th St (State Rd 7/US 441 to NW 43rd Terrace)</v>
      </c>
      <c r="J403" s="13" t="s">
        <v>27</v>
      </c>
      <c r="K403" s="13" t="str">
        <f>VLOOKUP(J403,'Data-ProjectTypes'!A$3:B$13,2,FALSE)</f>
        <v>Program</v>
      </c>
      <c r="L403" s="21" t="s">
        <v>348</v>
      </c>
      <c r="M403" s="13" t="s">
        <v>1773</v>
      </c>
      <c r="N403" s="13" t="s">
        <v>173</v>
      </c>
      <c r="O403" s="13" t="s">
        <v>270</v>
      </c>
      <c r="P403" s="13" t="s">
        <v>270</v>
      </c>
      <c r="Q403" s="22">
        <v>0.3</v>
      </c>
      <c r="R403" s="23">
        <v>112664</v>
      </c>
      <c r="S403" s="21" t="s">
        <v>24</v>
      </c>
      <c r="T403" s="21" t="s">
        <v>25</v>
      </c>
      <c r="U403" s="21" t="s">
        <v>24</v>
      </c>
      <c r="V403" s="24"/>
      <c r="W403" s="24"/>
      <c r="X403" s="24"/>
      <c r="Y403" s="17" t="s">
        <v>538</v>
      </c>
      <c r="Z403" s="18">
        <f>ROUND(R403*'Data-CostAssumptions'!$C$3,-3)</f>
        <v>156000</v>
      </c>
      <c r="AA403" s="11">
        <f t="shared" si="20"/>
        <v>0</v>
      </c>
      <c r="AB403" s="11">
        <v>2041</v>
      </c>
      <c r="AC403" s="11">
        <v>2041</v>
      </c>
      <c r="AD403" s="11">
        <v>2041</v>
      </c>
      <c r="AE403" s="19">
        <f>ROUND((Z403*'Data-CostAssumptions'!$G$5)*(1+'Data-CostAssumptions'!$G$3)^(AB403-'Data-CostAssumptions'!$G$4),-3)</f>
        <v>88000</v>
      </c>
      <c r="AF403" s="19">
        <f>ROUND((Z403)*(1+'Data-CostAssumptions'!$G$3)^(AD403-'Data-CostAssumptions'!$G$4),-3)</f>
        <v>400000</v>
      </c>
      <c r="AG403" s="170" t="str">
        <f t="shared" si="21"/>
        <v>No</v>
      </c>
    </row>
    <row r="404" spans="2:33" ht="15" customHeight="1" x14ac:dyDescent="0.2">
      <c r="B404" s="11" t="s">
        <v>1211</v>
      </c>
      <c r="C404" s="13">
        <v>336</v>
      </c>
      <c r="D404" s="13" t="s">
        <v>420</v>
      </c>
      <c r="E404" s="20">
        <v>386</v>
      </c>
      <c r="F404" s="20">
        <v>159</v>
      </c>
      <c r="G404" s="20">
        <v>547</v>
      </c>
      <c r="H404" s="13" t="s">
        <v>1909</v>
      </c>
      <c r="I404" s="13" t="str">
        <f t="shared" si="22"/>
        <v>NW 15th St (Dixie Hwy to NW 3rd Av)</v>
      </c>
      <c r="J404" s="13" t="s">
        <v>27</v>
      </c>
      <c r="K404" s="13" t="str">
        <f>VLOOKUP(J404,'Data-ProjectTypes'!A$3:B$13,2,FALSE)</f>
        <v>Program</v>
      </c>
      <c r="L404" s="21" t="s">
        <v>348</v>
      </c>
      <c r="M404" s="13" t="s">
        <v>728</v>
      </c>
      <c r="N404" s="13" t="s">
        <v>2067</v>
      </c>
      <c r="O404" s="13" t="s">
        <v>273</v>
      </c>
      <c r="P404" s="13" t="s">
        <v>273</v>
      </c>
      <c r="Q404" s="22">
        <v>0.3</v>
      </c>
      <c r="R404" s="23">
        <v>112456</v>
      </c>
      <c r="S404" s="21"/>
      <c r="T404" s="21"/>
      <c r="U404" s="21"/>
      <c r="V404" s="24"/>
      <c r="W404" s="24"/>
      <c r="X404" s="24"/>
      <c r="Y404" s="17"/>
      <c r="Z404" s="18">
        <f>ROUND(R404*'Data-CostAssumptions'!$C$3,-3)</f>
        <v>156000</v>
      </c>
      <c r="AA404" s="11">
        <f t="shared" si="20"/>
        <v>0</v>
      </c>
      <c r="AB404" s="11">
        <v>2041</v>
      </c>
      <c r="AC404" s="11">
        <v>2041</v>
      </c>
      <c r="AD404" s="11">
        <v>2041</v>
      </c>
      <c r="AE404" s="19">
        <f>ROUND((Z404*'Data-CostAssumptions'!$G$5)*(1+'Data-CostAssumptions'!$G$3)^(AB404-'Data-CostAssumptions'!$G$4),-3)</f>
        <v>88000</v>
      </c>
      <c r="AF404" s="19">
        <f>ROUND((Z404)*(1+'Data-CostAssumptions'!$G$3)^(AD404-'Data-CostAssumptions'!$G$4),-3)</f>
        <v>400000</v>
      </c>
      <c r="AG404" s="170" t="str">
        <f t="shared" si="21"/>
        <v>No</v>
      </c>
    </row>
    <row r="405" spans="2:33" ht="15" customHeight="1" x14ac:dyDescent="0.2">
      <c r="B405" s="11" t="s">
        <v>1211</v>
      </c>
      <c r="C405" s="13">
        <v>387</v>
      </c>
      <c r="D405" s="13" t="s">
        <v>420</v>
      </c>
      <c r="E405" s="20">
        <v>300</v>
      </c>
      <c r="F405" s="20">
        <v>162</v>
      </c>
      <c r="G405" s="20">
        <v>598</v>
      </c>
      <c r="H405" s="13" t="s">
        <v>1994</v>
      </c>
      <c r="I405" s="13" t="str">
        <f t="shared" si="22"/>
        <v>Eisenhower Bl/Marriot Dr (East end of Portside Dr to SE 17th St)</v>
      </c>
      <c r="J405" s="13" t="s">
        <v>27</v>
      </c>
      <c r="K405" s="13" t="str">
        <f>VLOOKUP(J405,'Data-ProjectTypes'!A$3:B$13,2,FALSE)</f>
        <v>Program</v>
      </c>
      <c r="L405" s="21" t="s">
        <v>348</v>
      </c>
      <c r="M405" s="13" t="s">
        <v>2652</v>
      </c>
      <c r="N405" s="13" t="s">
        <v>182</v>
      </c>
      <c r="O405" s="13" t="s">
        <v>270</v>
      </c>
      <c r="P405" s="13" t="s">
        <v>270</v>
      </c>
      <c r="Q405" s="22">
        <v>0.3</v>
      </c>
      <c r="R405" s="23">
        <v>111639</v>
      </c>
      <c r="Y405" s="17" t="s">
        <v>2861</v>
      </c>
      <c r="Z405" s="18">
        <f>ROUND(R405*'Data-CostAssumptions'!$C$3,-3)</f>
        <v>155000</v>
      </c>
      <c r="AA405" s="11">
        <f t="shared" si="20"/>
        <v>0</v>
      </c>
      <c r="AB405" s="11">
        <v>2041</v>
      </c>
      <c r="AC405" s="11">
        <v>2041</v>
      </c>
      <c r="AD405" s="11">
        <v>2041</v>
      </c>
      <c r="AE405" s="19">
        <f>ROUND((Z405*'Data-CostAssumptions'!$G$5)*(1+'Data-CostAssumptions'!$G$3)^(AB405-'Data-CostAssumptions'!$G$4),-3)</f>
        <v>87000</v>
      </c>
      <c r="AF405" s="19">
        <f>ROUND((Z405)*(1+'Data-CostAssumptions'!$G$3)^(AD405-'Data-CostAssumptions'!$G$4),-3)</f>
        <v>397000</v>
      </c>
      <c r="AG405" s="170" t="str">
        <f t="shared" si="21"/>
        <v>No</v>
      </c>
    </row>
    <row r="406" spans="2:33" ht="15" customHeight="1" x14ac:dyDescent="0.2">
      <c r="B406" s="11" t="s">
        <v>1211</v>
      </c>
      <c r="C406" s="11">
        <v>12276</v>
      </c>
      <c r="D406" s="84" t="s">
        <v>282</v>
      </c>
      <c r="E406" s="14"/>
      <c r="F406" s="14"/>
      <c r="G406" s="20">
        <v>1779</v>
      </c>
      <c r="H406" s="13" t="s">
        <v>1879</v>
      </c>
      <c r="I406" s="13" t="str">
        <f t="shared" si="22"/>
        <v>Fillmore St (62nd Av to N 56th Av)</v>
      </c>
      <c r="J406" s="11" t="s">
        <v>27</v>
      </c>
      <c r="K406" s="13" t="str">
        <f>VLOOKUP(J406,'Data-ProjectTypes'!A$3:B$13,2,FALSE)</f>
        <v>Program</v>
      </c>
      <c r="L406" s="142" t="s">
        <v>615</v>
      </c>
      <c r="M406" s="11" t="s">
        <v>2013</v>
      </c>
      <c r="N406" s="11" t="s">
        <v>2220</v>
      </c>
      <c r="Q406" s="79">
        <v>0.76</v>
      </c>
      <c r="R406" s="143">
        <f>ROUND('Data-CostAssumptions'!$C$23*Q406,-1)</f>
        <v>110960</v>
      </c>
      <c r="S406" s="12"/>
      <c r="T406" s="12"/>
      <c r="U406" s="12"/>
      <c r="V406" s="12"/>
      <c r="W406" s="12"/>
      <c r="X406" s="12"/>
      <c r="Y406" s="12"/>
      <c r="Z406" s="18">
        <f>ROUND(R406*'Data-CostAssumptions'!$C$3,-3)</f>
        <v>154000</v>
      </c>
      <c r="AA406" s="11">
        <f t="shared" si="20"/>
        <v>0</v>
      </c>
      <c r="AB406" s="11">
        <v>2041</v>
      </c>
      <c r="AC406" s="11">
        <v>2041</v>
      </c>
      <c r="AD406" s="11">
        <v>2041</v>
      </c>
      <c r="AE406" s="19">
        <f>ROUND((Z406*'Data-CostAssumptions'!$G$5)*(1+'Data-CostAssumptions'!$G$3)^(AB406-'Data-CostAssumptions'!$G$4),-3)</f>
        <v>87000</v>
      </c>
      <c r="AF406" s="19">
        <f>ROUND((Z406)*(1+'Data-CostAssumptions'!$G$3)^(AD406-'Data-CostAssumptions'!$G$4),-3)</f>
        <v>395000</v>
      </c>
      <c r="AG406" s="170" t="str">
        <f t="shared" si="21"/>
        <v>No</v>
      </c>
    </row>
    <row r="407" spans="2:33" ht="15" customHeight="1" x14ac:dyDescent="0.2">
      <c r="B407" s="11" t="s">
        <v>1211</v>
      </c>
      <c r="C407" s="13">
        <v>522</v>
      </c>
      <c r="D407" s="13" t="s">
        <v>420</v>
      </c>
      <c r="E407" s="20">
        <v>220</v>
      </c>
      <c r="F407" s="20">
        <v>170</v>
      </c>
      <c r="G407" s="20">
        <v>726</v>
      </c>
      <c r="H407" s="13" t="s">
        <v>1932</v>
      </c>
      <c r="I407" s="13" t="str">
        <f t="shared" si="22"/>
        <v>NW 78th St (University Dr to NW 80th Av)</v>
      </c>
      <c r="J407" s="13" t="s">
        <v>27</v>
      </c>
      <c r="K407" s="13" t="str">
        <f>VLOOKUP(J407,'Data-ProjectTypes'!A$3:B$13,2,FALSE)</f>
        <v>Program</v>
      </c>
      <c r="L407" s="21" t="s">
        <v>348</v>
      </c>
      <c r="M407" s="13" t="s">
        <v>1804</v>
      </c>
      <c r="N407" s="13" t="s">
        <v>2248</v>
      </c>
      <c r="O407" s="13" t="s">
        <v>280</v>
      </c>
      <c r="P407" s="13" t="s">
        <v>280</v>
      </c>
      <c r="Q407" s="22">
        <v>0.4</v>
      </c>
      <c r="R407" s="23">
        <v>153294</v>
      </c>
      <c r="S407" s="21"/>
      <c r="T407" s="21"/>
      <c r="U407" s="21"/>
      <c r="V407" s="24"/>
      <c r="W407" s="24"/>
      <c r="X407" s="24"/>
      <c r="Y407" s="17"/>
      <c r="Z407" s="18">
        <f>ROUND(R407*'Data-CostAssumptions'!$C$8,-3)</f>
        <v>153000</v>
      </c>
      <c r="AA407" s="11">
        <f t="shared" si="20"/>
        <v>0</v>
      </c>
      <c r="AB407" s="11">
        <v>2041</v>
      </c>
      <c r="AC407" s="11">
        <v>2041</v>
      </c>
      <c r="AD407" s="11">
        <v>2041</v>
      </c>
      <c r="AE407" s="19">
        <f>ROUND((Z407*'Data-CostAssumptions'!$G$5)*(1+'Data-CostAssumptions'!$G$3)^(AB407-'Data-CostAssumptions'!$G$4),-3)</f>
        <v>86000</v>
      </c>
      <c r="AF407" s="19">
        <f>ROUND((Z407)*(1+'Data-CostAssumptions'!$G$3)^(AD407-'Data-CostAssumptions'!$G$4),-3)</f>
        <v>392000</v>
      </c>
      <c r="AG407" s="170" t="str">
        <f t="shared" si="21"/>
        <v>No</v>
      </c>
    </row>
    <row r="408" spans="2:33" ht="15" customHeight="1" x14ac:dyDescent="0.2">
      <c r="B408" s="11" t="s">
        <v>1211</v>
      </c>
      <c r="C408" s="13">
        <v>466</v>
      </c>
      <c r="D408" s="13" t="s">
        <v>420</v>
      </c>
      <c r="E408" s="20">
        <v>348</v>
      </c>
      <c r="F408" s="20">
        <v>167</v>
      </c>
      <c r="G408" s="20">
        <v>674</v>
      </c>
      <c r="H408" s="13" t="s">
        <v>2060</v>
      </c>
      <c r="I408" s="13" t="str">
        <f t="shared" si="22"/>
        <v>NW 27th Av (NW 11th Court to NW 15th Court)</v>
      </c>
      <c r="J408" s="13" t="s">
        <v>27</v>
      </c>
      <c r="K408" s="13" t="str">
        <f>VLOOKUP(J408,'Data-ProjectTypes'!A$3:B$13,2,FALSE)</f>
        <v>Program</v>
      </c>
      <c r="L408" s="21" t="s">
        <v>348</v>
      </c>
      <c r="M408" s="13" t="s">
        <v>61</v>
      </c>
      <c r="N408" s="13" t="s">
        <v>60</v>
      </c>
      <c r="O408" s="13" t="s">
        <v>273</v>
      </c>
      <c r="P408" s="13" t="s">
        <v>273</v>
      </c>
      <c r="Q408" s="22">
        <v>0.4</v>
      </c>
      <c r="R408" s="23">
        <v>151863</v>
      </c>
      <c r="S408" s="21" t="s">
        <v>24</v>
      </c>
      <c r="T408" s="21"/>
      <c r="U408" s="21"/>
      <c r="V408" s="24"/>
      <c r="W408" s="24"/>
      <c r="X408" s="24"/>
      <c r="Y408" s="17" t="s">
        <v>469</v>
      </c>
      <c r="Z408" s="18">
        <f>ROUND(R408*'Data-CostAssumptions'!$C$8,-3)</f>
        <v>152000</v>
      </c>
      <c r="AA408" s="11">
        <f t="shared" si="20"/>
        <v>0</v>
      </c>
      <c r="AB408" s="11">
        <v>2041</v>
      </c>
      <c r="AC408" s="11">
        <v>2041</v>
      </c>
      <c r="AD408" s="11">
        <v>2041</v>
      </c>
      <c r="AE408" s="19">
        <f>ROUND((Z408*'Data-CostAssumptions'!$G$5)*(1+'Data-CostAssumptions'!$G$3)^(AB408-'Data-CostAssumptions'!$G$4),-3)</f>
        <v>86000</v>
      </c>
      <c r="AF408" s="19">
        <f>ROUND((Z408)*(1+'Data-CostAssumptions'!$G$3)^(AD408-'Data-CostAssumptions'!$G$4),-3)</f>
        <v>390000</v>
      </c>
      <c r="AG408" s="170" t="str">
        <f t="shared" si="21"/>
        <v>No</v>
      </c>
    </row>
    <row r="409" spans="2:33" ht="15" customHeight="1" x14ac:dyDescent="0.2">
      <c r="B409" s="11" t="s">
        <v>1211</v>
      </c>
      <c r="C409" s="13">
        <v>525</v>
      </c>
      <c r="D409" s="13" t="s">
        <v>420</v>
      </c>
      <c r="E409" s="20">
        <v>236</v>
      </c>
      <c r="F409" s="20">
        <v>170</v>
      </c>
      <c r="G409" s="20">
        <v>729</v>
      </c>
      <c r="H409" s="13" t="s">
        <v>2018</v>
      </c>
      <c r="I409" s="13" t="str">
        <f t="shared" si="22"/>
        <v>Cypress Rd/NW 69th Av (NW 69th Av to NW 70th Av)</v>
      </c>
      <c r="J409" s="13" t="s">
        <v>27</v>
      </c>
      <c r="K409" s="13" t="str">
        <f>VLOOKUP(J409,'Data-ProjectTypes'!A$3:B$13,2,FALSE)</f>
        <v>Program</v>
      </c>
      <c r="L409" s="21" t="s">
        <v>348</v>
      </c>
      <c r="M409" s="13" t="s">
        <v>2343</v>
      </c>
      <c r="N409" s="13" t="s">
        <v>2078</v>
      </c>
      <c r="O409" s="13" t="s">
        <v>284</v>
      </c>
      <c r="P409" s="13" t="s">
        <v>284</v>
      </c>
      <c r="Q409" s="22">
        <v>0.4</v>
      </c>
      <c r="R409" s="23">
        <v>152194</v>
      </c>
      <c r="S409" s="21"/>
      <c r="T409" s="21"/>
      <c r="U409" s="21"/>
      <c r="V409" s="24"/>
      <c r="W409" s="24"/>
      <c r="X409" s="24"/>
      <c r="Y409" s="17"/>
      <c r="Z409" s="18">
        <f>ROUND(R409*'Data-CostAssumptions'!$C$8,-3)</f>
        <v>152000</v>
      </c>
      <c r="AA409" s="11">
        <f t="shared" si="20"/>
        <v>0</v>
      </c>
      <c r="AB409" s="11">
        <v>2041</v>
      </c>
      <c r="AC409" s="11">
        <v>2041</v>
      </c>
      <c r="AD409" s="11">
        <v>2041</v>
      </c>
      <c r="AE409" s="19">
        <f>ROUND((Z409*'Data-CostAssumptions'!$G$5)*(1+'Data-CostAssumptions'!$G$3)^(AB409-'Data-CostAssumptions'!$G$4),-3)</f>
        <v>86000</v>
      </c>
      <c r="AF409" s="19">
        <f>ROUND((Z409)*(1+'Data-CostAssumptions'!$G$3)^(AD409-'Data-CostAssumptions'!$G$4),-3)</f>
        <v>390000</v>
      </c>
      <c r="AG409" s="170" t="str">
        <f t="shared" si="21"/>
        <v>No</v>
      </c>
    </row>
    <row r="410" spans="2:33" ht="15" customHeight="1" x14ac:dyDescent="0.2">
      <c r="B410" s="11" t="s">
        <v>1211</v>
      </c>
      <c r="C410" s="13">
        <v>551</v>
      </c>
      <c r="D410" s="13" t="s">
        <v>420</v>
      </c>
      <c r="E410" s="20">
        <v>101</v>
      </c>
      <c r="F410" s="20">
        <v>178</v>
      </c>
      <c r="G410" s="20">
        <v>755</v>
      </c>
      <c r="H410" s="13" t="s">
        <v>1896</v>
      </c>
      <c r="I410" s="13" t="str">
        <f t="shared" si="22"/>
        <v>NE 49th St (NE 21st Terrace to NE 17th Dr)</v>
      </c>
      <c r="J410" s="13" t="s">
        <v>27</v>
      </c>
      <c r="K410" s="13" t="str">
        <f>VLOOKUP(J410,'Data-ProjectTypes'!A$3:B$13,2,FALSE)</f>
        <v>Program</v>
      </c>
      <c r="L410" s="21" t="s">
        <v>348</v>
      </c>
      <c r="M410" s="13" t="s">
        <v>111</v>
      </c>
      <c r="N410" s="13" t="s">
        <v>2658</v>
      </c>
      <c r="O410" s="13" t="s">
        <v>273</v>
      </c>
      <c r="P410" s="13" t="s">
        <v>273</v>
      </c>
      <c r="Q410" s="22">
        <v>0.4</v>
      </c>
      <c r="R410" s="23">
        <v>152228</v>
      </c>
      <c r="Y410" s="12"/>
      <c r="Z410" s="71">
        <f>ROUND(R410*'Data-CostAssumptions'!$C$8,-3)</f>
        <v>152000</v>
      </c>
      <c r="AA410" s="11">
        <f t="shared" si="20"/>
        <v>0</v>
      </c>
      <c r="AB410" s="11">
        <v>2041</v>
      </c>
      <c r="AC410" s="11">
        <v>2041</v>
      </c>
      <c r="AD410" s="11">
        <v>2041</v>
      </c>
      <c r="AE410" s="19">
        <f>ROUND((Z410*'Data-CostAssumptions'!$G$5)*(1+'Data-CostAssumptions'!$G$3)^(AB410-'Data-CostAssumptions'!$G$4),-3)</f>
        <v>86000</v>
      </c>
      <c r="AF410" s="19">
        <f>ROUND((Z410)*(1+'Data-CostAssumptions'!$G$3)^(AD410-'Data-CostAssumptions'!$G$4),-3)</f>
        <v>390000</v>
      </c>
      <c r="AG410" s="170" t="str">
        <f t="shared" si="21"/>
        <v>No</v>
      </c>
    </row>
    <row r="411" spans="2:33" ht="15" customHeight="1" x14ac:dyDescent="0.2">
      <c r="B411" s="11" t="s">
        <v>1211</v>
      </c>
      <c r="C411" s="13">
        <v>577</v>
      </c>
      <c r="D411" s="13" t="s">
        <v>420</v>
      </c>
      <c r="E411" s="20">
        <v>375</v>
      </c>
      <c r="F411" s="20">
        <v>173</v>
      </c>
      <c r="G411" s="20">
        <v>782</v>
      </c>
      <c r="H411" s="13" t="s">
        <v>2069</v>
      </c>
      <c r="I411" s="13" t="str">
        <f t="shared" si="22"/>
        <v>NW 45th Av (Coconut Creek Bl to Coconut Creek Parkway)</v>
      </c>
      <c r="J411" s="13" t="s">
        <v>27</v>
      </c>
      <c r="K411" s="13" t="str">
        <f>VLOOKUP(J411,'Data-ProjectTypes'!A$3:B$13,2,FALSE)</f>
        <v>Program</v>
      </c>
      <c r="L411" s="21" t="s">
        <v>348</v>
      </c>
      <c r="M411" s="13" t="s">
        <v>1989</v>
      </c>
      <c r="N411" s="13" t="s">
        <v>70</v>
      </c>
      <c r="O411" s="13" t="s">
        <v>273</v>
      </c>
      <c r="P411" s="13" t="s">
        <v>273</v>
      </c>
      <c r="Q411" s="22">
        <v>0.4</v>
      </c>
      <c r="R411" s="23">
        <v>151130</v>
      </c>
      <c r="V411" s="85" t="s">
        <v>454</v>
      </c>
      <c r="X411" s="11" t="s">
        <v>464</v>
      </c>
      <c r="Y411" s="12"/>
      <c r="Z411" s="18">
        <f>ROUND(R411*'Data-CostAssumptions'!$C$4,-3)</f>
        <v>151000</v>
      </c>
      <c r="AA411" s="11">
        <f t="shared" si="20"/>
        <v>1</v>
      </c>
      <c r="AB411" s="11">
        <v>2041</v>
      </c>
      <c r="AC411" s="11">
        <v>2041</v>
      </c>
      <c r="AD411" s="11">
        <v>2041</v>
      </c>
      <c r="AE411" s="19">
        <f>ROUND((Z411*'Data-CostAssumptions'!$G$5)*(1+'Data-CostAssumptions'!$G$3)^(AB411-'Data-CostAssumptions'!$G$4),-3)</f>
        <v>85000</v>
      </c>
      <c r="AF411" s="19">
        <f>ROUND((Z411)*(1+'Data-CostAssumptions'!$G$3)^(AD411-'Data-CostAssumptions'!$G$4),-3)</f>
        <v>387000</v>
      </c>
      <c r="AG411" s="170" t="str">
        <f t="shared" si="21"/>
        <v>No</v>
      </c>
    </row>
    <row r="412" spans="2:33" ht="15" customHeight="1" x14ac:dyDescent="0.2">
      <c r="B412" s="11" t="s">
        <v>1211</v>
      </c>
      <c r="C412" s="13">
        <v>487</v>
      </c>
      <c r="D412" s="13" t="s">
        <v>420</v>
      </c>
      <c r="E412" s="20">
        <v>444</v>
      </c>
      <c r="F412" s="20">
        <v>168</v>
      </c>
      <c r="G412" s="20">
        <v>692</v>
      </c>
      <c r="H412" s="13" t="s">
        <v>2067</v>
      </c>
      <c r="I412" s="13" t="str">
        <f t="shared" si="22"/>
        <v>NW 3rd Av (NW 19th Court to Copans Rd)</v>
      </c>
      <c r="J412" s="13" t="s">
        <v>27</v>
      </c>
      <c r="K412" s="13" t="str">
        <f>VLOOKUP(J412,'Data-ProjectTypes'!A$3:B$13,2,FALSE)</f>
        <v>Program</v>
      </c>
      <c r="L412" s="21" t="s">
        <v>348</v>
      </c>
      <c r="M412" s="13" t="s">
        <v>105</v>
      </c>
      <c r="N412" s="13" t="s">
        <v>1836</v>
      </c>
      <c r="O412" s="13" t="s">
        <v>273</v>
      </c>
      <c r="P412" s="13" t="s">
        <v>273</v>
      </c>
      <c r="Q412" s="22">
        <v>0.4</v>
      </c>
      <c r="R412" s="23">
        <v>146395</v>
      </c>
      <c r="S412" s="21" t="s">
        <v>24</v>
      </c>
      <c r="T412" s="21" t="s">
        <v>25</v>
      </c>
      <c r="U412" s="21"/>
      <c r="V412" s="24"/>
      <c r="W412" s="24" t="s">
        <v>518</v>
      </c>
      <c r="X412" s="24"/>
      <c r="Y412" s="17" t="s">
        <v>297</v>
      </c>
      <c r="Z412" s="18">
        <f>ROUND(R412*'Data-CostAssumptions'!$C$8,-3)</f>
        <v>146000</v>
      </c>
      <c r="AA412" s="11">
        <f t="shared" si="20"/>
        <v>1</v>
      </c>
      <c r="AB412" s="11">
        <v>2041</v>
      </c>
      <c r="AC412" s="11">
        <v>2041</v>
      </c>
      <c r="AD412" s="11">
        <v>2041</v>
      </c>
      <c r="AE412" s="19">
        <f>ROUND((Z412*'Data-CostAssumptions'!$G$5)*(1+'Data-CostAssumptions'!$G$3)^(AB412-'Data-CostAssumptions'!$G$4),-3)</f>
        <v>82000</v>
      </c>
      <c r="AF412" s="19">
        <f>ROUND((Z412)*(1+'Data-CostAssumptions'!$G$3)^(AD412-'Data-CostAssumptions'!$G$4),-3)</f>
        <v>374000</v>
      </c>
      <c r="AG412" s="170" t="str">
        <f t="shared" si="21"/>
        <v>No</v>
      </c>
    </row>
    <row r="413" spans="2:33" ht="15" customHeight="1" x14ac:dyDescent="0.2">
      <c r="B413" s="11" t="s">
        <v>1211</v>
      </c>
      <c r="C413" s="13">
        <v>379</v>
      </c>
      <c r="D413" s="13" t="s">
        <v>420</v>
      </c>
      <c r="E413" s="20">
        <v>240</v>
      </c>
      <c r="F413" s="20">
        <v>162</v>
      </c>
      <c r="G413" s="20">
        <v>590</v>
      </c>
      <c r="H413" s="13" t="s">
        <v>1812</v>
      </c>
      <c r="I413" s="13" t="str">
        <f t="shared" si="22"/>
        <v>Cleary Bl (University Dr to American Expressway)</v>
      </c>
      <c r="J413" s="13" t="s">
        <v>27</v>
      </c>
      <c r="K413" s="13" t="str">
        <f>VLOOKUP(J413,'Data-ProjectTypes'!A$3:B$13,2,FALSE)</f>
        <v>Program</v>
      </c>
      <c r="L413" s="21" t="s">
        <v>348</v>
      </c>
      <c r="M413" s="13" t="s">
        <v>1804</v>
      </c>
      <c r="N413" s="13" t="s">
        <v>124</v>
      </c>
      <c r="O413" s="13" t="s">
        <v>284</v>
      </c>
      <c r="P413" s="13" t="s">
        <v>284</v>
      </c>
      <c r="Q413" s="22">
        <v>0.3</v>
      </c>
      <c r="R413" s="23">
        <v>104604</v>
      </c>
      <c r="S413" s="21"/>
      <c r="T413" s="21"/>
      <c r="U413" s="21"/>
      <c r="V413" s="24"/>
      <c r="W413" s="24"/>
      <c r="X413" s="24"/>
      <c r="Y413" s="17"/>
      <c r="Z413" s="18">
        <f>ROUND(R413*'Data-CostAssumptions'!$C$3,-3)</f>
        <v>145000</v>
      </c>
      <c r="AA413" s="11">
        <f t="shared" si="20"/>
        <v>0</v>
      </c>
      <c r="AB413" s="11">
        <v>2041</v>
      </c>
      <c r="AC413" s="11">
        <v>2041</v>
      </c>
      <c r="AD413" s="11">
        <v>2041</v>
      </c>
      <c r="AE413" s="19">
        <f>ROUND((Z413*'Data-CostAssumptions'!$G$5)*(1+'Data-CostAssumptions'!$G$3)^(AB413-'Data-CostAssumptions'!$G$4),-3)</f>
        <v>82000</v>
      </c>
      <c r="AF413" s="19">
        <f>ROUND((Z413)*(1+'Data-CostAssumptions'!$G$3)^(AD413-'Data-CostAssumptions'!$G$4),-3)</f>
        <v>372000</v>
      </c>
      <c r="AG413" s="170" t="str">
        <f t="shared" si="21"/>
        <v>No</v>
      </c>
    </row>
    <row r="414" spans="2:33" ht="15" customHeight="1" x14ac:dyDescent="0.2">
      <c r="B414" s="11" t="s">
        <v>1211</v>
      </c>
      <c r="C414" s="13">
        <v>207</v>
      </c>
      <c r="D414" s="13" t="s">
        <v>420</v>
      </c>
      <c r="E414" s="20">
        <v>293</v>
      </c>
      <c r="F414" s="20">
        <v>151</v>
      </c>
      <c r="G414" s="20">
        <v>422</v>
      </c>
      <c r="H414" s="13" t="s">
        <v>2787</v>
      </c>
      <c r="I414" s="13" t="str">
        <f t="shared" si="22"/>
        <v>SR 822/Sheridan St (East of SE 3rd Av to US 1/Federal Hwy)</v>
      </c>
      <c r="J414" s="13" t="s">
        <v>27</v>
      </c>
      <c r="K414" s="13" t="str">
        <f>VLOOKUP(J414,'Data-ProjectTypes'!A$3:B$13,2,FALSE)</f>
        <v>Program</v>
      </c>
      <c r="L414" s="21" t="s">
        <v>348</v>
      </c>
      <c r="M414" s="13" t="s">
        <v>2344</v>
      </c>
      <c r="N414" s="13" t="s">
        <v>2594</v>
      </c>
      <c r="O414" s="13" t="s">
        <v>270</v>
      </c>
      <c r="P414" s="13" t="s">
        <v>270</v>
      </c>
      <c r="Q414" s="22">
        <v>0.3</v>
      </c>
      <c r="R414" s="23">
        <v>104043</v>
      </c>
      <c r="S414" s="21"/>
      <c r="T414" s="21"/>
      <c r="U414" s="21"/>
      <c r="V414" s="24"/>
      <c r="W414" s="24"/>
      <c r="X414" s="24"/>
      <c r="Y414" s="17"/>
      <c r="Z414" s="18">
        <f>ROUND(R414*'Data-CostAssumptions'!$C$3,-3)</f>
        <v>144000</v>
      </c>
      <c r="AA414" s="11">
        <f t="shared" si="20"/>
        <v>0</v>
      </c>
      <c r="AB414" s="11">
        <v>2041</v>
      </c>
      <c r="AC414" s="11">
        <v>2041</v>
      </c>
      <c r="AD414" s="11">
        <v>2041</v>
      </c>
      <c r="AE414" s="19">
        <f>ROUND((Z414*'Data-CostAssumptions'!$G$5)*(1+'Data-CostAssumptions'!$G$3)^(AB414-'Data-CostAssumptions'!$G$4),-3)</f>
        <v>81000</v>
      </c>
      <c r="AF414" s="19">
        <f>ROUND((Z414)*(1+'Data-CostAssumptions'!$G$3)^(AD414-'Data-CostAssumptions'!$G$4),-3)</f>
        <v>369000</v>
      </c>
      <c r="AG414" s="170" t="str">
        <f t="shared" si="21"/>
        <v>No</v>
      </c>
    </row>
    <row r="415" spans="2:33" ht="15" customHeight="1" x14ac:dyDescent="0.2">
      <c r="B415" s="11" t="s">
        <v>1211</v>
      </c>
      <c r="C415" s="13">
        <v>385</v>
      </c>
      <c r="D415" s="13" t="s">
        <v>420</v>
      </c>
      <c r="E415" s="20">
        <v>294</v>
      </c>
      <c r="F415" s="20">
        <v>162</v>
      </c>
      <c r="G415" s="20">
        <v>596</v>
      </c>
      <c r="H415" s="13" t="s">
        <v>2127</v>
      </c>
      <c r="I415" s="13" t="str">
        <f t="shared" si="22"/>
        <v>SW 4th Av (Just north of SW 33rd St to SW 34th St)</v>
      </c>
      <c r="J415" s="13" t="s">
        <v>27</v>
      </c>
      <c r="K415" s="13" t="str">
        <f>VLOOKUP(J415,'Data-ProjectTypes'!A$3:B$13,2,FALSE)</f>
        <v>Program</v>
      </c>
      <c r="L415" s="21" t="s">
        <v>348</v>
      </c>
      <c r="M415" s="13" t="s">
        <v>2581</v>
      </c>
      <c r="N415" s="13" t="s">
        <v>2580</v>
      </c>
      <c r="O415" s="13" t="s">
        <v>276</v>
      </c>
      <c r="P415" s="13" t="s">
        <v>276</v>
      </c>
      <c r="Q415" s="22">
        <v>0.3</v>
      </c>
      <c r="R415" s="23">
        <v>104391</v>
      </c>
      <c r="Y415" s="17"/>
      <c r="Z415" s="18">
        <f>ROUND(R415*'Data-CostAssumptions'!$C$3,-3)</f>
        <v>144000</v>
      </c>
      <c r="AA415" s="11">
        <f t="shared" si="20"/>
        <v>0</v>
      </c>
      <c r="AB415" s="11">
        <v>2041</v>
      </c>
      <c r="AC415" s="11">
        <v>2041</v>
      </c>
      <c r="AD415" s="11">
        <v>2041</v>
      </c>
      <c r="AE415" s="19">
        <f>ROUND((Z415*'Data-CostAssumptions'!$G$5)*(1+'Data-CostAssumptions'!$G$3)^(AB415-'Data-CostAssumptions'!$G$4),-3)</f>
        <v>81000</v>
      </c>
      <c r="AF415" s="19">
        <f>ROUND((Z415)*(1+'Data-CostAssumptions'!$G$3)^(AD415-'Data-CostAssumptions'!$G$4),-3)</f>
        <v>369000</v>
      </c>
      <c r="AG415" s="170" t="str">
        <f t="shared" si="21"/>
        <v>No</v>
      </c>
    </row>
    <row r="416" spans="2:33" ht="15" customHeight="1" x14ac:dyDescent="0.2">
      <c r="B416" s="11" t="s">
        <v>1211</v>
      </c>
      <c r="C416" s="13">
        <v>459</v>
      </c>
      <c r="D416" s="13" t="s">
        <v>420</v>
      </c>
      <c r="E416" s="20">
        <v>327</v>
      </c>
      <c r="F416" s="20">
        <v>167</v>
      </c>
      <c r="G416" s="20">
        <v>667</v>
      </c>
      <c r="H416" s="13" t="s">
        <v>2132</v>
      </c>
      <c r="I416" s="13" t="str">
        <f t="shared" si="22"/>
        <v>SW 71st Av (SW 7th St to Southgate Bl)</v>
      </c>
      <c r="J416" s="13" t="s">
        <v>27</v>
      </c>
      <c r="K416" s="13" t="str">
        <f>VLOOKUP(J416,'Data-ProjectTypes'!A$3:B$13,2,FALSE)</f>
        <v>Program</v>
      </c>
      <c r="L416" s="21" t="s">
        <v>348</v>
      </c>
      <c r="M416" s="13" t="s">
        <v>2570</v>
      </c>
      <c r="N416" s="13" t="s">
        <v>1829</v>
      </c>
      <c r="O416" s="13" t="s">
        <v>285</v>
      </c>
      <c r="P416" s="13" t="s">
        <v>285</v>
      </c>
      <c r="Q416" s="22">
        <v>0.4</v>
      </c>
      <c r="R416" s="23">
        <v>140456</v>
      </c>
      <c r="S416" s="21"/>
      <c r="T416" s="21"/>
      <c r="U416" s="21"/>
      <c r="V416" s="24"/>
      <c r="W416" s="24"/>
      <c r="X416" s="24"/>
      <c r="Y416" s="17"/>
      <c r="Z416" s="18">
        <f>ROUND(R416*'Data-CostAssumptions'!$C$8,-3)</f>
        <v>140000</v>
      </c>
      <c r="AA416" s="11">
        <f t="shared" si="20"/>
        <v>0</v>
      </c>
      <c r="AB416" s="11">
        <v>2041</v>
      </c>
      <c r="AC416" s="11">
        <v>2041</v>
      </c>
      <c r="AD416" s="11">
        <v>2041</v>
      </c>
      <c r="AE416" s="19">
        <f>ROUND((Z416*'Data-CostAssumptions'!$G$5)*(1+'Data-CostAssumptions'!$G$3)^(AB416-'Data-CostAssumptions'!$G$4),-3)</f>
        <v>79000</v>
      </c>
      <c r="AF416" s="19">
        <f>ROUND((Z416)*(1+'Data-CostAssumptions'!$G$3)^(AD416-'Data-CostAssumptions'!$G$4),-3)</f>
        <v>359000</v>
      </c>
      <c r="AG416" s="170" t="str">
        <f t="shared" si="21"/>
        <v>No</v>
      </c>
    </row>
    <row r="417" spans="1:33" ht="15" customHeight="1" x14ac:dyDescent="0.2">
      <c r="B417" s="11" t="s">
        <v>1211</v>
      </c>
      <c r="C417" s="13">
        <v>465</v>
      </c>
      <c r="D417" s="13" t="s">
        <v>420</v>
      </c>
      <c r="E417" s="20">
        <v>347</v>
      </c>
      <c r="F417" s="20">
        <v>167</v>
      </c>
      <c r="G417" s="20">
        <v>673</v>
      </c>
      <c r="H417" s="13" t="s">
        <v>2106</v>
      </c>
      <c r="I417" s="13" t="str">
        <f t="shared" si="22"/>
        <v>SW 15th Av (State Rd 84 to SW 20th St)</v>
      </c>
      <c r="J417" s="13" t="s">
        <v>27</v>
      </c>
      <c r="K417" s="13" t="str">
        <f>VLOOKUP(J417,'Data-ProjectTypes'!A$3:B$13,2,FALSE)</f>
        <v>Program</v>
      </c>
      <c r="L417" s="21" t="s">
        <v>348</v>
      </c>
      <c r="M417" s="13" t="s">
        <v>1774</v>
      </c>
      <c r="N417" s="13" t="s">
        <v>1957</v>
      </c>
      <c r="O417" s="13" t="s">
        <v>276</v>
      </c>
      <c r="P417" s="13" t="s">
        <v>276</v>
      </c>
      <c r="Q417" s="22">
        <v>0.4</v>
      </c>
      <c r="R417" s="23">
        <v>139738</v>
      </c>
      <c r="S417" s="21" t="s">
        <v>24</v>
      </c>
      <c r="T417" s="21"/>
      <c r="U417" s="21"/>
      <c r="V417" s="24"/>
      <c r="W417" s="24"/>
      <c r="X417" s="24"/>
      <c r="Y417" s="17" t="s">
        <v>469</v>
      </c>
      <c r="Z417" s="18">
        <f>ROUND(R417*'Data-CostAssumptions'!$C$8,-3)</f>
        <v>140000</v>
      </c>
      <c r="AA417" s="11">
        <f t="shared" si="20"/>
        <v>0</v>
      </c>
      <c r="AB417" s="11">
        <v>2041</v>
      </c>
      <c r="AC417" s="11">
        <v>2041</v>
      </c>
      <c r="AD417" s="11">
        <v>2041</v>
      </c>
      <c r="AE417" s="19">
        <f>ROUND((Z417*'Data-CostAssumptions'!$G$5)*(1+'Data-CostAssumptions'!$G$3)^(AB417-'Data-CostAssumptions'!$G$4),-3)</f>
        <v>79000</v>
      </c>
      <c r="AF417" s="19">
        <f>ROUND((Z417)*(1+'Data-CostAssumptions'!$G$3)^(AD417-'Data-CostAssumptions'!$G$4),-3)</f>
        <v>359000</v>
      </c>
      <c r="AG417" s="170" t="str">
        <f t="shared" si="21"/>
        <v>No</v>
      </c>
    </row>
    <row r="418" spans="1:33" ht="15" customHeight="1" x14ac:dyDescent="0.2">
      <c r="B418" s="11" t="s">
        <v>1211</v>
      </c>
      <c r="C418" s="11">
        <v>325</v>
      </c>
      <c r="D418" s="84" t="s">
        <v>276</v>
      </c>
      <c r="E418" s="14">
        <v>309</v>
      </c>
      <c r="F418" s="14">
        <v>158</v>
      </c>
      <c r="G418" s="20">
        <v>1522</v>
      </c>
      <c r="H418" s="13" t="s">
        <v>1902</v>
      </c>
      <c r="I418" s="13" t="str">
        <f t="shared" si="22"/>
        <v>NE 6th St (US 1/Federal Hwy to Andrews Av)</v>
      </c>
      <c r="J418" s="11" t="s">
        <v>27</v>
      </c>
      <c r="K418" s="13" t="str">
        <f>VLOOKUP(J418,'Data-ProjectTypes'!A$3:B$13,2,FALSE)</f>
        <v>Program</v>
      </c>
      <c r="L418" s="11" t="s">
        <v>1220</v>
      </c>
      <c r="M418" s="106" t="s">
        <v>2594</v>
      </c>
      <c r="N418" s="84" t="s">
        <v>2014</v>
      </c>
      <c r="O418" s="11" t="s">
        <v>276</v>
      </c>
      <c r="P418" s="11" t="s">
        <v>276</v>
      </c>
      <c r="Q418" s="107">
        <v>0.4</v>
      </c>
      <c r="R418" s="23">
        <v>140187</v>
      </c>
      <c r="Y418" s="12"/>
      <c r="Z418" s="71">
        <f>ROUND(R418*'Data-CostAssumptions'!$C$8,-3)</f>
        <v>140000</v>
      </c>
      <c r="AA418" s="11">
        <f t="shared" si="20"/>
        <v>0</v>
      </c>
      <c r="AB418" s="11">
        <v>2041</v>
      </c>
      <c r="AC418" s="11">
        <v>2041</v>
      </c>
      <c r="AD418" s="11">
        <v>2041</v>
      </c>
      <c r="AE418" s="19">
        <f>ROUND((Z418*'Data-CostAssumptions'!$G$5)*(1+'Data-CostAssumptions'!$G$3)^(AB418-'Data-CostAssumptions'!$G$4),-3)</f>
        <v>79000</v>
      </c>
      <c r="AF418" s="19">
        <f>ROUND((Z418)*(1+'Data-CostAssumptions'!$G$3)^(AD418-'Data-CostAssumptions'!$G$4),-3)</f>
        <v>359000</v>
      </c>
      <c r="AG418" s="170" t="str">
        <f t="shared" si="21"/>
        <v>No</v>
      </c>
    </row>
    <row r="419" spans="1:33" ht="15" customHeight="1" x14ac:dyDescent="0.2">
      <c r="B419" s="11" t="s">
        <v>1211</v>
      </c>
      <c r="C419" s="13">
        <v>391</v>
      </c>
      <c r="D419" s="13" t="s">
        <v>420</v>
      </c>
      <c r="E419" s="20">
        <v>350</v>
      </c>
      <c r="F419" s="20">
        <v>163</v>
      </c>
      <c r="G419" s="20">
        <v>602</v>
      </c>
      <c r="H419" s="13" t="s">
        <v>2710</v>
      </c>
      <c r="I419" s="13" t="str">
        <f t="shared" si="22"/>
        <v>SR 816/Oakland Park Bl (Just west of NW 43rd Av to NW 46th Av)</v>
      </c>
      <c r="J419" s="13" t="s">
        <v>27</v>
      </c>
      <c r="K419" s="13" t="str">
        <f>VLOOKUP(J419,'Data-ProjectTypes'!A$3:B$13,2,FALSE)</f>
        <v>Program</v>
      </c>
      <c r="L419" s="21" t="s">
        <v>348</v>
      </c>
      <c r="M419" s="13" t="s">
        <v>2370</v>
      </c>
      <c r="N419" s="13" t="s">
        <v>2250</v>
      </c>
      <c r="O419" s="13" t="s">
        <v>270</v>
      </c>
      <c r="P419" s="13" t="s">
        <v>270</v>
      </c>
      <c r="Q419" s="22">
        <v>0.3</v>
      </c>
      <c r="R419" s="23">
        <v>99781</v>
      </c>
      <c r="S419" s="21"/>
      <c r="T419" s="21"/>
      <c r="U419" s="21"/>
      <c r="V419" s="24"/>
      <c r="W419" s="24"/>
      <c r="X419" s="24"/>
      <c r="Y419" s="17"/>
      <c r="Z419" s="18">
        <f>ROUND(R419*'Data-CostAssumptions'!$C$3,-3)</f>
        <v>138000</v>
      </c>
      <c r="AA419" s="11">
        <f t="shared" si="20"/>
        <v>0</v>
      </c>
      <c r="AB419" s="11">
        <v>2041</v>
      </c>
      <c r="AC419" s="11">
        <v>2041</v>
      </c>
      <c r="AD419" s="11">
        <v>2041</v>
      </c>
      <c r="AE419" s="19">
        <f>ROUND((Z419*'Data-CostAssumptions'!$G$5)*(1+'Data-CostAssumptions'!$G$3)^(AB419-'Data-CostAssumptions'!$G$4),-3)</f>
        <v>78000</v>
      </c>
      <c r="AF419" s="19">
        <f>ROUND((Z419)*(1+'Data-CostAssumptions'!$G$3)^(AD419-'Data-CostAssumptions'!$G$4),-3)</f>
        <v>354000</v>
      </c>
      <c r="AG419" s="170" t="str">
        <f t="shared" si="21"/>
        <v>No</v>
      </c>
    </row>
    <row r="420" spans="1:33" ht="15" customHeight="1" x14ac:dyDescent="0.2">
      <c r="B420" s="11" t="s">
        <v>1211</v>
      </c>
      <c r="C420" s="13">
        <v>454</v>
      </c>
      <c r="D420" s="13" t="s">
        <v>420</v>
      </c>
      <c r="E420" s="20">
        <v>292</v>
      </c>
      <c r="F420" s="20">
        <v>166</v>
      </c>
      <c r="G420" s="20">
        <v>662</v>
      </c>
      <c r="H420" s="13" t="s">
        <v>2038</v>
      </c>
      <c r="I420" s="13" t="str">
        <f t="shared" si="22"/>
        <v>North 14th Av (Harding St to Sheridan St)</v>
      </c>
      <c r="J420" s="13" t="s">
        <v>27</v>
      </c>
      <c r="K420" s="13" t="str">
        <f>VLOOKUP(J420,'Data-ProjectTypes'!A$3:B$13,2,FALSE)</f>
        <v>Program</v>
      </c>
      <c r="L420" s="21" t="s">
        <v>543</v>
      </c>
      <c r="M420" s="13" t="s">
        <v>2517</v>
      </c>
      <c r="N420" s="13" t="s">
        <v>1951</v>
      </c>
      <c r="O420" s="13" t="s">
        <v>282</v>
      </c>
      <c r="P420" s="13" t="s">
        <v>282</v>
      </c>
      <c r="Q420" s="22">
        <v>0.4</v>
      </c>
      <c r="R420" s="23">
        <v>137562</v>
      </c>
      <c r="Y420" s="17"/>
      <c r="Z420" s="18">
        <f>ROUND(R420*'Data-CostAssumptions'!$C$8,-3)</f>
        <v>138000</v>
      </c>
      <c r="AA420" s="11">
        <f t="shared" si="20"/>
        <v>0</v>
      </c>
      <c r="AB420" s="11">
        <v>2041</v>
      </c>
      <c r="AC420" s="11">
        <v>2041</v>
      </c>
      <c r="AD420" s="11">
        <v>2041</v>
      </c>
      <c r="AE420" s="19">
        <f>ROUND((Z420*'Data-CostAssumptions'!$G$5)*(1+'Data-CostAssumptions'!$G$3)^(AB420-'Data-CostAssumptions'!$G$4),-3)</f>
        <v>78000</v>
      </c>
      <c r="AF420" s="19">
        <f>ROUND((Z420)*(1+'Data-CostAssumptions'!$G$3)^(AD420-'Data-CostAssumptions'!$G$4),-3)</f>
        <v>354000</v>
      </c>
      <c r="AG420" s="170" t="str">
        <f t="shared" si="21"/>
        <v>No</v>
      </c>
    </row>
    <row r="421" spans="1:33" ht="15" customHeight="1" x14ac:dyDescent="0.2">
      <c r="B421" s="11" t="s">
        <v>1211</v>
      </c>
      <c r="C421" s="13">
        <v>319</v>
      </c>
      <c r="D421" s="13" t="s">
        <v>420</v>
      </c>
      <c r="E421" s="20">
        <v>264</v>
      </c>
      <c r="F421" s="20">
        <v>158</v>
      </c>
      <c r="G421" s="20">
        <v>530</v>
      </c>
      <c r="H421" s="13" t="s">
        <v>2709</v>
      </c>
      <c r="I421" s="13" t="str">
        <f t="shared" si="22"/>
        <v>SR 817/University Dr (State Rd 84 to SW 13th Place)</v>
      </c>
      <c r="J421" s="13" t="s">
        <v>27</v>
      </c>
      <c r="K421" s="13" t="str">
        <f>VLOOKUP(J421,'Data-ProjectTypes'!A$3:B$13,2,FALSE)</f>
        <v>Program</v>
      </c>
      <c r="L421" s="21" t="s">
        <v>348</v>
      </c>
      <c r="M421" s="13" t="s">
        <v>1774</v>
      </c>
      <c r="N421" s="13" t="s">
        <v>62</v>
      </c>
      <c r="O421" s="13" t="s">
        <v>270</v>
      </c>
      <c r="P421" s="13" t="s">
        <v>270</v>
      </c>
      <c r="Q421" s="22">
        <v>0.3</v>
      </c>
      <c r="R421" s="23">
        <v>98635</v>
      </c>
      <c r="S421" s="21"/>
      <c r="T421" s="21"/>
      <c r="U421" s="21"/>
      <c r="V421" s="24"/>
      <c r="W421" s="24"/>
      <c r="X421" s="24"/>
      <c r="Y421" s="17"/>
      <c r="Z421" s="18">
        <f>ROUND(R421*'Data-CostAssumptions'!$C$3,-3)</f>
        <v>137000</v>
      </c>
      <c r="AA421" s="11">
        <f t="shared" si="20"/>
        <v>0</v>
      </c>
      <c r="AB421" s="11">
        <v>2041</v>
      </c>
      <c r="AC421" s="11">
        <v>2041</v>
      </c>
      <c r="AD421" s="11">
        <v>2041</v>
      </c>
      <c r="AE421" s="19">
        <f>ROUND((Z421*'Data-CostAssumptions'!$G$5)*(1+'Data-CostAssumptions'!$G$3)^(AB421-'Data-CostAssumptions'!$G$4),-3)</f>
        <v>77000</v>
      </c>
      <c r="AF421" s="19">
        <f>ROUND((Z421)*(1+'Data-CostAssumptions'!$G$3)^(AD421-'Data-CostAssumptions'!$G$4),-3)</f>
        <v>351000</v>
      </c>
      <c r="AG421" s="170" t="str">
        <f t="shared" si="21"/>
        <v>No</v>
      </c>
    </row>
    <row r="422" spans="1:33" ht="15" customHeight="1" x14ac:dyDescent="0.2">
      <c r="A422" s="12"/>
      <c r="B422" s="11" t="s">
        <v>1211</v>
      </c>
      <c r="C422" s="12"/>
      <c r="D422" s="84" t="s">
        <v>276</v>
      </c>
      <c r="E422" s="104">
        <v>62</v>
      </c>
      <c r="F422" s="104"/>
      <c r="G422" s="20">
        <v>1587</v>
      </c>
      <c r="H422" s="13" t="s">
        <v>1238</v>
      </c>
      <c r="I422" s="13" t="str">
        <f t="shared" ref="I422:I445" si="23">IF(M422="@",H422&amp;" ("&amp;M422&amp;"  "&amp;N422&amp;")",H422&amp;" ("&amp;M422&amp;" to "&amp;N422&amp;")")</f>
        <v>NW 6TH ST (NW 7TH Av/AVE OF THE ARTS to NW 15TH Av)</v>
      </c>
      <c r="J422" s="12" t="s">
        <v>27</v>
      </c>
      <c r="K422" s="13" t="str">
        <f>VLOOKUP(J422,'Data-ProjectTypes'!A$3:B$13,2,FALSE)</f>
        <v>Program</v>
      </c>
      <c r="L422" s="12" t="s">
        <v>1741</v>
      </c>
      <c r="M422" s="105" t="s">
        <v>2615</v>
      </c>
      <c r="N422" s="12" t="s">
        <v>2160</v>
      </c>
      <c r="O422" s="12"/>
      <c r="P422" s="12"/>
      <c r="Q422" s="72">
        <v>0.7</v>
      </c>
      <c r="R422" s="23">
        <v>99150</v>
      </c>
      <c r="Y422" s="12"/>
      <c r="Z422" s="18">
        <f>ROUND(R422*'Data-CostAssumptions'!$C$3,-3)</f>
        <v>137000</v>
      </c>
      <c r="AA422" s="11">
        <f t="shared" si="20"/>
        <v>0</v>
      </c>
      <c r="AB422" s="11">
        <v>2041</v>
      </c>
      <c r="AC422" s="11">
        <v>2041</v>
      </c>
      <c r="AD422" s="11">
        <v>2041</v>
      </c>
      <c r="AE422" s="19">
        <f>ROUND((Z422*'Data-CostAssumptions'!$G$5)*(1+'Data-CostAssumptions'!$G$3)^(AB422-'Data-CostAssumptions'!$G$4),-3)</f>
        <v>77000</v>
      </c>
      <c r="AF422" s="19">
        <f>ROUND((Z422)*(1+'Data-CostAssumptions'!$G$3)^(AD422-'Data-CostAssumptions'!$G$4),-3)</f>
        <v>351000</v>
      </c>
      <c r="AG422" s="170" t="str">
        <f t="shared" si="21"/>
        <v>No</v>
      </c>
    </row>
    <row r="423" spans="1:33" ht="15" customHeight="1" x14ac:dyDescent="0.2">
      <c r="B423" s="11" t="s">
        <v>1211</v>
      </c>
      <c r="C423" s="13">
        <v>264</v>
      </c>
      <c r="D423" s="13" t="s">
        <v>420</v>
      </c>
      <c r="E423" s="20">
        <v>355</v>
      </c>
      <c r="F423" s="20">
        <v>155</v>
      </c>
      <c r="G423" s="20">
        <v>478</v>
      </c>
      <c r="H423" s="13" t="s">
        <v>1926</v>
      </c>
      <c r="I423" s="13" t="str">
        <f t="shared" si="23"/>
        <v>NW 5th St (East end of NW 5th St to State Rd 7/US 441)</v>
      </c>
      <c r="J423" s="13" t="s">
        <v>27</v>
      </c>
      <c r="K423" s="13" t="str">
        <f>VLOOKUP(J423,'Data-ProjectTypes'!A$3:B$13,2,FALSE)</f>
        <v>Program</v>
      </c>
      <c r="L423" s="21" t="s">
        <v>348</v>
      </c>
      <c r="M423" s="13" t="s">
        <v>2544</v>
      </c>
      <c r="N423" s="13" t="s">
        <v>1773</v>
      </c>
      <c r="O423" s="13" t="s">
        <v>270</v>
      </c>
      <c r="P423" s="13" t="s">
        <v>270</v>
      </c>
      <c r="Q423" s="22">
        <v>0.3</v>
      </c>
      <c r="R423" s="23">
        <v>97824</v>
      </c>
      <c r="S423" s="21" t="s">
        <v>24</v>
      </c>
      <c r="T423" s="21"/>
      <c r="U423" s="21"/>
      <c r="V423" s="24"/>
      <c r="W423" s="24"/>
      <c r="X423" s="24"/>
      <c r="Y423" s="17" t="s">
        <v>461</v>
      </c>
      <c r="Z423" s="18">
        <f>ROUND(R423*'Data-CostAssumptions'!$C$3,-3)</f>
        <v>135000</v>
      </c>
      <c r="AA423" s="11">
        <f t="shared" si="20"/>
        <v>0</v>
      </c>
      <c r="AB423" s="11">
        <v>2041</v>
      </c>
      <c r="AC423" s="11">
        <v>2041</v>
      </c>
      <c r="AD423" s="11">
        <v>2041</v>
      </c>
      <c r="AE423" s="19">
        <f>ROUND((Z423*'Data-CostAssumptions'!$G$5)*(1+'Data-CostAssumptions'!$G$3)^(AB423-'Data-CostAssumptions'!$G$4),-3)</f>
        <v>76000</v>
      </c>
      <c r="AF423" s="19">
        <f>ROUND((Z423)*(1+'Data-CostAssumptions'!$G$3)^(AD423-'Data-CostAssumptions'!$G$4),-3)</f>
        <v>346000</v>
      </c>
      <c r="AG423" s="170" t="str">
        <f t="shared" si="21"/>
        <v>No</v>
      </c>
    </row>
    <row r="424" spans="1:33" ht="15" customHeight="1" x14ac:dyDescent="0.2">
      <c r="B424" s="11" t="s">
        <v>1211</v>
      </c>
      <c r="C424" s="13">
        <v>573</v>
      </c>
      <c r="D424" s="13" t="s">
        <v>420</v>
      </c>
      <c r="E424" s="20">
        <v>308</v>
      </c>
      <c r="F424" s="20">
        <v>173</v>
      </c>
      <c r="G424" s="20">
        <v>778</v>
      </c>
      <c r="H424" s="13" t="s">
        <v>2024</v>
      </c>
      <c r="I424" s="13" t="str">
        <f t="shared" si="23"/>
        <v>NE 15th Av (NE 6th St to NE 9th St)</v>
      </c>
      <c r="J424" s="13" t="s">
        <v>27</v>
      </c>
      <c r="K424" s="13" t="str">
        <f>VLOOKUP(J424,'Data-ProjectTypes'!A$3:B$13,2,FALSE)</f>
        <v>Program</v>
      </c>
      <c r="L424" s="21" t="s">
        <v>348</v>
      </c>
      <c r="M424" s="13" t="s">
        <v>1902</v>
      </c>
      <c r="N424" s="13" t="s">
        <v>2505</v>
      </c>
      <c r="O424" s="13" t="s">
        <v>276</v>
      </c>
      <c r="P424" s="13" t="s">
        <v>276</v>
      </c>
      <c r="Q424" s="22">
        <v>0.4</v>
      </c>
      <c r="R424" s="23">
        <v>135207</v>
      </c>
      <c r="V424" s="85" t="s">
        <v>450</v>
      </c>
      <c r="X424" s="11" t="s">
        <v>464</v>
      </c>
      <c r="Y424" s="12"/>
      <c r="Z424" s="18">
        <f>ROUND(R424*'Data-CostAssumptions'!$C$4,-3)</f>
        <v>135000</v>
      </c>
      <c r="AA424" s="11">
        <f t="shared" si="20"/>
        <v>1</v>
      </c>
      <c r="AB424" s="11">
        <v>2041</v>
      </c>
      <c r="AC424" s="11">
        <v>2041</v>
      </c>
      <c r="AD424" s="11">
        <v>2041</v>
      </c>
      <c r="AE424" s="19">
        <f>ROUND((Z424*'Data-CostAssumptions'!$G$5)*(1+'Data-CostAssumptions'!$G$3)^(AB424-'Data-CostAssumptions'!$G$4),-3)</f>
        <v>76000</v>
      </c>
      <c r="AF424" s="19">
        <f>ROUND((Z424)*(1+'Data-CostAssumptions'!$G$3)^(AD424-'Data-CostAssumptions'!$G$4),-3)</f>
        <v>346000</v>
      </c>
      <c r="AG424" s="170" t="str">
        <f t="shared" si="21"/>
        <v>No</v>
      </c>
    </row>
    <row r="425" spans="1:33" ht="15" customHeight="1" x14ac:dyDescent="0.2">
      <c r="B425" s="11" t="s">
        <v>1211</v>
      </c>
      <c r="C425" s="13">
        <v>447</v>
      </c>
      <c r="D425" s="13" t="s">
        <v>420</v>
      </c>
      <c r="E425" s="20">
        <v>249</v>
      </c>
      <c r="F425" s="20">
        <v>166</v>
      </c>
      <c r="G425" s="20">
        <v>655</v>
      </c>
      <c r="H425" s="13" t="s">
        <v>1763</v>
      </c>
      <c r="I425" s="13" t="str">
        <f t="shared" si="23"/>
        <v>Peters Rd (SW 46th Av to SW 51st Av)</v>
      </c>
      <c r="J425" s="13" t="s">
        <v>27</v>
      </c>
      <c r="K425" s="13" t="str">
        <f>VLOOKUP(J425,'Data-ProjectTypes'!A$3:B$13,2,FALSE)</f>
        <v>Program</v>
      </c>
      <c r="L425" s="21" t="s">
        <v>348</v>
      </c>
      <c r="M425" s="13" t="s">
        <v>2372</v>
      </c>
      <c r="N425" s="13" t="s">
        <v>2253</v>
      </c>
      <c r="O425" s="13" t="s">
        <v>273</v>
      </c>
      <c r="P425" s="13" t="s">
        <v>273</v>
      </c>
      <c r="Q425" s="22">
        <v>0.4</v>
      </c>
      <c r="R425" s="23">
        <v>132075</v>
      </c>
      <c r="S425" s="21" t="s">
        <v>350</v>
      </c>
      <c r="T425" s="21"/>
      <c r="U425" s="21"/>
      <c r="V425" s="24"/>
      <c r="W425" s="24"/>
      <c r="X425" s="31" t="s">
        <v>754</v>
      </c>
      <c r="Y425" s="17" t="s">
        <v>735</v>
      </c>
      <c r="Z425" s="18">
        <f>ROUND(R425*'Data-CostAssumptions'!$C$8,-3)</f>
        <v>132000</v>
      </c>
      <c r="AA425" s="11">
        <f t="shared" si="20"/>
        <v>0</v>
      </c>
      <c r="AB425" s="11">
        <v>2041</v>
      </c>
      <c r="AC425" s="11">
        <v>2041</v>
      </c>
      <c r="AD425" s="11">
        <v>2041</v>
      </c>
      <c r="AE425" s="19">
        <f>ROUND((Z425*'Data-CostAssumptions'!$G$5)*(1+'Data-CostAssumptions'!$G$3)^(AB425-'Data-CostAssumptions'!$G$4),-3)</f>
        <v>74000</v>
      </c>
      <c r="AF425" s="19">
        <f>ROUND((Z425)*(1+'Data-CostAssumptions'!$G$3)^(AD425-'Data-CostAssumptions'!$G$4),-3)</f>
        <v>338000</v>
      </c>
      <c r="AG425" s="170" t="str">
        <f t="shared" si="21"/>
        <v>No</v>
      </c>
    </row>
    <row r="426" spans="1:33" ht="15" customHeight="1" x14ac:dyDescent="0.2">
      <c r="B426" s="11" t="s">
        <v>1211</v>
      </c>
      <c r="C426" s="13">
        <v>453</v>
      </c>
      <c r="D426" s="13" t="s">
        <v>420</v>
      </c>
      <c r="E426" s="20">
        <v>288</v>
      </c>
      <c r="F426" s="20">
        <v>166</v>
      </c>
      <c r="G426" s="20">
        <v>661</v>
      </c>
      <c r="H426" s="13" t="s">
        <v>1765</v>
      </c>
      <c r="I426" s="13" t="str">
        <f t="shared" si="23"/>
        <v>Ravenswood Rd (Tigertail Bl to SW 51st Court)</v>
      </c>
      <c r="J426" s="13" t="s">
        <v>27</v>
      </c>
      <c r="K426" s="13" t="str">
        <f>VLOOKUP(J426,'Data-ProjectTypes'!A$3:B$13,2,FALSE)</f>
        <v>Program</v>
      </c>
      <c r="L426" s="21" t="s">
        <v>348</v>
      </c>
      <c r="M426" s="13" t="s">
        <v>2330</v>
      </c>
      <c r="N426" s="13" t="s">
        <v>255</v>
      </c>
      <c r="O426" s="13" t="s">
        <v>273</v>
      </c>
      <c r="P426" s="13" t="s">
        <v>273</v>
      </c>
      <c r="Q426" s="22">
        <v>0.4</v>
      </c>
      <c r="R426" s="23">
        <v>131384</v>
      </c>
      <c r="S426" s="21"/>
      <c r="T426" s="21"/>
      <c r="U426" s="21"/>
      <c r="V426" s="24"/>
      <c r="W426" s="24"/>
      <c r="X426" s="24"/>
      <c r="Y426" s="17"/>
      <c r="Z426" s="18">
        <f>ROUND(R426*'Data-CostAssumptions'!$C$8,-3)</f>
        <v>131000</v>
      </c>
      <c r="AA426" s="11">
        <f t="shared" si="20"/>
        <v>0</v>
      </c>
      <c r="AB426" s="11">
        <v>2041</v>
      </c>
      <c r="AC426" s="11">
        <v>2041</v>
      </c>
      <c r="AD426" s="11">
        <v>2041</v>
      </c>
      <c r="AE426" s="19">
        <f>ROUND((Z426*'Data-CostAssumptions'!$G$5)*(1+'Data-CostAssumptions'!$G$3)^(AB426-'Data-CostAssumptions'!$G$4),-3)</f>
        <v>74000</v>
      </c>
      <c r="AF426" s="19">
        <f>ROUND((Z426)*(1+'Data-CostAssumptions'!$G$3)^(AD426-'Data-CostAssumptions'!$G$4),-3)</f>
        <v>336000</v>
      </c>
      <c r="AG426" s="170" t="str">
        <f t="shared" si="21"/>
        <v>No</v>
      </c>
    </row>
    <row r="427" spans="1:33" ht="15" customHeight="1" x14ac:dyDescent="0.2">
      <c r="B427" s="11" t="s">
        <v>1211</v>
      </c>
      <c r="C427" s="13">
        <v>506</v>
      </c>
      <c r="D427" s="13" t="s">
        <v>420</v>
      </c>
      <c r="E427" s="20">
        <v>145</v>
      </c>
      <c r="F427" s="20">
        <v>169</v>
      </c>
      <c r="G427" s="20">
        <v>710</v>
      </c>
      <c r="H427" s="13" t="s">
        <v>1821</v>
      </c>
      <c r="I427" s="13" t="str">
        <f t="shared" si="23"/>
        <v>Inverrary Bl (Lime Hill Rd to Inverrary Dr)</v>
      </c>
      <c r="J427" s="13" t="s">
        <v>27</v>
      </c>
      <c r="K427" s="13" t="str">
        <f>VLOOKUP(J427,'Data-ProjectTypes'!A$3:B$13,2,FALSE)</f>
        <v>Program</v>
      </c>
      <c r="L427" s="21" t="s">
        <v>348</v>
      </c>
      <c r="M427" s="13" t="s">
        <v>2422</v>
      </c>
      <c r="N427" s="13" t="s">
        <v>1187</v>
      </c>
      <c r="O427" s="13" t="s">
        <v>281</v>
      </c>
      <c r="P427" s="13" t="s">
        <v>281</v>
      </c>
      <c r="Q427" s="22">
        <v>0.4</v>
      </c>
      <c r="R427" s="23">
        <v>131020</v>
      </c>
      <c r="S427" s="21"/>
      <c r="T427" s="21"/>
      <c r="U427" s="21"/>
      <c r="V427" s="24"/>
      <c r="W427" s="24"/>
      <c r="X427" s="24"/>
      <c r="Y427" s="17"/>
      <c r="Z427" s="18">
        <f>ROUND(R427*'Data-CostAssumptions'!$C$8,-3)</f>
        <v>131000</v>
      </c>
      <c r="AA427" s="11">
        <f t="shared" si="20"/>
        <v>0</v>
      </c>
      <c r="AB427" s="11">
        <v>2041</v>
      </c>
      <c r="AC427" s="11">
        <v>2041</v>
      </c>
      <c r="AD427" s="11">
        <v>2041</v>
      </c>
      <c r="AE427" s="19">
        <f>ROUND((Z427*'Data-CostAssumptions'!$G$5)*(1+'Data-CostAssumptions'!$G$3)^(AB427-'Data-CostAssumptions'!$G$4),-3)</f>
        <v>74000</v>
      </c>
      <c r="AF427" s="19">
        <f>ROUND((Z427)*(1+'Data-CostAssumptions'!$G$3)^(AD427-'Data-CostAssumptions'!$G$4),-3)</f>
        <v>336000</v>
      </c>
      <c r="AG427" s="170" t="str">
        <f t="shared" si="21"/>
        <v>No</v>
      </c>
    </row>
    <row r="428" spans="1:33" ht="15" customHeight="1" x14ac:dyDescent="0.2">
      <c r="B428" s="11" t="s">
        <v>1211</v>
      </c>
      <c r="C428" s="13">
        <v>394</v>
      </c>
      <c r="D428" s="13" t="s">
        <v>420</v>
      </c>
      <c r="E428" s="20">
        <v>384</v>
      </c>
      <c r="F428" s="20">
        <v>163</v>
      </c>
      <c r="G428" s="20">
        <v>605</v>
      </c>
      <c r="H428" s="13" t="s">
        <v>2088</v>
      </c>
      <c r="I428" s="13" t="str">
        <f t="shared" si="23"/>
        <v>SE 11th Av (Just south of Pine Dr to Atlantic Bl)</v>
      </c>
      <c r="J428" s="13" t="s">
        <v>27</v>
      </c>
      <c r="K428" s="13" t="str">
        <f>VLOOKUP(J428,'Data-ProjectTypes'!A$3:B$13,2,FALSE)</f>
        <v>Program</v>
      </c>
      <c r="L428" s="21" t="s">
        <v>348</v>
      </c>
      <c r="M428" s="13" t="s">
        <v>2674</v>
      </c>
      <c r="N428" s="13" t="s">
        <v>1809</v>
      </c>
      <c r="O428" s="13" t="s">
        <v>275</v>
      </c>
      <c r="P428" s="13" t="s">
        <v>275</v>
      </c>
      <c r="Q428" s="22">
        <v>0.4</v>
      </c>
      <c r="R428" s="23">
        <v>129864</v>
      </c>
      <c r="S428" s="21" t="s">
        <v>24</v>
      </c>
      <c r="T428" s="21"/>
      <c r="U428" s="21"/>
      <c r="V428" s="24"/>
      <c r="W428" s="24" t="s">
        <v>552</v>
      </c>
      <c r="X428" s="24"/>
      <c r="Y428" s="17" t="s">
        <v>538</v>
      </c>
      <c r="Z428" s="71">
        <f>ROUND(R428*'Data-CostAssumptions'!$C$4,-3)</f>
        <v>130000</v>
      </c>
      <c r="AA428" s="11">
        <f t="shared" si="20"/>
        <v>1</v>
      </c>
      <c r="AB428" s="11">
        <v>2041</v>
      </c>
      <c r="AC428" s="11">
        <v>2041</v>
      </c>
      <c r="AD428" s="11">
        <v>2041</v>
      </c>
      <c r="AE428" s="19">
        <f>ROUND((Z428*'Data-CostAssumptions'!$G$5)*(1+'Data-CostAssumptions'!$G$3)^(AB428-'Data-CostAssumptions'!$G$4),-3)</f>
        <v>73000</v>
      </c>
      <c r="AF428" s="19">
        <f>ROUND((Z428)*(1+'Data-CostAssumptions'!$G$3)^(AD428-'Data-CostAssumptions'!$G$4),-3)</f>
        <v>333000</v>
      </c>
      <c r="AG428" s="170" t="str">
        <f t="shared" si="21"/>
        <v>No</v>
      </c>
    </row>
    <row r="429" spans="1:33" ht="15" customHeight="1" x14ac:dyDescent="0.2">
      <c r="B429" s="11" t="s">
        <v>1211</v>
      </c>
      <c r="C429" s="13">
        <v>581</v>
      </c>
      <c r="D429" s="13" t="s">
        <v>420</v>
      </c>
      <c r="E429" s="20">
        <v>402</v>
      </c>
      <c r="F429" s="20">
        <v>174</v>
      </c>
      <c r="G429" s="20">
        <v>786</v>
      </c>
      <c r="H429" s="13" t="s">
        <v>487</v>
      </c>
      <c r="I429" s="13" t="str">
        <f t="shared" si="23"/>
        <v>Nova Dr (SW 81st Terrace to SW 83rd Terrace)</v>
      </c>
      <c r="J429" s="13" t="s">
        <v>27</v>
      </c>
      <c r="K429" s="13" t="str">
        <f>VLOOKUP(J429,'Data-ProjectTypes'!A$3:B$13,2,FALSE)</f>
        <v>Program</v>
      </c>
      <c r="L429" s="21" t="s">
        <v>348</v>
      </c>
      <c r="M429" s="13" t="s">
        <v>248</v>
      </c>
      <c r="N429" s="13" t="s">
        <v>249</v>
      </c>
      <c r="O429" s="13" t="s">
        <v>273</v>
      </c>
      <c r="P429" s="13" t="s">
        <v>273</v>
      </c>
      <c r="Q429" s="22">
        <v>0.3</v>
      </c>
      <c r="R429" s="23">
        <v>93658</v>
      </c>
      <c r="V429" s="85" t="s">
        <v>458</v>
      </c>
      <c r="X429" s="11" t="s">
        <v>464</v>
      </c>
      <c r="Y429" s="12"/>
      <c r="Z429" s="18">
        <f>ROUND(R429*'Data-CostAssumptions'!$C$3,-3)</f>
        <v>130000</v>
      </c>
      <c r="AA429" s="11">
        <f t="shared" si="20"/>
        <v>1</v>
      </c>
      <c r="AB429" s="11">
        <v>2041</v>
      </c>
      <c r="AC429" s="11">
        <v>2041</v>
      </c>
      <c r="AD429" s="11">
        <v>2041</v>
      </c>
      <c r="AE429" s="19">
        <f>ROUND((Z429*'Data-CostAssumptions'!$G$5)*(1+'Data-CostAssumptions'!$G$3)^(AB429-'Data-CostAssumptions'!$G$4),-3)</f>
        <v>73000</v>
      </c>
      <c r="AF429" s="19">
        <f>ROUND((Z429)*(1+'Data-CostAssumptions'!$G$3)^(AD429-'Data-CostAssumptions'!$G$4),-3)</f>
        <v>333000</v>
      </c>
      <c r="AG429" s="170" t="str">
        <f t="shared" si="21"/>
        <v>No</v>
      </c>
    </row>
    <row r="430" spans="1:33" ht="15" customHeight="1" x14ac:dyDescent="0.2">
      <c r="B430" s="11" t="s">
        <v>1211</v>
      </c>
      <c r="C430" s="13">
        <v>611</v>
      </c>
      <c r="D430" s="13" t="s">
        <v>420</v>
      </c>
      <c r="E430" s="20">
        <v>394</v>
      </c>
      <c r="F430" s="20">
        <v>176</v>
      </c>
      <c r="G430" s="20">
        <v>812</v>
      </c>
      <c r="H430" s="13" t="s">
        <v>1909</v>
      </c>
      <c r="I430" s="13" t="str">
        <f t="shared" si="23"/>
        <v>NW 15th St (NW 13th Av to NW 18th Av)</v>
      </c>
      <c r="J430" s="13" t="s">
        <v>27</v>
      </c>
      <c r="K430" s="13" t="str">
        <f>VLOOKUP(J430,'Data-ProjectTypes'!A$3:B$13,2,FALSE)</f>
        <v>Program</v>
      </c>
      <c r="L430" s="21" t="s">
        <v>348</v>
      </c>
      <c r="M430" s="13" t="s">
        <v>2053</v>
      </c>
      <c r="N430" s="13" t="s">
        <v>2239</v>
      </c>
      <c r="O430" s="13" t="s">
        <v>273</v>
      </c>
      <c r="P430" s="13" t="s">
        <v>273</v>
      </c>
      <c r="Q430" s="22">
        <v>0.4</v>
      </c>
      <c r="R430" s="23">
        <v>128521</v>
      </c>
      <c r="Y430" s="12"/>
      <c r="Z430" s="71">
        <f>ROUND(R430*'Data-CostAssumptions'!$C$8,-3)</f>
        <v>129000</v>
      </c>
      <c r="AA430" s="11">
        <f t="shared" si="20"/>
        <v>0</v>
      </c>
      <c r="AB430" s="11">
        <v>2041</v>
      </c>
      <c r="AC430" s="11">
        <v>2041</v>
      </c>
      <c r="AD430" s="11">
        <v>2041</v>
      </c>
      <c r="AE430" s="19">
        <f>ROUND((Z430*'Data-CostAssumptions'!$G$5)*(1+'Data-CostAssumptions'!$G$3)^(AB430-'Data-CostAssumptions'!$G$4),-3)</f>
        <v>73000</v>
      </c>
      <c r="AF430" s="19">
        <f>ROUND((Z430)*(1+'Data-CostAssumptions'!$G$3)^(AD430-'Data-CostAssumptions'!$G$4),-3)</f>
        <v>331000</v>
      </c>
      <c r="AG430" s="170" t="str">
        <f t="shared" si="21"/>
        <v>No</v>
      </c>
    </row>
    <row r="431" spans="1:33" ht="15" customHeight="1" x14ac:dyDescent="0.2">
      <c r="B431" s="11" t="s">
        <v>1211</v>
      </c>
      <c r="C431" s="13">
        <v>273</v>
      </c>
      <c r="D431" s="13" t="s">
        <v>420</v>
      </c>
      <c r="E431" s="20">
        <v>424</v>
      </c>
      <c r="F431" s="20">
        <v>155</v>
      </c>
      <c r="G431" s="20">
        <v>487</v>
      </c>
      <c r="H431" s="13" t="s">
        <v>1887</v>
      </c>
      <c r="I431" s="13" t="str">
        <f t="shared" si="23"/>
        <v>NE 26th St (NE 3rd Av to Cypress Rd)</v>
      </c>
      <c r="J431" s="13" t="s">
        <v>27</v>
      </c>
      <c r="K431" s="13" t="str">
        <f>VLOOKUP(J431,'Data-ProjectTypes'!A$3:B$13,2,FALSE)</f>
        <v>Program</v>
      </c>
      <c r="L431" s="21" t="s">
        <v>348</v>
      </c>
      <c r="M431" s="13" t="s">
        <v>2033</v>
      </c>
      <c r="N431" s="13" t="s">
        <v>1843</v>
      </c>
      <c r="O431" s="13" t="s">
        <v>275</v>
      </c>
      <c r="P431" s="13" t="s">
        <v>275</v>
      </c>
      <c r="Q431" s="22">
        <v>0.3</v>
      </c>
      <c r="R431" s="23">
        <v>92515</v>
      </c>
      <c r="S431" s="21"/>
      <c r="T431" s="21"/>
      <c r="U431" s="21"/>
      <c r="V431" s="24"/>
      <c r="W431" s="24"/>
      <c r="X431" s="24"/>
      <c r="Y431" s="17"/>
      <c r="Z431" s="18">
        <f>ROUND(R431*'Data-CostAssumptions'!$C$3,-3)</f>
        <v>128000</v>
      </c>
      <c r="AA431" s="11">
        <f t="shared" si="20"/>
        <v>0</v>
      </c>
      <c r="AB431" s="11">
        <v>2041</v>
      </c>
      <c r="AC431" s="11">
        <v>2041</v>
      </c>
      <c r="AD431" s="11">
        <v>2041</v>
      </c>
      <c r="AE431" s="19">
        <f>ROUND((Z431*'Data-CostAssumptions'!$G$5)*(1+'Data-CostAssumptions'!$G$3)^(AB431-'Data-CostAssumptions'!$G$4),-3)</f>
        <v>72000</v>
      </c>
      <c r="AF431" s="19">
        <f>ROUND((Z431)*(1+'Data-CostAssumptions'!$G$3)^(AD431-'Data-CostAssumptions'!$G$4),-3)</f>
        <v>328000</v>
      </c>
      <c r="AG431" s="170" t="str">
        <f t="shared" si="21"/>
        <v>No</v>
      </c>
    </row>
    <row r="432" spans="1:33" ht="15" customHeight="1" x14ac:dyDescent="0.2">
      <c r="B432" s="11" t="s">
        <v>1211</v>
      </c>
      <c r="C432" s="13">
        <v>274</v>
      </c>
      <c r="D432" s="13" t="s">
        <v>420</v>
      </c>
      <c r="E432" s="20">
        <v>425</v>
      </c>
      <c r="F432" s="20">
        <v>155</v>
      </c>
      <c r="G432" s="20">
        <v>488</v>
      </c>
      <c r="H432" s="13" t="s">
        <v>106</v>
      </c>
      <c r="I432" s="13" t="str">
        <f t="shared" si="23"/>
        <v>NE 25th Court (NE 3rd Av to Cypress Rd)</v>
      </c>
      <c r="J432" s="13" t="s">
        <v>27</v>
      </c>
      <c r="K432" s="13" t="str">
        <f>VLOOKUP(J432,'Data-ProjectTypes'!A$3:B$13,2,FALSE)</f>
        <v>Program</v>
      </c>
      <c r="L432" s="21" t="s">
        <v>348</v>
      </c>
      <c r="M432" s="13" t="s">
        <v>2033</v>
      </c>
      <c r="N432" s="13" t="s">
        <v>1843</v>
      </c>
      <c r="O432" s="13" t="s">
        <v>275</v>
      </c>
      <c r="P432" s="13" t="s">
        <v>275</v>
      </c>
      <c r="Q432" s="22">
        <v>0.3</v>
      </c>
      <c r="R432" s="23">
        <v>91478</v>
      </c>
      <c r="S432" s="21" t="s">
        <v>24</v>
      </c>
      <c r="T432" s="21" t="s">
        <v>25</v>
      </c>
      <c r="U432" s="21" t="s">
        <v>24</v>
      </c>
      <c r="V432" s="24"/>
      <c r="W432" s="24"/>
      <c r="X432" s="24"/>
      <c r="Y432" s="17" t="s">
        <v>538</v>
      </c>
      <c r="Z432" s="18">
        <f>ROUND(R432*'Data-CostAssumptions'!$C$3,-3)</f>
        <v>127000</v>
      </c>
      <c r="AA432" s="11">
        <f t="shared" si="20"/>
        <v>0</v>
      </c>
      <c r="AB432" s="11">
        <v>2041</v>
      </c>
      <c r="AC432" s="11">
        <v>2041</v>
      </c>
      <c r="AD432" s="11">
        <v>2041</v>
      </c>
      <c r="AE432" s="19">
        <f>ROUND((Z432*'Data-CostAssumptions'!$G$5)*(1+'Data-CostAssumptions'!$G$3)^(AB432-'Data-CostAssumptions'!$G$4),-3)</f>
        <v>72000</v>
      </c>
      <c r="AF432" s="19">
        <f>ROUND((Z432)*(1+'Data-CostAssumptions'!$G$3)^(AD432-'Data-CostAssumptions'!$G$4),-3)</f>
        <v>326000</v>
      </c>
      <c r="AG432" s="170" t="str">
        <f t="shared" si="21"/>
        <v>No</v>
      </c>
    </row>
    <row r="433" spans="1:33" ht="15" customHeight="1" x14ac:dyDescent="0.2">
      <c r="B433" s="11" t="s">
        <v>1211</v>
      </c>
      <c r="C433" s="13">
        <v>460</v>
      </c>
      <c r="D433" s="13" t="s">
        <v>420</v>
      </c>
      <c r="E433" s="20">
        <v>334</v>
      </c>
      <c r="F433" s="20">
        <v>167</v>
      </c>
      <c r="G433" s="20">
        <v>668</v>
      </c>
      <c r="H433" s="13" t="s">
        <v>1951</v>
      </c>
      <c r="I433" s="13" t="str">
        <f t="shared" si="23"/>
        <v>Sheridan St (North 61st St to North 64th Av)</v>
      </c>
      <c r="J433" s="13" t="s">
        <v>27</v>
      </c>
      <c r="K433" s="13" t="str">
        <f>VLOOKUP(J433,'Data-ProjectTypes'!A$3:B$13,2,FALSE)</f>
        <v>Program</v>
      </c>
      <c r="L433" s="21" t="s">
        <v>348</v>
      </c>
      <c r="M433" s="13" t="s">
        <v>2559</v>
      </c>
      <c r="N433" s="13" t="s">
        <v>2043</v>
      </c>
      <c r="O433" s="13" t="s">
        <v>273</v>
      </c>
      <c r="P433" s="13" t="s">
        <v>273</v>
      </c>
      <c r="Q433" s="22">
        <v>0.4</v>
      </c>
      <c r="R433" s="23">
        <v>127099</v>
      </c>
      <c r="S433" s="21" t="s">
        <v>24</v>
      </c>
      <c r="T433" s="21" t="s">
        <v>684</v>
      </c>
      <c r="U433" s="21" t="s">
        <v>684</v>
      </c>
      <c r="V433" s="24"/>
      <c r="W433" s="24"/>
      <c r="X433" s="24"/>
      <c r="Y433" s="17" t="s">
        <v>685</v>
      </c>
      <c r="Z433" s="18">
        <f>ROUND(R433*'Data-CostAssumptions'!$C$8,-3)</f>
        <v>127000</v>
      </c>
      <c r="AA433" s="11">
        <f t="shared" si="20"/>
        <v>0</v>
      </c>
      <c r="AB433" s="11">
        <v>2041</v>
      </c>
      <c r="AC433" s="11">
        <v>2041</v>
      </c>
      <c r="AD433" s="11">
        <v>2041</v>
      </c>
      <c r="AE433" s="19">
        <f>ROUND((Z433*'Data-CostAssumptions'!$G$5)*(1+'Data-CostAssumptions'!$G$3)^(AB433-'Data-CostAssumptions'!$G$4),-3)</f>
        <v>72000</v>
      </c>
      <c r="AF433" s="19">
        <f>ROUND((Z433)*(1+'Data-CostAssumptions'!$G$3)^(AD433-'Data-CostAssumptions'!$G$4),-3)</f>
        <v>326000</v>
      </c>
      <c r="AG433" s="170" t="str">
        <f t="shared" si="21"/>
        <v>No</v>
      </c>
    </row>
    <row r="434" spans="1:33" ht="15" customHeight="1" x14ac:dyDescent="0.2">
      <c r="B434" s="11" t="s">
        <v>1211</v>
      </c>
      <c r="C434" s="13">
        <v>272</v>
      </c>
      <c r="D434" s="13" t="s">
        <v>420</v>
      </c>
      <c r="E434" s="20">
        <v>423</v>
      </c>
      <c r="F434" s="20">
        <v>155</v>
      </c>
      <c r="G434" s="20">
        <v>486</v>
      </c>
      <c r="H434" s="13" t="s">
        <v>107</v>
      </c>
      <c r="I434" s="13" t="str">
        <f t="shared" si="23"/>
        <v>NE 26th Court (NE 3rd Av to Cypress Rd)</v>
      </c>
      <c r="J434" s="13" t="s">
        <v>27</v>
      </c>
      <c r="K434" s="13" t="str">
        <f>VLOOKUP(J434,'Data-ProjectTypes'!A$3:B$13,2,FALSE)</f>
        <v>Program</v>
      </c>
      <c r="L434" s="21" t="s">
        <v>348</v>
      </c>
      <c r="M434" s="13" t="s">
        <v>2033</v>
      </c>
      <c r="N434" s="13" t="s">
        <v>1843</v>
      </c>
      <c r="O434" s="13" t="s">
        <v>275</v>
      </c>
      <c r="P434" s="13" t="s">
        <v>275</v>
      </c>
      <c r="Q434" s="22">
        <v>0.3</v>
      </c>
      <c r="R434" s="23">
        <v>90812</v>
      </c>
      <c r="S434" s="21"/>
      <c r="T434" s="21"/>
      <c r="U434" s="21"/>
      <c r="V434" s="24"/>
      <c r="W434" s="24"/>
      <c r="X434" s="24"/>
      <c r="Y434" s="17"/>
      <c r="Z434" s="18">
        <f>ROUND(R434*'Data-CostAssumptions'!$C$3,-3)</f>
        <v>126000</v>
      </c>
      <c r="AA434" s="11">
        <f t="shared" si="20"/>
        <v>0</v>
      </c>
      <c r="AB434" s="11">
        <v>2041</v>
      </c>
      <c r="AC434" s="11">
        <v>2041</v>
      </c>
      <c r="AD434" s="11">
        <v>2041</v>
      </c>
      <c r="AE434" s="19">
        <f>ROUND((Z434*'Data-CostAssumptions'!$G$5)*(1+'Data-CostAssumptions'!$G$3)^(AB434-'Data-CostAssumptions'!$G$4),-3)</f>
        <v>71000</v>
      </c>
      <c r="AF434" s="19">
        <f>ROUND((Z434)*(1+'Data-CostAssumptions'!$G$3)^(AD434-'Data-CostAssumptions'!$G$4),-3)</f>
        <v>323000</v>
      </c>
      <c r="AG434" s="170" t="str">
        <f t="shared" si="21"/>
        <v>No</v>
      </c>
    </row>
    <row r="435" spans="1:33" ht="15" customHeight="1" x14ac:dyDescent="0.2">
      <c r="B435" s="11" t="s">
        <v>1211</v>
      </c>
      <c r="C435" s="13">
        <v>564</v>
      </c>
      <c r="D435" s="13" t="s">
        <v>420</v>
      </c>
      <c r="E435" s="20">
        <v>221</v>
      </c>
      <c r="F435" s="20">
        <v>173</v>
      </c>
      <c r="G435" s="20">
        <v>765</v>
      </c>
      <c r="H435" s="13" t="s">
        <v>266</v>
      </c>
      <c r="I435" s="13" t="str">
        <f t="shared" si="23"/>
        <v>Pine Island Rd (NW 52nd St to Commercial Bl)</v>
      </c>
      <c r="J435" s="13" t="s">
        <v>27</v>
      </c>
      <c r="K435" s="13" t="str">
        <f>VLOOKUP(J435,'Data-ProjectTypes'!A$3:B$13,2,FALSE)</f>
        <v>Program</v>
      </c>
      <c r="L435" s="21" t="s">
        <v>348</v>
      </c>
      <c r="M435" s="13" t="s">
        <v>2554</v>
      </c>
      <c r="N435" s="13" t="s">
        <v>1813</v>
      </c>
      <c r="O435" s="13" t="s">
        <v>273</v>
      </c>
      <c r="P435" s="13" t="s">
        <v>273</v>
      </c>
      <c r="Q435" s="22">
        <v>0.4</v>
      </c>
      <c r="R435" s="23">
        <v>126157</v>
      </c>
      <c r="V435" s="85" t="s">
        <v>442</v>
      </c>
      <c r="X435" s="11" t="s">
        <v>464</v>
      </c>
      <c r="Y435" s="12"/>
      <c r="Z435" s="18">
        <f>ROUND(R435*'Data-CostAssumptions'!$C$4,-3)</f>
        <v>126000</v>
      </c>
      <c r="AA435" s="11">
        <f t="shared" si="20"/>
        <v>1</v>
      </c>
      <c r="AB435" s="11">
        <v>2041</v>
      </c>
      <c r="AC435" s="11">
        <v>2041</v>
      </c>
      <c r="AD435" s="11">
        <v>2041</v>
      </c>
      <c r="AE435" s="19">
        <f>ROUND((Z435*'Data-CostAssumptions'!$G$5)*(1+'Data-CostAssumptions'!$G$3)^(AB435-'Data-CostAssumptions'!$G$4),-3)</f>
        <v>71000</v>
      </c>
      <c r="AF435" s="19">
        <f>ROUND((Z435)*(1+'Data-CostAssumptions'!$G$3)^(AD435-'Data-CostAssumptions'!$G$4),-3)</f>
        <v>323000</v>
      </c>
      <c r="AG435" s="170" t="str">
        <f t="shared" si="21"/>
        <v>No</v>
      </c>
    </row>
    <row r="436" spans="1:33" ht="15" customHeight="1" x14ac:dyDescent="0.2">
      <c r="B436" s="11" t="s">
        <v>1211</v>
      </c>
      <c r="C436" s="11">
        <v>14004</v>
      </c>
      <c r="D436" s="84" t="s">
        <v>295</v>
      </c>
      <c r="E436" s="14"/>
      <c r="F436" s="14"/>
      <c r="G436" s="20">
        <v>1859</v>
      </c>
      <c r="H436" s="13" t="s">
        <v>1775</v>
      </c>
      <c r="I436" s="13" t="str">
        <f t="shared" si="23"/>
        <v>Sutton Rd (S.W. 56th Av to South State Rd 7 (US 441))</v>
      </c>
      <c r="J436" s="11" t="s">
        <v>27</v>
      </c>
      <c r="K436" s="13" t="str">
        <f>VLOOKUP(J436,'Data-ProjectTypes'!A$3:B$13,2,FALSE)</f>
        <v>Program</v>
      </c>
      <c r="L436" s="11" t="s">
        <v>1134</v>
      </c>
      <c r="M436" s="11" t="s">
        <v>2388</v>
      </c>
      <c r="N436" s="11" t="s">
        <v>2447</v>
      </c>
      <c r="O436" s="84" t="s">
        <v>295</v>
      </c>
      <c r="P436" s="84" t="s">
        <v>295</v>
      </c>
      <c r="Q436" s="15">
        <v>0.7</v>
      </c>
      <c r="R436" s="16">
        <v>125000</v>
      </c>
      <c r="Y436" s="12"/>
      <c r="Z436" s="18">
        <f>ROUND(R436*'Data-CostAssumptions'!$C$8,-3)</f>
        <v>125000</v>
      </c>
      <c r="AA436" s="11">
        <f t="shared" si="20"/>
        <v>0</v>
      </c>
      <c r="AB436" s="11">
        <v>2041</v>
      </c>
      <c r="AC436" s="11">
        <v>2041</v>
      </c>
      <c r="AD436" s="11">
        <v>2041</v>
      </c>
      <c r="AE436" s="19">
        <f>ROUND((Z436*'Data-CostAssumptions'!$G$5)*(1+'Data-CostAssumptions'!$G$3)^(AB436-'Data-CostAssumptions'!$G$4),-3)</f>
        <v>71000</v>
      </c>
      <c r="AF436" s="19">
        <f>ROUND((Z436)*(1+'Data-CostAssumptions'!$G$3)^(AD436-'Data-CostAssumptions'!$G$4),-3)</f>
        <v>320000</v>
      </c>
      <c r="AG436" s="170" t="str">
        <f t="shared" si="21"/>
        <v>No</v>
      </c>
    </row>
    <row r="437" spans="1:33" ht="15" customHeight="1" x14ac:dyDescent="0.2">
      <c r="B437" s="11" t="s">
        <v>1211</v>
      </c>
      <c r="C437" s="13">
        <v>343</v>
      </c>
      <c r="D437" s="13" t="s">
        <v>420</v>
      </c>
      <c r="E437" s="20">
        <v>432</v>
      </c>
      <c r="F437" s="20">
        <v>160</v>
      </c>
      <c r="G437" s="20">
        <v>554</v>
      </c>
      <c r="H437" s="13" t="s">
        <v>1967</v>
      </c>
      <c r="I437" s="13" t="str">
        <f t="shared" si="23"/>
        <v>SW 9th St (Cypress Rd to SW 3rd Av)</v>
      </c>
      <c r="J437" s="13" t="s">
        <v>27</v>
      </c>
      <c r="K437" s="13" t="str">
        <f>VLOOKUP(J437,'Data-ProjectTypes'!A$3:B$13,2,FALSE)</f>
        <v>Program</v>
      </c>
      <c r="L437" s="21" t="s">
        <v>348</v>
      </c>
      <c r="M437" s="13" t="s">
        <v>1843</v>
      </c>
      <c r="N437" s="13" t="s">
        <v>2123</v>
      </c>
      <c r="O437" s="13" t="s">
        <v>275</v>
      </c>
      <c r="P437" s="13" t="s">
        <v>275</v>
      </c>
      <c r="Q437" s="22">
        <v>0.2</v>
      </c>
      <c r="R437" s="23">
        <v>89432</v>
      </c>
      <c r="S437" s="21" t="s">
        <v>1122</v>
      </c>
      <c r="T437" s="21" t="s">
        <v>1128</v>
      </c>
      <c r="U437" s="21" t="s">
        <v>1128</v>
      </c>
      <c r="V437" s="24"/>
      <c r="W437" s="24" t="s">
        <v>1108</v>
      </c>
      <c r="X437" s="24" t="s">
        <v>1127</v>
      </c>
      <c r="Y437" s="17" t="s">
        <v>1110</v>
      </c>
      <c r="Z437" s="18">
        <f>ROUND(R437*'Data-CostAssumptions'!$C$3,-3)</f>
        <v>124000</v>
      </c>
      <c r="AA437" s="11">
        <f t="shared" si="20"/>
        <v>1</v>
      </c>
      <c r="AB437" s="11">
        <v>2041</v>
      </c>
      <c r="AC437" s="11">
        <v>2041</v>
      </c>
      <c r="AD437" s="11">
        <v>2041</v>
      </c>
      <c r="AE437" s="19">
        <f>ROUND((Z437*'Data-CostAssumptions'!$G$5)*(1+'Data-CostAssumptions'!$G$3)^(AB437-'Data-CostAssumptions'!$G$4),-3)</f>
        <v>70000</v>
      </c>
      <c r="AF437" s="19">
        <f>ROUND((Z437)*(1+'Data-CostAssumptions'!$G$3)^(AD437-'Data-CostAssumptions'!$G$4),-3)</f>
        <v>318000</v>
      </c>
      <c r="AG437" s="170" t="str">
        <f t="shared" si="21"/>
        <v>No</v>
      </c>
    </row>
    <row r="438" spans="1:33" ht="15" customHeight="1" x14ac:dyDescent="0.2">
      <c r="B438" s="11" t="s">
        <v>1211</v>
      </c>
      <c r="C438" s="13">
        <v>541</v>
      </c>
      <c r="D438" s="13" t="s">
        <v>420</v>
      </c>
      <c r="E438" s="20">
        <v>387</v>
      </c>
      <c r="F438" s="20">
        <v>171</v>
      </c>
      <c r="G438" s="20">
        <v>746</v>
      </c>
      <c r="H438" s="13" t="s">
        <v>1883</v>
      </c>
      <c r="I438" s="13" t="str">
        <f t="shared" si="23"/>
        <v>NE 12th St (NE 26th Av to Federal Hwy)</v>
      </c>
      <c r="J438" s="13" t="s">
        <v>27</v>
      </c>
      <c r="K438" s="13" t="str">
        <f>VLOOKUP(J438,'Data-ProjectTypes'!A$3:B$13,2,FALSE)</f>
        <v>Program</v>
      </c>
      <c r="L438" s="21" t="s">
        <v>348</v>
      </c>
      <c r="M438" s="13" t="s">
        <v>2234</v>
      </c>
      <c r="N438" s="13" t="s">
        <v>2595</v>
      </c>
      <c r="O438" s="13" t="s">
        <v>275</v>
      </c>
      <c r="P438" s="13" t="s">
        <v>275</v>
      </c>
      <c r="Q438" s="22">
        <v>0.2</v>
      </c>
      <c r="R438" s="23">
        <v>89246</v>
      </c>
      <c r="Y438" s="12"/>
      <c r="Z438" s="71">
        <f>ROUND(R438*'Data-CostAssumptions'!$C$3,-3)</f>
        <v>124000</v>
      </c>
      <c r="AA438" s="11">
        <f t="shared" si="20"/>
        <v>0</v>
      </c>
      <c r="AB438" s="11">
        <v>2041</v>
      </c>
      <c r="AC438" s="11">
        <v>2041</v>
      </c>
      <c r="AD438" s="11">
        <v>2041</v>
      </c>
      <c r="AE438" s="19">
        <f>ROUND((Z438*'Data-CostAssumptions'!$G$5)*(1+'Data-CostAssumptions'!$G$3)^(AB438-'Data-CostAssumptions'!$G$4),-3)</f>
        <v>70000</v>
      </c>
      <c r="AF438" s="19">
        <f>ROUND((Z438)*(1+'Data-CostAssumptions'!$G$3)^(AD438-'Data-CostAssumptions'!$G$4),-3)</f>
        <v>318000</v>
      </c>
      <c r="AG438" s="170" t="str">
        <f t="shared" si="21"/>
        <v>No</v>
      </c>
    </row>
    <row r="439" spans="1:33" ht="15" customHeight="1" x14ac:dyDescent="0.2">
      <c r="B439" s="11" t="s">
        <v>1211</v>
      </c>
      <c r="C439" s="13">
        <v>582</v>
      </c>
      <c r="D439" s="13" t="s">
        <v>420</v>
      </c>
      <c r="E439" s="20">
        <v>416</v>
      </c>
      <c r="F439" s="20">
        <v>174</v>
      </c>
      <c r="G439" s="20">
        <v>788</v>
      </c>
      <c r="H439" s="13" t="s">
        <v>2081</v>
      </c>
      <c r="I439" s="13" t="str">
        <f t="shared" si="23"/>
        <v>NW 8th Av (NW 33rd St to Sample Rd)</v>
      </c>
      <c r="J439" s="13" t="s">
        <v>27</v>
      </c>
      <c r="K439" s="13" t="str">
        <f>VLOOKUP(J439,'Data-ProjectTypes'!A$3:B$13,2,FALSE)</f>
        <v>Program</v>
      </c>
      <c r="L439" s="21" t="s">
        <v>348</v>
      </c>
      <c r="M439" s="13" t="s">
        <v>1914</v>
      </c>
      <c r="N439" s="13" t="s">
        <v>1864</v>
      </c>
      <c r="O439" s="13" t="s">
        <v>272</v>
      </c>
      <c r="P439" s="13" t="s">
        <v>272</v>
      </c>
      <c r="Q439" s="22">
        <v>0.2</v>
      </c>
      <c r="R439" s="23">
        <v>89614</v>
      </c>
      <c r="V439" s="85" t="s">
        <v>459</v>
      </c>
      <c r="X439" s="11" t="s">
        <v>468</v>
      </c>
      <c r="Y439" s="12"/>
      <c r="Z439" s="18">
        <f>ROUND(R439*'Data-CostAssumptions'!$C$3,-3)</f>
        <v>124000</v>
      </c>
      <c r="AA439" s="11">
        <f t="shared" si="20"/>
        <v>1</v>
      </c>
      <c r="AB439" s="11">
        <v>2041</v>
      </c>
      <c r="AC439" s="11">
        <v>2041</v>
      </c>
      <c r="AD439" s="11">
        <v>2041</v>
      </c>
      <c r="AE439" s="19">
        <f>ROUND((Z439*'Data-CostAssumptions'!$G$5)*(1+'Data-CostAssumptions'!$G$3)^(AB439-'Data-CostAssumptions'!$G$4),-3)</f>
        <v>70000</v>
      </c>
      <c r="AF439" s="19">
        <f>ROUND((Z439)*(1+'Data-CostAssumptions'!$G$3)^(AD439-'Data-CostAssumptions'!$G$4),-3)</f>
        <v>318000</v>
      </c>
      <c r="AG439" s="170" t="str">
        <f t="shared" si="21"/>
        <v>No</v>
      </c>
    </row>
    <row r="440" spans="1:33" ht="15" customHeight="1" x14ac:dyDescent="0.2">
      <c r="B440" s="11" t="s">
        <v>1211</v>
      </c>
      <c r="C440" s="13">
        <v>603</v>
      </c>
      <c r="D440" s="13" t="s">
        <v>420</v>
      </c>
      <c r="E440" s="20">
        <v>329</v>
      </c>
      <c r="F440" s="20">
        <v>175</v>
      </c>
      <c r="G440" s="20">
        <v>805</v>
      </c>
      <c r="H440" s="13" t="s">
        <v>2757</v>
      </c>
      <c r="I440" s="13" t="str">
        <f t="shared" si="23"/>
        <v>SR 870/ Commercial Bl (Just east of Hiatus Rd to Eastern Sawgrass Ramp)</v>
      </c>
      <c r="J440" s="13" t="s">
        <v>27</v>
      </c>
      <c r="K440" s="13" t="str">
        <f>VLOOKUP(J440,'Data-ProjectTypes'!A$3:B$13,2,FALSE)</f>
        <v>Program</v>
      </c>
      <c r="L440" s="21" t="s">
        <v>348</v>
      </c>
      <c r="M440" s="13" t="s">
        <v>2461</v>
      </c>
      <c r="N440" s="13" t="s">
        <v>78</v>
      </c>
      <c r="O440" s="13" t="s">
        <v>273</v>
      </c>
      <c r="P440" s="13" t="s">
        <v>273</v>
      </c>
      <c r="Q440" s="22">
        <v>0.3</v>
      </c>
      <c r="R440" s="23">
        <v>123753</v>
      </c>
      <c r="Y440" s="12"/>
      <c r="Z440" s="18">
        <f>ROUND(R440*'Data-CostAssumptions'!$C$6,-3)</f>
        <v>124000</v>
      </c>
      <c r="AA440" s="11">
        <f t="shared" si="20"/>
        <v>0</v>
      </c>
      <c r="AB440" s="11">
        <v>2041</v>
      </c>
      <c r="AC440" s="11">
        <v>2041</v>
      </c>
      <c r="AD440" s="11">
        <v>2041</v>
      </c>
      <c r="AE440" s="19">
        <f>ROUND((Z440*'Data-CostAssumptions'!$G$5)*(1+'Data-CostAssumptions'!$G$3)^(AB440-'Data-CostAssumptions'!$G$4),-3)</f>
        <v>70000</v>
      </c>
      <c r="AF440" s="19">
        <f>ROUND((Z440)*(1+'Data-CostAssumptions'!$G$3)^(AD440-'Data-CostAssumptions'!$G$4),-3)</f>
        <v>318000</v>
      </c>
      <c r="AG440" s="170" t="str">
        <f t="shared" si="21"/>
        <v>No</v>
      </c>
    </row>
    <row r="441" spans="1:33" ht="15" customHeight="1" x14ac:dyDescent="0.2">
      <c r="B441" s="11" t="s">
        <v>1211</v>
      </c>
      <c r="C441" s="13">
        <v>338</v>
      </c>
      <c r="D441" s="13" t="s">
        <v>420</v>
      </c>
      <c r="E441" s="20">
        <v>417</v>
      </c>
      <c r="F441" s="20">
        <v>159</v>
      </c>
      <c r="G441" s="20">
        <v>549</v>
      </c>
      <c r="H441" s="13" t="s">
        <v>2035</v>
      </c>
      <c r="I441" s="13" t="str">
        <f t="shared" si="23"/>
        <v>NE 5th Av (NE 33rd St to Sample Rd)</v>
      </c>
      <c r="J441" s="13" t="s">
        <v>27</v>
      </c>
      <c r="K441" s="13" t="str">
        <f>VLOOKUP(J441,'Data-ProjectTypes'!A$3:B$13,2,FALSE)</f>
        <v>Program</v>
      </c>
      <c r="L441" s="21" t="s">
        <v>348</v>
      </c>
      <c r="M441" s="13" t="s">
        <v>1889</v>
      </c>
      <c r="N441" s="13" t="s">
        <v>1864</v>
      </c>
      <c r="O441" s="13" t="s">
        <v>275</v>
      </c>
      <c r="P441" s="13" t="s">
        <v>275</v>
      </c>
      <c r="Q441" s="22">
        <v>0.2</v>
      </c>
      <c r="R441" s="23">
        <v>88127</v>
      </c>
      <c r="S441" s="21"/>
      <c r="T441" s="21"/>
      <c r="U441" s="21"/>
      <c r="V441" s="24"/>
      <c r="W441" s="24"/>
      <c r="X441" s="24"/>
      <c r="Y441" s="17"/>
      <c r="Z441" s="18">
        <f>ROUND(R441*'Data-CostAssumptions'!$C$3,-3)</f>
        <v>122000</v>
      </c>
      <c r="AA441" s="11">
        <f t="shared" si="20"/>
        <v>0</v>
      </c>
      <c r="AB441" s="11">
        <v>2041</v>
      </c>
      <c r="AC441" s="11">
        <v>2041</v>
      </c>
      <c r="AD441" s="11">
        <v>2041</v>
      </c>
      <c r="AE441" s="19">
        <f>ROUND((Z441*'Data-CostAssumptions'!$G$5)*(1+'Data-CostAssumptions'!$G$3)^(AB441-'Data-CostAssumptions'!$G$4),-3)</f>
        <v>69000</v>
      </c>
      <c r="AF441" s="19">
        <f>ROUND((Z441)*(1+'Data-CostAssumptions'!$G$3)^(AD441-'Data-CostAssumptions'!$G$4),-3)</f>
        <v>313000</v>
      </c>
      <c r="AG441" s="170" t="str">
        <f t="shared" si="21"/>
        <v>No</v>
      </c>
    </row>
    <row r="442" spans="1:33" ht="15" customHeight="1" x14ac:dyDescent="0.2">
      <c r="B442" s="11" t="s">
        <v>1211</v>
      </c>
      <c r="C442" s="13">
        <v>443</v>
      </c>
      <c r="D442" s="13" t="s">
        <v>420</v>
      </c>
      <c r="E442" s="20">
        <v>208</v>
      </c>
      <c r="F442" s="20">
        <v>166</v>
      </c>
      <c r="G442" s="20">
        <v>651</v>
      </c>
      <c r="H442" s="13" t="s">
        <v>1756</v>
      </c>
      <c r="I442" s="13" t="str">
        <f t="shared" si="23"/>
        <v>North Douglas Rd (Taft St to Pasadena Bl)</v>
      </c>
      <c r="J442" s="13" t="s">
        <v>27</v>
      </c>
      <c r="K442" s="13" t="str">
        <f>VLOOKUP(J442,'Data-ProjectTypes'!A$3:B$13,2,FALSE)</f>
        <v>Program</v>
      </c>
      <c r="L442" s="21" t="s">
        <v>348</v>
      </c>
      <c r="M442" s="13" t="s">
        <v>1968</v>
      </c>
      <c r="N442" s="13" t="s">
        <v>1998</v>
      </c>
      <c r="O442" s="13" t="s">
        <v>273</v>
      </c>
      <c r="P442" s="13" t="s">
        <v>273</v>
      </c>
      <c r="Q442" s="22">
        <v>0.3</v>
      </c>
      <c r="R442" s="23">
        <v>121724</v>
      </c>
      <c r="S442" s="21"/>
      <c r="T442" s="21"/>
      <c r="U442" s="21"/>
      <c r="V442" s="24"/>
      <c r="W442" s="24"/>
      <c r="X442" s="24"/>
      <c r="Y442" s="17"/>
      <c r="Z442" s="18">
        <f>ROUND(R442*'Data-CostAssumptions'!$C$8,-3)</f>
        <v>122000</v>
      </c>
      <c r="AA442" s="11">
        <f t="shared" si="20"/>
        <v>0</v>
      </c>
      <c r="AB442" s="11">
        <v>2041</v>
      </c>
      <c r="AC442" s="11">
        <v>2041</v>
      </c>
      <c r="AD442" s="11">
        <v>2041</v>
      </c>
      <c r="AE442" s="19">
        <f>ROUND((Z442*'Data-CostAssumptions'!$G$5)*(1+'Data-CostAssumptions'!$G$3)^(AB442-'Data-CostAssumptions'!$G$4),-3)</f>
        <v>69000</v>
      </c>
      <c r="AF442" s="19">
        <f>ROUND((Z442)*(1+'Data-CostAssumptions'!$G$3)^(AD442-'Data-CostAssumptions'!$G$4),-3)</f>
        <v>313000</v>
      </c>
      <c r="AG442" s="170" t="str">
        <f t="shared" si="21"/>
        <v>No</v>
      </c>
    </row>
    <row r="443" spans="1:33" ht="15" customHeight="1" x14ac:dyDescent="0.2">
      <c r="B443" s="11" t="s">
        <v>1211</v>
      </c>
      <c r="C443" s="13">
        <v>519</v>
      </c>
      <c r="D443" s="13" t="s">
        <v>420</v>
      </c>
      <c r="E443" s="20">
        <v>207</v>
      </c>
      <c r="F443" s="20">
        <v>170</v>
      </c>
      <c r="G443" s="20">
        <v>724</v>
      </c>
      <c r="H443" s="13" t="s">
        <v>131</v>
      </c>
      <c r="I443" s="13" t="str">
        <f t="shared" si="23"/>
        <v>NW 85th Way (Taft St to Pasadena Bl)</v>
      </c>
      <c r="J443" s="13" t="s">
        <v>27</v>
      </c>
      <c r="K443" s="13" t="str">
        <f>VLOOKUP(J443,'Data-ProjectTypes'!A$3:B$13,2,FALSE)</f>
        <v>Program</v>
      </c>
      <c r="L443" s="21" t="s">
        <v>348</v>
      </c>
      <c r="M443" s="13" t="s">
        <v>1968</v>
      </c>
      <c r="N443" s="13" t="s">
        <v>1998</v>
      </c>
      <c r="O443" s="13" t="s">
        <v>271</v>
      </c>
      <c r="P443" s="13" t="s">
        <v>271</v>
      </c>
      <c r="Q443" s="22">
        <v>0.3</v>
      </c>
      <c r="R443" s="23">
        <v>121284</v>
      </c>
      <c r="S443" s="21" t="s">
        <v>350</v>
      </c>
      <c r="T443" s="21"/>
      <c r="U443" s="21"/>
      <c r="V443" s="24"/>
      <c r="W443" s="24"/>
      <c r="X443" s="24" t="s">
        <v>480</v>
      </c>
      <c r="Y443" s="17" t="s">
        <v>469</v>
      </c>
      <c r="Z443" s="18">
        <f>ROUND(R443*'Data-CostAssumptions'!$C$8,-3)</f>
        <v>121000</v>
      </c>
      <c r="AA443" s="11">
        <f t="shared" si="20"/>
        <v>0</v>
      </c>
      <c r="AB443" s="11">
        <v>2041</v>
      </c>
      <c r="AC443" s="11">
        <v>2041</v>
      </c>
      <c r="AD443" s="11">
        <v>2041</v>
      </c>
      <c r="AE443" s="19">
        <f>ROUND((Z443*'Data-CostAssumptions'!$G$5)*(1+'Data-CostAssumptions'!$G$3)^(AB443-'Data-CostAssumptions'!$G$4),-3)</f>
        <v>68000</v>
      </c>
      <c r="AF443" s="19">
        <f>ROUND((Z443)*(1+'Data-CostAssumptions'!$G$3)^(AD443-'Data-CostAssumptions'!$G$4),-3)</f>
        <v>310000</v>
      </c>
      <c r="AG443" s="170" t="str">
        <f t="shared" si="21"/>
        <v>No</v>
      </c>
    </row>
    <row r="444" spans="1:33" ht="15" customHeight="1" x14ac:dyDescent="0.2">
      <c r="B444" s="11" t="s">
        <v>1211</v>
      </c>
      <c r="C444" s="11">
        <v>12015</v>
      </c>
      <c r="D444" s="84" t="s">
        <v>292</v>
      </c>
      <c r="E444" s="14"/>
      <c r="F444" s="14"/>
      <c r="G444" s="20">
        <v>1098</v>
      </c>
      <c r="H444" s="13" t="s">
        <v>2050</v>
      </c>
      <c r="I444" s="13" t="str">
        <f t="shared" si="23"/>
        <v>NW 124 Av (NW 39 St to Sample Rd)</v>
      </c>
      <c r="J444" s="11" t="s">
        <v>27</v>
      </c>
      <c r="K444" s="13" t="str">
        <f>VLOOKUP(J444,'Data-ProjectTypes'!A$3:B$13,2,FALSE)</f>
        <v>Program</v>
      </c>
      <c r="L444" s="11" t="s">
        <v>428</v>
      </c>
      <c r="M444" s="11" t="s">
        <v>1918</v>
      </c>
      <c r="N444" s="11" t="s">
        <v>1864</v>
      </c>
      <c r="Q444" s="15">
        <v>0.3</v>
      </c>
      <c r="R444" s="16">
        <v>116773.15433150184</v>
      </c>
      <c r="Y444" s="12"/>
      <c r="Z444" s="71">
        <f>ROUND(R444*'Data-CostAssumptions'!$C$8,-3)</f>
        <v>117000</v>
      </c>
      <c r="AA444" s="11">
        <f t="shared" si="20"/>
        <v>0</v>
      </c>
      <c r="AB444" s="11">
        <v>2041</v>
      </c>
      <c r="AC444" s="11">
        <v>2041</v>
      </c>
      <c r="AD444" s="11">
        <v>2041</v>
      </c>
      <c r="AE444" s="19">
        <f>ROUND((Z444*'Data-CostAssumptions'!$G$5)*(1+'Data-CostAssumptions'!$G$3)^(AB444-'Data-CostAssumptions'!$G$4),-3)</f>
        <v>66000</v>
      </c>
      <c r="AF444" s="19">
        <f>ROUND((Z444)*(1+'Data-CostAssumptions'!$G$3)^(AD444-'Data-CostAssumptions'!$G$4),-3)</f>
        <v>300000</v>
      </c>
      <c r="AG444" s="170" t="str">
        <f t="shared" si="21"/>
        <v>No</v>
      </c>
    </row>
    <row r="445" spans="1:33" ht="15" customHeight="1" x14ac:dyDescent="0.2">
      <c r="B445" s="11" t="s">
        <v>1211</v>
      </c>
      <c r="D445" s="84" t="s">
        <v>276</v>
      </c>
      <c r="E445" s="14">
        <v>112</v>
      </c>
      <c r="F445" s="14"/>
      <c r="G445" s="20">
        <v>1627</v>
      </c>
      <c r="H445" s="13" t="s">
        <v>2798</v>
      </c>
      <c r="I445" s="13" t="str">
        <f t="shared" si="23"/>
        <v>SR 842/Broward Bl (VICTORIA PARK RD to NE/SE 15TH Av)</v>
      </c>
      <c r="J445" s="11" t="s">
        <v>27</v>
      </c>
      <c r="K445" s="13" t="str">
        <f>VLOOKUP(J445,'Data-ProjectTypes'!A$3:B$13,2,FALSE)</f>
        <v>Program</v>
      </c>
      <c r="L445" s="11" t="s">
        <v>1261</v>
      </c>
      <c r="M445" s="106" t="s">
        <v>1252</v>
      </c>
      <c r="N445" s="84" t="s">
        <v>2600</v>
      </c>
      <c r="Q445" s="107">
        <v>0.2</v>
      </c>
      <c r="R445" s="23">
        <v>117000</v>
      </c>
      <c r="Y445" s="12"/>
      <c r="Z445" s="18">
        <f>ROUND(R445*'Data-CostAssumptions'!$C$4,-3)</f>
        <v>117000</v>
      </c>
      <c r="AA445" s="11">
        <f t="shared" si="20"/>
        <v>0</v>
      </c>
      <c r="AB445" s="11">
        <v>2041</v>
      </c>
      <c r="AC445" s="11">
        <v>2041</v>
      </c>
      <c r="AD445" s="11">
        <v>2041</v>
      </c>
      <c r="AE445" s="19">
        <f>ROUND((Z445*'Data-CostAssumptions'!$G$5)*(1+'Data-CostAssumptions'!$G$3)^(AB445-'Data-CostAssumptions'!$G$4),-3)</f>
        <v>66000</v>
      </c>
      <c r="AF445" s="19">
        <f>ROUND((Z445)*(1+'Data-CostAssumptions'!$G$3)^(AD445-'Data-CostAssumptions'!$G$4),-3)</f>
        <v>300000</v>
      </c>
      <c r="AG445" s="170" t="str">
        <f t="shared" si="21"/>
        <v>No</v>
      </c>
    </row>
    <row r="446" spans="1:33" ht="15" customHeight="1" x14ac:dyDescent="0.2">
      <c r="A446" s="109"/>
      <c r="B446" s="11" t="s">
        <v>1211</v>
      </c>
      <c r="C446" s="109"/>
      <c r="D446" s="109" t="s">
        <v>276</v>
      </c>
      <c r="E446" s="110"/>
      <c r="F446" s="110">
        <v>140</v>
      </c>
      <c r="G446" s="20">
        <v>1647</v>
      </c>
      <c r="H446" s="111" t="s">
        <v>3020</v>
      </c>
      <c r="I446" s="111" t="s">
        <v>3024</v>
      </c>
      <c r="J446" s="109" t="s">
        <v>27</v>
      </c>
      <c r="K446" s="109" t="s">
        <v>1208</v>
      </c>
      <c r="L446" s="111" t="s">
        <v>3022</v>
      </c>
      <c r="M446" s="112" t="s">
        <v>1245</v>
      </c>
      <c r="N446" s="113" t="s">
        <v>3026</v>
      </c>
      <c r="O446" s="12"/>
      <c r="P446" s="12"/>
      <c r="Q446" s="114">
        <v>0.2</v>
      </c>
      <c r="R446" s="115">
        <v>117000</v>
      </c>
      <c r="S446" s="12"/>
      <c r="T446" s="12"/>
      <c r="U446" s="12"/>
      <c r="V446" s="12"/>
      <c r="W446" s="12"/>
      <c r="X446" s="12"/>
      <c r="Y446" s="12"/>
      <c r="Z446" s="18">
        <f>ROUND(R446*'Data-CostAssumptions'!$C$8,-3)</f>
        <v>117000</v>
      </c>
      <c r="AA446" s="11">
        <f t="shared" si="20"/>
        <v>0</v>
      </c>
      <c r="AB446" s="11">
        <v>2041</v>
      </c>
      <c r="AC446" s="11">
        <v>2041</v>
      </c>
      <c r="AD446" s="11">
        <v>2041</v>
      </c>
      <c r="AE446" s="19">
        <f>ROUND((Z446*'Data-CostAssumptions'!$G$5)*(1+'Data-CostAssumptions'!$G$3)^(AB446-'Data-CostAssumptions'!$G$4),-3)</f>
        <v>66000</v>
      </c>
      <c r="AF446" s="19">
        <f>ROUND((Z446)*(1+'Data-CostAssumptions'!$G$3)^(AD446-'Data-CostAssumptions'!$G$4),-3)</f>
        <v>300000</v>
      </c>
      <c r="AG446" s="170" t="str">
        <f t="shared" si="21"/>
        <v>No</v>
      </c>
    </row>
    <row r="447" spans="1:33" ht="15" customHeight="1" x14ac:dyDescent="0.2">
      <c r="B447" s="11" t="s">
        <v>1211</v>
      </c>
      <c r="C447" s="13">
        <v>389</v>
      </c>
      <c r="D447" s="13" t="s">
        <v>420</v>
      </c>
      <c r="E447" s="20">
        <v>303</v>
      </c>
      <c r="F447" s="20">
        <v>163</v>
      </c>
      <c r="G447" s="20">
        <v>600</v>
      </c>
      <c r="H447" s="13" t="s">
        <v>1938</v>
      </c>
      <c r="I447" s="13" t="str">
        <f t="shared" ref="I447:I478" si="24">IF(M447="@",H447&amp;" ("&amp;M447&amp;"  "&amp;N447&amp;")",H447&amp;" ("&amp;M447&amp;" to "&amp;N447&amp;")")</f>
        <v>SE 12th St (SE 10th Av to Miami Rd)</v>
      </c>
      <c r="J447" s="13" t="s">
        <v>27</v>
      </c>
      <c r="K447" s="13" t="str">
        <f>VLOOKUP(J447,'Data-ProjectTypes'!A$3:B$13,2,FALSE)</f>
        <v>Program</v>
      </c>
      <c r="L447" s="21" t="s">
        <v>348</v>
      </c>
      <c r="M447" s="13" t="s">
        <v>2087</v>
      </c>
      <c r="N447" s="13" t="s">
        <v>2451</v>
      </c>
      <c r="O447" s="13" t="s">
        <v>276</v>
      </c>
      <c r="P447" s="13" t="s">
        <v>276</v>
      </c>
      <c r="Q447" s="22">
        <v>0.2</v>
      </c>
      <c r="R447" s="23">
        <v>83750</v>
      </c>
      <c r="S447" s="21" t="s">
        <v>350</v>
      </c>
      <c r="T447" s="21"/>
      <c r="U447" s="21"/>
      <c r="V447" s="24"/>
      <c r="W447" s="24" t="s">
        <v>580</v>
      </c>
      <c r="X447" s="24"/>
      <c r="Y447" s="17" t="s">
        <v>3019</v>
      </c>
      <c r="Z447" s="71">
        <f>ROUND(R447*'Data-CostAssumptions'!$C$3,-3)</f>
        <v>116000</v>
      </c>
      <c r="AA447" s="11">
        <f t="shared" si="20"/>
        <v>1</v>
      </c>
      <c r="AB447" s="11">
        <v>2041</v>
      </c>
      <c r="AC447" s="11">
        <v>2041</v>
      </c>
      <c r="AD447" s="11">
        <v>2041</v>
      </c>
      <c r="AE447" s="19">
        <f>ROUND((Z447*'Data-CostAssumptions'!$G$5)*(1+'Data-CostAssumptions'!$G$3)^(AB447-'Data-CostAssumptions'!$G$4),-3)</f>
        <v>65000</v>
      </c>
      <c r="AF447" s="19">
        <f>ROUND((Z447)*(1+'Data-CostAssumptions'!$G$3)^(AD447-'Data-CostAssumptions'!$G$4),-3)</f>
        <v>297000</v>
      </c>
      <c r="AG447" s="170" t="str">
        <f t="shared" si="21"/>
        <v>No</v>
      </c>
    </row>
    <row r="448" spans="1:33" ht="15" customHeight="1" x14ac:dyDescent="0.2">
      <c r="B448" s="11" t="s">
        <v>1211</v>
      </c>
      <c r="C448" s="13">
        <v>235</v>
      </c>
      <c r="D448" s="13" t="s">
        <v>420</v>
      </c>
      <c r="E448" s="20">
        <v>110</v>
      </c>
      <c r="F448" s="20">
        <v>153</v>
      </c>
      <c r="G448" s="20">
        <v>449</v>
      </c>
      <c r="H448" s="13" t="s">
        <v>2077</v>
      </c>
      <c r="I448" s="13" t="str">
        <f t="shared" si="24"/>
        <v>NW 6th Av (Atlantic Bl to NW 4th St)</v>
      </c>
      <c r="J448" s="13" t="s">
        <v>27</v>
      </c>
      <c r="K448" s="13" t="str">
        <f>VLOOKUP(J448,'Data-ProjectTypes'!A$3:B$13,2,FALSE)</f>
        <v>Program</v>
      </c>
      <c r="L448" s="21" t="s">
        <v>348</v>
      </c>
      <c r="M448" s="13" t="s">
        <v>1809</v>
      </c>
      <c r="N448" s="13" t="s">
        <v>2536</v>
      </c>
      <c r="O448" s="13" t="s">
        <v>275</v>
      </c>
      <c r="P448" s="13" t="s">
        <v>275</v>
      </c>
      <c r="Q448" s="22">
        <v>0.2</v>
      </c>
      <c r="R448" s="23">
        <v>80716</v>
      </c>
      <c r="S448" s="21" t="s">
        <v>24</v>
      </c>
      <c r="T448" s="21" t="s">
        <v>471</v>
      </c>
      <c r="U448" s="21"/>
      <c r="V448" s="24"/>
      <c r="W448" s="24"/>
      <c r="X448" s="24" t="s">
        <v>472</v>
      </c>
      <c r="Y448" s="17" t="s">
        <v>469</v>
      </c>
      <c r="Z448" s="18">
        <f>ROUND(R448*'Data-CostAssumptions'!$C$3,-3)</f>
        <v>112000</v>
      </c>
      <c r="AA448" s="11">
        <f t="shared" si="20"/>
        <v>0</v>
      </c>
      <c r="AB448" s="11">
        <v>2041</v>
      </c>
      <c r="AC448" s="11">
        <v>2041</v>
      </c>
      <c r="AD448" s="11">
        <v>2041</v>
      </c>
      <c r="AE448" s="19">
        <f>ROUND((Z448*'Data-CostAssumptions'!$G$5)*(1+'Data-CostAssumptions'!$G$3)^(AB448-'Data-CostAssumptions'!$G$4),-3)</f>
        <v>63000</v>
      </c>
      <c r="AF448" s="19">
        <f>ROUND((Z448)*(1+'Data-CostAssumptions'!$G$3)^(AD448-'Data-CostAssumptions'!$G$4),-3)</f>
        <v>287000</v>
      </c>
      <c r="AG448" s="170" t="str">
        <f t="shared" si="21"/>
        <v>No</v>
      </c>
    </row>
    <row r="449" spans="2:33" ht="15" customHeight="1" x14ac:dyDescent="0.2">
      <c r="B449" s="11" t="s">
        <v>1211</v>
      </c>
      <c r="C449" s="13">
        <v>524</v>
      </c>
      <c r="D449" s="13" t="s">
        <v>420</v>
      </c>
      <c r="E449" s="20">
        <v>225</v>
      </c>
      <c r="F449" s="20">
        <v>170</v>
      </c>
      <c r="G449" s="20">
        <v>728</v>
      </c>
      <c r="H449" s="13" t="s">
        <v>1917</v>
      </c>
      <c r="I449" s="13" t="str">
        <f t="shared" si="24"/>
        <v>NW 38th St (NW 16th St to NW 19th St)</v>
      </c>
      <c r="J449" s="13" t="s">
        <v>27</v>
      </c>
      <c r="K449" s="13" t="str">
        <f>VLOOKUP(J449,'Data-ProjectTypes'!A$3:B$13,2,FALSE)</f>
        <v>Program</v>
      </c>
      <c r="L449" s="21" t="s">
        <v>348</v>
      </c>
      <c r="M449" s="13" t="s">
        <v>1910</v>
      </c>
      <c r="N449" s="13" t="s">
        <v>1911</v>
      </c>
      <c r="O449" s="13" t="s">
        <v>273</v>
      </c>
      <c r="P449" s="13" t="s">
        <v>273</v>
      </c>
      <c r="Q449" s="22">
        <v>0.3</v>
      </c>
      <c r="R449" s="23">
        <v>111419</v>
      </c>
      <c r="S449" s="21"/>
      <c r="T449" s="21"/>
      <c r="U449" s="21"/>
      <c r="V449" s="24"/>
      <c r="W449" s="24"/>
      <c r="X449" s="24"/>
      <c r="Y449" s="17"/>
      <c r="Z449" s="18">
        <f>ROUND(R449*'Data-CostAssumptions'!$C$8,-3)</f>
        <v>111000</v>
      </c>
      <c r="AA449" s="11">
        <f t="shared" si="20"/>
        <v>0</v>
      </c>
      <c r="AB449" s="11">
        <v>2041</v>
      </c>
      <c r="AC449" s="11">
        <v>2041</v>
      </c>
      <c r="AD449" s="11">
        <v>2041</v>
      </c>
      <c r="AE449" s="19">
        <f>ROUND((Z449*'Data-CostAssumptions'!$G$5)*(1+'Data-CostAssumptions'!$G$3)^(AB449-'Data-CostAssumptions'!$G$4),-3)</f>
        <v>63000</v>
      </c>
      <c r="AF449" s="19">
        <f>ROUND((Z449)*(1+'Data-CostAssumptions'!$G$3)^(AD449-'Data-CostAssumptions'!$G$4),-3)</f>
        <v>285000</v>
      </c>
      <c r="AG449" s="170" t="str">
        <f t="shared" si="21"/>
        <v>No</v>
      </c>
    </row>
    <row r="450" spans="2:33" ht="15" customHeight="1" x14ac:dyDescent="0.2">
      <c r="B450" s="11" t="s">
        <v>1211</v>
      </c>
      <c r="C450" s="13">
        <v>563</v>
      </c>
      <c r="D450" s="13" t="s">
        <v>420</v>
      </c>
      <c r="E450" s="20">
        <v>219</v>
      </c>
      <c r="F450" s="20">
        <v>172</v>
      </c>
      <c r="G450" s="20">
        <v>764</v>
      </c>
      <c r="H450" s="13" t="s">
        <v>1933</v>
      </c>
      <c r="I450" s="13" t="str">
        <f t="shared" si="24"/>
        <v>NW 82nd St (Just west of University Dr to NW 80th Av)</v>
      </c>
      <c r="J450" s="13" t="s">
        <v>27</v>
      </c>
      <c r="K450" s="13" t="str">
        <f>VLOOKUP(J450,'Data-ProjectTypes'!A$3:B$13,2,FALSE)</f>
        <v>Program</v>
      </c>
      <c r="L450" s="21" t="s">
        <v>348</v>
      </c>
      <c r="M450" s="13" t="s">
        <v>2668</v>
      </c>
      <c r="N450" s="13" t="s">
        <v>2248</v>
      </c>
      <c r="O450" s="13" t="s">
        <v>280</v>
      </c>
      <c r="P450" s="13" t="s">
        <v>280</v>
      </c>
      <c r="Q450" s="22">
        <v>0.3</v>
      </c>
      <c r="R450" s="23">
        <v>110694</v>
      </c>
      <c r="V450" s="85" t="s">
        <v>441</v>
      </c>
      <c r="X450" s="11" t="s">
        <v>465</v>
      </c>
      <c r="Y450" s="12"/>
      <c r="Z450" s="18">
        <f>ROUND(R450*'Data-CostAssumptions'!$C$4,-3)</f>
        <v>111000</v>
      </c>
      <c r="AA450" s="11">
        <f t="shared" ref="AA450:AA513" si="25">IF(V450="",IF(W450="",0,1),1)</f>
        <v>1</v>
      </c>
      <c r="AB450" s="11">
        <v>2041</v>
      </c>
      <c r="AC450" s="11">
        <v>2041</v>
      </c>
      <c r="AD450" s="11">
        <v>2041</v>
      </c>
      <c r="AE450" s="19">
        <f>ROUND((Z450*'Data-CostAssumptions'!$G$5)*(1+'Data-CostAssumptions'!$G$3)^(AB450-'Data-CostAssumptions'!$G$4),-3)</f>
        <v>63000</v>
      </c>
      <c r="AF450" s="19">
        <f>ROUND((Z450)*(1+'Data-CostAssumptions'!$G$3)^(AD450-'Data-CostAssumptions'!$G$4),-3)</f>
        <v>285000</v>
      </c>
      <c r="AG450" s="170" t="str">
        <f t="shared" ref="AG450:AG513" si="26">IF(MIN(AC450:AD450)&lt;2041,"Yes","No")</f>
        <v>No</v>
      </c>
    </row>
    <row r="451" spans="2:33" ht="15" customHeight="1" x14ac:dyDescent="0.2">
      <c r="B451" s="11" t="s">
        <v>1211</v>
      </c>
      <c r="C451" s="13">
        <v>261</v>
      </c>
      <c r="D451" s="13" t="s">
        <v>420</v>
      </c>
      <c r="E451" s="20">
        <v>338</v>
      </c>
      <c r="F451" s="20">
        <v>155</v>
      </c>
      <c r="G451" s="20">
        <v>476</v>
      </c>
      <c r="H451" s="13" t="s">
        <v>2042</v>
      </c>
      <c r="I451" s="13" t="str">
        <f t="shared" si="24"/>
        <v>North 63 Av/Hollywood Bl (Hollywood Bl to Polk St)</v>
      </c>
      <c r="J451" s="13" t="s">
        <v>27</v>
      </c>
      <c r="K451" s="13" t="str">
        <f>VLOOKUP(J451,'Data-ProjectTypes'!A$3:B$13,2,FALSE)</f>
        <v>Program</v>
      </c>
      <c r="L451" s="21" t="s">
        <v>348</v>
      </c>
      <c r="M451" s="13" t="s">
        <v>1820</v>
      </c>
      <c r="N451" s="13" t="s">
        <v>1936</v>
      </c>
      <c r="O451" s="13" t="s">
        <v>270</v>
      </c>
      <c r="P451" s="13" t="s">
        <v>270</v>
      </c>
      <c r="Q451" s="22">
        <v>0.2</v>
      </c>
      <c r="R451" s="23">
        <v>79136</v>
      </c>
      <c r="S451" s="21"/>
      <c r="T451" s="21"/>
      <c r="U451" s="21"/>
      <c r="V451" s="24"/>
      <c r="W451" s="24"/>
      <c r="X451" s="24"/>
      <c r="Y451" s="17"/>
      <c r="Z451" s="18">
        <f>ROUND(R451*'Data-CostAssumptions'!$C$3,-3)</f>
        <v>110000</v>
      </c>
      <c r="AA451" s="11">
        <f t="shared" si="25"/>
        <v>0</v>
      </c>
      <c r="AB451" s="11">
        <v>2041</v>
      </c>
      <c r="AC451" s="11">
        <v>2041</v>
      </c>
      <c r="AD451" s="11">
        <v>2041</v>
      </c>
      <c r="AE451" s="19">
        <f>ROUND((Z451*'Data-CostAssumptions'!$G$5)*(1+'Data-CostAssumptions'!$G$3)^(AB451-'Data-CostAssumptions'!$G$4),-3)</f>
        <v>62000</v>
      </c>
      <c r="AF451" s="19">
        <f>ROUND((Z451)*(1+'Data-CostAssumptions'!$G$3)^(AD451-'Data-CostAssumptions'!$G$4),-3)</f>
        <v>282000</v>
      </c>
      <c r="AG451" s="170" t="str">
        <f t="shared" si="26"/>
        <v>No</v>
      </c>
    </row>
    <row r="452" spans="2:33" ht="15" customHeight="1" x14ac:dyDescent="0.2">
      <c r="B452" s="11" t="s">
        <v>1211</v>
      </c>
      <c r="C452" s="13">
        <v>483</v>
      </c>
      <c r="D452" s="13" t="s">
        <v>420</v>
      </c>
      <c r="E452" s="20">
        <v>428</v>
      </c>
      <c r="F452" s="20">
        <v>168</v>
      </c>
      <c r="G452" s="20">
        <v>689</v>
      </c>
      <c r="H452" s="13" t="s">
        <v>1763</v>
      </c>
      <c r="I452" s="13" t="str">
        <f t="shared" si="24"/>
        <v>Peters Rd (SW 82nd Av to Pine Island Rd)</v>
      </c>
      <c r="J452" s="13" t="s">
        <v>27</v>
      </c>
      <c r="K452" s="13" t="str">
        <f>VLOOKUP(J452,'Data-ProjectTypes'!A$3:B$13,2,FALSE)</f>
        <v>Program</v>
      </c>
      <c r="L452" s="21" t="s">
        <v>348</v>
      </c>
      <c r="M452" s="13" t="s">
        <v>2136</v>
      </c>
      <c r="N452" s="13" t="s">
        <v>266</v>
      </c>
      <c r="O452" s="13" t="s">
        <v>273</v>
      </c>
      <c r="P452" s="13" t="s">
        <v>273</v>
      </c>
      <c r="Q452" s="22">
        <v>0.3</v>
      </c>
      <c r="R452" s="23">
        <v>109238</v>
      </c>
      <c r="S452" s="21" t="s">
        <v>350</v>
      </c>
      <c r="T452" s="21"/>
      <c r="U452" s="21"/>
      <c r="V452" s="24"/>
      <c r="W452" s="24" t="s">
        <v>580</v>
      </c>
      <c r="X452" s="24"/>
      <c r="Y452" s="17" t="s">
        <v>538</v>
      </c>
      <c r="Z452" s="18">
        <f>ROUND(R452*'Data-CostAssumptions'!$C$8,-3)</f>
        <v>109000</v>
      </c>
      <c r="AA452" s="11">
        <f t="shared" si="25"/>
        <v>1</v>
      </c>
      <c r="AB452" s="11">
        <v>2041</v>
      </c>
      <c r="AC452" s="11">
        <v>2041</v>
      </c>
      <c r="AD452" s="11">
        <v>2041</v>
      </c>
      <c r="AE452" s="19">
        <f>ROUND((Z452*'Data-CostAssumptions'!$G$5)*(1+'Data-CostAssumptions'!$G$3)^(AB452-'Data-CostAssumptions'!$G$4),-3)</f>
        <v>61000</v>
      </c>
      <c r="AF452" s="19">
        <f>ROUND((Z452)*(1+'Data-CostAssumptions'!$G$3)^(AD452-'Data-CostAssumptions'!$G$4),-3)</f>
        <v>279000</v>
      </c>
      <c r="AG452" s="170" t="str">
        <f t="shared" si="26"/>
        <v>No</v>
      </c>
    </row>
    <row r="453" spans="2:33" ht="15" customHeight="1" x14ac:dyDescent="0.2">
      <c r="B453" s="11" t="s">
        <v>1211</v>
      </c>
      <c r="C453" s="11">
        <v>12016</v>
      </c>
      <c r="D453" s="84" t="s">
        <v>292</v>
      </c>
      <c r="E453" s="14"/>
      <c r="F453" s="14"/>
      <c r="G453" s="20">
        <v>1099</v>
      </c>
      <c r="H453" s="13" t="s">
        <v>1913</v>
      </c>
      <c r="I453" s="13" t="str">
        <f t="shared" si="24"/>
        <v>NW 33 St (Coral Hills Dr to NW 101 Av)</v>
      </c>
      <c r="J453" s="11" t="s">
        <v>27</v>
      </c>
      <c r="K453" s="13" t="str">
        <f>VLOOKUP(J453,'Data-ProjectTypes'!A$3:B$13,2,FALSE)</f>
        <v>Program</v>
      </c>
      <c r="L453" s="11" t="s">
        <v>428</v>
      </c>
      <c r="M453" s="11" t="s">
        <v>1785</v>
      </c>
      <c r="N453" s="11" t="s">
        <v>2241</v>
      </c>
      <c r="Q453" s="15">
        <v>0.28000000000000003</v>
      </c>
      <c r="R453" s="16">
        <v>108988.27737606839</v>
      </c>
      <c r="Y453" s="12"/>
      <c r="Z453" s="71">
        <f>ROUND(R453*'Data-CostAssumptions'!$C$8,-3)</f>
        <v>109000</v>
      </c>
      <c r="AA453" s="11">
        <f t="shared" si="25"/>
        <v>0</v>
      </c>
      <c r="AB453" s="11">
        <v>2041</v>
      </c>
      <c r="AC453" s="11">
        <v>2041</v>
      </c>
      <c r="AD453" s="11">
        <v>2041</v>
      </c>
      <c r="AE453" s="19">
        <f>ROUND((Z453*'Data-CostAssumptions'!$G$5)*(1+'Data-CostAssumptions'!$G$3)^(AB453-'Data-CostAssumptions'!$G$4),-3)</f>
        <v>61000</v>
      </c>
      <c r="AF453" s="19">
        <f>ROUND((Z453)*(1+'Data-CostAssumptions'!$G$3)^(AD453-'Data-CostAssumptions'!$G$4),-3)</f>
        <v>279000</v>
      </c>
      <c r="AG453" s="170" t="str">
        <f t="shared" si="26"/>
        <v>No</v>
      </c>
    </row>
    <row r="454" spans="2:33" ht="15" customHeight="1" x14ac:dyDescent="0.2">
      <c r="B454" s="11" t="s">
        <v>1211</v>
      </c>
      <c r="C454" s="11">
        <v>12017</v>
      </c>
      <c r="D454" s="84" t="s">
        <v>292</v>
      </c>
      <c r="E454" s="14"/>
      <c r="F454" s="14"/>
      <c r="G454" s="20">
        <v>1100</v>
      </c>
      <c r="H454" s="13" t="s">
        <v>1915</v>
      </c>
      <c r="I454" s="13" t="str">
        <f t="shared" si="24"/>
        <v>NW 35 St (Coral Hills Dr to NW 101 Av)</v>
      </c>
      <c r="J454" s="11" t="s">
        <v>27</v>
      </c>
      <c r="K454" s="13" t="str">
        <f>VLOOKUP(J454,'Data-ProjectTypes'!A$3:B$13,2,FALSE)</f>
        <v>Program</v>
      </c>
      <c r="L454" s="11" t="s">
        <v>428</v>
      </c>
      <c r="M454" s="11" t="s">
        <v>1785</v>
      </c>
      <c r="N454" s="11" t="s">
        <v>2241</v>
      </c>
      <c r="Q454" s="15">
        <v>0.28000000000000003</v>
      </c>
      <c r="R454" s="16">
        <v>108988.27737606839</v>
      </c>
      <c r="Y454" s="12"/>
      <c r="Z454" s="71">
        <f>ROUND(R454*'Data-CostAssumptions'!$C$8,-3)</f>
        <v>109000</v>
      </c>
      <c r="AA454" s="11">
        <f t="shared" si="25"/>
        <v>0</v>
      </c>
      <c r="AB454" s="11">
        <v>2041</v>
      </c>
      <c r="AC454" s="11">
        <v>2041</v>
      </c>
      <c r="AD454" s="11">
        <v>2041</v>
      </c>
      <c r="AE454" s="19">
        <f>ROUND((Z454*'Data-CostAssumptions'!$G$5)*(1+'Data-CostAssumptions'!$G$3)^(AB454-'Data-CostAssumptions'!$G$4),-3)</f>
        <v>61000</v>
      </c>
      <c r="AF454" s="19">
        <f>ROUND((Z454)*(1+'Data-CostAssumptions'!$G$3)^(AD454-'Data-CostAssumptions'!$G$4),-3)</f>
        <v>279000</v>
      </c>
      <c r="AG454" s="170" t="str">
        <f t="shared" si="26"/>
        <v>No</v>
      </c>
    </row>
    <row r="455" spans="2:33" ht="15" customHeight="1" x14ac:dyDescent="0.2">
      <c r="B455" s="11" t="s">
        <v>1211</v>
      </c>
      <c r="C455" s="11">
        <v>12018</v>
      </c>
      <c r="D455" s="84" t="s">
        <v>292</v>
      </c>
      <c r="E455" s="14"/>
      <c r="F455" s="14"/>
      <c r="G455" s="20">
        <v>1101</v>
      </c>
      <c r="H455" s="13" t="s">
        <v>1920</v>
      </c>
      <c r="I455" s="13" t="str">
        <f t="shared" si="24"/>
        <v>NW 40 St (NW 76 Av to Woodside Dr )</v>
      </c>
      <c r="J455" s="11" t="s">
        <v>27</v>
      </c>
      <c r="K455" s="13" t="str">
        <f>VLOOKUP(J455,'Data-ProjectTypes'!A$3:B$13,2,FALSE)</f>
        <v>Program</v>
      </c>
      <c r="L455" s="11" t="s">
        <v>429</v>
      </c>
      <c r="M455" s="11" t="s">
        <v>2367</v>
      </c>
      <c r="N455" s="11" t="s">
        <v>2664</v>
      </c>
      <c r="Q455" s="15">
        <v>0.28000000000000003</v>
      </c>
      <c r="R455" s="16">
        <v>108988.27737606839</v>
      </c>
      <c r="Y455" s="12"/>
      <c r="Z455" s="71">
        <f>ROUND(R455*'Data-CostAssumptions'!$C$8,-3)</f>
        <v>109000</v>
      </c>
      <c r="AA455" s="11">
        <f t="shared" si="25"/>
        <v>0</v>
      </c>
      <c r="AB455" s="11">
        <v>2041</v>
      </c>
      <c r="AC455" s="11">
        <v>2041</v>
      </c>
      <c r="AD455" s="11">
        <v>2041</v>
      </c>
      <c r="AE455" s="19">
        <f>ROUND((Z455*'Data-CostAssumptions'!$G$5)*(1+'Data-CostAssumptions'!$G$3)^(AB455-'Data-CostAssumptions'!$G$4),-3)</f>
        <v>61000</v>
      </c>
      <c r="AF455" s="19">
        <f>ROUND((Z455)*(1+'Data-CostAssumptions'!$G$3)^(AD455-'Data-CostAssumptions'!$G$4),-3)</f>
        <v>279000</v>
      </c>
      <c r="AG455" s="170" t="str">
        <f t="shared" si="26"/>
        <v>No</v>
      </c>
    </row>
    <row r="456" spans="2:33" ht="15" customHeight="1" x14ac:dyDescent="0.2">
      <c r="B456" s="11" t="s">
        <v>1211</v>
      </c>
      <c r="C456" s="13">
        <v>277</v>
      </c>
      <c r="D456" s="13" t="s">
        <v>420</v>
      </c>
      <c r="E456" s="20">
        <v>438</v>
      </c>
      <c r="F456" s="20">
        <v>156</v>
      </c>
      <c r="G456" s="20">
        <v>491</v>
      </c>
      <c r="H456" s="13" t="s">
        <v>1751</v>
      </c>
      <c r="I456" s="13" t="str">
        <f t="shared" si="24"/>
        <v>Hammondville Rd (NW 2nd Av to NW 5th Av)</v>
      </c>
      <c r="J456" s="13" t="s">
        <v>27</v>
      </c>
      <c r="K456" s="13" t="str">
        <f>VLOOKUP(J456,'Data-ProjectTypes'!A$3:B$13,2,FALSE)</f>
        <v>Program</v>
      </c>
      <c r="L456" s="21" t="s">
        <v>348</v>
      </c>
      <c r="M456" s="13" t="s">
        <v>2061</v>
      </c>
      <c r="N456" s="13" t="s">
        <v>2073</v>
      </c>
      <c r="O456" s="13" t="s">
        <v>275</v>
      </c>
      <c r="P456" s="13" t="s">
        <v>275</v>
      </c>
      <c r="Q456" s="22">
        <v>0.2</v>
      </c>
      <c r="R456" s="23">
        <v>78298</v>
      </c>
      <c r="S456" s="21"/>
      <c r="T456" s="21"/>
      <c r="U456" s="21"/>
      <c r="V456" s="24"/>
      <c r="W456" s="24"/>
      <c r="X456" s="24"/>
      <c r="Y456" s="17"/>
      <c r="Z456" s="18">
        <f>ROUND(R456*'Data-CostAssumptions'!$C$3,-3)</f>
        <v>108000</v>
      </c>
      <c r="AA456" s="11">
        <f t="shared" si="25"/>
        <v>0</v>
      </c>
      <c r="AB456" s="11">
        <v>2041</v>
      </c>
      <c r="AC456" s="11">
        <v>2041</v>
      </c>
      <c r="AD456" s="11">
        <v>2041</v>
      </c>
      <c r="AE456" s="19">
        <f>ROUND((Z456*'Data-CostAssumptions'!$G$5)*(1+'Data-CostAssumptions'!$G$3)^(AB456-'Data-CostAssumptions'!$G$4),-3)</f>
        <v>61000</v>
      </c>
      <c r="AF456" s="19">
        <f>ROUND((Z456)*(1+'Data-CostAssumptions'!$G$3)^(AD456-'Data-CostAssumptions'!$G$4),-3)</f>
        <v>277000</v>
      </c>
      <c r="AG456" s="170" t="str">
        <f t="shared" si="26"/>
        <v>No</v>
      </c>
    </row>
    <row r="457" spans="2:33" ht="15" customHeight="1" x14ac:dyDescent="0.2">
      <c r="B457" s="11" t="s">
        <v>1211</v>
      </c>
      <c r="C457" s="13">
        <v>496</v>
      </c>
      <c r="D457" s="13" t="s">
        <v>420</v>
      </c>
      <c r="E457" s="20">
        <v>72</v>
      </c>
      <c r="F457" s="20">
        <v>169</v>
      </c>
      <c r="G457" s="20">
        <v>700</v>
      </c>
      <c r="H457" s="13" t="s">
        <v>256</v>
      </c>
      <c r="I457" s="13" t="str">
        <f t="shared" si="24"/>
        <v>SW 26th Terrace (SW 32nd St to State Rd 85)</v>
      </c>
      <c r="J457" s="13" t="s">
        <v>27</v>
      </c>
      <c r="K457" s="13" t="str">
        <f>VLOOKUP(J457,'Data-ProjectTypes'!A$3:B$13,2,FALSE)</f>
        <v>Program</v>
      </c>
      <c r="L457" s="21" t="s">
        <v>348</v>
      </c>
      <c r="M457" s="13" t="s">
        <v>2575</v>
      </c>
      <c r="N457" s="13" t="s">
        <v>2459</v>
      </c>
      <c r="O457" s="13" t="s">
        <v>286</v>
      </c>
      <c r="P457" s="13" t="s">
        <v>286</v>
      </c>
      <c r="Q457" s="22">
        <v>0.3</v>
      </c>
      <c r="R457" s="23">
        <v>107546</v>
      </c>
      <c r="S457" s="21"/>
      <c r="T457" s="21"/>
      <c r="U457" s="21"/>
      <c r="V457" s="24"/>
      <c r="W457" s="24" t="s">
        <v>678</v>
      </c>
      <c r="X457" s="24"/>
      <c r="Y457" s="17" t="s">
        <v>670</v>
      </c>
      <c r="Z457" s="18">
        <f>ROUND(R457*'Data-CostAssumptions'!$C$8,-3)</f>
        <v>108000</v>
      </c>
      <c r="AA457" s="11">
        <f t="shared" si="25"/>
        <v>1</v>
      </c>
      <c r="AB457" s="11">
        <v>2041</v>
      </c>
      <c r="AC457" s="11">
        <v>2041</v>
      </c>
      <c r="AD457" s="11">
        <v>2041</v>
      </c>
      <c r="AE457" s="19">
        <f>ROUND((Z457*'Data-CostAssumptions'!$G$5)*(1+'Data-CostAssumptions'!$G$3)^(AB457-'Data-CostAssumptions'!$G$4),-3)</f>
        <v>61000</v>
      </c>
      <c r="AF457" s="19">
        <f>ROUND((Z457)*(1+'Data-CostAssumptions'!$G$3)^(AD457-'Data-CostAssumptions'!$G$4),-3)</f>
        <v>277000</v>
      </c>
      <c r="AG457" s="170" t="str">
        <f t="shared" si="26"/>
        <v>No</v>
      </c>
    </row>
    <row r="458" spans="2:33" ht="15" customHeight="1" x14ac:dyDescent="0.2">
      <c r="B458" s="11" t="s">
        <v>1211</v>
      </c>
      <c r="C458" s="13">
        <v>217</v>
      </c>
      <c r="D458" s="13" t="s">
        <v>420</v>
      </c>
      <c r="E458" s="20">
        <v>385</v>
      </c>
      <c r="F458" s="20">
        <v>152</v>
      </c>
      <c r="G458" s="20">
        <v>431</v>
      </c>
      <c r="H458" s="13" t="s">
        <v>1902</v>
      </c>
      <c r="I458" s="13" t="str">
        <f t="shared" si="24"/>
        <v>NE 6th St (NE 3rd Av to Just west of Flagler Av)</v>
      </c>
      <c r="J458" s="13" t="s">
        <v>27</v>
      </c>
      <c r="K458" s="13" t="str">
        <f>VLOOKUP(J458,'Data-ProjectTypes'!A$3:B$13,2,FALSE)</f>
        <v>Program</v>
      </c>
      <c r="L458" s="21" t="s">
        <v>348</v>
      </c>
      <c r="M458" s="13" t="s">
        <v>2033</v>
      </c>
      <c r="N458" s="13" t="s">
        <v>2237</v>
      </c>
      <c r="O458" s="13" t="s">
        <v>275</v>
      </c>
      <c r="P458" s="13" t="s">
        <v>275</v>
      </c>
      <c r="Q458" s="22">
        <v>0.2</v>
      </c>
      <c r="R458" s="23">
        <v>77312</v>
      </c>
      <c r="S458" s="21" t="s">
        <v>24</v>
      </c>
      <c r="T458" s="21"/>
      <c r="U458" s="21"/>
      <c r="V458" s="24"/>
      <c r="W458" s="24"/>
      <c r="X458" s="24"/>
      <c r="Y458" s="17" t="s">
        <v>460</v>
      </c>
      <c r="Z458" s="18">
        <f>ROUND(R458*'Data-CostAssumptions'!$C$3,-3)</f>
        <v>107000</v>
      </c>
      <c r="AA458" s="11">
        <f t="shared" si="25"/>
        <v>0</v>
      </c>
      <c r="AB458" s="11">
        <v>2041</v>
      </c>
      <c r="AC458" s="11">
        <v>2041</v>
      </c>
      <c r="AD458" s="11">
        <v>2041</v>
      </c>
      <c r="AE458" s="19">
        <f>ROUND((Z458*'Data-CostAssumptions'!$G$5)*(1+'Data-CostAssumptions'!$G$3)^(AB458-'Data-CostAssumptions'!$G$4),-3)</f>
        <v>60000</v>
      </c>
      <c r="AF458" s="19">
        <f>ROUND((Z458)*(1+'Data-CostAssumptions'!$G$3)^(AD458-'Data-CostAssumptions'!$G$4),-3)</f>
        <v>274000</v>
      </c>
      <c r="AG458" s="170" t="str">
        <f t="shared" si="26"/>
        <v>No</v>
      </c>
    </row>
    <row r="459" spans="2:33" ht="15" customHeight="1" x14ac:dyDescent="0.2">
      <c r="B459" s="11" t="s">
        <v>1211</v>
      </c>
      <c r="C459" s="13">
        <v>604</v>
      </c>
      <c r="D459" s="13" t="s">
        <v>420</v>
      </c>
      <c r="E459" s="20">
        <v>330</v>
      </c>
      <c r="F459" s="20">
        <v>175</v>
      </c>
      <c r="G459" s="20">
        <v>806</v>
      </c>
      <c r="H459" s="13" t="s">
        <v>1755</v>
      </c>
      <c r="I459" s="13" t="str">
        <f t="shared" si="24"/>
        <v>Nob Hill Rd (NW 53rd St to Commercial Bl)</v>
      </c>
      <c r="J459" s="13" t="s">
        <v>27</v>
      </c>
      <c r="K459" s="13" t="str">
        <f>VLOOKUP(J459,'Data-ProjectTypes'!A$3:B$13,2,FALSE)</f>
        <v>Program</v>
      </c>
      <c r="L459" s="21" t="s">
        <v>348</v>
      </c>
      <c r="M459" s="13" t="s">
        <v>2516</v>
      </c>
      <c r="N459" s="13" t="s">
        <v>1813</v>
      </c>
      <c r="O459" s="13" t="s">
        <v>273</v>
      </c>
      <c r="P459" s="13" t="s">
        <v>273</v>
      </c>
      <c r="Q459" s="22">
        <v>0.3</v>
      </c>
      <c r="R459" s="23">
        <v>106185</v>
      </c>
      <c r="V459" s="85" t="s">
        <v>509</v>
      </c>
      <c r="X459" s="11" t="s">
        <v>508</v>
      </c>
      <c r="Y459" s="12"/>
      <c r="Z459" s="18">
        <f>ROUND(R459*'Data-CostAssumptions'!$C$7,-3)</f>
        <v>106000</v>
      </c>
      <c r="AA459" s="11">
        <f t="shared" si="25"/>
        <v>1</v>
      </c>
      <c r="AB459" s="11">
        <v>2041</v>
      </c>
      <c r="AC459" s="11">
        <v>2041</v>
      </c>
      <c r="AD459" s="11">
        <v>2041</v>
      </c>
      <c r="AE459" s="19">
        <f>ROUND((Z459*'Data-CostAssumptions'!$G$5)*(1+'Data-CostAssumptions'!$G$3)^(AB459-'Data-CostAssumptions'!$G$4),-3)</f>
        <v>60000</v>
      </c>
      <c r="AF459" s="19">
        <f>ROUND((Z459)*(1+'Data-CostAssumptions'!$G$3)^(AD459-'Data-CostAssumptions'!$G$4),-3)</f>
        <v>272000</v>
      </c>
      <c r="AG459" s="170" t="str">
        <f t="shared" si="26"/>
        <v>No</v>
      </c>
    </row>
    <row r="460" spans="2:33" ht="15" customHeight="1" x14ac:dyDescent="0.2">
      <c r="B460" s="11" t="s">
        <v>1211</v>
      </c>
      <c r="C460" s="11">
        <v>12019</v>
      </c>
      <c r="D460" s="84" t="s">
        <v>292</v>
      </c>
      <c r="E460" s="14"/>
      <c r="F460" s="14"/>
      <c r="G460" s="20">
        <v>1102</v>
      </c>
      <c r="H460" s="13" t="s">
        <v>1922</v>
      </c>
      <c r="I460" s="13" t="str">
        <f t="shared" si="24"/>
        <v>NW 41 St (Coral Ridge Dr to NW 120 Av)</v>
      </c>
      <c r="J460" s="11" t="s">
        <v>27</v>
      </c>
      <c r="K460" s="13" t="str">
        <f>VLOOKUP(J460,'Data-ProjectTypes'!A$3:B$13,2,FALSE)</f>
        <v>Program</v>
      </c>
      <c r="L460" s="11" t="s">
        <v>428</v>
      </c>
      <c r="M460" s="11" t="s">
        <v>1786</v>
      </c>
      <c r="N460" s="11" t="s">
        <v>2049</v>
      </c>
      <c r="Q460" s="15">
        <v>0.27</v>
      </c>
      <c r="R460" s="16">
        <v>105095.83889835165</v>
      </c>
      <c r="Y460" s="12"/>
      <c r="Z460" s="71">
        <f>ROUND(R460*'Data-CostAssumptions'!$C$8,-3)</f>
        <v>105000</v>
      </c>
      <c r="AA460" s="11">
        <f t="shared" si="25"/>
        <v>0</v>
      </c>
      <c r="AB460" s="11">
        <v>2041</v>
      </c>
      <c r="AC460" s="11">
        <v>2041</v>
      </c>
      <c r="AD460" s="11">
        <v>2041</v>
      </c>
      <c r="AE460" s="19">
        <f>ROUND((Z460*'Data-CostAssumptions'!$G$5)*(1+'Data-CostAssumptions'!$G$3)^(AB460-'Data-CostAssumptions'!$G$4),-3)</f>
        <v>59000</v>
      </c>
      <c r="AF460" s="19">
        <f>ROUND((Z460)*(1+'Data-CostAssumptions'!$G$3)^(AD460-'Data-CostAssumptions'!$G$4),-3)</f>
        <v>269000</v>
      </c>
      <c r="AG460" s="170" t="str">
        <f t="shared" si="26"/>
        <v>No</v>
      </c>
    </row>
    <row r="461" spans="2:33" ht="15" customHeight="1" x14ac:dyDescent="0.2">
      <c r="B461" s="11" t="s">
        <v>1211</v>
      </c>
      <c r="C461" s="13">
        <v>395</v>
      </c>
      <c r="D461" s="13" t="s">
        <v>420</v>
      </c>
      <c r="E461" s="20">
        <v>389</v>
      </c>
      <c r="F461" s="20">
        <v>163</v>
      </c>
      <c r="G461" s="20">
        <v>606</v>
      </c>
      <c r="H461" s="13" t="s">
        <v>1895</v>
      </c>
      <c r="I461" s="13" t="str">
        <f t="shared" si="24"/>
        <v>NE 48th St (NE 14th Av to Dixie Hwy)</v>
      </c>
      <c r="J461" s="13" t="s">
        <v>27</v>
      </c>
      <c r="K461" s="13" t="str">
        <f>VLOOKUP(J461,'Data-ProjectTypes'!A$3:B$13,2,FALSE)</f>
        <v>Program</v>
      </c>
      <c r="L461" s="21" t="s">
        <v>348</v>
      </c>
      <c r="M461" s="13" t="s">
        <v>2235</v>
      </c>
      <c r="N461" s="13" t="s">
        <v>728</v>
      </c>
      <c r="O461" s="13" t="s">
        <v>273</v>
      </c>
      <c r="P461" s="13" t="s">
        <v>273</v>
      </c>
      <c r="Q461" s="22">
        <v>0.3</v>
      </c>
      <c r="R461" s="23">
        <v>101601</v>
      </c>
      <c r="Y461" s="17"/>
      <c r="Z461" s="18">
        <f>ROUND(R461*'Data-CostAssumptions'!$C$8,-3)</f>
        <v>102000</v>
      </c>
      <c r="AA461" s="11">
        <f t="shared" si="25"/>
        <v>0</v>
      </c>
      <c r="AB461" s="11">
        <v>2041</v>
      </c>
      <c r="AC461" s="11">
        <v>2041</v>
      </c>
      <c r="AD461" s="11">
        <v>2041</v>
      </c>
      <c r="AE461" s="19">
        <f>ROUND((Z461*'Data-CostAssumptions'!$G$5)*(1+'Data-CostAssumptions'!$G$3)^(AB461-'Data-CostAssumptions'!$G$4),-3)</f>
        <v>58000</v>
      </c>
      <c r="AF461" s="19">
        <f>ROUND((Z461)*(1+'Data-CostAssumptions'!$G$3)^(AD461-'Data-CostAssumptions'!$G$4),-3)</f>
        <v>262000</v>
      </c>
      <c r="AG461" s="170" t="str">
        <f t="shared" si="26"/>
        <v>No</v>
      </c>
    </row>
    <row r="462" spans="2:33" ht="15" customHeight="1" x14ac:dyDescent="0.2">
      <c r="B462" s="11" t="s">
        <v>1211</v>
      </c>
      <c r="C462" s="13">
        <v>381</v>
      </c>
      <c r="D462" s="13" t="s">
        <v>420</v>
      </c>
      <c r="E462" s="20">
        <v>244</v>
      </c>
      <c r="F462" s="20">
        <v>162</v>
      </c>
      <c r="G462" s="20">
        <v>592</v>
      </c>
      <c r="H462" s="13" t="s">
        <v>1910</v>
      </c>
      <c r="I462" s="13" t="str">
        <f t="shared" si="24"/>
        <v>NW 16th St (Sunrise Bl to NW 70th Av)</v>
      </c>
      <c r="J462" s="13" t="s">
        <v>27</v>
      </c>
      <c r="K462" s="13" t="str">
        <f>VLOOKUP(J462,'Data-ProjectTypes'!A$3:B$13,2,FALSE)</f>
        <v>Program</v>
      </c>
      <c r="L462" s="21" t="s">
        <v>348</v>
      </c>
      <c r="M462" s="13" t="s">
        <v>1830</v>
      </c>
      <c r="N462" s="13" t="s">
        <v>2078</v>
      </c>
      <c r="O462" s="13" t="s">
        <v>284</v>
      </c>
      <c r="P462" s="13" t="s">
        <v>284</v>
      </c>
      <c r="Q462" s="22">
        <v>0.2</v>
      </c>
      <c r="R462" s="23">
        <v>73086</v>
      </c>
      <c r="S462" s="21"/>
      <c r="T462" s="21"/>
      <c r="U462" s="21"/>
      <c r="V462" s="24"/>
      <c r="W462" s="24"/>
      <c r="X462" s="24"/>
      <c r="Y462" s="17"/>
      <c r="Z462" s="18">
        <f>ROUND(R462*'Data-CostAssumptions'!$C$3,-3)</f>
        <v>101000</v>
      </c>
      <c r="AA462" s="11">
        <f t="shared" si="25"/>
        <v>0</v>
      </c>
      <c r="AB462" s="11">
        <v>2041</v>
      </c>
      <c r="AC462" s="11">
        <v>2041</v>
      </c>
      <c r="AD462" s="11">
        <v>2041</v>
      </c>
      <c r="AE462" s="19">
        <f>ROUND((Z462*'Data-CostAssumptions'!$G$5)*(1+'Data-CostAssumptions'!$G$3)^(AB462-'Data-CostAssumptions'!$G$4),-3)</f>
        <v>57000</v>
      </c>
      <c r="AF462" s="19">
        <f>ROUND((Z462)*(1+'Data-CostAssumptions'!$G$3)^(AD462-'Data-CostAssumptions'!$G$4),-3)</f>
        <v>259000</v>
      </c>
      <c r="AG462" s="170" t="str">
        <f t="shared" si="26"/>
        <v>No</v>
      </c>
    </row>
    <row r="463" spans="2:33" ht="15" customHeight="1" x14ac:dyDescent="0.2">
      <c r="B463" s="11" t="s">
        <v>1211</v>
      </c>
      <c r="C463" s="13">
        <v>554</v>
      </c>
      <c r="D463" s="13" t="s">
        <v>420</v>
      </c>
      <c r="E463" s="20">
        <v>133</v>
      </c>
      <c r="F463" s="20">
        <v>172</v>
      </c>
      <c r="G463" s="20">
        <v>758</v>
      </c>
      <c r="H463" s="13" t="s">
        <v>2057</v>
      </c>
      <c r="I463" s="13" t="str">
        <f t="shared" si="24"/>
        <v>NW 21st Av (Prospect Rd to Just south of Perimeter Rd)</v>
      </c>
      <c r="J463" s="13" t="s">
        <v>27</v>
      </c>
      <c r="K463" s="13" t="str">
        <f>VLOOKUP(J463,'Data-ProjectTypes'!A$3:B$13,2,FALSE)</f>
        <v>Program</v>
      </c>
      <c r="L463" s="21" t="s">
        <v>348</v>
      </c>
      <c r="M463" s="13" t="s">
        <v>1859</v>
      </c>
      <c r="N463" s="13" t="s">
        <v>2435</v>
      </c>
      <c r="O463" s="13" t="s">
        <v>273</v>
      </c>
      <c r="P463" s="13" t="s">
        <v>273</v>
      </c>
      <c r="Q463" s="22">
        <v>0.3</v>
      </c>
      <c r="R463" s="23">
        <v>100836</v>
      </c>
      <c r="Y463" s="12"/>
      <c r="Z463" s="71">
        <f>ROUND(R463*'Data-CostAssumptions'!$C$8,-3)</f>
        <v>101000</v>
      </c>
      <c r="AA463" s="11">
        <f t="shared" si="25"/>
        <v>0</v>
      </c>
      <c r="AB463" s="11">
        <v>2041</v>
      </c>
      <c r="AC463" s="11">
        <v>2041</v>
      </c>
      <c r="AD463" s="11">
        <v>2041</v>
      </c>
      <c r="AE463" s="19">
        <f>ROUND((Z463*'Data-CostAssumptions'!$G$5)*(1+'Data-CostAssumptions'!$G$3)^(AB463-'Data-CostAssumptions'!$G$4),-3)</f>
        <v>57000</v>
      </c>
      <c r="AF463" s="19">
        <f>ROUND((Z463)*(1+'Data-CostAssumptions'!$G$3)^(AD463-'Data-CostAssumptions'!$G$4),-3)</f>
        <v>259000</v>
      </c>
      <c r="AG463" s="170" t="str">
        <f t="shared" si="26"/>
        <v>No</v>
      </c>
    </row>
    <row r="464" spans="2:33" ht="15" customHeight="1" x14ac:dyDescent="0.2">
      <c r="B464" s="11" t="s">
        <v>1211</v>
      </c>
      <c r="C464" s="11">
        <v>12275</v>
      </c>
      <c r="D464" s="84" t="s">
        <v>282</v>
      </c>
      <c r="E464" s="14"/>
      <c r="F464" s="14"/>
      <c r="G464" s="20">
        <v>1778</v>
      </c>
      <c r="H464" s="13" t="s">
        <v>2012</v>
      </c>
      <c r="I464" s="13" t="str">
        <f t="shared" si="24"/>
        <v>58th Av (Hollywood Bl to Johnson St)</v>
      </c>
      <c r="J464" s="11" t="s">
        <v>27</v>
      </c>
      <c r="K464" s="13" t="str">
        <f>VLOOKUP(J464,'Data-ProjectTypes'!A$3:B$13,2,FALSE)</f>
        <v>Program</v>
      </c>
      <c r="L464" s="142" t="s">
        <v>614</v>
      </c>
      <c r="M464" s="11" t="s">
        <v>1820</v>
      </c>
      <c r="N464" s="11" t="s">
        <v>1880</v>
      </c>
      <c r="Q464" s="79">
        <v>0.5</v>
      </c>
      <c r="R464" s="143">
        <f>ROUND('Data-CostAssumptions'!$C$23*Q464,-1)</f>
        <v>73000</v>
      </c>
      <c r="S464" s="12"/>
      <c r="T464" s="12"/>
      <c r="U464" s="12"/>
      <c r="V464" s="12"/>
      <c r="W464" s="12"/>
      <c r="X464" s="12"/>
      <c r="Y464" s="12"/>
      <c r="Z464" s="18">
        <f>ROUND(R464*'Data-CostAssumptions'!$C$3,-3)</f>
        <v>101000</v>
      </c>
      <c r="AA464" s="11">
        <f t="shared" si="25"/>
        <v>0</v>
      </c>
      <c r="AB464" s="11">
        <v>2041</v>
      </c>
      <c r="AC464" s="11">
        <v>2041</v>
      </c>
      <c r="AD464" s="11">
        <v>2041</v>
      </c>
      <c r="AE464" s="19">
        <f>ROUND((Z464*'Data-CostAssumptions'!$G$5)*(1+'Data-CostAssumptions'!$G$3)^(AB464-'Data-CostAssumptions'!$G$4),-3)</f>
        <v>57000</v>
      </c>
      <c r="AF464" s="19">
        <f>ROUND((Z464)*(1+'Data-CostAssumptions'!$G$3)^(AD464-'Data-CostAssumptions'!$G$4),-3)</f>
        <v>259000</v>
      </c>
      <c r="AG464" s="170" t="str">
        <f t="shared" si="26"/>
        <v>No</v>
      </c>
    </row>
    <row r="465" spans="1:33" ht="15" customHeight="1" x14ac:dyDescent="0.2">
      <c r="B465" s="11" t="s">
        <v>1211</v>
      </c>
      <c r="C465" s="13">
        <v>265</v>
      </c>
      <c r="D465" s="13" t="s">
        <v>420</v>
      </c>
      <c r="E465" s="20">
        <v>357</v>
      </c>
      <c r="F465" s="20">
        <v>155</v>
      </c>
      <c r="G465" s="20">
        <v>479</v>
      </c>
      <c r="H465" s="13" t="s">
        <v>170</v>
      </c>
      <c r="I465" s="13" t="str">
        <f t="shared" si="24"/>
        <v>NW 36th Terrace/NW 8th Place (NW 35th Terrace to NW 8th St)</v>
      </c>
      <c r="J465" s="13" t="s">
        <v>27</v>
      </c>
      <c r="K465" s="13" t="str">
        <f>VLOOKUP(J465,'Data-ProjectTypes'!A$3:B$13,2,FALSE)</f>
        <v>Program</v>
      </c>
      <c r="L465" s="21" t="s">
        <v>348</v>
      </c>
      <c r="M465" s="13" t="s">
        <v>169</v>
      </c>
      <c r="N465" s="13" t="s">
        <v>1934</v>
      </c>
      <c r="O465" s="13" t="s">
        <v>281</v>
      </c>
      <c r="P465" s="13" t="s">
        <v>281</v>
      </c>
      <c r="Q465" s="22">
        <v>0.2</v>
      </c>
      <c r="R465" s="23">
        <v>72572</v>
      </c>
      <c r="S465" s="21" t="s">
        <v>24</v>
      </c>
      <c r="T465" s="21" t="s">
        <v>25</v>
      </c>
      <c r="U465" s="21" t="s">
        <v>24</v>
      </c>
      <c r="V465" s="48" t="s">
        <v>811</v>
      </c>
      <c r="W465" s="24"/>
      <c r="X465" s="24" t="s">
        <v>810</v>
      </c>
      <c r="Y465" s="17" t="s">
        <v>806</v>
      </c>
      <c r="Z465" s="18">
        <f>ROUND(R465*'Data-CostAssumptions'!$C$3,-3)</f>
        <v>100000</v>
      </c>
      <c r="AA465" s="11">
        <f t="shared" si="25"/>
        <v>1</v>
      </c>
      <c r="AB465" s="11">
        <v>2041</v>
      </c>
      <c r="AC465" s="11">
        <v>2041</v>
      </c>
      <c r="AD465" s="11">
        <v>2041</v>
      </c>
      <c r="AE465" s="19">
        <f>ROUND((Z465*'Data-CostAssumptions'!$G$5)*(1+'Data-CostAssumptions'!$G$3)^(AB465-'Data-CostAssumptions'!$G$4),-3)</f>
        <v>56000</v>
      </c>
      <c r="AF465" s="19">
        <f>ROUND((Z465)*(1+'Data-CostAssumptions'!$G$3)^(AD465-'Data-CostAssumptions'!$G$4),-3)</f>
        <v>256000</v>
      </c>
      <c r="AG465" s="170" t="str">
        <f t="shared" si="26"/>
        <v>No</v>
      </c>
    </row>
    <row r="466" spans="1:33" ht="15" customHeight="1" x14ac:dyDescent="0.2">
      <c r="B466" s="11" t="s">
        <v>1211</v>
      </c>
      <c r="C466" s="13">
        <v>486</v>
      </c>
      <c r="D466" s="13" t="s">
        <v>420</v>
      </c>
      <c r="E466" s="20">
        <v>443</v>
      </c>
      <c r="F466" s="20">
        <v>168</v>
      </c>
      <c r="G466" s="20">
        <v>691</v>
      </c>
      <c r="H466" s="13" t="s">
        <v>120</v>
      </c>
      <c r="I466" s="13" t="str">
        <f t="shared" si="24"/>
        <v>Park Center Court (Broward Bl to Park Center Place)</v>
      </c>
      <c r="J466" s="13" t="s">
        <v>27</v>
      </c>
      <c r="K466" s="13" t="str">
        <f>VLOOKUP(J466,'Data-ProjectTypes'!A$3:B$13,2,FALSE)</f>
        <v>Program</v>
      </c>
      <c r="L466" s="21" t="s">
        <v>348</v>
      </c>
      <c r="M466" s="13" t="s">
        <v>1811</v>
      </c>
      <c r="N466" s="13" t="s">
        <v>119</v>
      </c>
      <c r="O466" s="13" t="s">
        <v>273</v>
      </c>
      <c r="P466" s="13" t="s">
        <v>273</v>
      </c>
      <c r="Q466" s="22">
        <v>0.3</v>
      </c>
      <c r="R466" s="23">
        <v>98219</v>
      </c>
      <c r="S466" s="21" t="s">
        <v>24</v>
      </c>
      <c r="T466" s="21" t="s">
        <v>684</v>
      </c>
      <c r="U466" s="21" t="s">
        <v>684</v>
      </c>
      <c r="V466" s="24"/>
      <c r="W466" s="24"/>
      <c r="X466" s="24"/>
      <c r="Y466" s="17" t="s">
        <v>685</v>
      </c>
      <c r="Z466" s="18">
        <f>ROUND(R466*'Data-CostAssumptions'!$C$8,-3)</f>
        <v>98000</v>
      </c>
      <c r="AA466" s="11">
        <f t="shared" si="25"/>
        <v>0</v>
      </c>
      <c r="AB466" s="11">
        <v>2041</v>
      </c>
      <c r="AC466" s="11">
        <v>2041</v>
      </c>
      <c r="AD466" s="11">
        <v>2041</v>
      </c>
      <c r="AE466" s="19">
        <f>ROUND((Z466*'Data-CostAssumptions'!$G$5)*(1+'Data-CostAssumptions'!$G$3)^(AB466-'Data-CostAssumptions'!$G$4),-3)</f>
        <v>55000</v>
      </c>
      <c r="AF466" s="19">
        <f>ROUND((Z466)*(1+'Data-CostAssumptions'!$G$3)^(AD466-'Data-CostAssumptions'!$G$4),-3)</f>
        <v>251000</v>
      </c>
      <c r="AG466" s="170" t="str">
        <f t="shared" si="26"/>
        <v>No</v>
      </c>
    </row>
    <row r="467" spans="1:33" ht="15" customHeight="1" x14ac:dyDescent="0.2">
      <c r="B467" s="11" t="s">
        <v>1211</v>
      </c>
      <c r="C467" s="13">
        <v>545</v>
      </c>
      <c r="D467" s="13" t="s">
        <v>420</v>
      </c>
      <c r="E467" s="20">
        <v>59</v>
      </c>
      <c r="F467" s="20">
        <v>171</v>
      </c>
      <c r="G467" s="20">
        <v>749</v>
      </c>
      <c r="H467" s="13" t="s">
        <v>2128</v>
      </c>
      <c r="I467" s="13" t="str">
        <f t="shared" si="24"/>
        <v>SW 56th Av (Just north of SW 41st St to SW 38th St)</v>
      </c>
      <c r="J467" s="13" t="s">
        <v>27</v>
      </c>
      <c r="K467" s="13" t="str">
        <f>VLOOKUP(J467,'Data-ProjectTypes'!A$3:B$13,2,FALSE)</f>
        <v>Program</v>
      </c>
      <c r="L467" s="21" t="s">
        <v>1114</v>
      </c>
      <c r="M467" s="13" t="s">
        <v>2584</v>
      </c>
      <c r="N467" s="13" t="s">
        <v>2583</v>
      </c>
      <c r="O467" s="13" t="s">
        <v>295</v>
      </c>
      <c r="P467" s="13" t="s">
        <v>295</v>
      </c>
      <c r="Q467" s="22">
        <v>0.2</v>
      </c>
      <c r="R467" s="23">
        <v>69569</v>
      </c>
      <c r="Y467" s="12" t="s">
        <v>3014</v>
      </c>
      <c r="Z467" s="18">
        <f>ROUND(R467*'Data-CostAssumptions'!$C$3,-3)</f>
        <v>96000</v>
      </c>
      <c r="AA467" s="11">
        <f t="shared" si="25"/>
        <v>0</v>
      </c>
      <c r="AB467" s="11">
        <v>2041</v>
      </c>
      <c r="AC467" s="11">
        <v>2041</v>
      </c>
      <c r="AD467" s="11">
        <v>2041</v>
      </c>
      <c r="AE467" s="19">
        <f>ROUND((Z467*'Data-CostAssumptions'!$G$5)*(1+'Data-CostAssumptions'!$G$3)^(AB467-'Data-CostAssumptions'!$G$4),-3)</f>
        <v>54000</v>
      </c>
      <c r="AF467" s="19">
        <f>ROUND((Z467)*(1+'Data-CostAssumptions'!$G$3)^(AD467-'Data-CostAssumptions'!$G$4),-3)</f>
        <v>246000</v>
      </c>
      <c r="AG467" s="170" t="str">
        <f t="shared" si="26"/>
        <v>No</v>
      </c>
    </row>
    <row r="468" spans="1:33" ht="15" customHeight="1" x14ac:dyDescent="0.2">
      <c r="B468" s="11" t="s">
        <v>1211</v>
      </c>
      <c r="C468" s="13">
        <v>213</v>
      </c>
      <c r="D468" s="13" t="s">
        <v>420</v>
      </c>
      <c r="E468" s="20">
        <v>351</v>
      </c>
      <c r="F468" s="20">
        <v>152</v>
      </c>
      <c r="G468" s="20">
        <v>427</v>
      </c>
      <c r="H468" s="13" t="s">
        <v>1916</v>
      </c>
      <c r="I468" s="13" t="str">
        <f t="shared" si="24"/>
        <v>NW 36th St (SR 7/US 441 to NW 43rd Av)</v>
      </c>
      <c r="J468" s="13" t="s">
        <v>27</v>
      </c>
      <c r="K468" s="13" t="str">
        <f>VLOOKUP(J468,'Data-ProjectTypes'!A$3:B$13,2,FALSE)</f>
        <v>Program</v>
      </c>
      <c r="L468" s="21" t="s">
        <v>348</v>
      </c>
      <c r="M468" s="13" t="s">
        <v>57</v>
      </c>
      <c r="N468" s="13" t="s">
        <v>2068</v>
      </c>
      <c r="O468" s="13" t="s">
        <v>270</v>
      </c>
      <c r="P468" s="13" t="s">
        <v>270</v>
      </c>
      <c r="Q468" s="22">
        <v>0.2</v>
      </c>
      <c r="R468" s="23">
        <v>68762</v>
      </c>
      <c r="S468" s="21"/>
      <c r="T468" s="21"/>
      <c r="U468" s="21"/>
      <c r="V468" s="24"/>
      <c r="W468" s="24"/>
      <c r="X468" s="24"/>
      <c r="Y468" s="17"/>
      <c r="Z468" s="18">
        <f>ROUND(R468*'Data-CostAssumptions'!$C$3,-3)</f>
        <v>95000</v>
      </c>
      <c r="AA468" s="11">
        <f t="shared" si="25"/>
        <v>0</v>
      </c>
      <c r="AB468" s="11">
        <v>2041</v>
      </c>
      <c r="AC468" s="11">
        <v>2041</v>
      </c>
      <c r="AD468" s="11">
        <v>2041</v>
      </c>
      <c r="AE468" s="19">
        <f>ROUND((Z468*'Data-CostAssumptions'!$G$5)*(1+'Data-CostAssumptions'!$G$3)^(AB468-'Data-CostAssumptions'!$G$4),-3)</f>
        <v>54000</v>
      </c>
      <c r="AF468" s="19">
        <f>ROUND((Z468)*(1+'Data-CostAssumptions'!$G$3)^(AD468-'Data-CostAssumptions'!$G$4),-3)</f>
        <v>244000</v>
      </c>
      <c r="AG468" s="170" t="str">
        <f t="shared" si="26"/>
        <v>No</v>
      </c>
    </row>
    <row r="469" spans="1:33" ht="15" customHeight="1" x14ac:dyDescent="0.2">
      <c r="B469" s="11" t="s">
        <v>1211</v>
      </c>
      <c r="C469" s="13">
        <v>538</v>
      </c>
      <c r="D469" s="13" t="s">
        <v>420</v>
      </c>
      <c r="E469" s="20">
        <v>369</v>
      </c>
      <c r="F469" s="20">
        <v>171</v>
      </c>
      <c r="G469" s="20">
        <v>743</v>
      </c>
      <c r="H469" s="13" t="s">
        <v>2132</v>
      </c>
      <c r="I469" s="13" t="str">
        <f t="shared" si="24"/>
        <v>SW 71st Av (NW 62nd St/Bailey Rd to Just north of Sportsman Dr)</v>
      </c>
      <c r="J469" s="13" t="s">
        <v>27</v>
      </c>
      <c r="K469" s="13" t="str">
        <f>VLOOKUP(J469,'Data-ProjectTypes'!A$3:B$13,2,FALSE)</f>
        <v>Program</v>
      </c>
      <c r="L469" s="21" t="s">
        <v>348</v>
      </c>
      <c r="M469" s="13" t="s">
        <v>2586</v>
      </c>
      <c r="N469" s="13" t="s">
        <v>2681</v>
      </c>
      <c r="O469" s="13" t="s">
        <v>285</v>
      </c>
      <c r="P469" s="13" t="s">
        <v>285</v>
      </c>
      <c r="Q469" s="22">
        <v>0.4</v>
      </c>
      <c r="R469" s="23">
        <v>131292</v>
      </c>
      <c r="S469" s="21" t="s">
        <v>24</v>
      </c>
      <c r="T469" s="21"/>
      <c r="U469" s="21"/>
      <c r="V469" s="24"/>
      <c r="W469" s="24"/>
      <c r="X469" s="24"/>
      <c r="Y469" s="17" t="s">
        <v>460</v>
      </c>
      <c r="Z469" s="18">
        <f>ROUND(R469/1.384,-3)</f>
        <v>95000</v>
      </c>
      <c r="AA469" s="11">
        <f t="shared" si="25"/>
        <v>0</v>
      </c>
      <c r="AB469" s="11">
        <v>2041</v>
      </c>
      <c r="AC469" s="11">
        <v>2041</v>
      </c>
      <c r="AD469" s="11">
        <v>2041</v>
      </c>
      <c r="AE469" s="19">
        <f>ROUND((Z469*'Data-CostAssumptions'!$G$5)*(1+'Data-CostAssumptions'!$G$3)^(AB469-'Data-CostAssumptions'!$G$4),-3)</f>
        <v>54000</v>
      </c>
      <c r="AF469" s="19">
        <f>ROUND((Z469)*(1+'Data-CostAssumptions'!$G$3)^(AD469-'Data-CostAssumptions'!$G$4),-3)</f>
        <v>244000</v>
      </c>
      <c r="AG469" s="170" t="str">
        <f t="shared" si="26"/>
        <v>No</v>
      </c>
    </row>
    <row r="470" spans="1:33" ht="15" customHeight="1" x14ac:dyDescent="0.2">
      <c r="B470" s="11" t="s">
        <v>1211</v>
      </c>
      <c r="C470" s="13">
        <v>539</v>
      </c>
      <c r="D470" s="13" t="s">
        <v>420</v>
      </c>
      <c r="E470" s="20">
        <v>370</v>
      </c>
      <c r="F470" s="20">
        <v>171</v>
      </c>
      <c r="G470" s="20">
        <v>744</v>
      </c>
      <c r="H470" s="13" t="s">
        <v>1777</v>
      </c>
      <c r="I470" s="13" t="str">
        <f t="shared" si="24"/>
        <v>West McNab Rd (Avon Lane to Just west of Belmont Lane)</v>
      </c>
      <c r="J470" s="13" t="s">
        <v>27</v>
      </c>
      <c r="K470" s="13" t="str">
        <f>VLOOKUP(J470,'Data-ProjectTypes'!A$3:B$13,2,FALSE)</f>
        <v>Program</v>
      </c>
      <c r="L470" s="21" t="s">
        <v>348</v>
      </c>
      <c r="M470" s="13" t="s">
        <v>152</v>
      </c>
      <c r="N470" s="13" t="s">
        <v>153</v>
      </c>
      <c r="O470" s="13" t="s">
        <v>273</v>
      </c>
      <c r="P470" s="13" t="s">
        <v>273</v>
      </c>
      <c r="Q470" s="22">
        <v>0.3</v>
      </c>
      <c r="R470" s="23">
        <v>95110</v>
      </c>
      <c r="S470" s="21"/>
      <c r="T470" s="21"/>
      <c r="U470" s="21"/>
      <c r="V470" s="24"/>
      <c r="W470" s="24" t="s">
        <v>679</v>
      </c>
      <c r="X470" s="24"/>
      <c r="Y470" s="17" t="s">
        <v>670</v>
      </c>
      <c r="Z470" s="18">
        <f>ROUND(R470*'Data-CostAssumptions'!$C$19,-3)</f>
        <v>95000</v>
      </c>
      <c r="AA470" s="11">
        <f t="shared" si="25"/>
        <v>1</v>
      </c>
      <c r="AB470" s="11">
        <v>2041</v>
      </c>
      <c r="AC470" s="11">
        <v>2041</v>
      </c>
      <c r="AD470" s="11">
        <v>2041</v>
      </c>
      <c r="AE470" s="19">
        <f>ROUND((Z470*'Data-CostAssumptions'!$G$5)*(1+'Data-CostAssumptions'!$G$3)^(AB470-'Data-CostAssumptions'!$G$4),-3)</f>
        <v>54000</v>
      </c>
      <c r="AF470" s="19">
        <f>ROUND((Z470)*(1+'Data-CostAssumptions'!$G$3)^(AD470-'Data-CostAssumptions'!$G$4),-3)</f>
        <v>244000</v>
      </c>
      <c r="AG470" s="170" t="str">
        <f t="shared" si="26"/>
        <v>No</v>
      </c>
    </row>
    <row r="471" spans="1:33" ht="15" customHeight="1" x14ac:dyDescent="0.2">
      <c r="B471" s="11" t="s">
        <v>1211</v>
      </c>
      <c r="C471" s="13">
        <v>263</v>
      </c>
      <c r="D471" s="13" t="s">
        <v>420</v>
      </c>
      <c r="E471" s="20">
        <v>340</v>
      </c>
      <c r="F471" s="20">
        <v>155</v>
      </c>
      <c r="G471" s="20">
        <v>477</v>
      </c>
      <c r="H471" s="13" t="s">
        <v>2800</v>
      </c>
      <c r="I471" s="13" t="str">
        <f t="shared" si="24"/>
        <v>SR 858/Hallandale Beach Bl (NE 8th Av to Dixie Hwy)</v>
      </c>
      <c r="J471" s="13" t="s">
        <v>27</v>
      </c>
      <c r="K471" s="13" t="str">
        <f>VLOOKUP(J471,'Data-ProjectTypes'!A$3:B$13,2,FALSE)</f>
        <v>Program</v>
      </c>
      <c r="L471" s="21" t="s">
        <v>348</v>
      </c>
      <c r="M471" s="13" t="s">
        <v>2212</v>
      </c>
      <c r="N471" s="13" t="s">
        <v>728</v>
      </c>
      <c r="O471" s="13" t="s">
        <v>270</v>
      </c>
      <c r="P471" s="13" t="s">
        <v>270</v>
      </c>
      <c r="Q471" s="22">
        <v>0.2</v>
      </c>
      <c r="R471" s="23">
        <v>67691</v>
      </c>
      <c r="S471" s="21"/>
      <c r="T471" s="21"/>
      <c r="U471" s="21"/>
      <c r="V471" s="24"/>
      <c r="W471" s="24"/>
      <c r="X471" s="24"/>
      <c r="Y471" s="17"/>
      <c r="Z471" s="18">
        <f>ROUND(R471*'Data-CostAssumptions'!$C$3,-3)</f>
        <v>94000</v>
      </c>
      <c r="AA471" s="11">
        <f t="shared" si="25"/>
        <v>0</v>
      </c>
      <c r="AB471" s="11">
        <v>2041</v>
      </c>
      <c r="AC471" s="11">
        <v>2041</v>
      </c>
      <c r="AD471" s="11">
        <v>2041</v>
      </c>
      <c r="AE471" s="19">
        <f>ROUND((Z471*'Data-CostAssumptions'!$G$5)*(1+'Data-CostAssumptions'!$G$3)^(AB471-'Data-CostAssumptions'!$G$4),-3)</f>
        <v>53000</v>
      </c>
      <c r="AF471" s="19">
        <f>ROUND((Z471)*(1+'Data-CostAssumptions'!$G$3)^(AD471-'Data-CostAssumptions'!$G$4),-3)</f>
        <v>241000</v>
      </c>
      <c r="AG471" s="170" t="str">
        <f t="shared" si="26"/>
        <v>No</v>
      </c>
    </row>
    <row r="472" spans="1:33" ht="15" customHeight="1" x14ac:dyDescent="0.2">
      <c r="B472" s="11" t="s">
        <v>1211</v>
      </c>
      <c r="C472" s="13">
        <v>475</v>
      </c>
      <c r="D472" s="13" t="s">
        <v>420</v>
      </c>
      <c r="E472" s="20">
        <v>392</v>
      </c>
      <c r="F472" s="20">
        <v>168</v>
      </c>
      <c r="G472" s="20">
        <v>683</v>
      </c>
      <c r="H472" s="13" t="s">
        <v>1749</v>
      </c>
      <c r="I472" s="13" t="str">
        <f t="shared" si="24"/>
        <v>East Sample Rd (Sample Rd Ramp to NW 5th Terrace)</v>
      </c>
      <c r="J472" s="13" t="s">
        <v>27</v>
      </c>
      <c r="K472" s="13" t="str">
        <f>VLOOKUP(J472,'Data-ProjectTypes'!A$3:B$13,2,FALSE)</f>
        <v>Program</v>
      </c>
      <c r="L472" s="21" t="s">
        <v>348</v>
      </c>
      <c r="M472" s="13" t="s">
        <v>2407</v>
      </c>
      <c r="N472" s="13" t="s">
        <v>234</v>
      </c>
      <c r="O472" s="13" t="s">
        <v>270</v>
      </c>
      <c r="P472" s="13" t="s">
        <v>270</v>
      </c>
      <c r="Q472" s="22">
        <v>0.3</v>
      </c>
      <c r="R472" s="23">
        <v>93501</v>
      </c>
      <c r="S472" s="21"/>
      <c r="T472" s="21"/>
      <c r="U472" s="21"/>
      <c r="V472" s="24"/>
      <c r="W472" s="24"/>
      <c r="X472" s="24"/>
      <c r="Y472" s="17"/>
      <c r="Z472" s="18">
        <f>ROUND(R472*'Data-CostAssumptions'!$C$8,-3)</f>
        <v>94000</v>
      </c>
      <c r="AA472" s="11">
        <f t="shared" si="25"/>
        <v>0</v>
      </c>
      <c r="AB472" s="11">
        <v>2041</v>
      </c>
      <c r="AC472" s="11">
        <v>2041</v>
      </c>
      <c r="AD472" s="11">
        <v>2041</v>
      </c>
      <c r="AE472" s="19">
        <f>ROUND((Z472*'Data-CostAssumptions'!$G$5)*(1+'Data-CostAssumptions'!$G$3)^(AB472-'Data-CostAssumptions'!$G$4),-3)</f>
        <v>53000</v>
      </c>
      <c r="AF472" s="19">
        <f>ROUND((Z472)*(1+'Data-CostAssumptions'!$G$3)^(AD472-'Data-CostAssumptions'!$G$4),-3)</f>
        <v>241000</v>
      </c>
      <c r="AG472" s="170" t="str">
        <f t="shared" si="26"/>
        <v>No</v>
      </c>
    </row>
    <row r="473" spans="1:33" ht="15" customHeight="1" x14ac:dyDescent="0.2">
      <c r="B473" s="11" t="s">
        <v>1211</v>
      </c>
      <c r="C473" s="13">
        <v>276</v>
      </c>
      <c r="D473" s="13" t="s">
        <v>420</v>
      </c>
      <c r="E473" s="20">
        <v>437</v>
      </c>
      <c r="F473" s="20">
        <v>156</v>
      </c>
      <c r="G473" s="20">
        <v>490</v>
      </c>
      <c r="H473" s="13" t="s">
        <v>2019</v>
      </c>
      <c r="I473" s="13" t="str">
        <f t="shared" si="24"/>
        <v>Flagler Av (NE 1st St to NE 4th St)</v>
      </c>
      <c r="J473" s="13" t="s">
        <v>27</v>
      </c>
      <c r="K473" s="13" t="str">
        <f>VLOOKUP(J473,'Data-ProjectTypes'!A$3:B$13,2,FALSE)</f>
        <v>Program</v>
      </c>
      <c r="L473" s="21" t="s">
        <v>348</v>
      </c>
      <c r="M473" s="13" t="s">
        <v>2482</v>
      </c>
      <c r="N473" s="13" t="s">
        <v>1897</v>
      </c>
      <c r="O473" s="13" t="s">
        <v>275</v>
      </c>
      <c r="P473" s="13" t="s">
        <v>275</v>
      </c>
      <c r="Q473" s="22">
        <v>0.2</v>
      </c>
      <c r="R473" s="23">
        <v>67169</v>
      </c>
      <c r="S473" s="21"/>
      <c r="T473" s="21"/>
      <c r="U473" s="21"/>
      <c r="V473" s="24"/>
      <c r="W473" s="24"/>
      <c r="X473" s="24"/>
      <c r="Y473" s="17"/>
      <c r="Z473" s="18">
        <f>ROUND(R473*'Data-CostAssumptions'!$C$3,-3)</f>
        <v>93000</v>
      </c>
      <c r="AA473" s="11">
        <f t="shared" si="25"/>
        <v>0</v>
      </c>
      <c r="AB473" s="11">
        <v>2041</v>
      </c>
      <c r="AC473" s="11">
        <v>2041</v>
      </c>
      <c r="AD473" s="11">
        <v>2041</v>
      </c>
      <c r="AE473" s="19">
        <f>ROUND((Z473*'Data-CostAssumptions'!$G$5)*(1+'Data-CostAssumptions'!$G$3)^(AB473-'Data-CostAssumptions'!$G$4),-3)</f>
        <v>52000</v>
      </c>
      <c r="AF473" s="19">
        <f>ROUND((Z473)*(1+'Data-CostAssumptions'!$G$3)^(AD473-'Data-CostAssumptions'!$G$4),-3)</f>
        <v>238000</v>
      </c>
      <c r="AG473" s="170" t="str">
        <f t="shared" si="26"/>
        <v>No</v>
      </c>
    </row>
    <row r="474" spans="1:33" ht="15" customHeight="1" x14ac:dyDescent="0.2">
      <c r="B474" s="11" t="s">
        <v>1211</v>
      </c>
      <c r="C474" s="13">
        <v>568</v>
      </c>
      <c r="D474" s="13" t="s">
        <v>420</v>
      </c>
      <c r="E474" s="20">
        <v>277</v>
      </c>
      <c r="F474" s="20">
        <v>173</v>
      </c>
      <c r="G474" s="20">
        <v>771</v>
      </c>
      <c r="H474" s="13" t="s">
        <v>177</v>
      </c>
      <c r="I474" s="13" t="str">
        <f t="shared" si="24"/>
        <v>Stirling Rd (I-75 to Hawkes Bluff Av)</v>
      </c>
      <c r="J474" s="13" t="s">
        <v>27</v>
      </c>
      <c r="K474" s="13" t="str">
        <f>VLOOKUP(J474,'Data-ProjectTypes'!A$3:B$13,2,FALSE)</f>
        <v>Program</v>
      </c>
      <c r="L474" s="21" t="s">
        <v>348</v>
      </c>
      <c r="M474" s="13" t="s">
        <v>31</v>
      </c>
      <c r="N474" s="13" t="s">
        <v>2268</v>
      </c>
      <c r="O474" s="13" t="s">
        <v>273</v>
      </c>
      <c r="P474" s="13" t="s">
        <v>273</v>
      </c>
      <c r="Q474" s="22">
        <v>0.3</v>
      </c>
      <c r="R474" s="23">
        <v>92477</v>
      </c>
      <c r="V474" s="85" t="s">
        <v>445</v>
      </c>
      <c r="X474" s="11" t="s">
        <v>465</v>
      </c>
      <c r="Y474" s="12"/>
      <c r="Z474" s="18">
        <f>ROUND(R474*'Data-CostAssumptions'!$C$4,-3)</f>
        <v>92000</v>
      </c>
      <c r="AA474" s="11">
        <f t="shared" si="25"/>
        <v>1</v>
      </c>
      <c r="AB474" s="11">
        <v>2041</v>
      </c>
      <c r="AC474" s="11">
        <v>2041</v>
      </c>
      <c r="AD474" s="11">
        <v>2041</v>
      </c>
      <c r="AE474" s="19">
        <f>ROUND((Z474*'Data-CostAssumptions'!$G$5)*(1+'Data-CostAssumptions'!$G$3)^(AB474-'Data-CostAssumptions'!$G$4),-3)</f>
        <v>52000</v>
      </c>
      <c r="AF474" s="19">
        <f>ROUND((Z474)*(1+'Data-CostAssumptions'!$G$3)^(AD474-'Data-CostAssumptions'!$G$4),-3)</f>
        <v>236000</v>
      </c>
      <c r="AG474" s="170" t="str">
        <f t="shared" si="26"/>
        <v>No</v>
      </c>
    </row>
    <row r="475" spans="1:33" ht="15" customHeight="1" x14ac:dyDescent="0.2">
      <c r="B475" s="11" t="s">
        <v>1211</v>
      </c>
      <c r="C475" s="11">
        <v>15003</v>
      </c>
      <c r="D475" s="84" t="s">
        <v>281</v>
      </c>
      <c r="E475" s="14"/>
      <c r="F475" s="14"/>
      <c r="G475" s="20">
        <v>1811</v>
      </c>
      <c r="H475" s="13" t="s">
        <v>1187</v>
      </c>
      <c r="I475" s="13" t="str">
        <f t="shared" si="24"/>
        <v>Inverrary Dr (NW 44th St to Inverrary Bl)</v>
      </c>
      <c r="J475" s="84" t="s">
        <v>27</v>
      </c>
      <c r="K475" s="13" t="str">
        <f>VLOOKUP(J475,'Data-ProjectTypes'!A$3:B$13,2,FALSE)</f>
        <v>Program</v>
      </c>
      <c r="L475" s="31" t="s">
        <v>1188</v>
      </c>
      <c r="M475" s="84" t="s">
        <v>1189</v>
      </c>
      <c r="N475" s="84" t="s">
        <v>1821</v>
      </c>
      <c r="O475" s="84" t="s">
        <v>281</v>
      </c>
      <c r="P475" s="84" t="s">
        <v>281</v>
      </c>
      <c r="Q475" s="15">
        <v>0.63</v>
      </c>
      <c r="R475" s="143">
        <f>ROUND(Q475*'Data-CostAssumptions'!$C$23,-1)</f>
        <v>91980</v>
      </c>
      <c r="Y475" s="12"/>
      <c r="Z475" s="18">
        <f>ROUND(R475*'Data-CostAssumptions'!$C$8,-3)</f>
        <v>92000</v>
      </c>
      <c r="AA475" s="11">
        <f t="shared" si="25"/>
        <v>0</v>
      </c>
      <c r="AB475" s="11">
        <v>2041</v>
      </c>
      <c r="AC475" s="11">
        <v>2041</v>
      </c>
      <c r="AD475" s="11">
        <v>2041</v>
      </c>
      <c r="AE475" s="19">
        <f>ROUND((Z475*'Data-CostAssumptions'!$G$5)*(1+'Data-CostAssumptions'!$G$3)^(AB475-'Data-CostAssumptions'!$G$4),-3)</f>
        <v>52000</v>
      </c>
      <c r="AF475" s="19">
        <f>ROUND((Z475)*(1+'Data-CostAssumptions'!$G$3)^(AD475-'Data-CostAssumptions'!$G$4),-3)</f>
        <v>236000</v>
      </c>
      <c r="AG475" s="170" t="str">
        <f t="shared" si="26"/>
        <v>No</v>
      </c>
    </row>
    <row r="476" spans="1:33" ht="15" customHeight="1" x14ac:dyDescent="0.2">
      <c r="B476" s="11" t="s">
        <v>1211</v>
      </c>
      <c r="C476" s="13">
        <v>575</v>
      </c>
      <c r="D476" s="13" t="s">
        <v>420</v>
      </c>
      <c r="E476" s="20">
        <v>335</v>
      </c>
      <c r="F476" s="20">
        <v>173</v>
      </c>
      <c r="G476" s="20">
        <v>780</v>
      </c>
      <c r="H476" s="13" t="s">
        <v>2045</v>
      </c>
      <c r="I476" s="13" t="str">
        <f t="shared" si="24"/>
        <v>North 72nd Av (Hayes St to McKinley St)</v>
      </c>
      <c r="J476" s="13" t="s">
        <v>27</v>
      </c>
      <c r="K476" s="13" t="str">
        <f>VLOOKUP(J476,'Data-ProjectTypes'!A$3:B$13,2,FALSE)</f>
        <v>Program</v>
      </c>
      <c r="L476" s="21" t="s">
        <v>543</v>
      </c>
      <c r="M476" s="13" t="s">
        <v>2526</v>
      </c>
      <c r="N476" s="13" t="s">
        <v>2525</v>
      </c>
      <c r="O476" s="13" t="s">
        <v>282</v>
      </c>
      <c r="P476" s="13" t="s">
        <v>282</v>
      </c>
      <c r="Q476" s="22">
        <v>0.3</v>
      </c>
      <c r="R476" s="23">
        <v>90511</v>
      </c>
      <c r="V476" s="85" t="s">
        <v>452</v>
      </c>
      <c r="X476" s="11" t="s">
        <v>464</v>
      </c>
      <c r="Y476" s="12"/>
      <c r="Z476" s="18">
        <f>ROUND(R476*'Data-CostAssumptions'!$C$4,-3)</f>
        <v>91000</v>
      </c>
      <c r="AA476" s="11">
        <f t="shared" si="25"/>
        <v>1</v>
      </c>
      <c r="AB476" s="11">
        <v>2041</v>
      </c>
      <c r="AC476" s="11">
        <v>2041</v>
      </c>
      <c r="AD476" s="11">
        <v>2041</v>
      </c>
      <c r="AE476" s="19">
        <f>ROUND((Z476*'Data-CostAssumptions'!$G$5)*(1+'Data-CostAssumptions'!$G$3)^(AB476-'Data-CostAssumptions'!$G$4),-3)</f>
        <v>51000</v>
      </c>
      <c r="AF476" s="19">
        <f>ROUND((Z476)*(1+'Data-CostAssumptions'!$G$3)^(AD476-'Data-CostAssumptions'!$G$4),-3)</f>
        <v>233000</v>
      </c>
      <c r="AG476" s="170" t="str">
        <f t="shared" si="26"/>
        <v>No</v>
      </c>
    </row>
    <row r="477" spans="1:33" ht="15" customHeight="1" x14ac:dyDescent="0.2">
      <c r="A477" s="12"/>
      <c r="B477" s="11" t="s">
        <v>1211</v>
      </c>
      <c r="C477" s="12"/>
      <c r="D477" s="84" t="s">
        <v>276</v>
      </c>
      <c r="E477" s="104">
        <v>61</v>
      </c>
      <c r="F477" s="104"/>
      <c r="G477" s="20">
        <v>1571</v>
      </c>
      <c r="H477" s="13" t="s">
        <v>1237</v>
      </c>
      <c r="I477" s="13" t="str">
        <f t="shared" si="24"/>
        <v>NE/NW 6TH ST (SR 5/US 1 to NW 7TH Av/AVE OF THE ARTS)</v>
      </c>
      <c r="J477" s="12" t="s">
        <v>27</v>
      </c>
      <c r="K477" s="13" t="str">
        <f>VLOOKUP(J477,'Data-ProjectTypes'!A$3:B$13,2,FALSE)</f>
        <v>Program</v>
      </c>
      <c r="L477" s="12" t="s">
        <v>1326</v>
      </c>
      <c r="M477" s="105" t="s">
        <v>1424</v>
      </c>
      <c r="N477" s="12" t="s">
        <v>2615</v>
      </c>
      <c r="O477" s="12"/>
      <c r="P477" s="12"/>
      <c r="Q477" s="72">
        <v>0.8</v>
      </c>
      <c r="R477" s="23">
        <v>91200</v>
      </c>
      <c r="Y477" s="12"/>
      <c r="Z477" s="18">
        <f>ROUND(R477*'Data-CostAssumptions'!$C$8,-3)</f>
        <v>91000</v>
      </c>
      <c r="AA477" s="11">
        <f t="shared" si="25"/>
        <v>0</v>
      </c>
      <c r="AB477" s="11">
        <v>2041</v>
      </c>
      <c r="AC477" s="11">
        <v>2041</v>
      </c>
      <c r="AD477" s="11">
        <v>2041</v>
      </c>
      <c r="AE477" s="19">
        <f>ROUND((Z477*'Data-CostAssumptions'!$G$5)*(1+'Data-CostAssumptions'!$G$3)^(AB477-'Data-CostAssumptions'!$G$4),-3)</f>
        <v>51000</v>
      </c>
      <c r="AF477" s="19">
        <f>ROUND((Z477)*(1+'Data-CostAssumptions'!$G$3)^(AD477-'Data-CostAssumptions'!$G$4),-3)</f>
        <v>233000</v>
      </c>
      <c r="AG477" s="170" t="str">
        <f t="shared" si="26"/>
        <v>No</v>
      </c>
    </row>
    <row r="478" spans="1:33" ht="15" customHeight="1" x14ac:dyDescent="0.2">
      <c r="B478" s="11" t="s">
        <v>1211</v>
      </c>
      <c r="C478" s="13">
        <v>267</v>
      </c>
      <c r="D478" s="13" t="s">
        <v>420</v>
      </c>
      <c r="E478" s="20">
        <v>368</v>
      </c>
      <c r="F478" s="20">
        <v>155</v>
      </c>
      <c r="G478" s="20">
        <v>481</v>
      </c>
      <c r="H478" s="13" t="s">
        <v>2709</v>
      </c>
      <c r="I478" s="13" t="str">
        <f t="shared" si="24"/>
        <v>SR 817/University Dr (Orange Dr to SW 39th St)</v>
      </c>
      <c r="J478" s="13" t="s">
        <v>27</v>
      </c>
      <c r="K478" s="13" t="str">
        <f>VLOOKUP(J478,'Data-ProjectTypes'!A$3:B$13,2,FALSE)</f>
        <v>Program</v>
      </c>
      <c r="L478" s="21" t="s">
        <v>348</v>
      </c>
      <c r="M478" s="13" t="s">
        <v>184</v>
      </c>
      <c r="N478" s="13" t="s">
        <v>486</v>
      </c>
      <c r="O478" s="13" t="s">
        <v>270</v>
      </c>
      <c r="P478" s="13" t="s">
        <v>270</v>
      </c>
      <c r="Q478" s="22">
        <v>0.2</v>
      </c>
      <c r="R478" s="23">
        <v>64845</v>
      </c>
      <c r="S478" s="21"/>
      <c r="T478" s="21"/>
      <c r="U478" s="21"/>
      <c r="V478" s="24"/>
      <c r="W478" s="24"/>
      <c r="X478" s="24"/>
      <c r="Y478" s="17"/>
      <c r="Z478" s="18">
        <f>ROUND(R478*'Data-CostAssumptions'!$C$3,-3)</f>
        <v>90000</v>
      </c>
      <c r="AA478" s="11">
        <f t="shared" si="25"/>
        <v>0</v>
      </c>
      <c r="AB478" s="11">
        <v>2041</v>
      </c>
      <c r="AC478" s="11">
        <v>2041</v>
      </c>
      <c r="AD478" s="11">
        <v>2041</v>
      </c>
      <c r="AE478" s="19">
        <f>ROUND((Z478*'Data-CostAssumptions'!$G$5)*(1+'Data-CostAssumptions'!$G$3)^(AB478-'Data-CostAssumptions'!$G$4),-3)</f>
        <v>51000</v>
      </c>
      <c r="AF478" s="19">
        <f>ROUND((Z478)*(1+'Data-CostAssumptions'!$G$3)^(AD478-'Data-CostAssumptions'!$G$4),-3)</f>
        <v>231000</v>
      </c>
      <c r="AG478" s="170" t="str">
        <f t="shared" si="26"/>
        <v>No</v>
      </c>
    </row>
    <row r="479" spans="1:33" ht="15" customHeight="1" x14ac:dyDescent="0.2">
      <c r="B479" s="11" t="s">
        <v>1211</v>
      </c>
      <c r="C479" s="13">
        <v>578</v>
      </c>
      <c r="D479" s="13" t="s">
        <v>420</v>
      </c>
      <c r="E479" s="20">
        <v>393</v>
      </c>
      <c r="F479" s="20">
        <v>173</v>
      </c>
      <c r="G479" s="20">
        <v>783</v>
      </c>
      <c r="H479" s="13" t="s">
        <v>2047</v>
      </c>
      <c r="I479" s="13" t="str">
        <f t="shared" ref="I479:I510" si="27">IF(M479="@",H479&amp;" ("&amp;M479&amp;"  "&amp;N479&amp;")",H479&amp;" ("&amp;M479&amp;" to "&amp;N479&amp;")")</f>
        <v>North Andrews Av Extension (NW 33rd St to Sample Rd)</v>
      </c>
      <c r="J479" s="13" t="s">
        <v>27</v>
      </c>
      <c r="K479" s="13" t="str">
        <f>VLOOKUP(J479,'Data-ProjectTypes'!A$3:B$13,2,FALSE)</f>
        <v>Program</v>
      </c>
      <c r="L479" s="21" t="s">
        <v>348</v>
      </c>
      <c r="M479" s="13" t="s">
        <v>1914</v>
      </c>
      <c r="N479" s="13" t="s">
        <v>1864</v>
      </c>
      <c r="O479" s="13" t="s">
        <v>275</v>
      </c>
      <c r="P479" s="13" t="s">
        <v>275</v>
      </c>
      <c r="Q479" s="22">
        <v>0.3</v>
      </c>
      <c r="R479" s="23">
        <v>89933</v>
      </c>
      <c r="V479" s="85" t="s">
        <v>455</v>
      </c>
      <c r="X479" s="11" t="s">
        <v>464</v>
      </c>
      <c r="Y479" s="12"/>
      <c r="Z479" s="18">
        <f>ROUND(R479*'Data-CostAssumptions'!$C$4,-3)</f>
        <v>90000</v>
      </c>
      <c r="AA479" s="11">
        <f t="shared" si="25"/>
        <v>1</v>
      </c>
      <c r="AB479" s="11">
        <v>2041</v>
      </c>
      <c r="AC479" s="11">
        <v>2041</v>
      </c>
      <c r="AD479" s="11">
        <v>2041</v>
      </c>
      <c r="AE479" s="19">
        <f>ROUND((Z479*'Data-CostAssumptions'!$G$5)*(1+'Data-CostAssumptions'!$G$3)^(AB479-'Data-CostAssumptions'!$G$4),-3)</f>
        <v>51000</v>
      </c>
      <c r="AF479" s="19">
        <f>ROUND((Z479)*(1+'Data-CostAssumptions'!$G$3)^(AD479-'Data-CostAssumptions'!$G$4),-3)</f>
        <v>231000</v>
      </c>
      <c r="AG479" s="170" t="str">
        <f t="shared" si="26"/>
        <v>No</v>
      </c>
    </row>
    <row r="480" spans="1:33" ht="15" customHeight="1" x14ac:dyDescent="0.2">
      <c r="B480" s="11" t="s">
        <v>1211</v>
      </c>
      <c r="C480" s="13">
        <v>275</v>
      </c>
      <c r="D480" s="13" t="s">
        <v>420</v>
      </c>
      <c r="E480" s="20">
        <v>430</v>
      </c>
      <c r="F480" s="20">
        <v>156</v>
      </c>
      <c r="G480" s="20">
        <v>489</v>
      </c>
      <c r="H480" s="13" t="s">
        <v>2019</v>
      </c>
      <c r="I480" s="13" t="str">
        <f t="shared" si="27"/>
        <v>Flagler Av (SW 8th St to SW 6th St)</v>
      </c>
      <c r="J480" s="13" t="s">
        <v>27</v>
      </c>
      <c r="K480" s="13" t="str">
        <f>VLOOKUP(J480,'Data-ProjectTypes'!A$3:B$13,2,FALSE)</f>
        <v>Program</v>
      </c>
      <c r="L480" s="21" t="s">
        <v>348</v>
      </c>
      <c r="M480" s="13" t="s">
        <v>1966</v>
      </c>
      <c r="N480" s="13" t="s">
        <v>1965</v>
      </c>
      <c r="O480" s="13" t="s">
        <v>275</v>
      </c>
      <c r="P480" s="13" t="s">
        <v>275</v>
      </c>
      <c r="Q480" s="22">
        <v>0.2</v>
      </c>
      <c r="R480" s="23">
        <v>64496</v>
      </c>
      <c r="S480" s="21"/>
      <c r="T480" s="21"/>
      <c r="U480" s="21"/>
      <c r="V480" s="24"/>
      <c r="W480" s="24"/>
      <c r="X480" s="24"/>
      <c r="Y480" s="17"/>
      <c r="Z480" s="18">
        <f>ROUND(R480*'Data-CostAssumptions'!$C$3,-3)</f>
        <v>89000</v>
      </c>
      <c r="AA480" s="11">
        <f t="shared" si="25"/>
        <v>0</v>
      </c>
      <c r="AB480" s="11">
        <v>2041</v>
      </c>
      <c r="AC480" s="11">
        <v>2041</v>
      </c>
      <c r="AD480" s="11">
        <v>2041</v>
      </c>
      <c r="AE480" s="19">
        <f>ROUND((Z480*'Data-CostAssumptions'!$G$5)*(1+'Data-CostAssumptions'!$G$3)^(AB480-'Data-CostAssumptions'!$G$4),-3)</f>
        <v>50000</v>
      </c>
      <c r="AF480" s="19">
        <f>ROUND((Z480)*(1+'Data-CostAssumptions'!$G$3)^(AD480-'Data-CostAssumptions'!$G$4),-3)</f>
        <v>228000</v>
      </c>
      <c r="AG480" s="170" t="str">
        <f t="shared" si="26"/>
        <v>No</v>
      </c>
    </row>
    <row r="481" spans="2:33" ht="15" customHeight="1" x14ac:dyDescent="0.2">
      <c r="B481" s="11" t="s">
        <v>1211</v>
      </c>
      <c r="C481" s="13">
        <v>403</v>
      </c>
      <c r="D481" s="13" t="s">
        <v>420</v>
      </c>
      <c r="E481" s="20">
        <v>22</v>
      </c>
      <c r="F481" s="20">
        <v>163</v>
      </c>
      <c r="G481" s="20">
        <v>611</v>
      </c>
      <c r="H481" s="13" t="s">
        <v>2792</v>
      </c>
      <c r="I481" s="13" t="str">
        <f t="shared" si="27"/>
        <v>SR 827/Pembroke Rd (Flamingo Rd to SW 127th Av)</v>
      </c>
      <c r="J481" s="13" t="s">
        <v>27</v>
      </c>
      <c r="K481" s="13" t="str">
        <f>VLOOKUP(J481,'Data-ProjectTypes'!A$3:B$13,2,FALSE)</f>
        <v>Program</v>
      </c>
      <c r="L481" s="21" t="s">
        <v>348</v>
      </c>
      <c r="M481" s="13" t="s">
        <v>159</v>
      </c>
      <c r="N481" s="13" t="s">
        <v>2252</v>
      </c>
      <c r="O481" s="13" t="s">
        <v>274</v>
      </c>
      <c r="P481" s="13" t="s">
        <v>274</v>
      </c>
      <c r="Q481" s="22">
        <v>0.2</v>
      </c>
      <c r="R481" s="23">
        <v>88970</v>
      </c>
      <c r="S481" s="29" t="s">
        <v>840</v>
      </c>
      <c r="T481" s="21" t="s">
        <v>25</v>
      </c>
      <c r="U481" s="21" t="s">
        <v>25</v>
      </c>
      <c r="V481" s="24"/>
      <c r="W481" s="24"/>
      <c r="X481" s="28"/>
      <c r="Y481" s="17" t="s">
        <v>839</v>
      </c>
      <c r="Z481" s="18">
        <f>ROUND(R481*'Data-CostAssumptions'!$C$8,-3)</f>
        <v>89000</v>
      </c>
      <c r="AA481" s="11">
        <f t="shared" si="25"/>
        <v>0</v>
      </c>
      <c r="AB481" s="11">
        <v>2041</v>
      </c>
      <c r="AC481" s="11">
        <v>2041</v>
      </c>
      <c r="AD481" s="11">
        <v>2041</v>
      </c>
      <c r="AE481" s="19">
        <f>ROUND((Z481*'Data-CostAssumptions'!$G$5)*(1+'Data-CostAssumptions'!$G$3)^(AB481-'Data-CostAssumptions'!$G$4),-3)</f>
        <v>50000</v>
      </c>
      <c r="AF481" s="19">
        <f>ROUND((Z481)*(1+'Data-CostAssumptions'!$G$3)^(AD481-'Data-CostAssumptions'!$G$4),-3)</f>
        <v>228000</v>
      </c>
      <c r="AG481" s="170" t="str">
        <f t="shared" si="26"/>
        <v>No</v>
      </c>
    </row>
    <row r="482" spans="2:33" ht="15" customHeight="1" x14ac:dyDescent="0.2">
      <c r="B482" s="11" t="s">
        <v>1211</v>
      </c>
      <c r="C482" s="13">
        <v>429</v>
      </c>
      <c r="D482" s="13" t="s">
        <v>420</v>
      </c>
      <c r="E482" s="20">
        <v>140</v>
      </c>
      <c r="F482" s="20">
        <v>165</v>
      </c>
      <c r="G482" s="20">
        <v>639</v>
      </c>
      <c r="H482" s="13" t="s">
        <v>1743</v>
      </c>
      <c r="I482" s="13" t="str">
        <f t="shared" si="27"/>
        <v>Access Rd (McNab Rd to State Rd 7/US 441)</v>
      </c>
      <c r="J482" s="13" t="s">
        <v>27</v>
      </c>
      <c r="K482" s="13" t="str">
        <f>VLOOKUP(J482,'Data-ProjectTypes'!A$3:B$13,2,FALSE)</f>
        <v>Program</v>
      </c>
      <c r="L482" s="21" t="s">
        <v>348</v>
      </c>
      <c r="M482" s="13" t="s">
        <v>1854</v>
      </c>
      <c r="N482" s="13" t="s">
        <v>1773</v>
      </c>
      <c r="O482" s="13" t="s">
        <v>273</v>
      </c>
      <c r="P482" s="13" t="s">
        <v>273</v>
      </c>
      <c r="Q482" s="22">
        <v>0.2</v>
      </c>
      <c r="R482" s="23">
        <v>64557</v>
      </c>
      <c r="S482" s="21"/>
      <c r="T482" s="21"/>
      <c r="U482" s="21"/>
      <c r="V482" s="24"/>
      <c r="W482" s="24"/>
      <c r="X482" s="24"/>
      <c r="Y482" s="17"/>
      <c r="Z482" s="18">
        <f>ROUND(R482*'Data-CostAssumptions'!$C$3,-3)</f>
        <v>89000</v>
      </c>
      <c r="AA482" s="11">
        <f t="shared" si="25"/>
        <v>0</v>
      </c>
      <c r="AB482" s="11">
        <v>2041</v>
      </c>
      <c r="AC482" s="11">
        <v>2041</v>
      </c>
      <c r="AD482" s="11">
        <v>2041</v>
      </c>
      <c r="AE482" s="19">
        <f>ROUND((Z482*'Data-CostAssumptions'!$G$5)*(1+'Data-CostAssumptions'!$G$3)^(AB482-'Data-CostAssumptions'!$G$4),-3)</f>
        <v>50000</v>
      </c>
      <c r="AF482" s="19">
        <f>ROUND((Z482)*(1+'Data-CostAssumptions'!$G$3)^(AD482-'Data-CostAssumptions'!$G$4),-3)</f>
        <v>228000</v>
      </c>
      <c r="AG482" s="170" t="str">
        <f t="shared" si="26"/>
        <v>No</v>
      </c>
    </row>
    <row r="483" spans="2:33" ht="15" customHeight="1" x14ac:dyDescent="0.2">
      <c r="B483" s="11" t="s">
        <v>1211</v>
      </c>
      <c r="C483" s="13">
        <v>476</v>
      </c>
      <c r="D483" s="13" t="s">
        <v>420</v>
      </c>
      <c r="E483" s="20">
        <v>397</v>
      </c>
      <c r="F483" s="20">
        <v>168</v>
      </c>
      <c r="G483" s="20">
        <v>684</v>
      </c>
      <c r="H483" s="13" t="s">
        <v>1912</v>
      </c>
      <c r="I483" s="13" t="str">
        <f t="shared" si="27"/>
        <v>NW 2nd St (NW 1st Terrace to Just east of NW 3rd Av)</v>
      </c>
      <c r="J483" s="13" t="s">
        <v>27</v>
      </c>
      <c r="K483" s="13" t="str">
        <f>VLOOKUP(J483,'Data-ProjectTypes'!A$3:B$13,2,FALSE)</f>
        <v>Program</v>
      </c>
      <c r="L483" s="21" t="s">
        <v>348</v>
      </c>
      <c r="M483" s="13" t="s">
        <v>232</v>
      </c>
      <c r="N483" s="13" t="s">
        <v>2240</v>
      </c>
      <c r="O483" s="13" t="s">
        <v>289</v>
      </c>
      <c r="P483" s="13" t="s">
        <v>289</v>
      </c>
      <c r="Q483" s="22">
        <v>0.2</v>
      </c>
      <c r="R483" s="23">
        <v>88581</v>
      </c>
      <c r="S483" s="21"/>
      <c r="T483" s="21"/>
      <c r="U483" s="21"/>
      <c r="V483" s="24"/>
      <c r="W483" s="24"/>
      <c r="X483" s="24"/>
      <c r="Y483" s="17"/>
      <c r="Z483" s="18">
        <f>ROUND(R483*'Data-CostAssumptions'!$C$8,-3)</f>
        <v>89000</v>
      </c>
      <c r="AA483" s="11">
        <f t="shared" si="25"/>
        <v>0</v>
      </c>
      <c r="AB483" s="11">
        <v>2041</v>
      </c>
      <c r="AC483" s="11">
        <v>2041</v>
      </c>
      <c r="AD483" s="11">
        <v>2041</v>
      </c>
      <c r="AE483" s="19">
        <f>ROUND((Z483*'Data-CostAssumptions'!$G$5)*(1+'Data-CostAssumptions'!$G$3)^(AB483-'Data-CostAssumptions'!$G$4),-3)</f>
        <v>50000</v>
      </c>
      <c r="AF483" s="19">
        <f>ROUND((Z483)*(1+'Data-CostAssumptions'!$G$3)^(AD483-'Data-CostAssumptions'!$G$4),-3)</f>
        <v>228000</v>
      </c>
      <c r="AG483" s="170" t="str">
        <f t="shared" si="26"/>
        <v>No</v>
      </c>
    </row>
    <row r="484" spans="2:33" ht="15" customHeight="1" x14ac:dyDescent="0.2">
      <c r="B484" s="11" t="s">
        <v>1211</v>
      </c>
      <c r="C484" s="13">
        <v>574</v>
      </c>
      <c r="D484" s="13" t="s">
        <v>420</v>
      </c>
      <c r="E484" s="20">
        <v>320</v>
      </c>
      <c r="F484" s="20">
        <v>173</v>
      </c>
      <c r="G484" s="20">
        <v>779</v>
      </c>
      <c r="H484" s="13" t="s">
        <v>2026</v>
      </c>
      <c r="I484" s="13" t="str">
        <f t="shared" si="27"/>
        <v>NE 18th Av (NE 55th St to NE 59th St)</v>
      </c>
      <c r="J484" s="13" t="s">
        <v>27</v>
      </c>
      <c r="K484" s="13" t="str">
        <f>VLOOKUP(J484,'Data-ProjectTypes'!A$3:B$13,2,FALSE)</f>
        <v>Program</v>
      </c>
      <c r="L484" s="21" t="s">
        <v>348</v>
      </c>
      <c r="M484" s="13" t="s">
        <v>2508</v>
      </c>
      <c r="N484" s="13" t="s">
        <v>2507</v>
      </c>
      <c r="O484" s="13" t="s">
        <v>276</v>
      </c>
      <c r="P484" s="13" t="s">
        <v>276</v>
      </c>
      <c r="Q484" s="22">
        <v>0.2</v>
      </c>
      <c r="R484" s="23">
        <v>88400</v>
      </c>
      <c r="V484" s="85" t="s">
        <v>451</v>
      </c>
      <c r="X484" s="38" t="s">
        <v>466</v>
      </c>
      <c r="Y484" s="12"/>
      <c r="Z484" s="18">
        <f>ROUND(R484*'Data-CostAssumptions'!$C$4,-3)</f>
        <v>88000</v>
      </c>
      <c r="AA484" s="11">
        <f t="shared" si="25"/>
        <v>1</v>
      </c>
      <c r="AB484" s="11">
        <v>2041</v>
      </c>
      <c r="AC484" s="11">
        <v>2041</v>
      </c>
      <c r="AD484" s="11">
        <v>2041</v>
      </c>
      <c r="AE484" s="19">
        <f>ROUND((Z484*'Data-CostAssumptions'!$G$5)*(1+'Data-CostAssumptions'!$G$3)^(AB484-'Data-CostAssumptions'!$G$4),-3)</f>
        <v>50000</v>
      </c>
      <c r="AF484" s="19">
        <f>ROUND((Z484)*(1+'Data-CostAssumptions'!$G$3)^(AD484-'Data-CostAssumptions'!$G$4),-3)</f>
        <v>226000</v>
      </c>
      <c r="AG484" s="170" t="str">
        <f t="shared" si="26"/>
        <v>No</v>
      </c>
    </row>
    <row r="485" spans="2:33" ht="15" customHeight="1" x14ac:dyDescent="0.2">
      <c r="B485" s="11" t="s">
        <v>1211</v>
      </c>
      <c r="C485" s="13">
        <v>269</v>
      </c>
      <c r="D485" s="13" t="s">
        <v>420</v>
      </c>
      <c r="E485" s="20">
        <v>396</v>
      </c>
      <c r="F485" s="20">
        <v>155</v>
      </c>
      <c r="G485" s="20">
        <v>483</v>
      </c>
      <c r="H485" s="13" t="s">
        <v>1964</v>
      </c>
      <c r="I485" s="13" t="str">
        <f t="shared" si="27"/>
        <v>SW 4th St (SW 1st Terrace to SW 3rd Av)</v>
      </c>
      <c r="J485" s="13" t="s">
        <v>27</v>
      </c>
      <c r="K485" s="13" t="str">
        <f>VLOOKUP(J485,'Data-ProjectTypes'!A$3:B$13,2,FALSE)</f>
        <v>Program</v>
      </c>
      <c r="L485" s="21" t="s">
        <v>348</v>
      </c>
      <c r="M485" s="13" t="s">
        <v>233</v>
      </c>
      <c r="N485" s="13" t="s">
        <v>2123</v>
      </c>
      <c r="O485" s="13" t="s">
        <v>289</v>
      </c>
      <c r="P485" s="13" t="s">
        <v>289</v>
      </c>
      <c r="Q485" s="22">
        <v>0.2</v>
      </c>
      <c r="R485" s="23">
        <v>62706</v>
      </c>
      <c r="S485" s="21" t="s">
        <v>24</v>
      </c>
      <c r="T485" s="21" t="s">
        <v>25</v>
      </c>
      <c r="U485" s="21"/>
      <c r="V485" s="24"/>
      <c r="W485" s="24"/>
      <c r="X485" s="24"/>
      <c r="Y485" s="17" t="s">
        <v>469</v>
      </c>
      <c r="Z485" s="18">
        <f>ROUND(R485*'Data-CostAssumptions'!$C$3,-3)</f>
        <v>87000</v>
      </c>
      <c r="AA485" s="11">
        <f t="shared" si="25"/>
        <v>0</v>
      </c>
      <c r="AB485" s="11">
        <v>2041</v>
      </c>
      <c r="AC485" s="11">
        <v>2041</v>
      </c>
      <c r="AD485" s="11">
        <v>2041</v>
      </c>
      <c r="AE485" s="19">
        <f>ROUND((Z485*'Data-CostAssumptions'!$G$5)*(1+'Data-CostAssumptions'!$G$3)^(AB485-'Data-CostAssumptions'!$G$4),-3)</f>
        <v>49000</v>
      </c>
      <c r="AF485" s="19">
        <f>ROUND((Z485)*(1+'Data-CostAssumptions'!$G$3)^(AD485-'Data-CostAssumptions'!$G$4),-3)</f>
        <v>223000</v>
      </c>
      <c r="AG485" s="170" t="str">
        <f t="shared" si="26"/>
        <v>No</v>
      </c>
    </row>
    <row r="486" spans="2:33" ht="15" customHeight="1" x14ac:dyDescent="0.2">
      <c r="B486" s="11" t="s">
        <v>1211</v>
      </c>
      <c r="C486" s="13">
        <v>332</v>
      </c>
      <c r="D486" s="13" t="s">
        <v>420</v>
      </c>
      <c r="E486" s="20">
        <v>363</v>
      </c>
      <c r="F486" s="20">
        <v>159</v>
      </c>
      <c r="G486" s="20">
        <v>543</v>
      </c>
      <c r="H486" s="13" t="s">
        <v>2073</v>
      </c>
      <c r="I486" s="13" t="str">
        <f t="shared" si="27"/>
        <v>NW 5th Av (NW 7th Av to Powerline Rd)</v>
      </c>
      <c r="J486" s="13" t="s">
        <v>27</v>
      </c>
      <c r="K486" s="13" t="str">
        <f>VLOOKUP(J486,'Data-ProjectTypes'!A$3:B$13,2,FALSE)</f>
        <v>Program</v>
      </c>
      <c r="L486" s="21" t="s">
        <v>348</v>
      </c>
      <c r="M486" s="13" t="s">
        <v>1982</v>
      </c>
      <c r="N486" s="13" t="s">
        <v>1858</v>
      </c>
      <c r="O486" s="13" t="s">
        <v>273</v>
      </c>
      <c r="P486" s="13" t="s">
        <v>273</v>
      </c>
      <c r="Q486" s="22">
        <v>0.2</v>
      </c>
      <c r="R486" s="23">
        <v>63059</v>
      </c>
      <c r="S486" s="21" t="s">
        <v>24</v>
      </c>
      <c r="T486" s="21" t="s">
        <v>24</v>
      </c>
      <c r="U486" s="21"/>
      <c r="V486" s="24"/>
      <c r="W486" s="24"/>
      <c r="X486" s="24"/>
      <c r="Y486" s="17" t="s">
        <v>469</v>
      </c>
      <c r="Z486" s="18">
        <f>ROUND(R486*'Data-CostAssumptions'!$C$3,-3)</f>
        <v>87000</v>
      </c>
      <c r="AA486" s="11">
        <f t="shared" si="25"/>
        <v>0</v>
      </c>
      <c r="AB486" s="11">
        <v>2041</v>
      </c>
      <c r="AC486" s="11">
        <v>2041</v>
      </c>
      <c r="AD486" s="11">
        <v>2041</v>
      </c>
      <c r="AE486" s="19">
        <f>ROUND((Z486*'Data-CostAssumptions'!$G$5)*(1+'Data-CostAssumptions'!$G$3)^(AB486-'Data-CostAssumptions'!$G$4),-3)</f>
        <v>49000</v>
      </c>
      <c r="AF486" s="19">
        <f>ROUND((Z486)*(1+'Data-CostAssumptions'!$G$3)^(AD486-'Data-CostAssumptions'!$G$4),-3)</f>
        <v>223000</v>
      </c>
      <c r="AG486" s="170" t="str">
        <f t="shared" si="26"/>
        <v>No</v>
      </c>
    </row>
    <row r="487" spans="2:33" ht="15" customHeight="1" x14ac:dyDescent="0.2">
      <c r="B487" s="11" t="s">
        <v>1211</v>
      </c>
      <c r="C487" s="13">
        <v>448</v>
      </c>
      <c r="D487" s="13" t="s">
        <v>420</v>
      </c>
      <c r="E487" s="20">
        <v>250</v>
      </c>
      <c r="F487" s="20">
        <v>166</v>
      </c>
      <c r="G487" s="20">
        <v>656</v>
      </c>
      <c r="H487" s="13" t="s">
        <v>2109</v>
      </c>
      <c r="I487" s="13" t="str">
        <f t="shared" si="27"/>
        <v>SW 16th St/SW 63rd Av (SW 63rd Av to SW 66th Av)</v>
      </c>
      <c r="J487" s="13" t="s">
        <v>27</v>
      </c>
      <c r="K487" s="13" t="str">
        <f>VLOOKUP(J487,'Data-ProjectTypes'!A$3:B$13,2,FALSE)</f>
        <v>Program</v>
      </c>
      <c r="L487" s="21" t="s">
        <v>348</v>
      </c>
      <c r="M487" s="13" t="s">
        <v>2254</v>
      </c>
      <c r="N487" s="13" t="s">
        <v>2269</v>
      </c>
      <c r="O487" s="13" t="s">
        <v>284</v>
      </c>
      <c r="P487" s="13" t="s">
        <v>284</v>
      </c>
      <c r="Q487" s="22">
        <v>0.2</v>
      </c>
      <c r="R487" s="23">
        <v>87255</v>
      </c>
      <c r="S487" s="21" t="s">
        <v>24</v>
      </c>
      <c r="T487" s="21"/>
      <c r="U487" s="21"/>
      <c r="V487" s="24"/>
      <c r="W487" s="24"/>
      <c r="X487" s="24"/>
      <c r="Y487" s="17" t="s">
        <v>460</v>
      </c>
      <c r="Z487" s="18">
        <f>ROUND(R487*'Data-CostAssumptions'!$C$8,-3)</f>
        <v>87000</v>
      </c>
      <c r="AA487" s="11">
        <f t="shared" si="25"/>
        <v>0</v>
      </c>
      <c r="AB487" s="11">
        <v>2041</v>
      </c>
      <c r="AC487" s="11">
        <v>2041</v>
      </c>
      <c r="AD487" s="11">
        <v>2041</v>
      </c>
      <c r="AE487" s="19">
        <f>ROUND((Z487*'Data-CostAssumptions'!$G$5)*(1+'Data-CostAssumptions'!$G$3)^(AB487-'Data-CostAssumptions'!$G$4),-3)</f>
        <v>49000</v>
      </c>
      <c r="AF487" s="19">
        <f>ROUND((Z487)*(1+'Data-CostAssumptions'!$G$3)^(AD487-'Data-CostAssumptions'!$G$4),-3)</f>
        <v>223000</v>
      </c>
      <c r="AG487" s="170" t="str">
        <f t="shared" si="26"/>
        <v>No</v>
      </c>
    </row>
    <row r="488" spans="2:33" ht="15" customHeight="1" x14ac:dyDescent="0.2">
      <c r="B488" s="11" t="s">
        <v>1211</v>
      </c>
      <c r="C488" s="13">
        <v>461</v>
      </c>
      <c r="D488" s="13" t="s">
        <v>420</v>
      </c>
      <c r="E488" s="20">
        <v>336</v>
      </c>
      <c r="F488" s="20">
        <v>167</v>
      </c>
      <c r="G488" s="20">
        <v>669</v>
      </c>
      <c r="H488" s="13" t="s">
        <v>57</v>
      </c>
      <c r="I488" s="13" t="str">
        <f t="shared" si="27"/>
        <v>SR 7/US 441 (Farragut St to Midpoint between Sunset Dr and North 59th Terrace)</v>
      </c>
      <c r="J488" s="13" t="s">
        <v>27</v>
      </c>
      <c r="K488" s="13" t="str">
        <f>VLOOKUP(J488,'Data-ProjectTypes'!A$3:B$13,2,FALSE)</f>
        <v>Program</v>
      </c>
      <c r="L488" s="21" t="s">
        <v>348</v>
      </c>
      <c r="M488" s="13" t="s">
        <v>2534</v>
      </c>
      <c r="N488" s="13" t="s">
        <v>2661</v>
      </c>
      <c r="O488" s="13" t="s">
        <v>270</v>
      </c>
      <c r="P488" s="13" t="s">
        <v>270</v>
      </c>
      <c r="Q488" s="22">
        <v>0.2</v>
      </c>
      <c r="R488" s="23">
        <v>86753</v>
      </c>
      <c r="S488" s="21"/>
      <c r="T488" s="21"/>
      <c r="U488" s="21"/>
      <c r="V488" s="24"/>
      <c r="W488" s="24"/>
      <c r="X488" s="24"/>
      <c r="Y488" s="17"/>
      <c r="Z488" s="18">
        <f>ROUND(R488*'Data-CostAssumptions'!$C$8,-3)</f>
        <v>87000</v>
      </c>
      <c r="AA488" s="11">
        <f t="shared" si="25"/>
        <v>0</v>
      </c>
      <c r="AB488" s="11">
        <v>2041</v>
      </c>
      <c r="AC488" s="11">
        <v>2041</v>
      </c>
      <c r="AD488" s="11">
        <v>2041</v>
      </c>
      <c r="AE488" s="19">
        <f>ROUND((Z488*'Data-CostAssumptions'!$G$5)*(1+'Data-CostAssumptions'!$G$3)^(AB488-'Data-CostAssumptions'!$G$4),-3)</f>
        <v>49000</v>
      </c>
      <c r="AF488" s="19">
        <f>ROUND((Z488)*(1+'Data-CostAssumptions'!$G$3)^(AD488-'Data-CostAssumptions'!$G$4),-3)</f>
        <v>223000</v>
      </c>
      <c r="AG488" s="170" t="str">
        <f t="shared" si="26"/>
        <v>No</v>
      </c>
    </row>
    <row r="489" spans="2:33" ht="15" customHeight="1" x14ac:dyDescent="0.2">
      <c r="B489" s="11" t="s">
        <v>1211</v>
      </c>
      <c r="C489" s="13">
        <v>327</v>
      </c>
      <c r="D489" s="13" t="s">
        <v>420</v>
      </c>
      <c r="E489" s="20">
        <v>321</v>
      </c>
      <c r="F489" s="20">
        <v>159</v>
      </c>
      <c r="G489" s="20">
        <v>538</v>
      </c>
      <c r="H489" s="13" t="s">
        <v>2803</v>
      </c>
      <c r="I489" s="13" t="str">
        <f t="shared" si="27"/>
        <v>SR 870/Commercial Bl (NE 17th Av to Just west of NE 15th Terrace)</v>
      </c>
      <c r="J489" s="13" t="s">
        <v>27</v>
      </c>
      <c r="K489" s="13" t="str">
        <f>VLOOKUP(J489,'Data-ProjectTypes'!A$3:B$13,2,FALSE)</f>
        <v>Program</v>
      </c>
      <c r="L489" s="21" t="s">
        <v>348</v>
      </c>
      <c r="M489" s="13" t="s">
        <v>2345</v>
      </c>
      <c r="N489" s="13" t="s">
        <v>145</v>
      </c>
      <c r="O489" s="13" t="s">
        <v>270</v>
      </c>
      <c r="P489" s="13" t="s">
        <v>270</v>
      </c>
      <c r="Q489" s="22">
        <v>0.2</v>
      </c>
      <c r="R489" s="23">
        <v>61206</v>
      </c>
      <c r="S489" s="21" t="s">
        <v>24</v>
      </c>
      <c r="T489" s="21"/>
      <c r="U489" s="21"/>
      <c r="V489" s="24"/>
      <c r="W489" s="24"/>
      <c r="X489" s="24"/>
      <c r="Y489" s="17" t="s">
        <v>538</v>
      </c>
      <c r="Z489" s="18">
        <f>ROUND(R489*'Data-CostAssumptions'!$C$3,-3)</f>
        <v>85000</v>
      </c>
      <c r="AA489" s="11">
        <f t="shared" si="25"/>
        <v>0</v>
      </c>
      <c r="AB489" s="11">
        <v>2041</v>
      </c>
      <c r="AC489" s="11">
        <v>2041</v>
      </c>
      <c r="AD489" s="11">
        <v>2041</v>
      </c>
      <c r="AE489" s="19">
        <f>ROUND((Z489*'Data-CostAssumptions'!$G$5)*(1+'Data-CostAssumptions'!$G$3)^(AB489-'Data-CostAssumptions'!$G$4),-3)</f>
        <v>48000</v>
      </c>
      <c r="AF489" s="19">
        <f>ROUND((Z489)*(1+'Data-CostAssumptions'!$G$3)^(AD489-'Data-CostAssumptions'!$G$4),-3)</f>
        <v>218000</v>
      </c>
      <c r="AG489" s="170" t="str">
        <f t="shared" si="26"/>
        <v>No</v>
      </c>
    </row>
    <row r="490" spans="2:33" ht="15" customHeight="1" x14ac:dyDescent="0.2">
      <c r="B490" s="11" t="s">
        <v>1211</v>
      </c>
      <c r="C490" s="13">
        <v>268</v>
      </c>
      <c r="D490" s="13" t="s">
        <v>420</v>
      </c>
      <c r="E490" s="20">
        <v>390</v>
      </c>
      <c r="F490" s="20">
        <v>155</v>
      </c>
      <c r="G490" s="20">
        <v>482</v>
      </c>
      <c r="H490" s="13" t="s">
        <v>1889</v>
      </c>
      <c r="I490" s="13" t="str">
        <f t="shared" si="27"/>
        <v>NE 33rd St (NE 5th Av to NE 3rd Av)</v>
      </c>
      <c r="J490" s="13" t="s">
        <v>27</v>
      </c>
      <c r="K490" s="13" t="str">
        <f>VLOOKUP(J490,'Data-ProjectTypes'!A$3:B$13,2,FALSE)</f>
        <v>Program</v>
      </c>
      <c r="L490" s="21" t="s">
        <v>348</v>
      </c>
      <c r="M490" s="13" t="s">
        <v>2035</v>
      </c>
      <c r="N490" s="13" t="s">
        <v>2033</v>
      </c>
      <c r="O490" s="13" t="s">
        <v>275</v>
      </c>
      <c r="P490" s="13" t="s">
        <v>275</v>
      </c>
      <c r="Q490" s="22">
        <v>0.2</v>
      </c>
      <c r="R490" s="23">
        <v>60791</v>
      </c>
      <c r="S490" s="21" t="s">
        <v>24</v>
      </c>
      <c r="T490" s="21" t="s">
        <v>25</v>
      </c>
      <c r="U490" s="21"/>
      <c r="V490" s="24"/>
      <c r="W490" s="24"/>
      <c r="X490" s="24"/>
      <c r="Y490" s="17" t="s">
        <v>469</v>
      </c>
      <c r="Z490" s="18">
        <f>ROUND(R490*'Data-CostAssumptions'!$C$3,-3)</f>
        <v>84000</v>
      </c>
      <c r="AA490" s="11">
        <f t="shared" si="25"/>
        <v>0</v>
      </c>
      <c r="AB490" s="11">
        <v>2041</v>
      </c>
      <c r="AC490" s="11">
        <v>2041</v>
      </c>
      <c r="AD490" s="11">
        <v>2041</v>
      </c>
      <c r="AE490" s="19">
        <f>ROUND((Z490*'Data-CostAssumptions'!$G$5)*(1+'Data-CostAssumptions'!$G$3)^(AB490-'Data-CostAssumptions'!$G$4),-3)</f>
        <v>47000</v>
      </c>
      <c r="AF490" s="19">
        <f>ROUND((Z490)*(1+'Data-CostAssumptions'!$G$3)^(AD490-'Data-CostAssumptions'!$G$4),-3)</f>
        <v>215000</v>
      </c>
      <c r="AG490" s="170" t="str">
        <f t="shared" si="26"/>
        <v>No</v>
      </c>
    </row>
    <row r="491" spans="2:33" ht="15" customHeight="1" x14ac:dyDescent="0.2">
      <c r="B491" s="11" t="s">
        <v>1211</v>
      </c>
      <c r="C491" s="13">
        <v>380</v>
      </c>
      <c r="D491" s="13" t="s">
        <v>420</v>
      </c>
      <c r="E491" s="20">
        <v>242</v>
      </c>
      <c r="F491" s="20">
        <v>162</v>
      </c>
      <c r="G491" s="20">
        <v>591</v>
      </c>
      <c r="H491" s="13" t="s">
        <v>2079</v>
      </c>
      <c r="I491" s="13" t="str">
        <f t="shared" si="27"/>
        <v>NW 72nd Av (NW 11th Place to NW 13th St)</v>
      </c>
      <c r="J491" s="13" t="s">
        <v>27</v>
      </c>
      <c r="K491" s="13" t="str">
        <f>VLOOKUP(J491,'Data-ProjectTypes'!A$3:B$13,2,FALSE)</f>
        <v>Program</v>
      </c>
      <c r="L491" s="21" t="s">
        <v>348</v>
      </c>
      <c r="M491" s="13" t="s">
        <v>123</v>
      </c>
      <c r="N491" s="13" t="s">
        <v>1908</v>
      </c>
      <c r="O491" s="13" t="s">
        <v>284</v>
      </c>
      <c r="P491" s="13" t="s">
        <v>284</v>
      </c>
      <c r="Q491" s="22">
        <v>0.2</v>
      </c>
      <c r="R491" s="23">
        <v>59802</v>
      </c>
      <c r="S491" s="21"/>
      <c r="T491" s="21"/>
      <c r="U491" s="21"/>
      <c r="V491" s="24"/>
      <c r="W491" s="24"/>
      <c r="X491" s="24"/>
      <c r="Y491" s="17"/>
      <c r="Z491" s="18">
        <f>ROUND(R491*'Data-CostAssumptions'!$C$3,-3)</f>
        <v>83000</v>
      </c>
      <c r="AA491" s="11">
        <f t="shared" si="25"/>
        <v>0</v>
      </c>
      <c r="AB491" s="11">
        <v>2041</v>
      </c>
      <c r="AC491" s="11">
        <v>2041</v>
      </c>
      <c r="AD491" s="11">
        <v>2041</v>
      </c>
      <c r="AE491" s="19">
        <f>ROUND((Z491*'Data-CostAssumptions'!$G$5)*(1+'Data-CostAssumptions'!$G$3)^(AB491-'Data-CostAssumptions'!$G$4),-3)</f>
        <v>47000</v>
      </c>
      <c r="AF491" s="19">
        <f>ROUND((Z491)*(1+'Data-CostAssumptions'!$G$3)^(AD491-'Data-CostAssumptions'!$G$4),-3)</f>
        <v>213000</v>
      </c>
      <c r="AG491" s="170" t="str">
        <f t="shared" si="26"/>
        <v>No</v>
      </c>
    </row>
    <row r="492" spans="2:33" ht="15" customHeight="1" x14ac:dyDescent="0.2">
      <c r="B492" s="11" t="s">
        <v>1211</v>
      </c>
      <c r="C492" s="11">
        <v>12012</v>
      </c>
      <c r="D492" s="84" t="s">
        <v>292</v>
      </c>
      <c r="E492" s="14"/>
      <c r="F492" s="14"/>
      <c r="G492" s="20">
        <v>1095</v>
      </c>
      <c r="H492" s="13" t="s">
        <v>1783</v>
      </c>
      <c r="I492" s="13" t="str">
        <f t="shared" si="27"/>
        <v>Broken Woods Dr (Sample Rd to University Dr )</v>
      </c>
      <c r="J492" s="11" t="s">
        <v>27</v>
      </c>
      <c r="K492" s="13" t="str">
        <f>VLOOKUP(J492,'Data-ProjectTypes'!A$3:B$13,2,FALSE)</f>
        <v>Program</v>
      </c>
      <c r="L492" s="11" t="s">
        <v>427</v>
      </c>
      <c r="M492" s="11" t="s">
        <v>1864</v>
      </c>
      <c r="N492" s="11" t="s">
        <v>2648</v>
      </c>
      <c r="Q492" s="15">
        <v>0.21</v>
      </c>
      <c r="R492" s="16">
        <v>81741.208032051276</v>
      </c>
      <c r="Y492" s="12"/>
      <c r="Z492" s="71">
        <f>ROUND(R492*'Data-CostAssumptions'!$C$8,-3)</f>
        <v>82000</v>
      </c>
      <c r="AA492" s="11">
        <f t="shared" si="25"/>
        <v>0</v>
      </c>
      <c r="AB492" s="11">
        <v>2041</v>
      </c>
      <c r="AC492" s="11">
        <v>2041</v>
      </c>
      <c r="AD492" s="11">
        <v>2041</v>
      </c>
      <c r="AE492" s="19">
        <f>ROUND((Z492*'Data-CostAssumptions'!$G$5)*(1+'Data-CostAssumptions'!$G$3)^(AB492-'Data-CostAssumptions'!$G$4),-3)</f>
        <v>46000</v>
      </c>
      <c r="AF492" s="19">
        <f>ROUND((Z492)*(1+'Data-CostAssumptions'!$G$3)^(AD492-'Data-CostAssumptions'!$G$4),-3)</f>
        <v>210000</v>
      </c>
      <c r="AG492" s="170" t="str">
        <f t="shared" si="26"/>
        <v>No</v>
      </c>
    </row>
    <row r="493" spans="2:33" ht="15" customHeight="1" x14ac:dyDescent="0.2">
      <c r="B493" s="11" t="s">
        <v>1211</v>
      </c>
      <c r="C493" s="13">
        <v>576</v>
      </c>
      <c r="D493" s="13" t="s">
        <v>420</v>
      </c>
      <c r="E493" s="20">
        <v>372</v>
      </c>
      <c r="F493" s="20">
        <v>173</v>
      </c>
      <c r="G493" s="20">
        <v>781</v>
      </c>
      <c r="H493" s="13" t="s">
        <v>2134</v>
      </c>
      <c r="I493" s="13" t="str">
        <f t="shared" si="27"/>
        <v>SW 81st Av (SW 12th St to Kimberly Bl)</v>
      </c>
      <c r="J493" s="13" t="s">
        <v>27</v>
      </c>
      <c r="K493" s="13" t="str">
        <f>VLOOKUP(J493,'Data-ProjectTypes'!A$3:B$13,2,FALSE)</f>
        <v>Program</v>
      </c>
      <c r="L493" s="21" t="s">
        <v>348</v>
      </c>
      <c r="M493" s="13" t="s">
        <v>2550</v>
      </c>
      <c r="N493" s="13" t="s">
        <v>1822</v>
      </c>
      <c r="O493" s="13" t="s">
        <v>285</v>
      </c>
      <c r="P493" s="13" t="s">
        <v>285</v>
      </c>
      <c r="Q493" s="22">
        <v>0.2</v>
      </c>
      <c r="R493" s="23">
        <v>80360</v>
      </c>
      <c r="V493" s="85" t="s">
        <v>453</v>
      </c>
      <c r="X493" s="11" t="s">
        <v>464</v>
      </c>
      <c r="Y493" s="12"/>
      <c r="Z493" s="18">
        <f>ROUND(R493*'Data-CostAssumptions'!$C$4,-3)</f>
        <v>80000</v>
      </c>
      <c r="AA493" s="11">
        <f t="shared" si="25"/>
        <v>1</v>
      </c>
      <c r="AB493" s="11">
        <v>2041</v>
      </c>
      <c r="AC493" s="11">
        <v>2041</v>
      </c>
      <c r="AD493" s="11">
        <v>2041</v>
      </c>
      <c r="AE493" s="19">
        <f>ROUND((Z493*'Data-CostAssumptions'!$G$5)*(1+'Data-CostAssumptions'!$G$3)^(AB493-'Data-CostAssumptions'!$G$4),-3)</f>
        <v>45000</v>
      </c>
      <c r="AF493" s="19">
        <f>ROUND((Z493)*(1+'Data-CostAssumptions'!$G$3)^(AD493-'Data-CostAssumptions'!$G$4),-3)</f>
        <v>205000</v>
      </c>
      <c r="AG493" s="170" t="str">
        <f t="shared" si="26"/>
        <v>No</v>
      </c>
    </row>
    <row r="494" spans="2:33" ht="15" customHeight="1" x14ac:dyDescent="0.2">
      <c r="B494" s="11" t="s">
        <v>1211</v>
      </c>
      <c r="C494" s="11">
        <v>12013</v>
      </c>
      <c r="D494" s="84" t="s">
        <v>292</v>
      </c>
      <c r="E494" s="14"/>
      <c r="F494" s="14"/>
      <c r="G494" s="20">
        <v>1096</v>
      </c>
      <c r="H494" s="13" t="s">
        <v>423</v>
      </c>
      <c r="I494" s="13" t="str">
        <f t="shared" si="27"/>
        <v>NW 114 Lane (NW 36 St to Sample Rd)</v>
      </c>
      <c r="J494" s="11" t="s">
        <v>27</v>
      </c>
      <c r="K494" s="13" t="str">
        <f>VLOOKUP(J494,'Data-ProjectTypes'!A$3:B$13,2,FALSE)</f>
        <v>Program</v>
      </c>
      <c r="L494" s="11" t="s">
        <v>428</v>
      </c>
      <c r="M494" s="11" t="s">
        <v>2535</v>
      </c>
      <c r="N494" s="11" t="s">
        <v>1864</v>
      </c>
      <c r="Q494" s="15">
        <v>0.2</v>
      </c>
      <c r="R494" s="16">
        <v>77848.769554334562</v>
      </c>
      <c r="Y494" s="12"/>
      <c r="Z494" s="71">
        <f>ROUND(R494*'Data-CostAssumptions'!$C$8,-3)</f>
        <v>78000</v>
      </c>
      <c r="AA494" s="11">
        <f t="shared" si="25"/>
        <v>0</v>
      </c>
      <c r="AB494" s="11">
        <v>2041</v>
      </c>
      <c r="AC494" s="11">
        <v>2041</v>
      </c>
      <c r="AD494" s="11">
        <v>2041</v>
      </c>
      <c r="AE494" s="19">
        <f>ROUND((Z494*'Data-CostAssumptions'!$G$5)*(1+'Data-CostAssumptions'!$G$3)^(AB494-'Data-CostAssumptions'!$G$4),-3)</f>
        <v>44000</v>
      </c>
      <c r="AF494" s="19">
        <f>ROUND((Z494)*(1+'Data-CostAssumptions'!$G$3)^(AD494-'Data-CostAssumptions'!$G$4),-3)</f>
        <v>200000</v>
      </c>
      <c r="AG494" s="170" t="str">
        <f t="shared" si="26"/>
        <v>No</v>
      </c>
    </row>
    <row r="495" spans="2:33" ht="15" customHeight="1" x14ac:dyDescent="0.2">
      <c r="B495" s="11" t="s">
        <v>1211</v>
      </c>
      <c r="C495" s="13">
        <v>334</v>
      </c>
      <c r="D495" s="13" t="s">
        <v>420</v>
      </c>
      <c r="E495" s="20">
        <v>371</v>
      </c>
      <c r="F495" s="20">
        <v>159</v>
      </c>
      <c r="G495" s="20">
        <v>545</v>
      </c>
      <c r="H495" s="13" t="s">
        <v>1744</v>
      </c>
      <c r="I495" s="13" t="str">
        <f t="shared" si="27"/>
        <v>Bailey Rd (State Rd 7/US 441 to NW 42nd Av)</v>
      </c>
      <c r="J495" s="13" t="s">
        <v>27</v>
      </c>
      <c r="K495" s="13" t="str">
        <f>VLOOKUP(J495,'Data-ProjectTypes'!A$3:B$13,2,FALSE)</f>
        <v>Program</v>
      </c>
      <c r="L495" s="21" t="s">
        <v>348</v>
      </c>
      <c r="M495" s="13" t="s">
        <v>1773</v>
      </c>
      <c r="N495" s="13" t="s">
        <v>2213</v>
      </c>
      <c r="O495" s="13" t="s">
        <v>285</v>
      </c>
      <c r="P495" s="13" t="s">
        <v>285</v>
      </c>
      <c r="Q495" s="22">
        <v>0.2</v>
      </c>
      <c r="R495" s="23">
        <v>55776</v>
      </c>
      <c r="S495" s="21"/>
      <c r="T495" s="21"/>
      <c r="U495" s="21"/>
      <c r="V495" s="24"/>
      <c r="W495" s="24"/>
      <c r="X495" s="24"/>
      <c r="Y495" s="17"/>
      <c r="Z495" s="18">
        <f>ROUND(R495*'Data-CostAssumptions'!$C$3,-3)</f>
        <v>77000</v>
      </c>
      <c r="AA495" s="11">
        <f t="shared" si="25"/>
        <v>0</v>
      </c>
      <c r="AB495" s="11">
        <v>2041</v>
      </c>
      <c r="AC495" s="11">
        <v>2041</v>
      </c>
      <c r="AD495" s="11">
        <v>2041</v>
      </c>
      <c r="AE495" s="19">
        <f>ROUND((Z495*'Data-CostAssumptions'!$G$5)*(1+'Data-CostAssumptions'!$G$3)^(AB495-'Data-CostAssumptions'!$G$4),-3)</f>
        <v>43000</v>
      </c>
      <c r="AF495" s="19">
        <f>ROUND((Z495)*(1+'Data-CostAssumptions'!$G$3)^(AD495-'Data-CostAssumptions'!$G$4),-3)</f>
        <v>197000</v>
      </c>
      <c r="AG495" s="170" t="str">
        <f t="shared" si="26"/>
        <v>No</v>
      </c>
    </row>
    <row r="496" spans="2:33" ht="15" customHeight="1" x14ac:dyDescent="0.2">
      <c r="B496" s="11" t="s">
        <v>1211</v>
      </c>
      <c r="C496" s="13">
        <v>392</v>
      </c>
      <c r="D496" s="13" t="s">
        <v>420</v>
      </c>
      <c r="E496" s="20">
        <v>373</v>
      </c>
      <c r="F496" s="20">
        <v>163</v>
      </c>
      <c r="G496" s="20">
        <v>603</v>
      </c>
      <c r="H496" s="13" t="s">
        <v>1822</v>
      </c>
      <c r="I496" s="13" t="str">
        <f t="shared" si="27"/>
        <v>Kimberly Bl (SW 73rd Av to SW 75th Av)</v>
      </c>
      <c r="J496" s="13" t="s">
        <v>27</v>
      </c>
      <c r="K496" s="13" t="str">
        <f>VLOOKUP(J496,'Data-ProjectTypes'!A$3:B$13,2,FALSE)</f>
        <v>Program</v>
      </c>
      <c r="L496" s="21" t="s">
        <v>348</v>
      </c>
      <c r="M496" s="13" t="s">
        <v>2359</v>
      </c>
      <c r="N496" s="13" t="s">
        <v>2229</v>
      </c>
      <c r="O496" s="13" t="s">
        <v>285</v>
      </c>
      <c r="P496" s="13" t="s">
        <v>285</v>
      </c>
      <c r="Q496" s="22">
        <v>0.2</v>
      </c>
      <c r="R496" s="23">
        <v>55779</v>
      </c>
      <c r="S496" s="21" t="s">
        <v>24</v>
      </c>
      <c r="T496" s="21"/>
      <c r="U496" s="21"/>
      <c r="V496" s="24"/>
      <c r="W496" s="24" t="s">
        <v>552</v>
      </c>
      <c r="X496" s="24"/>
      <c r="Y496" s="17" t="s">
        <v>538</v>
      </c>
      <c r="Z496" s="71">
        <f>ROUND(R496*'Data-CostAssumptions'!$C$3,-3)</f>
        <v>77000</v>
      </c>
      <c r="AA496" s="11">
        <f t="shared" si="25"/>
        <v>1</v>
      </c>
      <c r="AB496" s="11">
        <v>2041</v>
      </c>
      <c r="AC496" s="11">
        <v>2041</v>
      </c>
      <c r="AD496" s="11">
        <v>2041</v>
      </c>
      <c r="AE496" s="19">
        <f>ROUND((Z496*'Data-CostAssumptions'!$G$5)*(1+'Data-CostAssumptions'!$G$3)^(AB496-'Data-CostAssumptions'!$G$4),-3)</f>
        <v>43000</v>
      </c>
      <c r="AF496" s="19">
        <f>ROUND((Z496)*(1+'Data-CostAssumptions'!$G$3)^(AD496-'Data-CostAssumptions'!$G$4),-3)</f>
        <v>197000</v>
      </c>
      <c r="AG496" s="170" t="str">
        <f t="shared" si="26"/>
        <v>No</v>
      </c>
    </row>
    <row r="497" spans="2:33" ht="15" customHeight="1" x14ac:dyDescent="0.2">
      <c r="B497" s="11" t="s">
        <v>1211</v>
      </c>
      <c r="C497" s="13">
        <v>479</v>
      </c>
      <c r="D497" s="13" t="s">
        <v>420</v>
      </c>
      <c r="E497" s="20">
        <v>407</v>
      </c>
      <c r="F497" s="20">
        <v>168</v>
      </c>
      <c r="G497" s="20">
        <v>686</v>
      </c>
      <c r="H497" s="13" t="s">
        <v>1877</v>
      </c>
      <c r="I497" s="13" t="str">
        <f t="shared" si="27"/>
        <v>Cross St (NW 84th Av to Pine Island Rd)</v>
      </c>
      <c r="J497" s="13" t="s">
        <v>27</v>
      </c>
      <c r="K497" s="13" t="str">
        <f>VLOOKUP(J497,'Data-ProjectTypes'!A$3:B$13,2,FALSE)</f>
        <v>Program</v>
      </c>
      <c r="L497" s="21" t="s">
        <v>348</v>
      </c>
      <c r="M497" s="13" t="s">
        <v>2341</v>
      </c>
      <c r="N497" s="13" t="s">
        <v>266</v>
      </c>
      <c r="O497" s="13" t="s">
        <v>273</v>
      </c>
      <c r="P497" s="13" t="s">
        <v>273</v>
      </c>
      <c r="Q497" s="22">
        <v>0.2</v>
      </c>
      <c r="R497" s="23">
        <v>76482</v>
      </c>
      <c r="S497" s="21" t="s">
        <v>350</v>
      </c>
      <c r="T497" s="21"/>
      <c r="U497" s="21"/>
      <c r="V497" s="24"/>
      <c r="W497" s="24" t="s">
        <v>580</v>
      </c>
      <c r="X497" s="24"/>
      <c r="Y497" s="17" t="s">
        <v>538</v>
      </c>
      <c r="Z497" s="18">
        <f>ROUND(R497*'Data-CostAssumptions'!$C$8,-3)</f>
        <v>76000</v>
      </c>
      <c r="AA497" s="11">
        <f t="shared" si="25"/>
        <v>1</v>
      </c>
      <c r="AB497" s="11">
        <v>2041</v>
      </c>
      <c r="AC497" s="11">
        <v>2041</v>
      </c>
      <c r="AD497" s="11">
        <v>2041</v>
      </c>
      <c r="AE497" s="19">
        <f>ROUND((Z497*'Data-CostAssumptions'!$G$5)*(1+'Data-CostAssumptions'!$G$3)^(AB497-'Data-CostAssumptions'!$G$4),-3)</f>
        <v>43000</v>
      </c>
      <c r="AF497" s="19">
        <f>ROUND((Z497)*(1+'Data-CostAssumptions'!$G$3)^(AD497-'Data-CostAssumptions'!$G$4),-3)</f>
        <v>195000</v>
      </c>
      <c r="AG497" s="170" t="str">
        <f t="shared" si="26"/>
        <v>No</v>
      </c>
    </row>
    <row r="498" spans="2:33" ht="15" customHeight="1" x14ac:dyDescent="0.2">
      <c r="B498" s="11" t="s">
        <v>1211</v>
      </c>
      <c r="C498" s="13">
        <v>484</v>
      </c>
      <c r="D498" s="13" t="s">
        <v>420</v>
      </c>
      <c r="E498" s="20">
        <v>441</v>
      </c>
      <c r="F498" s="20">
        <v>168</v>
      </c>
      <c r="G498" s="20">
        <v>690</v>
      </c>
      <c r="H498" s="13" t="s">
        <v>230</v>
      </c>
      <c r="I498" s="13" t="str">
        <f t="shared" si="27"/>
        <v>NE 1st Terrace (NE 39th Court to Just south of NE 42nd St)</v>
      </c>
      <c r="J498" s="13" t="s">
        <v>27</v>
      </c>
      <c r="K498" s="13" t="str">
        <f>VLOOKUP(J498,'Data-ProjectTypes'!A$3:B$13,2,FALSE)</f>
        <v>Program</v>
      </c>
      <c r="L498" s="21" t="s">
        <v>348</v>
      </c>
      <c r="M498" s="13" t="s">
        <v>229</v>
      </c>
      <c r="N498" s="13" t="s">
        <v>2509</v>
      </c>
      <c r="O498" s="13" t="s">
        <v>289</v>
      </c>
      <c r="P498" s="13" t="s">
        <v>289</v>
      </c>
      <c r="Q498" s="22">
        <v>0.2</v>
      </c>
      <c r="R498" s="23">
        <v>76314</v>
      </c>
      <c r="S498" s="21" t="s">
        <v>24</v>
      </c>
      <c r="T498" s="21" t="s">
        <v>684</v>
      </c>
      <c r="U498" s="21" t="s">
        <v>684</v>
      </c>
      <c r="V498" s="24"/>
      <c r="W498" s="24"/>
      <c r="X498" s="24"/>
      <c r="Y498" s="17" t="s">
        <v>685</v>
      </c>
      <c r="Z498" s="18">
        <f>ROUND(R498*'Data-CostAssumptions'!$C$8,-3)</f>
        <v>76000</v>
      </c>
      <c r="AA498" s="11">
        <f t="shared" si="25"/>
        <v>0</v>
      </c>
      <c r="AB498" s="11">
        <v>2041</v>
      </c>
      <c r="AC498" s="11">
        <v>2041</v>
      </c>
      <c r="AD498" s="11">
        <v>2041</v>
      </c>
      <c r="AE498" s="19">
        <f>ROUND((Z498*'Data-CostAssumptions'!$G$5)*(1+'Data-CostAssumptions'!$G$3)^(AB498-'Data-CostAssumptions'!$G$4),-3)</f>
        <v>43000</v>
      </c>
      <c r="AF498" s="19">
        <f>ROUND((Z498)*(1+'Data-CostAssumptions'!$G$3)^(AD498-'Data-CostAssumptions'!$G$4),-3)</f>
        <v>195000</v>
      </c>
      <c r="AG498" s="170" t="str">
        <f t="shared" si="26"/>
        <v>No</v>
      </c>
    </row>
    <row r="499" spans="2:33" ht="15" customHeight="1" x14ac:dyDescent="0.2">
      <c r="B499" s="11" t="s">
        <v>1211</v>
      </c>
      <c r="C499" s="13">
        <v>322</v>
      </c>
      <c r="D499" s="13" t="s">
        <v>420</v>
      </c>
      <c r="E499" s="20">
        <v>289</v>
      </c>
      <c r="F499" s="20">
        <v>158</v>
      </c>
      <c r="G499" s="20">
        <v>533</v>
      </c>
      <c r="H499" s="13" t="s">
        <v>1764</v>
      </c>
      <c r="I499" s="13" t="str">
        <f t="shared" si="27"/>
        <v>Phippen Rd (Just south of SW 10th St to Dixie Hwy)</v>
      </c>
      <c r="J499" s="13" t="s">
        <v>27</v>
      </c>
      <c r="K499" s="13" t="str">
        <f>VLOOKUP(J499,'Data-ProjectTypes'!A$3:B$13,2,FALSE)</f>
        <v>Program</v>
      </c>
      <c r="L499" s="21" t="s">
        <v>348</v>
      </c>
      <c r="M499" s="13" t="s">
        <v>2551</v>
      </c>
      <c r="N499" s="13" t="s">
        <v>728</v>
      </c>
      <c r="O499" s="13" t="s">
        <v>286</v>
      </c>
      <c r="P499" s="13" t="s">
        <v>286</v>
      </c>
      <c r="Q499" s="22">
        <v>0.2</v>
      </c>
      <c r="R499" s="23">
        <v>53872</v>
      </c>
      <c r="S499" s="21" t="s">
        <v>24</v>
      </c>
      <c r="T499" s="21"/>
      <c r="U499" s="21"/>
      <c r="V499" s="24"/>
      <c r="W499" s="24" t="s">
        <v>491</v>
      </c>
      <c r="X499" s="24"/>
      <c r="Y499" s="17" t="s">
        <v>492</v>
      </c>
      <c r="Z499" s="18">
        <f>ROUND(R499*'Data-CostAssumptions'!$C$3,-3)</f>
        <v>75000</v>
      </c>
      <c r="AA499" s="11">
        <f t="shared" si="25"/>
        <v>1</v>
      </c>
      <c r="AB499" s="11">
        <v>2041</v>
      </c>
      <c r="AC499" s="11">
        <v>2041</v>
      </c>
      <c r="AD499" s="11">
        <v>2041</v>
      </c>
      <c r="AE499" s="19">
        <f>ROUND((Z499*'Data-CostAssumptions'!$G$5)*(1+'Data-CostAssumptions'!$G$3)^(AB499-'Data-CostAssumptions'!$G$4),-3)</f>
        <v>42000</v>
      </c>
      <c r="AF499" s="19">
        <f>ROUND((Z499)*(1+'Data-CostAssumptions'!$G$3)^(AD499-'Data-CostAssumptions'!$G$4),-3)</f>
        <v>192000</v>
      </c>
      <c r="AG499" s="170" t="str">
        <f t="shared" si="26"/>
        <v>No</v>
      </c>
    </row>
    <row r="500" spans="2:33" ht="15" customHeight="1" x14ac:dyDescent="0.2">
      <c r="B500" s="11" t="s">
        <v>1211</v>
      </c>
      <c r="C500" s="13">
        <v>481</v>
      </c>
      <c r="D500" s="13" t="s">
        <v>420</v>
      </c>
      <c r="E500" s="20">
        <v>409</v>
      </c>
      <c r="F500" s="20">
        <v>168</v>
      </c>
      <c r="G500" s="20">
        <v>688</v>
      </c>
      <c r="H500" s="13" t="s">
        <v>1962</v>
      </c>
      <c r="I500" s="13" t="str">
        <f t="shared" si="27"/>
        <v>SW 3rd St (SW 82nd Av to SW 84th Av)</v>
      </c>
      <c r="J500" s="13" t="s">
        <v>27</v>
      </c>
      <c r="K500" s="13" t="str">
        <f>VLOOKUP(J500,'Data-ProjectTypes'!A$3:B$13,2,FALSE)</f>
        <v>Program</v>
      </c>
      <c r="L500" s="21" t="s">
        <v>348</v>
      </c>
      <c r="M500" s="13" t="s">
        <v>2136</v>
      </c>
      <c r="N500" s="13" t="s">
        <v>2272</v>
      </c>
      <c r="O500" s="13" t="s">
        <v>284</v>
      </c>
      <c r="P500" s="13" t="s">
        <v>284</v>
      </c>
      <c r="Q500" s="22">
        <v>0.2</v>
      </c>
      <c r="R500" s="23">
        <v>73241</v>
      </c>
      <c r="S500" s="21" t="s">
        <v>350</v>
      </c>
      <c r="T500" s="21"/>
      <c r="U500" s="21"/>
      <c r="V500" s="24"/>
      <c r="W500" s="24" t="s">
        <v>580</v>
      </c>
      <c r="X500" s="24"/>
      <c r="Y500" s="17" t="s">
        <v>538</v>
      </c>
      <c r="Z500" s="18">
        <f>ROUND(R500*'Data-CostAssumptions'!$C$8,-3)</f>
        <v>73000</v>
      </c>
      <c r="AA500" s="11">
        <f t="shared" si="25"/>
        <v>1</v>
      </c>
      <c r="AB500" s="11">
        <v>2041</v>
      </c>
      <c r="AC500" s="11">
        <v>2041</v>
      </c>
      <c r="AD500" s="11">
        <v>2041</v>
      </c>
      <c r="AE500" s="19">
        <f>ROUND((Z500*'Data-CostAssumptions'!$G$5)*(1+'Data-CostAssumptions'!$G$3)^(AB500-'Data-CostAssumptions'!$G$4),-3)</f>
        <v>41000</v>
      </c>
      <c r="AF500" s="19">
        <f>ROUND((Z500)*(1+'Data-CostAssumptions'!$G$3)^(AD500-'Data-CostAssumptions'!$G$4),-3)</f>
        <v>187000</v>
      </c>
      <c r="AG500" s="170" t="str">
        <f t="shared" si="26"/>
        <v>No</v>
      </c>
    </row>
    <row r="501" spans="2:33" ht="15" customHeight="1" x14ac:dyDescent="0.2">
      <c r="B501" s="11" t="s">
        <v>1211</v>
      </c>
      <c r="C501" s="13">
        <v>452</v>
      </c>
      <c r="D501" s="13" t="s">
        <v>420</v>
      </c>
      <c r="E501" s="20">
        <v>283</v>
      </c>
      <c r="F501" s="20">
        <v>166</v>
      </c>
      <c r="G501" s="20">
        <v>660</v>
      </c>
      <c r="H501" s="13" t="s">
        <v>2131</v>
      </c>
      <c r="I501" s="13" t="str">
        <f t="shared" si="27"/>
        <v>SW 68th Av (Miramar Parkway to SW 27th Court)</v>
      </c>
      <c r="J501" s="13" t="s">
        <v>27</v>
      </c>
      <c r="K501" s="13" t="str">
        <f>VLOOKUP(J501,'Data-ProjectTypes'!A$3:B$13,2,FALSE)</f>
        <v>Program</v>
      </c>
      <c r="L501" s="21" t="s">
        <v>348</v>
      </c>
      <c r="M501" s="13" t="s">
        <v>39</v>
      </c>
      <c r="N501" s="13" t="s">
        <v>160</v>
      </c>
      <c r="O501" s="13" t="s">
        <v>274</v>
      </c>
      <c r="P501" s="13" t="s">
        <v>274</v>
      </c>
      <c r="Q501" s="22">
        <v>0.2</v>
      </c>
      <c r="R501" s="23">
        <v>71587</v>
      </c>
      <c r="S501" s="21"/>
      <c r="T501" s="21"/>
      <c r="U501" s="21"/>
      <c r="V501" s="24"/>
      <c r="W501" s="24"/>
      <c r="X501" s="24"/>
      <c r="Y501" s="17"/>
      <c r="Z501" s="18">
        <f>ROUND(R501*'Data-CostAssumptions'!$C$8,-3)</f>
        <v>72000</v>
      </c>
      <c r="AA501" s="11">
        <f t="shared" si="25"/>
        <v>0</v>
      </c>
      <c r="AB501" s="11">
        <v>2041</v>
      </c>
      <c r="AC501" s="11">
        <v>2041</v>
      </c>
      <c r="AD501" s="11">
        <v>2041</v>
      </c>
      <c r="AE501" s="19">
        <f>ROUND((Z501*'Data-CostAssumptions'!$G$5)*(1+'Data-CostAssumptions'!$G$3)^(AB501-'Data-CostAssumptions'!$G$4),-3)</f>
        <v>41000</v>
      </c>
      <c r="AF501" s="19">
        <f>ROUND((Z501)*(1+'Data-CostAssumptions'!$G$3)^(AD501-'Data-CostAssumptions'!$G$4),-3)</f>
        <v>185000</v>
      </c>
      <c r="AG501" s="170" t="str">
        <f t="shared" si="26"/>
        <v>No</v>
      </c>
    </row>
    <row r="502" spans="2:33" ht="15" customHeight="1" x14ac:dyDescent="0.2">
      <c r="B502" s="11" t="s">
        <v>1211</v>
      </c>
      <c r="C502" s="13">
        <v>393</v>
      </c>
      <c r="D502" s="13" t="s">
        <v>420</v>
      </c>
      <c r="E502" s="20">
        <v>382</v>
      </c>
      <c r="F502" s="20">
        <v>163</v>
      </c>
      <c r="G502" s="20">
        <v>604</v>
      </c>
      <c r="H502" s="13" t="s">
        <v>143</v>
      </c>
      <c r="I502" s="13" t="str">
        <f t="shared" si="27"/>
        <v>Park and Ride Lot (I-95 Ramp to NE 62nd St)</v>
      </c>
      <c r="J502" s="13" t="s">
        <v>27</v>
      </c>
      <c r="K502" s="13" t="str">
        <f>VLOOKUP(J502,'Data-ProjectTypes'!A$3:B$13,2,FALSE)</f>
        <v>Program</v>
      </c>
      <c r="L502" s="21" t="s">
        <v>348</v>
      </c>
      <c r="M502" s="13" t="s">
        <v>142</v>
      </c>
      <c r="N502" s="13" t="s">
        <v>1900</v>
      </c>
      <c r="O502" s="13" t="s">
        <v>270</v>
      </c>
      <c r="P502" s="13" t="s">
        <v>270</v>
      </c>
      <c r="Q502" s="22">
        <v>0.1</v>
      </c>
      <c r="R502" s="23">
        <v>51353</v>
      </c>
      <c r="S502" s="21" t="s">
        <v>24</v>
      </c>
      <c r="T502" s="21"/>
      <c r="U502" s="21"/>
      <c r="V502" s="24"/>
      <c r="W502" s="24" t="s">
        <v>552</v>
      </c>
      <c r="X502" s="24"/>
      <c r="Y502" s="17" t="s">
        <v>538</v>
      </c>
      <c r="Z502" s="18">
        <f>ROUND(R502*'Data-CostAssumptions'!$C$3,-3)</f>
        <v>71000</v>
      </c>
      <c r="AA502" s="11">
        <f t="shared" si="25"/>
        <v>1</v>
      </c>
      <c r="AB502" s="11">
        <v>2041</v>
      </c>
      <c r="AC502" s="11">
        <v>2041</v>
      </c>
      <c r="AD502" s="11">
        <v>2041</v>
      </c>
      <c r="AE502" s="19">
        <f>ROUND((Z502*'Data-CostAssumptions'!$G$5)*(1+'Data-CostAssumptions'!$G$3)^(AB502-'Data-CostAssumptions'!$G$4),-3)</f>
        <v>40000</v>
      </c>
      <c r="AF502" s="19">
        <f>ROUND((Z502)*(1+'Data-CostAssumptions'!$G$3)^(AD502-'Data-CostAssumptions'!$G$4),-3)</f>
        <v>182000</v>
      </c>
      <c r="AG502" s="170" t="str">
        <f t="shared" si="26"/>
        <v>No</v>
      </c>
    </row>
    <row r="503" spans="2:33" ht="15" customHeight="1" x14ac:dyDescent="0.2">
      <c r="B503" s="11" t="s">
        <v>1211</v>
      </c>
      <c r="C503" s="13">
        <v>335</v>
      </c>
      <c r="D503" s="13" t="s">
        <v>420</v>
      </c>
      <c r="E503" s="20">
        <v>383</v>
      </c>
      <c r="F503" s="20">
        <v>159</v>
      </c>
      <c r="G503" s="20">
        <v>546</v>
      </c>
      <c r="H503" s="13" t="s">
        <v>1965</v>
      </c>
      <c r="I503" s="13" t="str">
        <f t="shared" si="27"/>
        <v>SW 6th St (Flagler Av to Dixie Hwy)</v>
      </c>
      <c r="J503" s="13" t="s">
        <v>27</v>
      </c>
      <c r="K503" s="13" t="str">
        <f>VLOOKUP(J503,'Data-ProjectTypes'!A$3:B$13,2,FALSE)</f>
        <v>Program</v>
      </c>
      <c r="L503" s="21" t="s">
        <v>348</v>
      </c>
      <c r="M503" s="13" t="s">
        <v>2019</v>
      </c>
      <c r="N503" s="13" t="s">
        <v>728</v>
      </c>
      <c r="O503" s="13" t="s">
        <v>275</v>
      </c>
      <c r="P503" s="13" t="s">
        <v>275</v>
      </c>
      <c r="Q503" s="22">
        <v>0.1</v>
      </c>
      <c r="R503" s="23">
        <v>50877</v>
      </c>
      <c r="S503" s="21"/>
      <c r="T503" s="21"/>
      <c r="U503" s="21"/>
      <c r="V503" s="24"/>
      <c r="W503" s="24"/>
      <c r="X503" s="24"/>
      <c r="Y503" s="17"/>
      <c r="Z503" s="18">
        <f>ROUND(R503*'Data-CostAssumptions'!$C$3,-3)</f>
        <v>70000</v>
      </c>
      <c r="AA503" s="11">
        <f t="shared" si="25"/>
        <v>0</v>
      </c>
      <c r="AB503" s="11">
        <v>2041</v>
      </c>
      <c r="AC503" s="11">
        <v>2041</v>
      </c>
      <c r="AD503" s="11">
        <v>2041</v>
      </c>
      <c r="AE503" s="19">
        <f>ROUND((Z503*'Data-CostAssumptions'!$G$5)*(1+'Data-CostAssumptions'!$G$3)^(AB503-'Data-CostAssumptions'!$G$4),-3)</f>
        <v>39000</v>
      </c>
      <c r="AF503" s="19">
        <f>ROUND((Z503)*(1+'Data-CostAssumptions'!$G$3)^(AD503-'Data-CostAssumptions'!$G$4),-3)</f>
        <v>179000</v>
      </c>
      <c r="AG503" s="170" t="str">
        <f t="shared" si="26"/>
        <v>No</v>
      </c>
    </row>
    <row r="504" spans="2:33" ht="15" customHeight="1" x14ac:dyDescent="0.2">
      <c r="B504" s="11" t="s">
        <v>1211</v>
      </c>
      <c r="C504" s="13">
        <v>532</v>
      </c>
      <c r="D504" s="13" t="s">
        <v>420</v>
      </c>
      <c r="E504" s="20">
        <v>344</v>
      </c>
      <c r="F504" s="20">
        <v>171</v>
      </c>
      <c r="G504" s="20">
        <v>736</v>
      </c>
      <c r="H504" s="13" t="s">
        <v>1759</v>
      </c>
      <c r="I504" s="13" t="str">
        <f t="shared" si="27"/>
        <v>North Park Rd (Harding St to Lee St)</v>
      </c>
      <c r="J504" s="13" t="s">
        <v>27</v>
      </c>
      <c r="K504" s="13" t="str">
        <f>VLOOKUP(J504,'Data-ProjectTypes'!A$3:B$13,2,FALSE)</f>
        <v>Program</v>
      </c>
      <c r="L504" s="21" t="s">
        <v>543</v>
      </c>
      <c r="M504" s="13" t="s">
        <v>2517</v>
      </c>
      <c r="N504" s="13" t="s">
        <v>2527</v>
      </c>
      <c r="O504" s="13" t="s">
        <v>282</v>
      </c>
      <c r="P504" s="13" t="s">
        <v>282</v>
      </c>
      <c r="Q504" s="22">
        <v>0.2</v>
      </c>
      <c r="R504" s="23">
        <v>69425</v>
      </c>
      <c r="Y504" s="17" t="s">
        <v>3002</v>
      </c>
      <c r="Z504" s="18">
        <f>ROUND(R504*'Data-CostAssumptions'!$C$8,-3)</f>
        <v>69000</v>
      </c>
      <c r="AA504" s="11">
        <f t="shared" si="25"/>
        <v>0</v>
      </c>
      <c r="AB504" s="11">
        <v>2041</v>
      </c>
      <c r="AC504" s="11">
        <v>2041</v>
      </c>
      <c r="AD504" s="11">
        <v>2041</v>
      </c>
      <c r="AE504" s="19">
        <f>ROUND((Z504*'Data-CostAssumptions'!$G$5)*(1+'Data-CostAssumptions'!$G$3)^(AB504-'Data-CostAssumptions'!$G$4),-3)</f>
        <v>39000</v>
      </c>
      <c r="AF504" s="19">
        <f>ROUND((Z504)*(1+'Data-CostAssumptions'!$G$3)^(AD504-'Data-CostAssumptions'!$G$4),-3)</f>
        <v>177000</v>
      </c>
      <c r="AG504" s="170" t="str">
        <f t="shared" si="26"/>
        <v>No</v>
      </c>
    </row>
    <row r="505" spans="2:33" ht="15" customHeight="1" x14ac:dyDescent="0.2">
      <c r="B505" s="11" t="s">
        <v>1211</v>
      </c>
      <c r="C505" s="13">
        <v>209</v>
      </c>
      <c r="D505" s="13" t="s">
        <v>420</v>
      </c>
      <c r="E505" s="20">
        <v>297</v>
      </c>
      <c r="F505" s="20">
        <v>151</v>
      </c>
      <c r="G505" s="20">
        <v>424</v>
      </c>
      <c r="H505" s="13" t="s">
        <v>2118</v>
      </c>
      <c r="I505" s="13" t="str">
        <f t="shared" si="27"/>
        <v>SW 2nd Av (South End of SW 2nd Av to SW 17th St)</v>
      </c>
      <c r="J505" s="13" t="s">
        <v>27</v>
      </c>
      <c r="K505" s="13" t="str">
        <f>VLOOKUP(J505,'Data-ProjectTypes'!A$3:B$13,2,FALSE)</f>
        <v>Program</v>
      </c>
      <c r="L505" s="21" t="s">
        <v>348</v>
      </c>
      <c r="M505" s="13" t="s">
        <v>2392</v>
      </c>
      <c r="N505" s="13" t="s">
        <v>2576</v>
      </c>
      <c r="O505" s="13" t="s">
        <v>276</v>
      </c>
      <c r="P505" s="13" t="s">
        <v>276</v>
      </c>
      <c r="Q505" s="22">
        <v>0.1</v>
      </c>
      <c r="R505" s="23">
        <v>49023</v>
      </c>
      <c r="S505" s="21"/>
      <c r="T505" s="21"/>
      <c r="U505" s="21"/>
      <c r="V505" s="24"/>
      <c r="W505" s="24"/>
      <c r="X505" s="24"/>
      <c r="Y505" s="17"/>
      <c r="Z505" s="18">
        <f>ROUND(R505*'Data-CostAssumptions'!$C$3,-3)</f>
        <v>68000</v>
      </c>
      <c r="AA505" s="11">
        <f t="shared" si="25"/>
        <v>0</v>
      </c>
      <c r="AB505" s="11">
        <v>2041</v>
      </c>
      <c r="AC505" s="11">
        <v>2041</v>
      </c>
      <c r="AD505" s="11">
        <v>2041</v>
      </c>
      <c r="AE505" s="19">
        <f>ROUND((Z505*'Data-CostAssumptions'!$G$5)*(1+'Data-CostAssumptions'!$G$3)^(AB505-'Data-CostAssumptions'!$G$4),-3)</f>
        <v>38000</v>
      </c>
      <c r="AF505" s="19">
        <f>ROUND((Z505)*(1+'Data-CostAssumptions'!$G$3)^(AD505-'Data-CostAssumptions'!$G$4),-3)</f>
        <v>174000</v>
      </c>
      <c r="AG505" s="170" t="str">
        <f t="shared" si="26"/>
        <v>No</v>
      </c>
    </row>
    <row r="506" spans="2:33" ht="15" customHeight="1" x14ac:dyDescent="0.2">
      <c r="B506" s="11" t="s">
        <v>1211</v>
      </c>
      <c r="C506" s="13">
        <v>473</v>
      </c>
      <c r="D506" s="13" t="s">
        <v>420</v>
      </c>
      <c r="E506" s="20">
        <v>381</v>
      </c>
      <c r="F506" s="20">
        <v>167</v>
      </c>
      <c r="G506" s="20">
        <v>681</v>
      </c>
      <c r="H506" s="13" t="s">
        <v>2074</v>
      </c>
      <c r="I506" s="13" t="str">
        <f t="shared" si="27"/>
        <v>NW 60th St/Andrews Av (I-95 Ramp to NW 60th St)</v>
      </c>
      <c r="J506" s="13" t="s">
        <v>27</v>
      </c>
      <c r="K506" s="13" t="str">
        <f>VLOOKUP(J506,'Data-ProjectTypes'!A$3:B$13,2,FALSE)</f>
        <v>Program</v>
      </c>
      <c r="L506" s="21" t="s">
        <v>348</v>
      </c>
      <c r="M506" s="13" t="s">
        <v>142</v>
      </c>
      <c r="N506" s="13" t="s">
        <v>2545</v>
      </c>
      <c r="O506" s="13" t="s">
        <v>273</v>
      </c>
      <c r="P506" s="13" t="s">
        <v>273</v>
      </c>
      <c r="Q506" s="22">
        <v>0.2</v>
      </c>
      <c r="R506" s="23">
        <v>67744</v>
      </c>
      <c r="S506" s="21"/>
      <c r="T506" s="21"/>
      <c r="U506" s="21"/>
      <c r="V506" s="24"/>
      <c r="W506" s="24"/>
      <c r="X506" s="24"/>
      <c r="Y506" s="17"/>
      <c r="Z506" s="18">
        <f>ROUND(R506*'Data-CostAssumptions'!$C$8,-3)</f>
        <v>68000</v>
      </c>
      <c r="AA506" s="11">
        <f t="shared" si="25"/>
        <v>0</v>
      </c>
      <c r="AB506" s="11">
        <v>2041</v>
      </c>
      <c r="AC506" s="11">
        <v>2041</v>
      </c>
      <c r="AD506" s="11">
        <v>2041</v>
      </c>
      <c r="AE506" s="19">
        <f>ROUND((Z506*'Data-CostAssumptions'!$G$5)*(1+'Data-CostAssumptions'!$G$3)^(AB506-'Data-CostAssumptions'!$G$4),-3)</f>
        <v>38000</v>
      </c>
      <c r="AF506" s="19">
        <f>ROUND((Z506)*(1+'Data-CostAssumptions'!$G$3)^(AD506-'Data-CostAssumptions'!$G$4),-3)</f>
        <v>174000</v>
      </c>
      <c r="AG506" s="170" t="str">
        <f t="shared" si="26"/>
        <v>No</v>
      </c>
    </row>
    <row r="507" spans="2:33" ht="15" customHeight="1" x14ac:dyDescent="0.2">
      <c r="B507" s="11" t="s">
        <v>1211</v>
      </c>
      <c r="C507" s="13">
        <v>571</v>
      </c>
      <c r="D507" s="13" t="s">
        <v>420</v>
      </c>
      <c r="E507" s="20">
        <v>291</v>
      </c>
      <c r="F507" s="20">
        <v>173</v>
      </c>
      <c r="G507" s="20">
        <v>775</v>
      </c>
      <c r="H507" s="13" t="s">
        <v>2038</v>
      </c>
      <c r="I507" s="13" t="str">
        <f t="shared" si="27"/>
        <v>North 14th Av (Grant St to Arthur St)</v>
      </c>
      <c r="J507" s="13" t="s">
        <v>27</v>
      </c>
      <c r="K507" s="13" t="str">
        <f>VLOOKUP(J507,'Data-ProjectTypes'!A$3:B$13,2,FALSE)</f>
        <v>Program</v>
      </c>
      <c r="L507" s="21" t="s">
        <v>543</v>
      </c>
      <c r="M507" s="13" t="s">
        <v>2519</v>
      </c>
      <c r="N507" s="13" t="s">
        <v>2518</v>
      </c>
      <c r="O507" s="13" t="s">
        <v>282</v>
      </c>
      <c r="P507" s="13" t="s">
        <v>282</v>
      </c>
      <c r="Q507" s="22">
        <v>0.2</v>
      </c>
      <c r="R507" s="23">
        <v>67618</v>
      </c>
      <c r="V507" s="85" t="s">
        <v>448</v>
      </c>
      <c r="X507" s="11" t="s">
        <v>464</v>
      </c>
      <c r="Y507" s="12"/>
      <c r="Z507" s="18">
        <f>ROUND(R507*'Data-CostAssumptions'!$C$4,-3)</f>
        <v>68000</v>
      </c>
      <c r="AA507" s="11">
        <f t="shared" si="25"/>
        <v>1</v>
      </c>
      <c r="AB507" s="11">
        <v>2041</v>
      </c>
      <c r="AC507" s="11">
        <v>2041</v>
      </c>
      <c r="AD507" s="11">
        <v>2041</v>
      </c>
      <c r="AE507" s="19">
        <f>ROUND((Z507*'Data-CostAssumptions'!$G$5)*(1+'Data-CostAssumptions'!$G$3)^(AB507-'Data-CostAssumptions'!$G$4),-3)</f>
        <v>38000</v>
      </c>
      <c r="AF507" s="19">
        <f>ROUND((Z507)*(1+'Data-CostAssumptions'!$G$3)^(AD507-'Data-CostAssumptions'!$G$4),-3)</f>
        <v>174000</v>
      </c>
      <c r="AG507" s="170" t="str">
        <f t="shared" si="26"/>
        <v>No</v>
      </c>
    </row>
    <row r="508" spans="2:33" ht="15" customHeight="1" x14ac:dyDescent="0.2">
      <c r="B508" s="11" t="s">
        <v>1211</v>
      </c>
      <c r="C508" s="13">
        <v>469</v>
      </c>
      <c r="D508" s="13" t="s">
        <v>420</v>
      </c>
      <c r="E508" s="20">
        <v>360</v>
      </c>
      <c r="F508" s="20">
        <v>167</v>
      </c>
      <c r="G508" s="20">
        <v>677</v>
      </c>
      <c r="H508" s="13" t="s">
        <v>59</v>
      </c>
      <c r="I508" s="13" t="str">
        <f t="shared" si="27"/>
        <v>NW 8th Court (NW 8th St to NW 27th Av)</v>
      </c>
      <c r="J508" s="13" t="s">
        <v>27</v>
      </c>
      <c r="K508" s="13" t="str">
        <f>VLOOKUP(J508,'Data-ProjectTypes'!A$3:B$13,2,FALSE)</f>
        <v>Program</v>
      </c>
      <c r="L508" s="21" t="s">
        <v>348</v>
      </c>
      <c r="M508" s="13" t="s">
        <v>1934</v>
      </c>
      <c r="N508" s="13" t="s">
        <v>2060</v>
      </c>
      <c r="O508" s="13" t="s">
        <v>273</v>
      </c>
      <c r="P508" s="13" t="s">
        <v>273</v>
      </c>
      <c r="Q508" s="22">
        <v>0.2</v>
      </c>
      <c r="R508" s="23">
        <v>66008</v>
      </c>
      <c r="S508" s="21" t="s">
        <v>350</v>
      </c>
      <c r="T508" s="21"/>
      <c r="U508" s="21"/>
      <c r="V508" s="24"/>
      <c r="W508" s="24" t="s">
        <v>580</v>
      </c>
      <c r="X508" s="24"/>
      <c r="Y508" s="17" t="s">
        <v>538</v>
      </c>
      <c r="Z508" s="18">
        <f>ROUND(R508*'Data-CostAssumptions'!$C$8,-3)</f>
        <v>66000</v>
      </c>
      <c r="AA508" s="11">
        <f t="shared" si="25"/>
        <v>1</v>
      </c>
      <c r="AB508" s="11">
        <v>2041</v>
      </c>
      <c r="AC508" s="11">
        <v>2041</v>
      </c>
      <c r="AD508" s="11">
        <v>2041</v>
      </c>
      <c r="AE508" s="19">
        <f>ROUND((Z508*'Data-CostAssumptions'!$G$5)*(1+'Data-CostAssumptions'!$G$3)^(AB508-'Data-CostAssumptions'!$G$4),-3)</f>
        <v>37000</v>
      </c>
      <c r="AF508" s="19">
        <f>ROUND((Z508)*(1+'Data-CostAssumptions'!$G$3)^(AD508-'Data-CostAssumptions'!$G$4),-3)</f>
        <v>169000</v>
      </c>
      <c r="AG508" s="170" t="str">
        <f t="shared" si="26"/>
        <v>No</v>
      </c>
    </row>
    <row r="509" spans="2:33" ht="15" customHeight="1" x14ac:dyDescent="0.2">
      <c r="B509" s="11" t="s">
        <v>1211</v>
      </c>
      <c r="C509" s="13">
        <v>624</v>
      </c>
      <c r="D509" s="13" t="s">
        <v>420</v>
      </c>
      <c r="E509" s="20">
        <v>282</v>
      </c>
      <c r="F509" s="20">
        <v>176</v>
      </c>
      <c r="G509" s="20">
        <v>823</v>
      </c>
      <c r="H509" s="13" t="s">
        <v>1968</v>
      </c>
      <c r="I509" s="13" t="str">
        <f t="shared" si="27"/>
        <v>Taft St (NW 209th Av to US 27)</v>
      </c>
      <c r="J509" s="13" t="s">
        <v>27</v>
      </c>
      <c r="K509" s="13" t="str">
        <f>VLOOKUP(J509,'Data-ProjectTypes'!A$3:B$13,2,FALSE)</f>
        <v>Program</v>
      </c>
      <c r="L509" s="21" t="s">
        <v>348</v>
      </c>
      <c r="M509" s="13" t="s">
        <v>2397</v>
      </c>
      <c r="N509" s="13" t="s">
        <v>30</v>
      </c>
      <c r="O509" s="13" t="s">
        <v>270</v>
      </c>
      <c r="P509" s="13" t="s">
        <v>270</v>
      </c>
      <c r="Q509" s="22">
        <v>0.2</v>
      </c>
      <c r="R509" s="23">
        <v>65523</v>
      </c>
      <c r="Y509" s="12"/>
      <c r="Z509" s="71">
        <f>ROUND(R509*'Data-CostAssumptions'!$C$8,-3)</f>
        <v>66000</v>
      </c>
      <c r="AA509" s="11">
        <f t="shared" si="25"/>
        <v>0</v>
      </c>
      <c r="AB509" s="11">
        <v>2041</v>
      </c>
      <c r="AC509" s="11">
        <v>2041</v>
      </c>
      <c r="AD509" s="11">
        <v>2041</v>
      </c>
      <c r="AE509" s="19">
        <f>ROUND((Z509*'Data-CostAssumptions'!$G$5)*(1+'Data-CostAssumptions'!$G$3)^(AB509-'Data-CostAssumptions'!$G$4),-3)</f>
        <v>37000</v>
      </c>
      <c r="AF509" s="19">
        <f>ROUND((Z509)*(1+'Data-CostAssumptions'!$G$3)^(AD509-'Data-CostAssumptions'!$G$4),-3)</f>
        <v>169000</v>
      </c>
      <c r="AG509" s="170" t="str">
        <f t="shared" si="26"/>
        <v>No</v>
      </c>
    </row>
    <row r="510" spans="2:33" ht="15" customHeight="1" x14ac:dyDescent="0.2">
      <c r="B510" s="11" t="s">
        <v>1211</v>
      </c>
      <c r="C510" s="13">
        <v>254</v>
      </c>
      <c r="D510" s="13" t="s">
        <v>420</v>
      </c>
      <c r="E510" s="20">
        <v>296</v>
      </c>
      <c r="F510" s="20">
        <v>154</v>
      </c>
      <c r="G510" s="20">
        <v>466</v>
      </c>
      <c r="H510" s="13" t="s">
        <v>2118</v>
      </c>
      <c r="I510" s="13" t="str">
        <f t="shared" si="27"/>
        <v>SW 2nd Av (SW 26th St to State Rd 84)</v>
      </c>
      <c r="J510" s="13" t="s">
        <v>27</v>
      </c>
      <c r="K510" s="13" t="str">
        <f>VLOOKUP(J510,'Data-ProjectTypes'!A$3:B$13,2,FALSE)</f>
        <v>Program</v>
      </c>
      <c r="L510" s="21" t="s">
        <v>348</v>
      </c>
      <c r="M510" s="13" t="s">
        <v>1959</v>
      </c>
      <c r="N510" s="13" t="s">
        <v>1774</v>
      </c>
      <c r="O510" s="13" t="s">
        <v>276</v>
      </c>
      <c r="P510" s="13" t="s">
        <v>276</v>
      </c>
      <c r="Q510" s="22">
        <v>0.1</v>
      </c>
      <c r="R510" s="23">
        <v>46273</v>
      </c>
      <c r="S510" s="21"/>
      <c r="T510" s="21"/>
      <c r="U510" s="21"/>
      <c r="V510" s="24"/>
      <c r="W510" s="24"/>
      <c r="X510" s="28"/>
      <c r="Y510" s="17"/>
      <c r="Z510" s="18">
        <f>ROUND(R510*'Data-CostAssumptions'!$C$3,-3)</f>
        <v>64000</v>
      </c>
      <c r="AA510" s="11">
        <f t="shared" si="25"/>
        <v>0</v>
      </c>
      <c r="AB510" s="11">
        <v>2041</v>
      </c>
      <c r="AC510" s="11">
        <v>2041</v>
      </c>
      <c r="AD510" s="11">
        <v>2041</v>
      </c>
      <c r="AE510" s="19">
        <f>ROUND((Z510*'Data-CostAssumptions'!$G$5)*(1+'Data-CostAssumptions'!$G$3)^(AB510-'Data-CostAssumptions'!$G$4),-3)</f>
        <v>36000</v>
      </c>
      <c r="AF510" s="19">
        <f>ROUND((Z510)*(1+'Data-CostAssumptions'!$G$3)^(AD510-'Data-CostAssumptions'!$G$4),-3)</f>
        <v>164000</v>
      </c>
      <c r="AG510" s="170" t="str">
        <f t="shared" si="26"/>
        <v>No</v>
      </c>
    </row>
    <row r="511" spans="2:33" ht="15" customHeight="1" x14ac:dyDescent="0.2">
      <c r="B511" s="11" t="s">
        <v>1211</v>
      </c>
      <c r="C511" s="13">
        <v>326</v>
      </c>
      <c r="D511" s="13" t="s">
        <v>420</v>
      </c>
      <c r="E511" s="20">
        <v>312</v>
      </c>
      <c r="F511" s="20">
        <v>159</v>
      </c>
      <c r="G511" s="20">
        <v>537</v>
      </c>
      <c r="H511" s="13" t="s">
        <v>2036</v>
      </c>
      <c r="I511" s="13" t="str">
        <f t="shared" ref="I511:I542" si="28">IF(M511="@",H511&amp;" ("&amp;M511&amp;"  "&amp;N511&amp;")",H511&amp;" ("&amp;M511&amp;" to "&amp;N511&amp;")")</f>
        <v>NE 6th Av (Oakland Park Bl to NE 33rd St)</v>
      </c>
      <c r="J511" s="13" t="s">
        <v>27</v>
      </c>
      <c r="K511" s="13" t="str">
        <f>VLOOKUP(J511,'Data-ProjectTypes'!A$3:B$13,2,FALSE)</f>
        <v>Program</v>
      </c>
      <c r="L511" s="26" t="s">
        <v>842</v>
      </c>
      <c r="M511" s="13" t="s">
        <v>1825</v>
      </c>
      <c r="N511" s="13" t="s">
        <v>1889</v>
      </c>
      <c r="O511" s="13" t="s">
        <v>273</v>
      </c>
      <c r="P511" s="13" t="s">
        <v>273</v>
      </c>
      <c r="Q511" s="22">
        <v>0.1</v>
      </c>
      <c r="R511" s="23">
        <v>46390</v>
      </c>
      <c r="S511" s="21" t="s">
        <v>24</v>
      </c>
      <c r="T511" s="21"/>
      <c r="U511" s="21"/>
      <c r="V511" s="24"/>
      <c r="W511" s="24" t="s">
        <v>577</v>
      </c>
      <c r="X511" s="24"/>
      <c r="Y511" s="17" t="s">
        <v>538</v>
      </c>
      <c r="Z511" s="18">
        <f>ROUND(R511*'Data-CostAssumptions'!$C$3,-3)</f>
        <v>64000</v>
      </c>
      <c r="AA511" s="11">
        <f t="shared" si="25"/>
        <v>1</v>
      </c>
      <c r="AB511" s="11">
        <v>2041</v>
      </c>
      <c r="AC511" s="11">
        <v>2041</v>
      </c>
      <c r="AD511" s="11">
        <v>2041</v>
      </c>
      <c r="AE511" s="19">
        <f>ROUND((Z511*'Data-CostAssumptions'!$G$5)*(1+'Data-CostAssumptions'!$G$3)^(AB511-'Data-CostAssumptions'!$G$4),-3)</f>
        <v>36000</v>
      </c>
      <c r="AF511" s="19">
        <f>ROUND((Z511)*(1+'Data-CostAssumptions'!$G$3)^(AD511-'Data-CostAssumptions'!$G$4),-3)</f>
        <v>164000</v>
      </c>
      <c r="AG511" s="170" t="str">
        <f t="shared" si="26"/>
        <v>No</v>
      </c>
    </row>
    <row r="512" spans="2:33" ht="15" customHeight="1" x14ac:dyDescent="0.2">
      <c r="B512" s="11" t="s">
        <v>1211</v>
      </c>
      <c r="C512" s="13">
        <v>472</v>
      </c>
      <c r="D512" s="13" t="s">
        <v>420</v>
      </c>
      <c r="E512" s="20">
        <v>377</v>
      </c>
      <c r="F512" s="20">
        <v>167</v>
      </c>
      <c r="G512" s="20">
        <v>680</v>
      </c>
      <c r="H512" s="13" t="s">
        <v>1989</v>
      </c>
      <c r="I512" s="13" t="str">
        <f t="shared" si="28"/>
        <v>Coconut Creek Bl (NW 11th St to Coconut Creek Parkway)</v>
      </c>
      <c r="J512" s="13" t="s">
        <v>27</v>
      </c>
      <c r="K512" s="13" t="str">
        <f>VLOOKUP(J512,'Data-ProjectTypes'!A$3:B$13,2,FALSE)</f>
        <v>Program</v>
      </c>
      <c r="L512" s="21" t="s">
        <v>348</v>
      </c>
      <c r="M512" s="13" t="s">
        <v>2485</v>
      </c>
      <c r="N512" s="13" t="s">
        <v>70</v>
      </c>
      <c r="O512" s="13" t="s">
        <v>273</v>
      </c>
      <c r="P512" s="13" t="s">
        <v>273</v>
      </c>
      <c r="Q512" s="22">
        <v>0.2</v>
      </c>
      <c r="R512" s="23">
        <v>64252</v>
      </c>
      <c r="S512" s="21"/>
      <c r="T512" s="21"/>
      <c r="U512" s="21"/>
      <c r="V512" s="24"/>
      <c r="W512" s="24"/>
      <c r="X512" s="24"/>
      <c r="Y512" s="17"/>
      <c r="Z512" s="18">
        <f>ROUND(R512*'Data-CostAssumptions'!$C$8,-3)</f>
        <v>64000</v>
      </c>
      <c r="AA512" s="11">
        <f t="shared" si="25"/>
        <v>0</v>
      </c>
      <c r="AB512" s="11">
        <v>2041</v>
      </c>
      <c r="AC512" s="11">
        <v>2041</v>
      </c>
      <c r="AD512" s="11">
        <v>2041</v>
      </c>
      <c r="AE512" s="19">
        <f>ROUND((Z512*'Data-CostAssumptions'!$G$5)*(1+'Data-CostAssumptions'!$G$3)^(AB512-'Data-CostAssumptions'!$G$4),-3)</f>
        <v>36000</v>
      </c>
      <c r="AF512" s="19">
        <f>ROUND((Z512)*(1+'Data-CostAssumptions'!$G$3)^(AD512-'Data-CostAssumptions'!$G$4),-3)</f>
        <v>164000</v>
      </c>
      <c r="AG512" s="170" t="str">
        <f t="shared" si="26"/>
        <v>No</v>
      </c>
    </row>
    <row r="513" spans="2:33" ht="15" customHeight="1" x14ac:dyDescent="0.2">
      <c r="B513" s="11" t="s">
        <v>1211</v>
      </c>
      <c r="C513" s="13">
        <v>405</v>
      </c>
      <c r="D513" s="13" t="s">
        <v>420</v>
      </c>
      <c r="E513" s="20">
        <v>31</v>
      </c>
      <c r="F513" s="20">
        <v>163</v>
      </c>
      <c r="G513" s="20">
        <v>613</v>
      </c>
      <c r="H513" s="13" t="s">
        <v>1752</v>
      </c>
      <c r="I513" s="13" t="str">
        <f t="shared" si="28"/>
        <v>Hiatus Rd (Pines Bl to Lakeview North Dr)</v>
      </c>
      <c r="J513" s="13" t="s">
        <v>27</v>
      </c>
      <c r="K513" s="13" t="str">
        <f>VLOOKUP(J513,'Data-ProjectTypes'!A$3:B$13,2,FALSE)</f>
        <v>Program</v>
      </c>
      <c r="L513" s="21" t="s">
        <v>348</v>
      </c>
      <c r="M513" s="13" t="s">
        <v>1826</v>
      </c>
      <c r="N513" s="13" t="s">
        <v>2654</v>
      </c>
      <c r="O513" s="13" t="s">
        <v>271</v>
      </c>
      <c r="P513" s="13" t="s">
        <v>271</v>
      </c>
      <c r="Q513" s="22">
        <v>0.1</v>
      </c>
      <c r="R513" s="23">
        <v>45234</v>
      </c>
      <c r="Y513" s="17"/>
      <c r="Z513" s="18">
        <f>ROUND(R513*'Data-CostAssumptions'!$C$3,-3)</f>
        <v>63000</v>
      </c>
      <c r="AA513" s="11">
        <f t="shared" si="25"/>
        <v>0</v>
      </c>
      <c r="AB513" s="11">
        <v>2041</v>
      </c>
      <c r="AC513" s="11">
        <v>2041</v>
      </c>
      <c r="AD513" s="11">
        <v>2041</v>
      </c>
      <c r="AE513" s="19">
        <f>ROUND((Z513*'Data-CostAssumptions'!$G$5)*(1+'Data-CostAssumptions'!$G$3)^(AB513-'Data-CostAssumptions'!$G$4),-3)</f>
        <v>36000</v>
      </c>
      <c r="AF513" s="19">
        <f>ROUND((Z513)*(1+'Data-CostAssumptions'!$G$3)^(AD513-'Data-CostAssumptions'!$G$4),-3)</f>
        <v>162000</v>
      </c>
      <c r="AG513" s="170" t="str">
        <f t="shared" si="26"/>
        <v>No</v>
      </c>
    </row>
    <row r="514" spans="2:33" ht="15" customHeight="1" x14ac:dyDescent="0.2">
      <c r="B514" s="11" t="s">
        <v>1211</v>
      </c>
      <c r="C514" s="13">
        <v>266</v>
      </c>
      <c r="D514" s="13" t="s">
        <v>420</v>
      </c>
      <c r="E514" s="20">
        <v>366</v>
      </c>
      <c r="F514" s="20">
        <v>155</v>
      </c>
      <c r="G514" s="20">
        <v>480</v>
      </c>
      <c r="H514" s="13" t="s">
        <v>1912</v>
      </c>
      <c r="I514" s="13" t="str">
        <f t="shared" si="28"/>
        <v>NW 2nd St (NW 1st Av to NW 3rd Av)</v>
      </c>
      <c r="J514" s="13" t="s">
        <v>27</v>
      </c>
      <c r="K514" s="13" t="str">
        <f>VLOOKUP(J514,'Data-ProjectTypes'!A$3:B$13,2,FALSE)</f>
        <v>Program</v>
      </c>
      <c r="L514" s="21" t="s">
        <v>348</v>
      </c>
      <c r="M514" s="13" t="s">
        <v>2056</v>
      </c>
      <c r="N514" s="13" t="s">
        <v>2067</v>
      </c>
      <c r="O514" s="13" t="s">
        <v>276</v>
      </c>
      <c r="P514" s="13" t="s">
        <v>276</v>
      </c>
      <c r="Q514" s="22">
        <v>0.1</v>
      </c>
      <c r="R514" s="23">
        <v>44779</v>
      </c>
      <c r="S514" s="21"/>
      <c r="T514" s="21"/>
      <c r="U514" s="21"/>
      <c r="V514" s="24"/>
      <c r="W514" s="24"/>
      <c r="X514" s="24"/>
      <c r="Y514" s="17"/>
      <c r="Z514" s="18">
        <f>ROUND(R514*'Data-CostAssumptions'!$C$3,-3)</f>
        <v>62000</v>
      </c>
      <c r="AA514" s="11">
        <f t="shared" ref="AA514:AA577" si="29">IF(V514="",IF(W514="",0,1),1)</f>
        <v>0</v>
      </c>
      <c r="AB514" s="11">
        <v>2041</v>
      </c>
      <c r="AC514" s="11">
        <v>2041</v>
      </c>
      <c r="AD514" s="11">
        <v>2041</v>
      </c>
      <c r="AE514" s="19">
        <f>ROUND((Z514*'Data-CostAssumptions'!$G$5)*(1+'Data-CostAssumptions'!$G$3)^(AB514-'Data-CostAssumptions'!$G$4),-3)</f>
        <v>35000</v>
      </c>
      <c r="AF514" s="19">
        <f>ROUND((Z514)*(1+'Data-CostAssumptions'!$G$3)^(AD514-'Data-CostAssumptions'!$G$4),-3)</f>
        <v>159000</v>
      </c>
      <c r="AG514" s="170" t="str">
        <f t="shared" ref="AG514:AG577" si="30">IF(MIN(AC514:AD514)&lt;2041,"Yes","No")</f>
        <v>No</v>
      </c>
    </row>
    <row r="515" spans="2:33" ht="15" customHeight="1" x14ac:dyDescent="0.2">
      <c r="B515" s="11" t="s">
        <v>1211</v>
      </c>
      <c r="C515" s="13">
        <v>340</v>
      </c>
      <c r="D515" s="13" t="s">
        <v>420</v>
      </c>
      <c r="E515" s="20">
        <v>421</v>
      </c>
      <c r="F515" s="20">
        <v>160</v>
      </c>
      <c r="G515" s="20">
        <v>551</v>
      </c>
      <c r="H515" s="13" t="s">
        <v>2027</v>
      </c>
      <c r="I515" s="13" t="str">
        <f t="shared" si="28"/>
        <v>NE 1st Av (Copans Rd to NE 25th Court)</v>
      </c>
      <c r="J515" s="13" t="s">
        <v>27</v>
      </c>
      <c r="K515" s="13" t="str">
        <f>VLOOKUP(J515,'Data-ProjectTypes'!A$3:B$13,2,FALSE)</f>
        <v>Program</v>
      </c>
      <c r="L515" s="21" t="s">
        <v>348</v>
      </c>
      <c r="M515" s="13" t="s">
        <v>1836</v>
      </c>
      <c r="N515" s="13" t="s">
        <v>106</v>
      </c>
      <c r="O515" s="13" t="s">
        <v>273</v>
      </c>
      <c r="P515" s="13" t="s">
        <v>273</v>
      </c>
      <c r="Q515" s="22">
        <v>0.1</v>
      </c>
      <c r="R515" s="23">
        <v>44994</v>
      </c>
      <c r="S515" s="21" t="s">
        <v>24</v>
      </c>
      <c r="T515" s="21"/>
      <c r="U515" s="21"/>
      <c r="V515" s="24"/>
      <c r="W515" s="24"/>
      <c r="X515" s="50" t="s">
        <v>747</v>
      </c>
      <c r="Y515" s="17" t="s">
        <v>742</v>
      </c>
      <c r="Z515" s="18">
        <f>ROUND(R515*'Data-CostAssumptions'!$C$3,-3)</f>
        <v>62000</v>
      </c>
      <c r="AA515" s="11">
        <f t="shared" si="29"/>
        <v>0</v>
      </c>
      <c r="AB515" s="11">
        <v>2041</v>
      </c>
      <c r="AC515" s="11">
        <v>2041</v>
      </c>
      <c r="AD515" s="11">
        <v>2041</v>
      </c>
      <c r="AE515" s="19">
        <f>ROUND((Z515*'Data-CostAssumptions'!$G$5)*(1+'Data-CostAssumptions'!$G$3)^(AB515-'Data-CostAssumptions'!$G$4),-3)</f>
        <v>35000</v>
      </c>
      <c r="AF515" s="19">
        <f>ROUND((Z515)*(1+'Data-CostAssumptions'!$G$3)^(AD515-'Data-CostAssumptions'!$G$4),-3)</f>
        <v>159000</v>
      </c>
      <c r="AG515" s="170" t="str">
        <f t="shared" si="30"/>
        <v>No</v>
      </c>
    </row>
    <row r="516" spans="2:33" ht="15" customHeight="1" x14ac:dyDescent="0.2">
      <c r="B516" s="11" t="s">
        <v>1211</v>
      </c>
      <c r="C516" s="13">
        <v>218</v>
      </c>
      <c r="D516" s="13" t="s">
        <v>420</v>
      </c>
      <c r="E516" s="20">
        <v>434</v>
      </c>
      <c r="F516" s="20">
        <v>152</v>
      </c>
      <c r="G516" s="20">
        <v>432</v>
      </c>
      <c r="H516" s="13" t="s">
        <v>2034</v>
      </c>
      <c r="I516" s="13" t="str">
        <f t="shared" si="28"/>
        <v>NE 4th Av (Atlatic Bl to NE 2nd St)</v>
      </c>
      <c r="J516" s="13" t="s">
        <v>27</v>
      </c>
      <c r="K516" s="13" t="str">
        <f>VLOOKUP(J516,'Data-ProjectTypes'!A$3:B$13,2,FALSE)</f>
        <v>Program</v>
      </c>
      <c r="L516" s="21" t="s">
        <v>348</v>
      </c>
      <c r="M516" s="13" t="s">
        <v>2329</v>
      </c>
      <c r="N516" s="13" t="s">
        <v>1888</v>
      </c>
      <c r="O516" s="13" t="s">
        <v>275</v>
      </c>
      <c r="P516" s="13" t="s">
        <v>275</v>
      </c>
      <c r="Q516" s="22">
        <v>0.1</v>
      </c>
      <c r="R516" s="23">
        <v>44247</v>
      </c>
      <c r="S516" s="21" t="s">
        <v>24</v>
      </c>
      <c r="T516" s="21" t="s">
        <v>24</v>
      </c>
      <c r="U516" s="21" t="s">
        <v>24</v>
      </c>
      <c r="V516" s="31" t="s">
        <v>739</v>
      </c>
      <c r="W516" s="24"/>
      <c r="X516" s="31" t="s">
        <v>738</v>
      </c>
      <c r="Y516" s="17" t="s">
        <v>735</v>
      </c>
      <c r="Z516" s="18">
        <f>ROUND(R516*'Data-CostAssumptions'!$C$3,-3)</f>
        <v>61000</v>
      </c>
      <c r="AA516" s="11">
        <f t="shared" si="29"/>
        <v>1</v>
      </c>
      <c r="AB516" s="11">
        <v>2041</v>
      </c>
      <c r="AC516" s="11">
        <v>2041</v>
      </c>
      <c r="AD516" s="11">
        <v>2041</v>
      </c>
      <c r="AE516" s="19">
        <f>ROUND((Z516*'Data-CostAssumptions'!$G$5)*(1+'Data-CostAssumptions'!$G$3)^(AB516-'Data-CostAssumptions'!$G$4),-3)</f>
        <v>34000</v>
      </c>
      <c r="AF516" s="19">
        <f>ROUND((Z516)*(1+'Data-CostAssumptions'!$G$3)^(AD516-'Data-CostAssumptions'!$G$4),-3)</f>
        <v>156000</v>
      </c>
      <c r="AG516" s="170" t="str">
        <f t="shared" si="30"/>
        <v>No</v>
      </c>
    </row>
    <row r="517" spans="2:33" ht="15" customHeight="1" x14ac:dyDescent="0.2">
      <c r="B517" s="11" t="s">
        <v>1211</v>
      </c>
      <c r="C517" s="13">
        <v>256</v>
      </c>
      <c r="D517" s="13" t="s">
        <v>420</v>
      </c>
      <c r="E517" s="20">
        <v>302</v>
      </c>
      <c r="F517" s="20">
        <v>154</v>
      </c>
      <c r="G517" s="20">
        <v>468</v>
      </c>
      <c r="H517" s="13" t="s">
        <v>2014</v>
      </c>
      <c r="I517" s="13" t="str">
        <f t="shared" si="28"/>
        <v>Andrews Av (SE 9th St to SE 7th St)</v>
      </c>
      <c r="J517" s="13" t="s">
        <v>27</v>
      </c>
      <c r="K517" s="13" t="str">
        <f>VLOOKUP(J517,'Data-ProjectTypes'!A$3:B$13,2,FALSE)</f>
        <v>Program</v>
      </c>
      <c r="L517" s="21" t="s">
        <v>348</v>
      </c>
      <c r="M517" s="13" t="s">
        <v>2479</v>
      </c>
      <c r="N517" s="13" t="s">
        <v>2478</v>
      </c>
      <c r="O517" s="13" t="s">
        <v>273</v>
      </c>
      <c r="P517" s="13" t="s">
        <v>273</v>
      </c>
      <c r="Q517" s="22">
        <v>0.1</v>
      </c>
      <c r="R517" s="23">
        <v>43317</v>
      </c>
      <c r="S517" s="21"/>
      <c r="T517" s="21"/>
      <c r="U517" s="21"/>
      <c r="V517" s="24"/>
      <c r="W517" s="24" t="s">
        <v>674</v>
      </c>
      <c r="X517" s="24"/>
      <c r="Y517" s="17" t="s">
        <v>670</v>
      </c>
      <c r="Z517" s="18">
        <f>ROUND(R517*'Data-CostAssumptions'!$C$3,-3)</f>
        <v>60000</v>
      </c>
      <c r="AA517" s="11">
        <f t="shared" si="29"/>
        <v>1</v>
      </c>
      <c r="AB517" s="11">
        <v>2041</v>
      </c>
      <c r="AC517" s="11">
        <v>2041</v>
      </c>
      <c r="AD517" s="11">
        <v>2041</v>
      </c>
      <c r="AE517" s="19">
        <f>ROUND((Z517*'Data-CostAssumptions'!$G$5)*(1+'Data-CostAssumptions'!$G$3)^(AB517-'Data-CostAssumptions'!$G$4),-3)</f>
        <v>34000</v>
      </c>
      <c r="AF517" s="19">
        <f>ROUND((Z517)*(1+'Data-CostAssumptions'!$G$3)^(AD517-'Data-CostAssumptions'!$G$4),-3)</f>
        <v>154000</v>
      </c>
      <c r="AG517" s="170" t="str">
        <f t="shared" si="30"/>
        <v>No</v>
      </c>
    </row>
    <row r="518" spans="2:33" ht="15" customHeight="1" x14ac:dyDescent="0.2">
      <c r="B518" s="11" t="s">
        <v>1211</v>
      </c>
      <c r="C518" s="13">
        <v>333</v>
      </c>
      <c r="D518" s="13" t="s">
        <v>420</v>
      </c>
      <c r="E518" s="20">
        <v>365</v>
      </c>
      <c r="F518" s="20">
        <v>159</v>
      </c>
      <c r="G518" s="20">
        <v>544</v>
      </c>
      <c r="H518" s="13" t="s">
        <v>2061</v>
      </c>
      <c r="I518" s="13" t="str">
        <f t="shared" si="28"/>
        <v>NW 2nd Av (Broward Bl to NW 2nd St)</v>
      </c>
      <c r="J518" s="13" t="s">
        <v>27</v>
      </c>
      <c r="K518" s="13" t="str">
        <f>VLOOKUP(J518,'Data-ProjectTypes'!A$3:B$13,2,FALSE)</f>
        <v>Program</v>
      </c>
      <c r="L518" s="21" t="s">
        <v>348</v>
      </c>
      <c r="M518" s="13" t="s">
        <v>1811</v>
      </c>
      <c r="N518" s="13" t="s">
        <v>1912</v>
      </c>
      <c r="O518" s="13" t="s">
        <v>270</v>
      </c>
      <c r="P518" s="13" t="s">
        <v>270</v>
      </c>
      <c r="Q518" s="22">
        <v>0.1</v>
      </c>
      <c r="R518" s="23">
        <v>43667</v>
      </c>
      <c r="S518" s="21"/>
      <c r="T518" s="21"/>
      <c r="U518" s="21"/>
      <c r="V518" s="24"/>
      <c r="W518" s="24"/>
      <c r="X518" s="24"/>
      <c r="Y518" s="17"/>
      <c r="Z518" s="18">
        <f>ROUND(R518*'Data-CostAssumptions'!$C$3,-3)</f>
        <v>60000</v>
      </c>
      <c r="AA518" s="11">
        <f t="shared" si="29"/>
        <v>0</v>
      </c>
      <c r="AB518" s="11">
        <v>2041</v>
      </c>
      <c r="AC518" s="11">
        <v>2041</v>
      </c>
      <c r="AD518" s="11">
        <v>2041</v>
      </c>
      <c r="AE518" s="19">
        <f>ROUND((Z518*'Data-CostAssumptions'!$G$5)*(1+'Data-CostAssumptions'!$G$3)^(AB518-'Data-CostAssumptions'!$G$4),-3)</f>
        <v>34000</v>
      </c>
      <c r="AF518" s="19">
        <f>ROUND((Z518)*(1+'Data-CostAssumptions'!$G$3)^(AD518-'Data-CostAssumptions'!$G$4),-3)</f>
        <v>154000</v>
      </c>
      <c r="AG518" s="170" t="str">
        <f t="shared" si="30"/>
        <v>No</v>
      </c>
    </row>
    <row r="519" spans="2:33" ht="15" customHeight="1" x14ac:dyDescent="0.2">
      <c r="B519" s="11" t="s">
        <v>1211</v>
      </c>
      <c r="C519" s="13">
        <v>468</v>
      </c>
      <c r="D519" s="13" t="s">
        <v>420</v>
      </c>
      <c r="E519" s="20">
        <v>359</v>
      </c>
      <c r="F519" s="20">
        <v>167</v>
      </c>
      <c r="G519" s="20">
        <v>676</v>
      </c>
      <c r="H519" s="13" t="s">
        <v>207</v>
      </c>
      <c r="I519" s="13" t="str">
        <f t="shared" si="28"/>
        <v>NW 12th Court (NW 23rd Av to NW 24th Av)</v>
      </c>
      <c r="J519" s="13" t="s">
        <v>27</v>
      </c>
      <c r="K519" s="13" t="str">
        <f>VLOOKUP(J519,'Data-ProjectTypes'!A$3:B$13,2,FALSE)</f>
        <v>Program</v>
      </c>
      <c r="L519" s="21" t="s">
        <v>348</v>
      </c>
      <c r="M519" s="13" t="s">
        <v>2365</v>
      </c>
      <c r="N519" s="13" t="s">
        <v>2238</v>
      </c>
      <c r="O519" s="13" t="s">
        <v>273</v>
      </c>
      <c r="P519" s="13" t="s">
        <v>273</v>
      </c>
      <c r="Q519" s="22">
        <v>0.2</v>
      </c>
      <c r="R519" s="23">
        <v>59239</v>
      </c>
      <c r="S519" s="21" t="s">
        <v>350</v>
      </c>
      <c r="T519" s="21"/>
      <c r="U519" s="21"/>
      <c r="V519" s="24"/>
      <c r="W519" s="24" t="s">
        <v>580</v>
      </c>
      <c r="X519" s="24"/>
      <c r="Y519" s="17" t="s">
        <v>538</v>
      </c>
      <c r="Z519" s="18">
        <f>ROUND(R519*'Data-CostAssumptions'!$C$8,-3)</f>
        <v>59000</v>
      </c>
      <c r="AA519" s="11">
        <f t="shared" si="29"/>
        <v>1</v>
      </c>
      <c r="AB519" s="11">
        <v>2041</v>
      </c>
      <c r="AC519" s="11">
        <v>2041</v>
      </c>
      <c r="AD519" s="11">
        <v>2041</v>
      </c>
      <c r="AE519" s="19">
        <f>ROUND((Z519*'Data-CostAssumptions'!$G$5)*(1+'Data-CostAssumptions'!$G$3)^(AB519-'Data-CostAssumptions'!$G$4),-3)</f>
        <v>33000</v>
      </c>
      <c r="AF519" s="19">
        <f>ROUND((Z519)*(1+'Data-CostAssumptions'!$G$3)^(AD519-'Data-CostAssumptions'!$G$4),-3)</f>
        <v>151000</v>
      </c>
      <c r="AG519" s="170" t="str">
        <f t="shared" si="30"/>
        <v>No</v>
      </c>
    </row>
    <row r="520" spans="2:33" ht="15" customHeight="1" x14ac:dyDescent="0.2">
      <c r="B520" s="11" t="s">
        <v>1211</v>
      </c>
      <c r="C520" s="13">
        <v>260</v>
      </c>
      <c r="D520" s="13" t="s">
        <v>420</v>
      </c>
      <c r="E520" s="20">
        <v>323</v>
      </c>
      <c r="F520" s="20">
        <v>155</v>
      </c>
      <c r="G520" s="20">
        <v>475</v>
      </c>
      <c r="H520" s="13" t="s">
        <v>1898</v>
      </c>
      <c r="I520" s="13" t="str">
        <f t="shared" si="28"/>
        <v>NE 56th St (Dixie Hwy to NE 9th Terrace)</v>
      </c>
      <c r="J520" s="13" t="s">
        <v>27</v>
      </c>
      <c r="K520" s="13" t="str">
        <f>VLOOKUP(J520,'Data-ProjectTypes'!A$3:B$13,2,FALSE)</f>
        <v>Program</v>
      </c>
      <c r="L520" s="21" t="s">
        <v>348</v>
      </c>
      <c r="M520" s="13" t="s">
        <v>728</v>
      </c>
      <c r="N520" s="13" t="s">
        <v>144</v>
      </c>
      <c r="O520" s="13" t="s">
        <v>270</v>
      </c>
      <c r="P520" s="13" t="s">
        <v>270</v>
      </c>
      <c r="Q520" s="22">
        <v>0.1</v>
      </c>
      <c r="R520" s="23">
        <v>42134</v>
      </c>
      <c r="S520" s="21"/>
      <c r="T520" s="21"/>
      <c r="U520" s="21"/>
      <c r="V520" s="24"/>
      <c r="W520" s="24"/>
      <c r="X520" s="24"/>
      <c r="Y520" s="17"/>
      <c r="Z520" s="18">
        <f>ROUND(R520*'Data-CostAssumptions'!$C$3,-3)</f>
        <v>58000</v>
      </c>
      <c r="AA520" s="11">
        <f t="shared" si="29"/>
        <v>0</v>
      </c>
      <c r="AB520" s="11">
        <v>2041</v>
      </c>
      <c r="AC520" s="11">
        <v>2041</v>
      </c>
      <c r="AD520" s="11">
        <v>2041</v>
      </c>
      <c r="AE520" s="19">
        <f>ROUND((Z520*'Data-CostAssumptions'!$G$5)*(1+'Data-CostAssumptions'!$G$3)^(AB520-'Data-CostAssumptions'!$G$4),-3)</f>
        <v>33000</v>
      </c>
      <c r="AF520" s="19">
        <f>ROUND((Z520)*(1+'Data-CostAssumptions'!$G$3)^(AD520-'Data-CostAssumptions'!$G$4),-3)</f>
        <v>149000</v>
      </c>
      <c r="AG520" s="170" t="str">
        <f t="shared" si="30"/>
        <v>No</v>
      </c>
    </row>
    <row r="521" spans="2:33" ht="15" customHeight="1" x14ac:dyDescent="0.2">
      <c r="B521" s="11" t="s">
        <v>1211</v>
      </c>
      <c r="C521" s="13">
        <v>446</v>
      </c>
      <c r="D521" s="13" t="s">
        <v>420</v>
      </c>
      <c r="E521" s="20">
        <v>243</v>
      </c>
      <c r="F521" s="20">
        <v>166</v>
      </c>
      <c r="G521" s="20">
        <v>654</v>
      </c>
      <c r="H521" s="13" t="s">
        <v>2078</v>
      </c>
      <c r="I521" s="13" t="str">
        <f t="shared" si="28"/>
        <v>NW 70th Av (NW 11th Place to NW 13th St)</v>
      </c>
      <c r="J521" s="13" t="s">
        <v>27</v>
      </c>
      <c r="K521" s="13" t="str">
        <f>VLOOKUP(J521,'Data-ProjectTypes'!A$3:B$13,2,FALSE)</f>
        <v>Program</v>
      </c>
      <c r="L521" s="21" t="s">
        <v>348</v>
      </c>
      <c r="M521" s="13" t="s">
        <v>123</v>
      </c>
      <c r="N521" s="13" t="s">
        <v>1908</v>
      </c>
      <c r="O521" s="13" t="s">
        <v>284</v>
      </c>
      <c r="P521" s="13" t="s">
        <v>284</v>
      </c>
      <c r="Q521" s="22">
        <v>0.2</v>
      </c>
      <c r="R521" s="23">
        <v>58450</v>
      </c>
      <c r="S521" s="21"/>
      <c r="T521" s="21"/>
      <c r="U521" s="21"/>
      <c r="V521" s="24"/>
      <c r="W521" s="24"/>
      <c r="X521" s="24"/>
      <c r="Y521" s="17"/>
      <c r="Z521" s="18">
        <f>ROUND(R521*'Data-CostAssumptions'!$C$8,-3)</f>
        <v>58000</v>
      </c>
      <c r="AA521" s="11">
        <f t="shared" si="29"/>
        <v>0</v>
      </c>
      <c r="AB521" s="11">
        <v>2041</v>
      </c>
      <c r="AC521" s="11">
        <v>2041</v>
      </c>
      <c r="AD521" s="11">
        <v>2041</v>
      </c>
      <c r="AE521" s="19">
        <f>ROUND((Z521*'Data-CostAssumptions'!$G$5)*(1+'Data-CostAssumptions'!$G$3)^(AB521-'Data-CostAssumptions'!$G$4),-3)</f>
        <v>33000</v>
      </c>
      <c r="AF521" s="19">
        <f>ROUND((Z521)*(1+'Data-CostAssumptions'!$G$3)^(AD521-'Data-CostAssumptions'!$G$4),-3)</f>
        <v>149000</v>
      </c>
      <c r="AG521" s="170" t="str">
        <f t="shared" si="30"/>
        <v>No</v>
      </c>
    </row>
    <row r="522" spans="2:33" ht="15" customHeight="1" x14ac:dyDescent="0.2">
      <c r="B522" s="11" t="s">
        <v>1211</v>
      </c>
      <c r="C522" s="13">
        <v>215</v>
      </c>
      <c r="D522" s="13" t="s">
        <v>420</v>
      </c>
      <c r="E522" s="20">
        <v>364</v>
      </c>
      <c r="F522" s="20">
        <v>152</v>
      </c>
      <c r="G522" s="20">
        <v>429</v>
      </c>
      <c r="H522" s="13" t="s">
        <v>2097</v>
      </c>
      <c r="I522" s="13" t="str">
        <f t="shared" si="28"/>
        <v>South Andrews Av (New River Dr to Las Olas Bl)</v>
      </c>
      <c r="J522" s="13" t="s">
        <v>27</v>
      </c>
      <c r="K522" s="13" t="str">
        <f>VLOOKUP(J522,'Data-ProjectTypes'!A$3:B$13,2,FALSE)</f>
        <v>Program</v>
      </c>
      <c r="L522" s="21" t="s">
        <v>348</v>
      </c>
      <c r="M522" s="13" t="s">
        <v>2645</v>
      </c>
      <c r="N522" s="13" t="s">
        <v>1823</v>
      </c>
      <c r="O522" s="13" t="s">
        <v>273</v>
      </c>
      <c r="P522" s="13" t="s">
        <v>273</v>
      </c>
      <c r="Q522" s="22">
        <v>0.1</v>
      </c>
      <c r="R522" s="23">
        <v>41532</v>
      </c>
      <c r="S522" s="21"/>
      <c r="T522" s="21"/>
      <c r="U522" s="21"/>
      <c r="V522" s="24"/>
      <c r="W522" s="24"/>
      <c r="X522" s="24"/>
      <c r="Y522" s="17"/>
      <c r="Z522" s="18">
        <f>ROUND(R522*'Data-CostAssumptions'!$C$3,-3)</f>
        <v>57000</v>
      </c>
      <c r="AA522" s="11">
        <f t="shared" si="29"/>
        <v>0</v>
      </c>
      <c r="AB522" s="11">
        <v>2041</v>
      </c>
      <c r="AC522" s="11">
        <v>2041</v>
      </c>
      <c r="AD522" s="11">
        <v>2041</v>
      </c>
      <c r="AE522" s="19">
        <f>ROUND((Z522*'Data-CostAssumptions'!$G$5)*(1+'Data-CostAssumptions'!$G$3)^(AB522-'Data-CostAssumptions'!$G$4),-3)</f>
        <v>32000</v>
      </c>
      <c r="AF522" s="19">
        <f>ROUND((Z522)*(1+'Data-CostAssumptions'!$G$3)^(AD522-'Data-CostAssumptions'!$G$4),-3)</f>
        <v>146000</v>
      </c>
      <c r="AG522" s="170" t="str">
        <f t="shared" si="30"/>
        <v>No</v>
      </c>
    </row>
    <row r="523" spans="2:33" ht="15" customHeight="1" x14ac:dyDescent="0.2">
      <c r="B523" s="11" t="s">
        <v>1211</v>
      </c>
      <c r="C523" s="13">
        <v>462</v>
      </c>
      <c r="D523" s="13" t="s">
        <v>420</v>
      </c>
      <c r="E523" s="20">
        <v>337</v>
      </c>
      <c r="F523" s="20">
        <v>167</v>
      </c>
      <c r="G523" s="20">
        <v>670</v>
      </c>
      <c r="H523" s="13" t="s">
        <v>2041</v>
      </c>
      <c r="I523" s="13" t="str">
        <f t="shared" si="28"/>
        <v>North 56th Av (Douglas St to North 33rd St)</v>
      </c>
      <c r="J523" s="13" t="s">
        <v>27</v>
      </c>
      <c r="K523" s="13" t="str">
        <f>VLOOKUP(J523,'Data-ProjectTypes'!A$3:B$13,2,FALSE)</f>
        <v>Program</v>
      </c>
      <c r="L523" s="21" t="s">
        <v>543</v>
      </c>
      <c r="M523" s="13" t="s">
        <v>2521</v>
      </c>
      <c r="N523" s="13" t="s">
        <v>2520</v>
      </c>
      <c r="O523" s="13" t="s">
        <v>282</v>
      </c>
      <c r="P523" s="13" t="s">
        <v>282</v>
      </c>
      <c r="Q523" s="22">
        <v>0.2</v>
      </c>
      <c r="R523" s="23">
        <v>56780</v>
      </c>
      <c r="Y523" s="17"/>
      <c r="Z523" s="18">
        <f>ROUND(R523*'Data-CostAssumptions'!$C$8,-3)</f>
        <v>57000</v>
      </c>
      <c r="AA523" s="11">
        <f t="shared" si="29"/>
        <v>0</v>
      </c>
      <c r="AB523" s="11">
        <v>2041</v>
      </c>
      <c r="AC523" s="11">
        <v>2041</v>
      </c>
      <c r="AD523" s="11">
        <v>2041</v>
      </c>
      <c r="AE523" s="19">
        <f>ROUND((Z523*'Data-CostAssumptions'!$G$5)*(1+'Data-CostAssumptions'!$G$3)^(AB523-'Data-CostAssumptions'!$G$4),-3)</f>
        <v>32000</v>
      </c>
      <c r="AF523" s="19">
        <f>ROUND((Z523)*(1+'Data-CostAssumptions'!$G$3)^(AD523-'Data-CostAssumptions'!$G$4),-3)</f>
        <v>146000</v>
      </c>
      <c r="AG523" s="170" t="str">
        <f t="shared" si="30"/>
        <v>No</v>
      </c>
    </row>
    <row r="524" spans="2:33" ht="15" customHeight="1" x14ac:dyDescent="0.2">
      <c r="B524" s="11" t="s">
        <v>1211</v>
      </c>
      <c r="C524" s="13">
        <v>339</v>
      </c>
      <c r="D524" s="13" t="s">
        <v>420</v>
      </c>
      <c r="E524" s="20">
        <v>420</v>
      </c>
      <c r="F524" s="20">
        <v>159</v>
      </c>
      <c r="G524" s="20">
        <v>550</v>
      </c>
      <c r="H524" s="13" t="s">
        <v>2056</v>
      </c>
      <c r="I524" s="13" t="str">
        <f t="shared" si="28"/>
        <v>NW 1st Av (Copans Rd to NW 25th Court)</v>
      </c>
      <c r="J524" s="13" t="s">
        <v>27</v>
      </c>
      <c r="K524" s="13" t="str">
        <f>VLOOKUP(J524,'Data-ProjectTypes'!A$3:B$13,2,FALSE)</f>
        <v>Program</v>
      </c>
      <c r="L524" s="21" t="s">
        <v>348</v>
      </c>
      <c r="M524" s="13" t="s">
        <v>1836</v>
      </c>
      <c r="N524" s="13" t="s">
        <v>108</v>
      </c>
      <c r="O524" s="13" t="s">
        <v>273</v>
      </c>
      <c r="P524" s="13" t="s">
        <v>273</v>
      </c>
      <c r="Q524" s="22">
        <v>0.1</v>
      </c>
      <c r="R524" s="23">
        <v>37600</v>
      </c>
      <c r="S524" s="21"/>
      <c r="T524" s="21"/>
      <c r="U524" s="21"/>
      <c r="V524" s="24"/>
      <c r="W524" s="24"/>
      <c r="X524" s="24"/>
      <c r="Y524" s="17"/>
      <c r="Z524" s="18">
        <f>ROUND(R524*'Data-CostAssumptions'!$C$3,-3)</f>
        <v>52000</v>
      </c>
      <c r="AA524" s="11">
        <f t="shared" si="29"/>
        <v>0</v>
      </c>
      <c r="AB524" s="11">
        <v>2041</v>
      </c>
      <c r="AC524" s="11">
        <v>2041</v>
      </c>
      <c r="AD524" s="11">
        <v>2041</v>
      </c>
      <c r="AE524" s="19">
        <f>ROUND((Z524*'Data-CostAssumptions'!$G$5)*(1+'Data-CostAssumptions'!$G$3)^(AB524-'Data-CostAssumptions'!$G$4),-3)</f>
        <v>29000</v>
      </c>
      <c r="AF524" s="19">
        <f>ROUND((Z524)*(1+'Data-CostAssumptions'!$G$3)^(AD524-'Data-CostAssumptions'!$G$4),-3)</f>
        <v>133000</v>
      </c>
      <c r="AG524" s="170" t="str">
        <f t="shared" si="30"/>
        <v>No</v>
      </c>
    </row>
    <row r="525" spans="2:33" ht="15" customHeight="1" x14ac:dyDescent="0.2">
      <c r="B525" s="11" t="s">
        <v>1211</v>
      </c>
      <c r="C525" s="13">
        <v>607</v>
      </c>
      <c r="D525" s="13" t="s">
        <v>420</v>
      </c>
      <c r="E525" s="20">
        <v>345</v>
      </c>
      <c r="F525" s="20">
        <v>175</v>
      </c>
      <c r="G525" s="20">
        <v>809</v>
      </c>
      <c r="H525" s="13" t="s">
        <v>2091</v>
      </c>
      <c r="I525" s="13" t="str">
        <f t="shared" si="28"/>
        <v>SE 19th Av (SE 32nd St to Just north of Eller Dr)</v>
      </c>
      <c r="J525" s="13" t="s">
        <v>27</v>
      </c>
      <c r="K525" s="13" t="str">
        <f>VLOOKUP(J525,'Data-ProjectTypes'!A$3:B$13,2,FALSE)</f>
        <v>Program</v>
      </c>
      <c r="L525" s="21" t="s">
        <v>543</v>
      </c>
      <c r="M525" s="13" t="s">
        <v>2558</v>
      </c>
      <c r="N525" s="13" t="s">
        <v>2675</v>
      </c>
      <c r="O525" s="13" t="s">
        <v>282</v>
      </c>
      <c r="P525" s="13" t="s">
        <v>282</v>
      </c>
      <c r="Q525" s="22">
        <v>0.1</v>
      </c>
      <c r="R525" s="23">
        <v>36417</v>
      </c>
      <c r="X525" s="38"/>
      <c r="Y525" s="12"/>
      <c r="Z525" s="18">
        <f>ROUND(R525*'Data-CostAssumptions'!$C$3,-3)</f>
        <v>50000</v>
      </c>
      <c r="AA525" s="11">
        <f t="shared" si="29"/>
        <v>0</v>
      </c>
      <c r="AB525" s="11">
        <v>2041</v>
      </c>
      <c r="AC525" s="11">
        <v>2041</v>
      </c>
      <c r="AD525" s="11">
        <v>2041</v>
      </c>
      <c r="AE525" s="19">
        <f>ROUND((Z525*'Data-CostAssumptions'!$G$5)*(1+'Data-CostAssumptions'!$G$3)^(AB525-'Data-CostAssumptions'!$G$4),-3)</f>
        <v>28000</v>
      </c>
      <c r="AF525" s="19">
        <f>ROUND((Z525)*(1+'Data-CostAssumptions'!$G$3)^(AD525-'Data-CostAssumptions'!$G$4),-3)</f>
        <v>128000</v>
      </c>
      <c r="AG525" s="170" t="str">
        <f t="shared" si="30"/>
        <v>No</v>
      </c>
    </row>
    <row r="526" spans="2:33" ht="15" customHeight="1" x14ac:dyDescent="0.2">
      <c r="B526" s="11" t="s">
        <v>1211</v>
      </c>
      <c r="C526" s="11">
        <v>12294</v>
      </c>
      <c r="D526" s="84" t="s">
        <v>282</v>
      </c>
      <c r="E526" s="14"/>
      <c r="F526" s="14"/>
      <c r="G526" s="20">
        <v>1784</v>
      </c>
      <c r="H526" s="13" t="s">
        <v>2813</v>
      </c>
      <c r="I526" s="13" t="str">
        <f t="shared" si="28"/>
        <v>SR 820/Hollywood Bl (I-95 SB On-Ramp to )</v>
      </c>
      <c r="J526" s="11" t="s">
        <v>27</v>
      </c>
      <c r="K526" s="13" t="str">
        <f>VLOOKUP(J526,'Data-ProjectTypes'!A$3:B$13,2,FALSE)</f>
        <v>Program</v>
      </c>
      <c r="L526" s="142" t="s">
        <v>632</v>
      </c>
      <c r="M526" s="11" t="s">
        <v>656</v>
      </c>
      <c r="Q526" s="79">
        <v>0</v>
      </c>
      <c r="R526" s="143">
        <v>50000</v>
      </c>
      <c r="S526" s="12"/>
      <c r="T526" s="12"/>
      <c r="U526" s="12"/>
      <c r="V526" s="12"/>
      <c r="W526" s="12"/>
      <c r="X526" s="12"/>
      <c r="Y526" s="12"/>
      <c r="Z526" s="18">
        <f>ROUND(R526*'Data-CostAssumptions'!$C$8,-3)</f>
        <v>50000</v>
      </c>
      <c r="AA526" s="11">
        <f t="shared" si="29"/>
        <v>0</v>
      </c>
      <c r="AB526" s="11">
        <v>2041</v>
      </c>
      <c r="AC526" s="11">
        <v>2041</v>
      </c>
      <c r="AD526" s="11">
        <v>2041</v>
      </c>
      <c r="AE526" s="19">
        <f>ROUND((Z526*'Data-CostAssumptions'!$G$5)*(1+'Data-CostAssumptions'!$G$3)^(AB526-'Data-CostAssumptions'!$G$4),-3)</f>
        <v>28000</v>
      </c>
      <c r="AF526" s="19">
        <f>ROUND((Z526)*(1+'Data-CostAssumptions'!$G$3)^(AD526-'Data-CostAssumptions'!$G$4),-3)</f>
        <v>128000</v>
      </c>
      <c r="AG526" s="170" t="str">
        <f t="shared" si="30"/>
        <v>No</v>
      </c>
    </row>
    <row r="527" spans="2:33" ht="15" customHeight="1" x14ac:dyDescent="0.2">
      <c r="B527" s="11" t="s">
        <v>1211</v>
      </c>
      <c r="C527" s="11">
        <v>12296</v>
      </c>
      <c r="D527" s="84" t="s">
        <v>282</v>
      </c>
      <c r="E527" s="14"/>
      <c r="F527" s="14"/>
      <c r="G527" s="20">
        <v>1785</v>
      </c>
      <c r="H527" s="13" t="s">
        <v>2813</v>
      </c>
      <c r="I527" s="13" t="str">
        <f t="shared" si="28"/>
        <v>SR 820/Hollywood Bl (I-95 NB On-Ramp to )</v>
      </c>
      <c r="J527" s="11" t="s">
        <v>27</v>
      </c>
      <c r="K527" s="13" t="str">
        <f>VLOOKUP(J527,'Data-ProjectTypes'!A$3:B$13,2,FALSE)</f>
        <v>Program</v>
      </c>
      <c r="L527" s="142" t="s">
        <v>632</v>
      </c>
      <c r="M527" s="11" t="s">
        <v>658</v>
      </c>
      <c r="Q527" s="79">
        <v>0</v>
      </c>
      <c r="R527" s="143">
        <v>50000</v>
      </c>
      <c r="S527" s="12"/>
      <c r="T527" s="12"/>
      <c r="U527" s="12"/>
      <c r="V527" s="12"/>
      <c r="W527" s="12"/>
      <c r="X527" s="12"/>
      <c r="Y527" s="12"/>
      <c r="Z527" s="18">
        <f>ROUND(R527*'Data-CostAssumptions'!$C$8,-3)</f>
        <v>50000</v>
      </c>
      <c r="AA527" s="11">
        <f t="shared" si="29"/>
        <v>0</v>
      </c>
      <c r="AB527" s="11">
        <v>2041</v>
      </c>
      <c r="AC527" s="11">
        <v>2041</v>
      </c>
      <c r="AD527" s="11">
        <v>2041</v>
      </c>
      <c r="AE527" s="19">
        <f>ROUND((Z527*'Data-CostAssumptions'!$G$5)*(1+'Data-CostAssumptions'!$G$3)^(AB527-'Data-CostAssumptions'!$G$4),-3)</f>
        <v>28000</v>
      </c>
      <c r="AF527" s="19">
        <f>ROUND((Z527)*(1+'Data-CostAssumptions'!$G$3)^(AD527-'Data-CostAssumptions'!$G$4),-3)</f>
        <v>128000</v>
      </c>
      <c r="AG527" s="170" t="str">
        <f t="shared" si="30"/>
        <v>No</v>
      </c>
    </row>
    <row r="528" spans="2:33" ht="15" customHeight="1" x14ac:dyDescent="0.2">
      <c r="B528" s="11" t="s">
        <v>1211</v>
      </c>
      <c r="C528" s="11">
        <v>12297</v>
      </c>
      <c r="D528" s="84" t="s">
        <v>282</v>
      </c>
      <c r="E528" s="14"/>
      <c r="F528" s="14"/>
      <c r="G528" s="20">
        <v>1786</v>
      </c>
      <c r="H528" s="13" t="s">
        <v>2813</v>
      </c>
      <c r="I528" s="13" t="str">
        <f t="shared" si="28"/>
        <v>SR 820/Hollywood Bl (I-95 NB Off-Ramp to )</v>
      </c>
      <c r="J528" s="11" t="s">
        <v>27</v>
      </c>
      <c r="K528" s="13" t="str">
        <f>VLOOKUP(J528,'Data-ProjectTypes'!A$3:B$13,2,FALSE)</f>
        <v>Program</v>
      </c>
      <c r="L528" s="142" t="s">
        <v>634</v>
      </c>
      <c r="M528" s="11" t="s">
        <v>659</v>
      </c>
      <c r="Q528" s="79">
        <v>0</v>
      </c>
      <c r="R528" s="143">
        <v>50000</v>
      </c>
      <c r="S528" s="12"/>
      <c r="T528" s="12"/>
      <c r="U528" s="12"/>
      <c r="V528" s="12"/>
      <c r="W528" s="12"/>
      <c r="X528" s="12"/>
      <c r="Y528" s="12"/>
      <c r="Z528" s="18">
        <f>ROUND(R528*'Data-CostAssumptions'!$C$8,-3)</f>
        <v>50000</v>
      </c>
      <c r="AA528" s="11">
        <f t="shared" si="29"/>
        <v>0</v>
      </c>
      <c r="AB528" s="11">
        <v>2041</v>
      </c>
      <c r="AC528" s="11">
        <v>2041</v>
      </c>
      <c r="AD528" s="11">
        <v>2041</v>
      </c>
      <c r="AE528" s="19">
        <f>ROUND((Z528*'Data-CostAssumptions'!$G$5)*(1+'Data-CostAssumptions'!$G$3)^(AB528-'Data-CostAssumptions'!$G$4),-3)</f>
        <v>28000</v>
      </c>
      <c r="AF528" s="19">
        <f>ROUND((Z528)*(1+'Data-CostAssumptions'!$G$3)^(AD528-'Data-CostAssumptions'!$G$4),-3)</f>
        <v>128000</v>
      </c>
      <c r="AG528" s="170" t="str">
        <f t="shared" si="30"/>
        <v>No</v>
      </c>
    </row>
    <row r="529" spans="2:33" ht="15" customHeight="1" x14ac:dyDescent="0.2">
      <c r="B529" s="11" t="s">
        <v>1211</v>
      </c>
      <c r="C529" s="11">
        <v>12313</v>
      </c>
      <c r="D529" s="84" t="s">
        <v>282</v>
      </c>
      <c r="E529" s="14"/>
      <c r="F529" s="14"/>
      <c r="G529" s="20">
        <v>1793</v>
      </c>
      <c r="H529" s="13" t="s">
        <v>110</v>
      </c>
      <c r="I529" s="13" t="str">
        <f t="shared" si="28"/>
        <v>SR A1A (Indiana St to )</v>
      </c>
      <c r="J529" s="11" t="s">
        <v>27</v>
      </c>
      <c r="K529" s="13" t="str">
        <f>VLOOKUP(J529,'Data-ProjectTypes'!A$3:B$13,2,FALSE)</f>
        <v>Program</v>
      </c>
      <c r="L529" s="142" t="s">
        <v>650</v>
      </c>
      <c r="M529" s="11" t="s">
        <v>2563</v>
      </c>
      <c r="Q529" s="79">
        <v>0</v>
      </c>
      <c r="R529" s="143">
        <v>50000</v>
      </c>
      <c r="Y529" s="12"/>
      <c r="Z529" s="18">
        <f>ROUND(R529*'Data-CostAssumptions'!$C$8,-3)</f>
        <v>50000</v>
      </c>
      <c r="AA529" s="11">
        <f t="shared" si="29"/>
        <v>0</v>
      </c>
      <c r="AB529" s="11">
        <v>2041</v>
      </c>
      <c r="AC529" s="11">
        <v>2041</v>
      </c>
      <c r="AD529" s="11">
        <v>2041</v>
      </c>
      <c r="AE529" s="19">
        <f>ROUND((Z529*'Data-CostAssumptions'!$G$5)*(1+'Data-CostAssumptions'!$G$3)^(AB529-'Data-CostAssumptions'!$G$4),-3)</f>
        <v>28000</v>
      </c>
      <c r="AF529" s="19">
        <f>ROUND((Z529)*(1+'Data-CostAssumptions'!$G$3)^(AD529-'Data-CostAssumptions'!$G$4),-3)</f>
        <v>128000</v>
      </c>
      <c r="AG529" s="170" t="str">
        <f t="shared" si="30"/>
        <v>No</v>
      </c>
    </row>
    <row r="530" spans="2:33" ht="15" customHeight="1" x14ac:dyDescent="0.2">
      <c r="B530" s="11" t="s">
        <v>1211</v>
      </c>
      <c r="C530" s="11">
        <v>12314</v>
      </c>
      <c r="D530" s="84" t="s">
        <v>282</v>
      </c>
      <c r="E530" s="14"/>
      <c r="F530" s="14"/>
      <c r="G530" s="20">
        <v>1794</v>
      </c>
      <c r="H530" s="13" t="s">
        <v>110</v>
      </c>
      <c r="I530" s="13" t="str">
        <f t="shared" si="28"/>
        <v>SR A1A (Johnson St to )</v>
      </c>
      <c r="J530" s="11" t="s">
        <v>27</v>
      </c>
      <c r="K530" s="13" t="str">
        <f>VLOOKUP(J530,'Data-ProjectTypes'!A$3:B$13,2,FALSE)</f>
        <v>Program</v>
      </c>
      <c r="L530" s="142" t="s">
        <v>651</v>
      </c>
      <c r="M530" s="11" t="s">
        <v>1880</v>
      </c>
      <c r="Q530" s="79">
        <v>0</v>
      </c>
      <c r="R530" s="143">
        <v>50000</v>
      </c>
      <c r="S530" s="12"/>
      <c r="T530" s="12"/>
      <c r="U530" s="12"/>
      <c r="V530" s="12"/>
      <c r="W530" s="12"/>
      <c r="X530" s="12"/>
      <c r="Y530" s="12"/>
      <c r="Z530" s="18">
        <f>ROUND(R530*'Data-CostAssumptions'!$C$8,-3)</f>
        <v>50000</v>
      </c>
      <c r="AA530" s="11">
        <f t="shared" si="29"/>
        <v>0</v>
      </c>
      <c r="AB530" s="11">
        <v>2041</v>
      </c>
      <c r="AC530" s="11">
        <v>2041</v>
      </c>
      <c r="AD530" s="11">
        <v>2041</v>
      </c>
      <c r="AE530" s="19">
        <f>ROUND((Z530*'Data-CostAssumptions'!$G$5)*(1+'Data-CostAssumptions'!$G$3)^(AB530-'Data-CostAssumptions'!$G$4),-3)</f>
        <v>28000</v>
      </c>
      <c r="AF530" s="19">
        <f>ROUND((Z530)*(1+'Data-CostAssumptions'!$G$3)^(AD530-'Data-CostAssumptions'!$G$4),-3)</f>
        <v>128000</v>
      </c>
      <c r="AG530" s="170" t="str">
        <f t="shared" si="30"/>
        <v>No</v>
      </c>
    </row>
    <row r="531" spans="2:33" ht="15" customHeight="1" x14ac:dyDescent="0.2">
      <c r="B531" s="11" t="s">
        <v>1211</v>
      </c>
      <c r="C531" s="13">
        <v>271</v>
      </c>
      <c r="D531" s="13" t="s">
        <v>420</v>
      </c>
      <c r="E531" s="20">
        <v>413</v>
      </c>
      <c r="F531" s="20">
        <v>155</v>
      </c>
      <c r="G531" s="20">
        <v>485</v>
      </c>
      <c r="H531" s="13" t="s">
        <v>1966</v>
      </c>
      <c r="I531" s="13" t="str">
        <f t="shared" si="28"/>
        <v>SW 8th St (SW 3rd Av to Flagler Av)</v>
      </c>
      <c r="J531" s="13" t="s">
        <v>27</v>
      </c>
      <c r="K531" s="13" t="str">
        <f>VLOOKUP(J531,'Data-ProjectTypes'!A$3:B$13,2,FALSE)</f>
        <v>Program</v>
      </c>
      <c r="L531" s="21" t="s">
        <v>348</v>
      </c>
      <c r="M531" s="13" t="s">
        <v>2123</v>
      </c>
      <c r="N531" s="13" t="s">
        <v>2019</v>
      </c>
      <c r="O531" s="13" t="s">
        <v>275</v>
      </c>
      <c r="P531" s="13" t="s">
        <v>275</v>
      </c>
      <c r="Q531" s="22">
        <v>0.1</v>
      </c>
      <c r="R531" s="23">
        <v>35557</v>
      </c>
      <c r="S531" s="21" t="s">
        <v>24</v>
      </c>
      <c r="T531" s="21" t="s">
        <v>25</v>
      </c>
      <c r="U531" s="21"/>
      <c r="V531" s="24"/>
      <c r="W531" s="24"/>
      <c r="X531" s="24"/>
      <c r="Y531" s="17" t="s">
        <v>469</v>
      </c>
      <c r="Z531" s="18">
        <f>ROUND(R531*'Data-CostAssumptions'!$C$3,-3)</f>
        <v>49000</v>
      </c>
      <c r="AA531" s="11">
        <f t="shared" si="29"/>
        <v>0</v>
      </c>
      <c r="AB531" s="11">
        <v>2041</v>
      </c>
      <c r="AC531" s="11">
        <v>2041</v>
      </c>
      <c r="AD531" s="11">
        <v>2041</v>
      </c>
      <c r="AE531" s="19">
        <f>ROUND((Z531*'Data-CostAssumptions'!$G$5)*(1+'Data-CostAssumptions'!$G$3)^(AB531-'Data-CostAssumptions'!$G$4),-3)</f>
        <v>28000</v>
      </c>
      <c r="AF531" s="19">
        <f>ROUND((Z531)*(1+'Data-CostAssumptions'!$G$3)^(AD531-'Data-CostAssumptions'!$G$4),-3)</f>
        <v>126000</v>
      </c>
      <c r="AG531" s="170" t="str">
        <f t="shared" si="30"/>
        <v>No</v>
      </c>
    </row>
    <row r="532" spans="2:33" ht="15" customHeight="1" x14ac:dyDescent="0.2">
      <c r="B532" s="11" t="s">
        <v>1211</v>
      </c>
      <c r="C532" s="13">
        <v>612</v>
      </c>
      <c r="D532" s="13" t="s">
        <v>420</v>
      </c>
      <c r="E532" s="20">
        <v>439</v>
      </c>
      <c r="F532" s="20">
        <v>176</v>
      </c>
      <c r="G532" s="20">
        <v>813</v>
      </c>
      <c r="H532" s="13" t="s">
        <v>1914</v>
      </c>
      <c r="I532" s="13" t="str">
        <f t="shared" si="28"/>
        <v>NW 33rd St (NW 8th Av to Andrews Av)</v>
      </c>
      <c r="J532" s="13" t="s">
        <v>27</v>
      </c>
      <c r="K532" s="13" t="str">
        <f>VLOOKUP(J532,'Data-ProjectTypes'!A$3:B$13,2,FALSE)</f>
        <v>Program</v>
      </c>
      <c r="L532" s="21" t="s">
        <v>348</v>
      </c>
      <c r="M532" s="13" t="s">
        <v>2081</v>
      </c>
      <c r="N532" s="13" t="s">
        <v>2014</v>
      </c>
      <c r="O532" s="13" t="s">
        <v>275</v>
      </c>
      <c r="P532" s="13" t="s">
        <v>275</v>
      </c>
      <c r="Q532" s="22">
        <v>0.1</v>
      </c>
      <c r="R532" s="23">
        <v>48777</v>
      </c>
      <c r="Y532" s="12"/>
      <c r="Z532" s="71">
        <f>ROUND(R532*'Data-CostAssumptions'!$C$8,-3)</f>
        <v>49000</v>
      </c>
      <c r="AA532" s="11">
        <f t="shared" si="29"/>
        <v>0</v>
      </c>
      <c r="AB532" s="11">
        <v>2041</v>
      </c>
      <c r="AC532" s="11">
        <v>2041</v>
      </c>
      <c r="AD532" s="11">
        <v>2041</v>
      </c>
      <c r="AE532" s="19">
        <f>ROUND((Z532*'Data-CostAssumptions'!$G$5)*(1+'Data-CostAssumptions'!$G$3)^(AB532-'Data-CostAssumptions'!$G$4),-3)</f>
        <v>28000</v>
      </c>
      <c r="AF532" s="19">
        <f>ROUND((Z532)*(1+'Data-CostAssumptions'!$G$3)^(AD532-'Data-CostAssumptions'!$G$4),-3)</f>
        <v>126000</v>
      </c>
      <c r="AG532" s="170" t="str">
        <f t="shared" si="30"/>
        <v>No</v>
      </c>
    </row>
    <row r="533" spans="2:33" ht="15" customHeight="1" x14ac:dyDescent="0.2">
      <c r="B533" s="11" t="s">
        <v>1211</v>
      </c>
      <c r="C533" s="13">
        <v>536</v>
      </c>
      <c r="D533" s="13" t="s">
        <v>420</v>
      </c>
      <c r="E533" s="20">
        <v>362</v>
      </c>
      <c r="F533" s="20">
        <v>171</v>
      </c>
      <c r="G533" s="20">
        <v>740</v>
      </c>
      <c r="H533" s="13" t="s">
        <v>2053</v>
      </c>
      <c r="I533" s="13" t="str">
        <f t="shared" si="28"/>
        <v>NW 13th Av (NW 9th St to Sunrise Bl)</v>
      </c>
      <c r="J533" s="13" t="s">
        <v>27</v>
      </c>
      <c r="K533" s="13" t="str">
        <f>VLOOKUP(J533,'Data-ProjectTypes'!A$3:B$13,2,FALSE)</f>
        <v>Program</v>
      </c>
      <c r="L533" s="21" t="s">
        <v>348</v>
      </c>
      <c r="M533" s="13" t="s">
        <v>2538</v>
      </c>
      <c r="N533" s="13" t="s">
        <v>1830</v>
      </c>
      <c r="O533" s="13" t="s">
        <v>270</v>
      </c>
      <c r="P533" s="13" t="s">
        <v>270</v>
      </c>
      <c r="Q533" s="22">
        <v>0.1</v>
      </c>
      <c r="R533" s="23">
        <v>47593</v>
      </c>
      <c r="S533" s="21"/>
      <c r="T533" s="21"/>
      <c r="U533" s="21"/>
      <c r="V533" s="24"/>
      <c r="W533" s="24" t="s">
        <v>491</v>
      </c>
      <c r="X533" s="24"/>
      <c r="Y533" s="17" t="s">
        <v>492</v>
      </c>
      <c r="Z533" s="18">
        <f>ROUND(R533*'Data-CostAssumptions'!$C$8,-3)</f>
        <v>48000</v>
      </c>
      <c r="AA533" s="11">
        <f t="shared" si="29"/>
        <v>1</v>
      </c>
      <c r="AB533" s="11">
        <v>2041</v>
      </c>
      <c r="AC533" s="11">
        <v>2041</v>
      </c>
      <c r="AD533" s="11">
        <v>2041</v>
      </c>
      <c r="AE533" s="19">
        <f>ROUND((Z533*'Data-CostAssumptions'!$G$5)*(1+'Data-CostAssumptions'!$G$3)^(AB533-'Data-CostAssumptions'!$G$4),-3)</f>
        <v>27000</v>
      </c>
      <c r="AF533" s="19">
        <f>ROUND((Z533)*(1+'Data-CostAssumptions'!$G$3)^(AD533-'Data-CostAssumptions'!$G$4),-3)</f>
        <v>123000</v>
      </c>
      <c r="AG533" s="170" t="str">
        <f t="shared" si="30"/>
        <v>No</v>
      </c>
    </row>
    <row r="534" spans="2:33" ht="15" customHeight="1" x14ac:dyDescent="0.2">
      <c r="B534" s="11" t="s">
        <v>1211</v>
      </c>
      <c r="C534" s="13">
        <v>605</v>
      </c>
      <c r="D534" s="13" t="s">
        <v>420</v>
      </c>
      <c r="E534" s="20">
        <v>331</v>
      </c>
      <c r="F534" s="20">
        <v>175</v>
      </c>
      <c r="G534" s="20">
        <v>807</v>
      </c>
      <c r="H534" s="13" t="s">
        <v>1951</v>
      </c>
      <c r="I534" s="13" t="str">
        <f t="shared" si="28"/>
        <v>Sheridan St (Just east of SW 166th Av to Just west of SW 166th Av)</v>
      </c>
      <c r="J534" s="13" t="s">
        <v>27</v>
      </c>
      <c r="K534" s="13" t="str">
        <f>VLOOKUP(J534,'Data-ProjectTypes'!A$3:B$13,2,FALSE)</f>
        <v>Program</v>
      </c>
      <c r="L534" s="21" t="s">
        <v>348</v>
      </c>
      <c r="M534" s="13" t="s">
        <v>2383</v>
      </c>
      <c r="N534" s="13" t="s">
        <v>2263</v>
      </c>
      <c r="O534" s="13" t="s">
        <v>273</v>
      </c>
      <c r="P534" s="13" t="s">
        <v>273</v>
      </c>
      <c r="Q534" s="22">
        <v>0.1</v>
      </c>
      <c r="R534" s="23">
        <v>34490</v>
      </c>
      <c r="Y534" s="12"/>
      <c r="Z534" s="18">
        <f>ROUND(R534*'Data-CostAssumptions'!$C$3,-3)</f>
        <v>48000</v>
      </c>
      <c r="AA534" s="11">
        <f t="shared" si="29"/>
        <v>0</v>
      </c>
      <c r="AB534" s="11">
        <v>2041</v>
      </c>
      <c r="AC534" s="11">
        <v>2041</v>
      </c>
      <c r="AD534" s="11">
        <v>2041</v>
      </c>
      <c r="AE534" s="19">
        <f>ROUND((Z534*'Data-CostAssumptions'!$G$5)*(1+'Data-CostAssumptions'!$G$3)^(AB534-'Data-CostAssumptions'!$G$4),-3)</f>
        <v>27000</v>
      </c>
      <c r="AF534" s="19">
        <f>ROUND((Z534)*(1+'Data-CostAssumptions'!$G$3)^(AD534-'Data-CostAssumptions'!$G$4),-3)</f>
        <v>123000</v>
      </c>
      <c r="AG534" s="170" t="str">
        <f t="shared" si="30"/>
        <v>No</v>
      </c>
    </row>
    <row r="535" spans="2:33" ht="15" customHeight="1" x14ac:dyDescent="0.2">
      <c r="B535" s="11" t="s">
        <v>1211</v>
      </c>
      <c r="C535" s="13">
        <v>458</v>
      </c>
      <c r="D535" s="13" t="s">
        <v>420</v>
      </c>
      <c r="E535" s="20">
        <v>325</v>
      </c>
      <c r="F535" s="20">
        <v>167</v>
      </c>
      <c r="G535" s="20">
        <v>666</v>
      </c>
      <c r="H535" s="13" t="s">
        <v>1927</v>
      </c>
      <c r="I535" s="13" t="str">
        <f t="shared" si="28"/>
        <v>NW 62nd St (Powerline Rd to NW 10th Terrace)</v>
      </c>
      <c r="J535" s="13" t="s">
        <v>27</v>
      </c>
      <c r="K535" s="13" t="str">
        <f>VLOOKUP(J535,'Data-ProjectTypes'!A$3:B$13,2,FALSE)</f>
        <v>Program</v>
      </c>
      <c r="L535" s="21" t="s">
        <v>348</v>
      </c>
      <c r="M535" s="13" t="s">
        <v>1858</v>
      </c>
      <c r="N535" s="13" t="s">
        <v>209</v>
      </c>
      <c r="O535" s="13" t="s">
        <v>273</v>
      </c>
      <c r="P535" s="13" t="s">
        <v>273</v>
      </c>
      <c r="Q535" s="22">
        <v>0.1</v>
      </c>
      <c r="R535" s="23">
        <v>47189</v>
      </c>
      <c r="S535" s="21"/>
      <c r="T535" s="21"/>
      <c r="U535" s="21"/>
      <c r="V535" s="24"/>
      <c r="W535" s="24"/>
      <c r="X535" s="24"/>
      <c r="Y535" s="17"/>
      <c r="Z535" s="18">
        <f>ROUND(R535*'Data-CostAssumptions'!$C$8,-3)</f>
        <v>47000</v>
      </c>
      <c r="AA535" s="11">
        <f t="shared" si="29"/>
        <v>0</v>
      </c>
      <c r="AB535" s="11">
        <v>2041</v>
      </c>
      <c r="AC535" s="11">
        <v>2041</v>
      </c>
      <c r="AD535" s="11">
        <v>2041</v>
      </c>
      <c r="AE535" s="19">
        <f>ROUND((Z535*'Data-CostAssumptions'!$G$5)*(1+'Data-CostAssumptions'!$G$3)^(AB535-'Data-CostAssumptions'!$G$4),-3)</f>
        <v>27000</v>
      </c>
      <c r="AF535" s="19">
        <f>ROUND((Z535)*(1+'Data-CostAssumptions'!$G$3)^(AD535-'Data-CostAssumptions'!$G$4),-3)</f>
        <v>121000</v>
      </c>
      <c r="AG535" s="170" t="str">
        <f t="shared" si="30"/>
        <v>No</v>
      </c>
    </row>
    <row r="536" spans="2:33" ht="15" customHeight="1" x14ac:dyDescent="0.2">
      <c r="B536" s="11" t="s">
        <v>1211</v>
      </c>
      <c r="C536" s="13">
        <v>480</v>
      </c>
      <c r="D536" s="13" t="s">
        <v>420</v>
      </c>
      <c r="E536" s="20">
        <v>408</v>
      </c>
      <c r="F536" s="20">
        <v>168</v>
      </c>
      <c r="G536" s="20">
        <v>687</v>
      </c>
      <c r="H536" s="13" t="s">
        <v>121</v>
      </c>
      <c r="I536" s="13" t="str">
        <f t="shared" si="28"/>
        <v>NW 82nd Terrace (Broward Bl to North End of Rd)</v>
      </c>
      <c r="J536" s="13" t="s">
        <v>27</v>
      </c>
      <c r="K536" s="13" t="str">
        <f>VLOOKUP(J536,'Data-ProjectTypes'!A$3:B$13,2,FALSE)</f>
        <v>Program</v>
      </c>
      <c r="L536" s="21" t="s">
        <v>348</v>
      </c>
      <c r="M536" s="13" t="s">
        <v>1811</v>
      </c>
      <c r="N536" s="13" t="s">
        <v>2437</v>
      </c>
      <c r="O536" s="13" t="s">
        <v>273</v>
      </c>
      <c r="P536" s="13" t="s">
        <v>273</v>
      </c>
      <c r="Q536" s="22">
        <v>0.1</v>
      </c>
      <c r="R536" s="23">
        <v>45927</v>
      </c>
      <c r="S536" s="21" t="s">
        <v>350</v>
      </c>
      <c r="T536" s="21"/>
      <c r="U536" s="21"/>
      <c r="V536" s="24"/>
      <c r="W536" s="24" t="s">
        <v>580</v>
      </c>
      <c r="X536" s="24"/>
      <c r="Y536" s="17" t="s">
        <v>538</v>
      </c>
      <c r="Z536" s="18">
        <f>ROUND(R536*'Data-CostAssumptions'!$C$8,-3)</f>
        <v>46000</v>
      </c>
      <c r="AA536" s="11">
        <f t="shared" si="29"/>
        <v>1</v>
      </c>
      <c r="AB536" s="11">
        <v>2041</v>
      </c>
      <c r="AC536" s="11">
        <v>2041</v>
      </c>
      <c r="AD536" s="11">
        <v>2041</v>
      </c>
      <c r="AE536" s="19">
        <f>ROUND((Z536*'Data-CostAssumptions'!$G$5)*(1+'Data-CostAssumptions'!$G$3)^(AB536-'Data-CostAssumptions'!$G$4),-3)</f>
        <v>26000</v>
      </c>
      <c r="AF536" s="19">
        <f>ROUND((Z536)*(1+'Data-CostAssumptions'!$G$3)^(AD536-'Data-CostAssumptions'!$G$4),-3)</f>
        <v>118000</v>
      </c>
      <c r="AG536" s="170" t="str">
        <f t="shared" si="30"/>
        <v>No</v>
      </c>
    </row>
    <row r="537" spans="2:33" ht="15" customHeight="1" x14ac:dyDescent="0.2">
      <c r="B537" s="11" t="s">
        <v>1211</v>
      </c>
      <c r="C537" s="13">
        <v>463</v>
      </c>
      <c r="D537" s="13" t="s">
        <v>420</v>
      </c>
      <c r="E537" s="20">
        <v>341</v>
      </c>
      <c r="F537" s="20">
        <v>167</v>
      </c>
      <c r="G537" s="20">
        <v>671</v>
      </c>
      <c r="H537" s="13" t="s">
        <v>1986</v>
      </c>
      <c r="I537" s="13" t="str">
        <f t="shared" si="28"/>
        <v>Atlantic Shores Bl (NE 10th Av to NE 8th Av)</v>
      </c>
      <c r="J537" s="13" t="s">
        <v>27</v>
      </c>
      <c r="K537" s="13" t="str">
        <f>VLOOKUP(J537,'Data-ProjectTypes'!A$3:B$13,2,FALSE)</f>
        <v>Program</v>
      </c>
      <c r="L537" s="21" t="s">
        <v>514</v>
      </c>
      <c r="M537" s="13" t="s">
        <v>2338</v>
      </c>
      <c r="N537" s="13" t="s">
        <v>2212</v>
      </c>
      <c r="O537" s="13" t="s">
        <v>297</v>
      </c>
      <c r="P537" s="13" t="s">
        <v>297</v>
      </c>
      <c r="Q537" s="22">
        <v>0.1</v>
      </c>
      <c r="R537" s="23">
        <v>45071</v>
      </c>
      <c r="S537" s="21" t="s">
        <v>24</v>
      </c>
      <c r="T537" s="21"/>
      <c r="U537" s="21"/>
      <c r="V537" s="24"/>
      <c r="W537" s="24"/>
      <c r="X537" s="31" t="s">
        <v>737</v>
      </c>
      <c r="Y537" s="17" t="s">
        <v>735</v>
      </c>
      <c r="Z537" s="18">
        <f>ROUND(R537*'Data-CostAssumptions'!$C$8,-3)</f>
        <v>45000</v>
      </c>
      <c r="AA537" s="11">
        <f t="shared" si="29"/>
        <v>0</v>
      </c>
      <c r="AB537" s="11">
        <v>2041</v>
      </c>
      <c r="AC537" s="11">
        <v>2041</v>
      </c>
      <c r="AD537" s="11">
        <v>2041</v>
      </c>
      <c r="AE537" s="19">
        <f>ROUND((Z537*'Data-CostAssumptions'!$G$5)*(1+'Data-CostAssumptions'!$G$3)^(AB537-'Data-CostAssumptions'!$G$4),-3)</f>
        <v>25000</v>
      </c>
      <c r="AF537" s="19">
        <f>ROUND((Z537)*(1+'Data-CostAssumptions'!$G$3)^(AD537-'Data-CostAssumptions'!$G$4),-3)</f>
        <v>115000</v>
      </c>
      <c r="AG537" s="170" t="str">
        <f t="shared" si="30"/>
        <v>No</v>
      </c>
    </row>
    <row r="538" spans="2:33" ht="15" customHeight="1" x14ac:dyDescent="0.2">
      <c r="B538" s="11" t="s">
        <v>1211</v>
      </c>
      <c r="C538" s="13">
        <v>464</v>
      </c>
      <c r="D538" s="13" t="s">
        <v>420</v>
      </c>
      <c r="E538" s="20">
        <v>343</v>
      </c>
      <c r="F538" s="20">
        <v>167</v>
      </c>
      <c r="G538" s="20">
        <v>672</v>
      </c>
      <c r="H538" s="13" t="s">
        <v>2096</v>
      </c>
      <c r="I538" s="13" t="str">
        <f t="shared" si="28"/>
        <v>South 35th Av (Van Buren St to Hollywood Bl)</v>
      </c>
      <c r="J538" s="13" t="s">
        <v>27</v>
      </c>
      <c r="K538" s="13" t="str">
        <f>VLOOKUP(J538,'Data-ProjectTypes'!A$3:B$13,2,FALSE)</f>
        <v>Program</v>
      </c>
      <c r="L538" s="21" t="s">
        <v>543</v>
      </c>
      <c r="M538" s="13" t="s">
        <v>1970</v>
      </c>
      <c r="N538" s="13" t="s">
        <v>1820</v>
      </c>
      <c r="O538" s="13" t="s">
        <v>282</v>
      </c>
      <c r="P538" s="13" t="s">
        <v>282</v>
      </c>
      <c r="Q538" s="22">
        <v>0.1</v>
      </c>
      <c r="R538" s="23">
        <v>45008</v>
      </c>
      <c r="S538" s="21" t="s">
        <v>24</v>
      </c>
      <c r="T538" s="21"/>
      <c r="U538" s="21"/>
      <c r="V538" s="24"/>
      <c r="W538" s="24"/>
      <c r="X538" s="24" t="s">
        <v>479</v>
      </c>
      <c r="Y538" s="17" t="s">
        <v>469</v>
      </c>
      <c r="Z538" s="18">
        <f>ROUND(R538*'Data-CostAssumptions'!$C$8,-3)</f>
        <v>45000</v>
      </c>
      <c r="AA538" s="11">
        <f t="shared" si="29"/>
        <v>0</v>
      </c>
      <c r="AB538" s="11">
        <v>2041</v>
      </c>
      <c r="AC538" s="11">
        <v>2041</v>
      </c>
      <c r="AD538" s="11">
        <v>2041</v>
      </c>
      <c r="AE538" s="19">
        <f>ROUND((Z538*'Data-CostAssumptions'!$G$5)*(1+'Data-CostAssumptions'!$G$3)^(AB538-'Data-CostAssumptions'!$G$4),-3)</f>
        <v>25000</v>
      </c>
      <c r="AF538" s="19">
        <f>ROUND((Z538)*(1+'Data-CostAssumptions'!$G$3)^(AD538-'Data-CostAssumptions'!$G$4),-3)</f>
        <v>115000</v>
      </c>
      <c r="AG538" s="170" t="str">
        <f t="shared" si="30"/>
        <v>No</v>
      </c>
    </row>
    <row r="539" spans="2:33" ht="15" customHeight="1" x14ac:dyDescent="0.2">
      <c r="B539" s="11" t="s">
        <v>1211</v>
      </c>
      <c r="C539" s="13">
        <v>324</v>
      </c>
      <c r="D539" s="13" t="s">
        <v>420</v>
      </c>
      <c r="E539" s="20">
        <v>306</v>
      </c>
      <c r="F539" s="20">
        <v>158</v>
      </c>
      <c r="G539" s="20">
        <v>535</v>
      </c>
      <c r="H539" s="13" t="s">
        <v>210</v>
      </c>
      <c r="I539" s="13" t="str">
        <f t="shared" si="28"/>
        <v>SE 16th Court (SE 10th Av to Miami Rd)</v>
      </c>
      <c r="J539" s="13" t="s">
        <v>27</v>
      </c>
      <c r="K539" s="13" t="str">
        <f>VLOOKUP(J539,'Data-ProjectTypes'!A$3:B$13,2,FALSE)</f>
        <v>Program</v>
      </c>
      <c r="L539" s="21" t="s">
        <v>348</v>
      </c>
      <c r="M539" s="13" t="s">
        <v>2087</v>
      </c>
      <c r="N539" s="13" t="s">
        <v>2451</v>
      </c>
      <c r="O539" s="13" t="s">
        <v>276</v>
      </c>
      <c r="P539" s="13" t="s">
        <v>276</v>
      </c>
      <c r="Q539" s="22">
        <v>0.1</v>
      </c>
      <c r="R539" s="23">
        <v>32097</v>
      </c>
      <c r="S539" s="21" t="s">
        <v>24</v>
      </c>
      <c r="T539" s="21"/>
      <c r="U539" s="21"/>
      <c r="V539" s="24"/>
      <c r="W539" s="24" t="s">
        <v>577</v>
      </c>
      <c r="X539" s="24"/>
      <c r="Y539" s="17" t="s">
        <v>538</v>
      </c>
      <c r="Z539" s="18">
        <f>ROUND(R539*'Data-CostAssumptions'!$C$3,-3)</f>
        <v>44000</v>
      </c>
      <c r="AA539" s="11">
        <f t="shared" si="29"/>
        <v>1</v>
      </c>
      <c r="AB539" s="11">
        <v>2041</v>
      </c>
      <c r="AC539" s="11">
        <v>2041</v>
      </c>
      <c r="AD539" s="11">
        <v>2041</v>
      </c>
      <c r="AE539" s="19">
        <f>ROUND((Z539*'Data-CostAssumptions'!$G$5)*(1+'Data-CostAssumptions'!$G$3)^(AB539-'Data-CostAssumptions'!$G$4),-3)</f>
        <v>25000</v>
      </c>
      <c r="AF539" s="19">
        <f>ROUND((Z539)*(1+'Data-CostAssumptions'!$G$3)^(AD539-'Data-CostAssumptions'!$G$4),-3)</f>
        <v>113000</v>
      </c>
      <c r="AG539" s="170" t="str">
        <f t="shared" si="30"/>
        <v>No</v>
      </c>
    </row>
    <row r="540" spans="2:33" ht="15" customHeight="1" x14ac:dyDescent="0.2">
      <c r="B540" s="11" t="s">
        <v>1211</v>
      </c>
      <c r="C540" s="13">
        <v>337</v>
      </c>
      <c r="D540" s="13" t="s">
        <v>420</v>
      </c>
      <c r="E540" s="20">
        <v>414</v>
      </c>
      <c r="F540" s="20">
        <v>159</v>
      </c>
      <c r="G540" s="20">
        <v>548</v>
      </c>
      <c r="H540" s="13" t="s">
        <v>2123</v>
      </c>
      <c r="I540" s="13" t="str">
        <f t="shared" si="28"/>
        <v>SW 3rd Av (SW 9th St to SW 8th St)</v>
      </c>
      <c r="J540" s="13" t="s">
        <v>27</v>
      </c>
      <c r="K540" s="13" t="str">
        <f>VLOOKUP(J540,'Data-ProjectTypes'!A$3:B$13,2,FALSE)</f>
        <v>Program</v>
      </c>
      <c r="L540" s="21" t="s">
        <v>348</v>
      </c>
      <c r="M540" s="13" t="s">
        <v>1967</v>
      </c>
      <c r="N540" s="13" t="s">
        <v>1966</v>
      </c>
      <c r="O540" s="13" t="s">
        <v>275</v>
      </c>
      <c r="P540" s="13" t="s">
        <v>275</v>
      </c>
      <c r="Q540" s="22">
        <v>0.1</v>
      </c>
      <c r="R540" s="23">
        <v>31724</v>
      </c>
      <c r="S540" s="21" t="s">
        <v>24</v>
      </c>
      <c r="T540" s="21" t="s">
        <v>25</v>
      </c>
      <c r="U540" s="21" t="s">
        <v>25</v>
      </c>
      <c r="V540" s="24"/>
      <c r="W540" s="24"/>
      <c r="X540" s="24"/>
      <c r="Y540" s="17" t="s">
        <v>685</v>
      </c>
      <c r="Z540" s="18">
        <f>ROUND(R540*'Data-CostAssumptions'!$C$3,-3)</f>
        <v>44000</v>
      </c>
      <c r="AA540" s="11">
        <f t="shared" si="29"/>
        <v>0</v>
      </c>
      <c r="AB540" s="11">
        <v>2041</v>
      </c>
      <c r="AC540" s="11">
        <v>2041</v>
      </c>
      <c r="AD540" s="11">
        <v>2041</v>
      </c>
      <c r="AE540" s="19">
        <f>ROUND((Z540*'Data-CostAssumptions'!$G$5)*(1+'Data-CostAssumptions'!$G$3)^(AB540-'Data-CostAssumptions'!$G$4),-3)</f>
        <v>25000</v>
      </c>
      <c r="AF540" s="19">
        <f>ROUND((Z540)*(1+'Data-CostAssumptions'!$G$3)^(AD540-'Data-CostAssumptions'!$G$4),-3)</f>
        <v>113000</v>
      </c>
      <c r="AG540" s="170" t="str">
        <f t="shared" si="30"/>
        <v>No</v>
      </c>
    </row>
    <row r="541" spans="2:33" ht="15" customHeight="1" x14ac:dyDescent="0.2">
      <c r="B541" s="11" t="s">
        <v>1211</v>
      </c>
      <c r="C541" s="13">
        <v>526</v>
      </c>
      <c r="D541" s="13" t="s">
        <v>420</v>
      </c>
      <c r="E541" s="20">
        <v>251</v>
      </c>
      <c r="F541" s="20">
        <v>170</v>
      </c>
      <c r="G541" s="20">
        <v>730</v>
      </c>
      <c r="H541" s="13" t="s">
        <v>1763</v>
      </c>
      <c r="I541" s="13" t="str">
        <f t="shared" si="28"/>
        <v>Peters Rd (SW 13th St to SW 63rd Av)</v>
      </c>
      <c r="J541" s="13" t="s">
        <v>27</v>
      </c>
      <c r="K541" s="13" t="str">
        <f>VLOOKUP(J541,'Data-ProjectTypes'!A$3:B$13,2,FALSE)</f>
        <v>Program</v>
      </c>
      <c r="L541" s="21" t="s">
        <v>348</v>
      </c>
      <c r="M541" s="13" t="s">
        <v>2549</v>
      </c>
      <c r="N541" s="13" t="s">
        <v>2254</v>
      </c>
      <c r="O541" s="13" t="s">
        <v>273</v>
      </c>
      <c r="P541" s="13" t="s">
        <v>273</v>
      </c>
      <c r="Q541" s="22">
        <v>0.1</v>
      </c>
      <c r="R541" s="23">
        <v>43463</v>
      </c>
      <c r="S541" s="21"/>
      <c r="T541" s="21"/>
      <c r="U541" s="21"/>
      <c r="V541" s="24"/>
      <c r="W541" s="24" t="s">
        <v>715</v>
      </c>
      <c r="X541" s="24"/>
      <c r="Y541" s="17" t="s">
        <v>538</v>
      </c>
      <c r="Z541" s="18">
        <f>ROUND(R541*'Data-CostAssumptions'!$C$8,-3)</f>
        <v>43000</v>
      </c>
      <c r="AA541" s="11">
        <f t="shared" si="29"/>
        <v>1</v>
      </c>
      <c r="AB541" s="11">
        <v>2041</v>
      </c>
      <c r="AC541" s="11">
        <v>2041</v>
      </c>
      <c r="AD541" s="11">
        <v>2041</v>
      </c>
      <c r="AE541" s="19">
        <f>ROUND((Z541*'Data-CostAssumptions'!$G$5)*(1+'Data-CostAssumptions'!$G$3)^(AB541-'Data-CostAssumptions'!$G$4),-3)</f>
        <v>24000</v>
      </c>
      <c r="AF541" s="19">
        <f>ROUND((Z541)*(1+'Data-CostAssumptions'!$G$3)^(AD541-'Data-CostAssumptions'!$G$4),-3)</f>
        <v>110000</v>
      </c>
      <c r="AG541" s="170" t="str">
        <f t="shared" si="30"/>
        <v>No</v>
      </c>
    </row>
    <row r="542" spans="2:33" ht="15" customHeight="1" x14ac:dyDescent="0.2">
      <c r="B542" s="11" t="s">
        <v>1211</v>
      </c>
      <c r="C542" s="13">
        <v>609</v>
      </c>
      <c r="D542" s="13" t="s">
        <v>420</v>
      </c>
      <c r="E542" s="20">
        <v>379</v>
      </c>
      <c r="F542" s="20">
        <v>175</v>
      </c>
      <c r="G542" s="20">
        <v>811</v>
      </c>
      <c r="H542" s="13" t="s">
        <v>1962</v>
      </c>
      <c r="I542" s="13" t="str">
        <f t="shared" si="28"/>
        <v>SW 3rd St (Just east of SW 19th Av to SW 19th Av)</v>
      </c>
      <c r="J542" s="13" t="s">
        <v>27</v>
      </c>
      <c r="K542" s="13" t="str">
        <f>VLOOKUP(J542,'Data-ProjectTypes'!A$3:B$13,2,FALSE)</f>
        <v>Program</v>
      </c>
      <c r="L542" s="21" t="s">
        <v>348</v>
      </c>
      <c r="M542" s="13" t="s">
        <v>2393</v>
      </c>
      <c r="N542" s="13" t="s">
        <v>2270</v>
      </c>
      <c r="O542" s="13" t="s">
        <v>273</v>
      </c>
      <c r="P542" s="13" t="s">
        <v>273</v>
      </c>
      <c r="Q542" s="22">
        <v>0.1</v>
      </c>
      <c r="R542" s="23">
        <v>41930</v>
      </c>
      <c r="Y542" s="12"/>
      <c r="Z542" s="71">
        <f>ROUND(R542*'Data-CostAssumptions'!$C$8,-3)</f>
        <v>42000</v>
      </c>
      <c r="AA542" s="11">
        <f t="shared" si="29"/>
        <v>0</v>
      </c>
      <c r="AB542" s="11">
        <v>2041</v>
      </c>
      <c r="AC542" s="11">
        <v>2041</v>
      </c>
      <c r="AD542" s="11">
        <v>2041</v>
      </c>
      <c r="AE542" s="19">
        <f>ROUND((Z542*'Data-CostAssumptions'!$G$5)*(1+'Data-CostAssumptions'!$G$3)^(AB542-'Data-CostAssumptions'!$G$4),-3)</f>
        <v>24000</v>
      </c>
      <c r="AF542" s="19">
        <f>ROUND((Z542)*(1+'Data-CostAssumptions'!$G$3)^(AD542-'Data-CostAssumptions'!$G$4),-3)</f>
        <v>108000</v>
      </c>
      <c r="AG542" s="170" t="str">
        <f t="shared" si="30"/>
        <v>No</v>
      </c>
    </row>
    <row r="543" spans="2:33" ht="15" customHeight="1" x14ac:dyDescent="0.2">
      <c r="B543" s="11" t="s">
        <v>1211</v>
      </c>
      <c r="C543" s="11">
        <v>215</v>
      </c>
      <c r="D543" s="84" t="s">
        <v>276</v>
      </c>
      <c r="E543" s="14">
        <v>364</v>
      </c>
      <c r="F543" s="14">
        <v>152</v>
      </c>
      <c r="G543" s="20">
        <v>1520</v>
      </c>
      <c r="H543" s="13" t="s">
        <v>2014</v>
      </c>
      <c r="I543" s="13" t="str">
        <f t="shared" ref="I543:I574" si="31">IF(M543="@",H543&amp;" ("&amp;M543&amp;"  "&amp;N543&amp;")",H543&amp;" ("&amp;M543&amp;" to "&amp;N543&amp;")")</f>
        <v>Andrews Av (New River Dr to Las Olas Bl)</v>
      </c>
      <c r="J543" s="11" t="s">
        <v>27</v>
      </c>
      <c r="K543" s="13" t="str">
        <f>VLOOKUP(J543,'Data-ProjectTypes'!A$3:B$13,2,FALSE)</f>
        <v>Program</v>
      </c>
      <c r="L543" s="11" t="s">
        <v>1219</v>
      </c>
      <c r="M543" s="106" t="s">
        <v>2645</v>
      </c>
      <c r="N543" s="84" t="s">
        <v>1823</v>
      </c>
      <c r="O543" s="11" t="s">
        <v>273</v>
      </c>
      <c r="P543" s="11" t="s">
        <v>273</v>
      </c>
      <c r="Q543" s="107">
        <v>0.1</v>
      </c>
      <c r="R543" s="23">
        <v>41532</v>
      </c>
      <c r="Y543" s="12"/>
      <c r="Z543" s="71">
        <f>ROUND(R543*'Data-CostAssumptions'!$C$8,-3)</f>
        <v>42000</v>
      </c>
      <c r="AA543" s="11">
        <f t="shared" si="29"/>
        <v>0</v>
      </c>
      <c r="AB543" s="11">
        <v>2041</v>
      </c>
      <c r="AC543" s="11">
        <v>2041</v>
      </c>
      <c r="AD543" s="11">
        <v>2041</v>
      </c>
      <c r="AE543" s="19">
        <f>ROUND((Z543*'Data-CostAssumptions'!$G$5)*(1+'Data-CostAssumptions'!$G$3)^(AB543-'Data-CostAssumptions'!$G$4),-3)</f>
        <v>24000</v>
      </c>
      <c r="AF543" s="19">
        <f>ROUND((Z543)*(1+'Data-CostAssumptions'!$G$3)^(AD543-'Data-CostAssumptions'!$G$4),-3)</f>
        <v>108000</v>
      </c>
      <c r="AG543" s="170" t="str">
        <f t="shared" si="30"/>
        <v>No</v>
      </c>
    </row>
    <row r="544" spans="2:33" ht="15" customHeight="1" x14ac:dyDescent="0.2">
      <c r="B544" s="11" t="s">
        <v>1211</v>
      </c>
      <c r="C544" s="13">
        <v>467</v>
      </c>
      <c r="D544" s="13" t="s">
        <v>420</v>
      </c>
      <c r="E544" s="20">
        <v>353</v>
      </c>
      <c r="F544" s="20">
        <v>167</v>
      </c>
      <c r="G544" s="20">
        <v>675</v>
      </c>
      <c r="H544" s="13" t="s">
        <v>2062</v>
      </c>
      <c r="I544" s="13" t="str">
        <f t="shared" si="31"/>
        <v>NW 31st Av (NW 1st St to NW 2nd St)</v>
      </c>
      <c r="J544" s="13" t="s">
        <v>27</v>
      </c>
      <c r="K544" s="13" t="str">
        <f>VLOOKUP(J544,'Data-ProjectTypes'!A$3:B$13,2,FALSE)</f>
        <v>Program</v>
      </c>
      <c r="L544" s="21" t="s">
        <v>348</v>
      </c>
      <c r="M544" s="13" t="s">
        <v>2540</v>
      </c>
      <c r="N544" s="13" t="s">
        <v>1912</v>
      </c>
      <c r="O544" s="13" t="s">
        <v>273</v>
      </c>
      <c r="P544" s="13" t="s">
        <v>273</v>
      </c>
      <c r="Q544" s="22">
        <v>0.1</v>
      </c>
      <c r="R544" s="23">
        <v>41132</v>
      </c>
      <c r="S544" s="21"/>
      <c r="T544" s="21"/>
      <c r="U544" s="21"/>
      <c r="V544" s="24"/>
      <c r="W544" s="24"/>
      <c r="X544" s="24"/>
      <c r="Y544" s="17"/>
      <c r="Z544" s="18">
        <f>ROUND(R544*'Data-CostAssumptions'!$C$8,-3)</f>
        <v>41000</v>
      </c>
      <c r="AA544" s="11">
        <f t="shared" si="29"/>
        <v>0</v>
      </c>
      <c r="AB544" s="11">
        <v>2041</v>
      </c>
      <c r="AC544" s="11">
        <v>2041</v>
      </c>
      <c r="AD544" s="11">
        <v>2041</v>
      </c>
      <c r="AE544" s="19">
        <f>ROUND((Z544*'Data-CostAssumptions'!$G$5)*(1+'Data-CostAssumptions'!$G$3)^(AB544-'Data-CostAssumptions'!$G$4),-3)</f>
        <v>23000</v>
      </c>
      <c r="AF544" s="19">
        <f>ROUND((Z544)*(1+'Data-CostAssumptions'!$G$3)^(AD544-'Data-CostAssumptions'!$G$4),-3)</f>
        <v>105000</v>
      </c>
      <c r="AG544" s="170" t="str">
        <f t="shared" si="30"/>
        <v>No</v>
      </c>
    </row>
    <row r="545" spans="1:33" ht="15" customHeight="1" x14ac:dyDescent="0.2">
      <c r="B545" s="11" t="s">
        <v>1211</v>
      </c>
      <c r="C545" s="13">
        <v>331</v>
      </c>
      <c r="D545" s="13" t="s">
        <v>420</v>
      </c>
      <c r="E545" s="20">
        <v>354</v>
      </c>
      <c r="F545" s="20">
        <v>159</v>
      </c>
      <c r="G545" s="20">
        <v>542</v>
      </c>
      <c r="H545" s="13" t="s">
        <v>2066</v>
      </c>
      <c r="I545" s="13" t="str">
        <f t="shared" si="31"/>
        <v>NW 35th Av (Broward Bl to Just south of NW 1st Court)</v>
      </c>
      <c r="J545" s="13" t="s">
        <v>27</v>
      </c>
      <c r="K545" s="13" t="str">
        <f>VLOOKUP(J545,'Data-ProjectTypes'!A$3:B$13,2,FALSE)</f>
        <v>Program</v>
      </c>
      <c r="L545" s="21" t="s">
        <v>348</v>
      </c>
      <c r="M545" s="13" t="s">
        <v>1811</v>
      </c>
      <c r="N545" s="13" t="s">
        <v>171</v>
      </c>
      <c r="O545" s="13" t="s">
        <v>270</v>
      </c>
      <c r="P545" s="13" t="s">
        <v>270</v>
      </c>
      <c r="Q545" s="22">
        <v>0.1</v>
      </c>
      <c r="R545" s="23">
        <v>28930</v>
      </c>
      <c r="S545" s="21"/>
      <c r="T545" s="21"/>
      <c r="U545" s="21"/>
      <c r="V545" s="24"/>
      <c r="W545" s="24"/>
      <c r="X545" s="24"/>
      <c r="Y545" s="17"/>
      <c r="Z545" s="18">
        <f>ROUND(R545*'Data-CostAssumptions'!$C$3,-3)</f>
        <v>40000</v>
      </c>
      <c r="AA545" s="11">
        <f t="shared" si="29"/>
        <v>0</v>
      </c>
      <c r="AB545" s="11">
        <v>2041</v>
      </c>
      <c r="AC545" s="11">
        <v>2041</v>
      </c>
      <c r="AD545" s="11">
        <v>2041</v>
      </c>
      <c r="AE545" s="19">
        <f>ROUND((Z545*'Data-CostAssumptions'!$G$5)*(1+'Data-CostAssumptions'!$G$3)^(AB545-'Data-CostAssumptions'!$G$4),-3)</f>
        <v>23000</v>
      </c>
      <c r="AF545" s="19">
        <f>ROUND((Z545)*(1+'Data-CostAssumptions'!$G$3)^(AD545-'Data-CostAssumptions'!$G$4),-3)</f>
        <v>103000</v>
      </c>
      <c r="AG545" s="170" t="str">
        <f t="shared" si="30"/>
        <v>No</v>
      </c>
    </row>
    <row r="546" spans="1:33" ht="15" customHeight="1" x14ac:dyDescent="0.2">
      <c r="B546" s="11" t="s">
        <v>1211</v>
      </c>
      <c r="C546" s="13">
        <v>471</v>
      </c>
      <c r="D546" s="13" t="s">
        <v>420</v>
      </c>
      <c r="E546" s="20">
        <v>374</v>
      </c>
      <c r="F546" s="20">
        <v>167</v>
      </c>
      <c r="G546" s="20">
        <v>679</v>
      </c>
      <c r="H546" s="13" t="s">
        <v>1905</v>
      </c>
      <c r="I546" s="13" t="str">
        <f t="shared" si="31"/>
        <v>NW 10th St (NW 49th Way to Banks Rd)</v>
      </c>
      <c r="J546" s="13" t="s">
        <v>27</v>
      </c>
      <c r="K546" s="13" t="str">
        <f>VLOOKUP(J546,'Data-ProjectTypes'!A$3:B$13,2,FALSE)</f>
        <v>Program</v>
      </c>
      <c r="L546" s="21" t="s">
        <v>348</v>
      </c>
      <c r="M546" s="13" t="s">
        <v>167</v>
      </c>
      <c r="N546" s="13" t="s">
        <v>1745</v>
      </c>
      <c r="O546" s="13" t="s">
        <v>272</v>
      </c>
      <c r="P546" s="13" t="s">
        <v>272</v>
      </c>
      <c r="Q546" s="22">
        <v>0.1</v>
      </c>
      <c r="R546" s="23">
        <v>40070</v>
      </c>
      <c r="S546" s="21" t="s">
        <v>350</v>
      </c>
      <c r="T546" s="21"/>
      <c r="U546" s="21"/>
      <c r="V546" s="24"/>
      <c r="W546" s="24" t="s">
        <v>580</v>
      </c>
      <c r="X546" s="24"/>
      <c r="Y546" s="17" t="s">
        <v>538</v>
      </c>
      <c r="Z546" s="18">
        <f>ROUND(R546*'Data-CostAssumptions'!$C$8,-3)</f>
        <v>40000</v>
      </c>
      <c r="AA546" s="11">
        <f t="shared" si="29"/>
        <v>1</v>
      </c>
      <c r="AB546" s="11">
        <v>2041</v>
      </c>
      <c r="AC546" s="11">
        <v>2041</v>
      </c>
      <c r="AD546" s="11">
        <v>2041</v>
      </c>
      <c r="AE546" s="19">
        <f>ROUND((Z546*'Data-CostAssumptions'!$G$5)*(1+'Data-CostAssumptions'!$G$3)^(AB546-'Data-CostAssumptions'!$G$4),-3)</f>
        <v>23000</v>
      </c>
      <c r="AF546" s="19">
        <f>ROUND((Z546)*(1+'Data-CostAssumptions'!$G$3)^(AD546-'Data-CostAssumptions'!$G$4),-3)</f>
        <v>103000</v>
      </c>
      <c r="AG546" s="170" t="str">
        <f t="shared" si="30"/>
        <v>No</v>
      </c>
    </row>
    <row r="547" spans="1:33" ht="15" customHeight="1" x14ac:dyDescent="0.2">
      <c r="B547" s="11" t="s">
        <v>1211</v>
      </c>
      <c r="C547" s="13">
        <v>602</v>
      </c>
      <c r="D547" s="13" t="s">
        <v>420</v>
      </c>
      <c r="E547" s="20">
        <v>328</v>
      </c>
      <c r="F547" s="20">
        <v>175</v>
      </c>
      <c r="G547" s="20">
        <v>804</v>
      </c>
      <c r="H547" s="13" t="s">
        <v>1786</v>
      </c>
      <c r="I547" s="13" t="str">
        <f t="shared" si="31"/>
        <v>Coral Ridge Dr (South Sawgrass Ramp to North Sawgrass Ramp)</v>
      </c>
      <c r="J547" s="13" t="s">
        <v>27</v>
      </c>
      <c r="K547" s="13" t="str">
        <f>VLOOKUP(J547,'Data-ProjectTypes'!A$3:B$13,2,FALSE)</f>
        <v>Program</v>
      </c>
      <c r="L547" s="21" t="s">
        <v>348</v>
      </c>
      <c r="M547" s="13" t="s">
        <v>261</v>
      </c>
      <c r="N547" s="13" t="s">
        <v>262</v>
      </c>
      <c r="O547" s="13" t="s">
        <v>273</v>
      </c>
      <c r="P547" s="13" t="s">
        <v>273</v>
      </c>
      <c r="Q547" s="22">
        <v>0.1</v>
      </c>
      <c r="R547" s="23">
        <v>39574</v>
      </c>
      <c r="Y547" s="12"/>
      <c r="Z547" s="18">
        <f>ROUND(R547*'Data-CostAssumptions'!$C$6,-3)</f>
        <v>40000</v>
      </c>
      <c r="AA547" s="11">
        <f t="shared" si="29"/>
        <v>0</v>
      </c>
      <c r="AB547" s="11">
        <v>2041</v>
      </c>
      <c r="AC547" s="11">
        <v>2041</v>
      </c>
      <c r="AD547" s="11">
        <v>2041</v>
      </c>
      <c r="AE547" s="19">
        <f>ROUND((Z547*'Data-CostAssumptions'!$G$5)*(1+'Data-CostAssumptions'!$G$3)^(AB547-'Data-CostAssumptions'!$G$4),-3)</f>
        <v>23000</v>
      </c>
      <c r="AF547" s="19">
        <f>ROUND((Z547)*(1+'Data-CostAssumptions'!$G$3)^(AD547-'Data-CostAssumptions'!$G$4),-3)</f>
        <v>103000</v>
      </c>
      <c r="AG547" s="170" t="str">
        <f t="shared" si="30"/>
        <v>No</v>
      </c>
    </row>
    <row r="548" spans="1:33" ht="15" customHeight="1" x14ac:dyDescent="0.2">
      <c r="B548" s="11" t="s">
        <v>1211</v>
      </c>
      <c r="C548" s="13">
        <v>535</v>
      </c>
      <c r="D548" s="13" t="s">
        <v>420</v>
      </c>
      <c r="E548" s="20">
        <v>358</v>
      </c>
      <c r="F548" s="20">
        <v>171</v>
      </c>
      <c r="G548" s="20">
        <v>739</v>
      </c>
      <c r="H548" s="13" t="s">
        <v>208</v>
      </c>
      <c r="I548" s="13" t="str">
        <f t="shared" si="31"/>
        <v>NW 13th Terrace/NW 9th Place (NW 13th Av to Sunrise Bl)</v>
      </c>
      <c r="J548" s="13" t="s">
        <v>27</v>
      </c>
      <c r="K548" s="13" t="str">
        <f>VLOOKUP(J548,'Data-ProjectTypes'!A$3:B$13,2,FALSE)</f>
        <v>Program</v>
      </c>
      <c r="L548" s="21" t="s">
        <v>348</v>
      </c>
      <c r="M548" s="13" t="s">
        <v>2053</v>
      </c>
      <c r="N548" s="13" t="s">
        <v>1830</v>
      </c>
      <c r="O548" s="13" t="s">
        <v>270</v>
      </c>
      <c r="P548" s="13" t="s">
        <v>270</v>
      </c>
      <c r="Q548" s="22">
        <v>0.1</v>
      </c>
      <c r="R548" s="23">
        <v>38231</v>
      </c>
      <c r="S548" s="21"/>
      <c r="T548" s="21"/>
      <c r="U548" s="21"/>
      <c r="V548" s="24"/>
      <c r="W548" s="24"/>
      <c r="X548" s="24"/>
      <c r="Y548" s="17"/>
      <c r="Z548" s="18">
        <f>ROUND(R548*'Data-CostAssumptions'!$C$8,-3)</f>
        <v>38000</v>
      </c>
      <c r="AA548" s="11">
        <f t="shared" si="29"/>
        <v>0</v>
      </c>
      <c r="AB548" s="11">
        <v>2041</v>
      </c>
      <c r="AC548" s="11">
        <v>2041</v>
      </c>
      <c r="AD548" s="11">
        <v>2041</v>
      </c>
      <c r="AE548" s="19">
        <f>ROUND((Z548*'Data-CostAssumptions'!$G$5)*(1+'Data-CostAssumptions'!$G$3)^(AB548-'Data-CostAssumptions'!$G$4),-3)</f>
        <v>21000</v>
      </c>
      <c r="AF548" s="19">
        <f>ROUND((Z548)*(1+'Data-CostAssumptions'!$G$3)^(AD548-'Data-CostAssumptions'!$G$4),-3)</f>
        <v>97000</v>
      </c>
      <c r="AG548" s="170" t="str">
        <f t="shared" si="30"/>
        <v>No</v>
      </c>
    </row>
    <row r="549" spans="1:33" ht="15" customHeight="1" x14ac:dyDescent="0.2">
      <c r="B549" s="11" t="s">
        <v>1211</v>
      </c>
      <c r="C549" s="13">
        <v>255</v>
      </c>
      <c r="D549" s="13" t="s">
        <v>420</v>
      </c>
      <c r="E549" s="20">
        <v>298</v>
      </c>
      <c r="F549" s="20">
        <v>154</v>
      </c>
      <c r="G549" s="20">
        <v>467</v>
      </c>
      <c r="H549" s="13" t="s">
        <v>1941</v>
      </c>
      <c r="I549" s="13" t="str">
        <f t="shared" si="31"/>
        <v>SE 16th St Extension (SE 16th St to SE 15th St)</v>
      </c>
      <c r="J549" s="13" t="s">
        <v>27</v>
      </c>
      <c r="K549" s="13" t="str">
        <f>VLOOKUP(J549,'Data-ProjectTypes'!A$3:B$13,2,FALSE)</f>
        <v>Program</v>
      </c>
      <c r="L549" s="21" t="s">
        <v>348</v>
      </c>
      <c r="M549" s="13" t="s">
        <v>2557</v>
      </c>
      <c r="N549" s="13" t="s">
        <v>1939</v>
      </c>
      <c r="O549" s="13" t="s">
        <v>276</v>
      </c>
      <c r="P549" s="13" t="s">
        <v>276</v>
      </c>
      <c r="Q549" s="22">
        <v>0.1</v>
      </c>
      <c r="R549" s="23">
        <v>26427</v>
      </c>
      <c r="S549" s="21"/>
      <c r="T549" s="21"/>
      <c r="U549" s="21"/>
      <c r="V549" s="24"/>
      <c r="W549" s="24"/>
      <c r="X549" s="24"/>
      <c r="Y549" s="17"/>
      <c r="Z549" s="18">
        <f>ROUND(R549*'Data-CostAssumptions'!$C$3,-3)</f>
        <v>37000</v>
      </c>
      <c r="AA549" s="11">
        <f t="shared" si="29"/>
        <v>0</v>
      </c>
      <c r="AB549" s="11">
        <v>2041</v>
      </c>
      <c r="AC549" s="11">
        <v>2041</v>
      </c>
      <c r="AD549" s="11">
        <v>2041</v>
      </c>
      <c r="AE549" s="19">
        <f>ROUND((Z549*'Data-CostAssumptions'!$G$5)*(1+'Data-CostAssumptions'!$G$3)^(AB549-'Data-CostAssumptions'!$G$4),-3)</f>
        <v>21000</v>
      </c>
      <c r="AF549" s="19">
        <f>ROUND((Z549)*(1+'Data-CostAssumptions'!$G$3)^(AD549-'Data-CostAssumptions'!$G$4),-3)</f>
        <v>95000</v>
      </c>
      <c r="AG549" s="170" t="str">
        <f t="shared" si="30"/>
        <v>No</v>
      </c>
    </row>
    <row r="550" spans="1:33" ht="15" customHeight="1" x14ac:dyDescent="0.2">
      <c r="B550" s="11" t="s">
        <v>1211</v>
      </c>
      <c r="C550" s="11">
        <v>12308</v>
      </c>
      <c r="D550" s="84" t="s">
        <v>282</v>
      </c>
      <c r="E550" s="14"/>
      <c r="F550" s="14"/>
      <c r="G550" s="20">
        <v>1790</v>
      </c>
      <c r="H550" s="13" t="s">
        <v>2005</v>
      </c>
      <c r="I550" s="13" t="str">
        <f t="shared" si="31"/>
        <v>13th Av (Washington St to Johnson St)</v>
      </c>
      <c r="J550" s="11" t="s">
        <v>27</v>
      </c>
      <c r="K550" s="13" t="str">
        <f>VLOOKUP(J550,'Data-ProjectTypes'!A$3:B$13,2,FALSE)</f>
        <v>Program</v>
      </c>
      <c r="L550" s="142" t="s">
        <v>645</v>
      </c>
      <c r="M550" s="11" t="s">
        <v>1971</v>
      </c>
      <c r="N550" s="11" t="s">
        <v>1880</v>
      </c>
      <c r="Q550" s="79">
        <v>1</v>
      </c>
      <c r="R550" s="143">
        <f>ROUND('Data-CostAssumptions'!$C$23*'Data-Projects-All'!Q1744,-1)</f>
        <v>36500</v>
      </c>
      <c r="S550" s="12"/>
      <c r="T550" s="12"/>
      <c r="U550" s="12"/>
      <c r="V550" s="12"/>
      <c r="W550" s="12"/>
      <c r="X550" s="12"/>
      <c r="Y550" s="12"/>
      <c r="Z550" s="18">
        <f>ROUND(R550*'Data-CostAssumptions'!$C$8,-3)</f>
        <v>37000</v>
      </c>
      <c r="AA550" s="11">
        <f t="shared" si="29"/>
        <v>0</v>
      </c>
      <c r="AB550" s="11">
        <v>2041</v>
      </c>
      <c r="AC550" s="11">
        <v>2041</v>
      </c>
      <c r="AD550" s="11">
        <v>2041</v>
      </c>
      <c r="AE550" s="19">
        <f>ROUND((Z550*'Data-CostAssumptions'!$G$5)*(1+'Data-CostAssumptions'!$G$3)^(AB550-'Data-CostAssumptions'!$G$4),-3)</f>
        <v>21000</v>
      </c>
      <c r="AF550" s="19">
        <f>ROUND((Z550)*(1+'Data-CostAssumptions'!$G$3)^(AD550-'Data-CostAssumptions'!$G$4),-3)</f>
        <v>95000</v>
      </c>
      <c r="AG550" s="170" t="str">
        <f t="shared" si="30"/>
        <v>No</v>
      </c>
    </row>
    <row r="551" spans="1:33" ht="15" customHeight="1" x14ac:dyDescent="0.2">
      <c r="B551" s="11" t="s">
        <v>1211</v>
      </c>
      <c r="C551" s="13">
        <v>210</v>
      </c>
      <c r="D551" s="13" t="s">
        <v>420</v>
      </c>
      <c r="E551" s="20">
        <v>310</v>
      </c>
      <c r="F551" s="20">
        <v>151</v>
      </c>
      <c r="G551" s="20">
        <v>425</v>
      </c>
      <c r="H551" s="13" t="s">
        <v>2085</v>
      </c>
      <c r="I551" s="13" t="str">
        <f t="shared" si="31"/>
        <v>Progresso Dr/NE 3rd Av (Flagler Dr to NE 9th St)</v>
      </c>
      <c r="J551" s="13" t="s">
        <v>27</v>
      </c>
      <c r="K551" s="13" t="str">
        <f>VLOOKUP(J551,'Data-ProjectTypes'!A$3:B$13,2,FALSE)</f>
        <v>Program</v>
      </c>
      <c r="L551" s="21" t="s">
        <v>348</v>
      </c>
      <c r="M551" s="13" t="s">
        <v>2672</v>
      </c>
      <c r="N551" s="13" t="s">
        <v>2505</v>
      </c>
      <c r="O551" s="13" t="s">
        <v>273</v>
      </c>
      <c r="P551" s="13" t="s">
        <v>273</v>
      </c>
      <c r="Q551" s="22">
        <v>0.1</v>
      </c>
      <c r="R551" s="23">
        <v>26007</v>
      </c>
      <c r="S551" s="21"/>
      <c r="T551" s="21"/>
      <c r="U551" s="21"/>
      <c r="V551" s="24"/>
      <c r="W551" s="24"/>
      <c r="X551" s="24"/>
      <c r="Y551" s="17"/>
      <c r="Z551" s="18">
        <f>ROUND(R551*'Data-CostAssumptions'!$C$3,-3)</f>
        <v>36000</v>
      </c>
      <c r="AA551" s="11">
        <f t="shared" si="29"/>
        <v>0</v>
      </c>
      <c r="AB551" s="11">
        <v>2041</v>
      </c>
      <c r="AC551" s="11">
        <v>2041</v>
      </c>
      <c r="AD551" s="11">
        <v>2041</v>
      </c>
      <c r="AE551" s="19">
        <f>ROUND((Z551*'Data-CostAssumptions'!$G$5)*(1+'Data-CostAssumptions'!$G$3)^(AB551-'Data-CostAssumptions'!$G$4),-3)</f>
        <v>20000</v>
      </c>
      <c r="AF551" s="19">
        <f>ROUND((Z551)*(1+'Data-CostAssumptions'!$G$3)^(AD551-'Data-CostAssumptions'!$G$4),-3)</f>
        <v>92000</v>
      </c>
      <c r="AG551" s="170" t="str">
        <f t="shared" si="30"/>
        <v>No</v>
      </c>
    </row>
    <row r="552" spans="1:33" ht="15" customHeight="1" x14ac:dyDescent="0.2">
      <c r="B552" s="11" t="s">
        <v>1211</v>
      </c>
      <c r="C552" s="13">
        <v>216</v>
      </c>
      <c r="D552" s="13" t="s">
        <v>420</v>
      </c>
      <c r="E552" s="20">
        <v>380</v>
      </c>
      <c r="F552" s="20">
        <v>152</v>
      </c>
      <c r="G552" s="20">
        <v>430</v>
      </c>
      <c r="H552" s="13" t="s">
        <v>1900</v>
      </c>
      <c r="I552" s="13" t="str">
        <f t="shared" si="31"/>
        <v>NE 62nd St (Just east of Corporate Dr to I-95 Ramp)</v>
      </c>
      <c r="J552" s="13" t="s">
        <v>27</v>
      </c>
      <c r="K552" s="13" t="str">
        <f>VLOOKUP(J552,'Data-ProjectTypes'!A$3:B$13,2,FALSE)</f>
        <v>Program</v>
      </c>
      <c r="L552" s="21" t="s">
        <v>348</v>
      </c>
      <c r="M552" s="13" t="s">
        <v>2660</v>
      </c>
      <c r="N552" s="13" t="s">
        <v>142</v>
      </c>
      <c r="O552" s="13" t="s">
        <v>273</v>
      </c>
      <c r="P552" s="13" t="s">
        <v>273</v>
      </c>
      <c r="Q552" s="22">
        <v>0.1</v>
      </c>
      <c r="R552" s="23">
        <v>26244</v>
      </c>
      <c r="S552" s="21" t="s">
        <v>24</v>
      </c>
      <c r="T552" s="21"/>
      <c r="U552" s="21"/>
      <c r="V552" s="24"/>
      <c r="W552" s="24"/>
      <c r="X552" s="24"/>
      <c r="Y552" s="17" t="s">
        <v>460</v>
      </c>
      <c r="Z552" s="18">
        <f>ROUND(R552*'Data-CostAssumptions'!$C$3,-3)</f>
        <v>36000</v>
      </c>
      <c r="AA552" s="11">
        <f t="shared" si="29"/>
        <v>0</v>
      </c>
      <c r="AB552" s="11">
        <v>2041</v>
      </c>
      <c r="AC552" s="11">
        <v>2041</v>
      </c>
      <c r="AD552" s="11">
        <v>2041</v>
      </c>
      <c r="AE552" s="19">
        <f>ROUND((Z552*'Data-CostAssumptions'!$G$5)*(1+'Data-CostAssumptions'!$G$3)^(AB552-'Data-CostAssumptions'!$G$4),-3)</f>
        <v>20000</v>
      </c>
      <c r="AF552" s="19">
        <f>ROUND((Z552)*(1+'Data-CostAssumptions'!$G$3)^(AD552-'Data-CostAssumptions'!$G$4),-3)</f>
        <v>92000</v>
      </c>
      <c r="AG552" s="170" t="str">
        <f t="shared" si="30"/>
        <v>No</v>
      </c>
    </row>
    <row r="553" spans="1:33" ht="15" customHeight="1" x14ac:dyDescent="0.2">
      <c r="B553" s="11" t="s">
        <v>1211</v>
      </c>
      <c r="C553" s="13">
        <v>470</v>
      </c>
      <c r="D553" s="13" t="s">
        <v>420</v>
      </c>
      <c r="E553" s="20">
        <v>361</v>
      </c>
      <c r="F553" s="20">
        <v>167</v>
      </c>
      <c r="G553" s="20">
        <v>678</v>
      </c>
      <c r="H553" s="13" t="s">
        <v>2059</v>
      </c>
      <c r="I553" s="13" t="str">
        <f t="shared" si="31"/>
        <v>NW 22nd Av (Sistrunk Bl to NW 6th Place)</v>
      </c>
      <c r="J553" s="13" t="s">
        <v>27</v>
      </c>
      <c r="K553" s="13" t="str">
        <f>VLOOKUP(J553,'Data-ProjectTypes'!A$3:B$13,2,FALSE)</f>
        <v>Program</v>
      </c>
      <c r="L553" s="21" t="s">
        <v>348</v>
      </c>
      <c r="M553" s="13" t="s">
        <v>1828</v>
      </c>
      <c r="N553" s="13" t="s">
        <v>206</v>
      </c>
      <c r="O553" s="13" t="s">
        <v>276</v>
      </c>
      <c r="P553" s="13" t="s">
        <v>276</v>
      </c>
      <c r="Q553" s="22">
        <v>0.1</v>
      </c>
      <c r="R553" s="23">
        <v>35067</v>
      </c>
      <c r="S553" s="21" t="s">
        <v>350</v>
      </c>
      <c r="T553" s="21"/>
      <c r="U553" s="21"/>
      <c r="V553" s="24"/>
      <c r="W553" s="24" t="s">
        <v>580</v>
      </c>
      <c r="X553" s="24"/>
      <c r="Y553" s="17" t="s">
        <v>538</v>
      </c>
      <c r="Z553" s="18">
        <f>ROUND(R553*'Data-CostAssumptions'!$C$8,-3)</f>
        <v>35000</v>
      </c>
      <c r="AA553" s="11">
        <f t="shared" si="29"/>
        <v>1</v>
      </c>
      <c r="AB553" s="11">
        <v>2041</v>
      </c>
      <c r="AC553" s="11">
        <v>2041</v>
      </c>
      <c r="AD553" s="11">
        <v>2041</v>
      </c>
      <c r="AE553" s="19">
        <f>ROUND((Z553*'Data-CostAssumptions'!$G$5)*(1+'Data-CostAssumptions'!$G$3)^(AB553-'Data-CostAssumptions'!$G$4),-3)</f>
        <v>20000</v>
      </c>
      <c r="AF553" s="19">
        <f>ROUND((Z553)*(1+'Data-CostAssumptions'!$G$3)^(AD553-'Data-CostAssumptions'!$G$4),-3)</f>
        <v>90000</v>
      </c>
      <c r="AG553" s="170" t="str">
        <f t="shared" si="30"/>
        <v>No</v>
      </c>
    </row>
    <row r="554" spans="1:33" ht="15" customHeight="1" x14ac:dyDescent="0.2">
      <c r="A554" s="76"/>
      <c r="B554" s="76" t="s">
        <v>1211</v>
      </c>
      <c r="C554" s="76">
        <v>12272</v>
      </c>
      <c r="D554" s="144" t="s">
        <v>282</v>
      </c>
      <c r="E554" s="77"/>
      <c r="F554" s="77"/>
      <c r="G554" s="20">
        <v>1775</v>
      </c>
      <c r="H554" s="47" t="s">
        <v>2813</v>
      </c>
      <c r="I554" s="47" t="str">
        <f t="shared" si="31"/>
        <v>SR 820/Hollywood Bl (56th Av to )</v>
      </c>
      <c r="J554" s="76" t="s">
        <v>27</v>
      </c>
      <c r="K554" s="47" t="str">
        <f>VLOOKUP(J554,'Data-ProjectTypes'!A$3:B$13,2,FALSE)</f>
        <v>Program</v>
      </c>
      <c r="L554" s="142" t="s">
        <v>611</v>
      </c>
      <c r="M554" s="76" t="s">
        <v>2011</v>
      </c>
      <c r="N554" s="76"/>
      <c r="O554" s="76"/>
      <c r="P554" s="76"/>
      <c r="Q554" s="79">
        <v>0</v>
      </c>
      <c r="R554" s="143">
        <v>25000</v>
      </c>
      <c r="S554" s="12"/>
      <c r="T554" s="12"/>
      <c r="U554" s="12"/>
      <c r="V554" s="12"/>
      <c r="W554" s="12"/>
      <c r="X554" s="12"/>
      <c r="Y554" s="12"/>
      <c r="Z554" s="18">
        <f>ROUND(R554*'Data-CostAssumptions'!$C$3,-3)</f>
        <v>35000</v>
      </c>
      <c r="AA554" s="11">
        <f t="shared" si="29"/>
        <v>0</v>
      </c>
      <c r="AB554" s="11">
        <v>2041</v>
      </c>
      <c r="AC554" s="11">
        <v>2041</v>
      </c>
      <c r="AD554" s="11">
        <v>2041</v>
      </c>
      <c r="AE554" s="19">
        <f>ROUND((Z554*'Data-CostAssumptions'!$G$5)*(1+'Data-CostAssumptions'!$G$3)^(AB554-'Data-CostAssumptions'!$G$4),-3)</f>
        <v>20000</v>
      </c>
      <c r="AF554" s="19">
        <f>ROUND((Z554)*(1+'Data-CostAssumptions'!$G$3)^(AD554-'Data-CostAssumptions'!$G$4),-3)</f>
        <v>90000</v>
      </c>
      <c r="AG554" s="170" t="str">
        <f t="shared" si="30"/>
        <v>No</v>
      </c>
    </row>
    <row r="555" spans="1:33" ht="15" customHeight="1" x14ac:dyDescent="0.2">
      <c r="B555" s="11" t="s">
        <v>1211</v>
      </c>
      <c r="C555" s="11">
        <v>12273</v>
      </c>
      <c r="D555" s="84" t="s">
        <v>282</v>
      </c>
      <c r="E555" s="14"/>
      <c r="F555" s="14"/>
      <c r="G555" s="20">
        <v>1776</v>
      </c>
      <c r="H555" s="13" t="s">
        <v>2813</v>
      </c>
      <c r="I555" s="13" t="str">
        <f t="shared" si="31"/>
        <v>SR 820/Hollywood Bl (52nd Av to )</v>
      </c>
      <c r="J555" s="11" t="s">
        <v>27</v>
      </c>
      <c r="K555" s="13" t="str">
        <f>VLOOKUP(J555,'Data-ProjectTypes'!A$3:B$13,2,FALSE)</f>
        <v>Program</v>
      </c>
      <c r="L555" s="142" t="s">
        <v>612</v>
      </c>
      <c r="M555" s="11" t="s">
        <v>2350</v>
      </c>
      <c r="Q555" s="79">
        <v>0</v>
      </c>
      <c r="R555" s="143">
        <v>25000</v>
      </c>
      <c r="S555" s="12"/>
      <c r="T555" s="12"/>
      <c r="U555" s="12"/>
      <c r="V555" s="12"/>
      <c r="W555" s="12"/>
      <c r="X555" s="12"/>
      <c r="Y555" s="12"/>
      <c r="Z555" s="18">
        <f>ROUND(R555*'Data-CostAssumptions'!$C$3,-3)</f>
        <v>35000</v>
      </c>
      <c r="AA555" s="11">
        <f t="shared" si="29"/>
        <v>0</v>
      </c>
      <c r="AB555" s="11">
        <v>2041</v>
      </c>
      <c r="AC555" s="11">
        <v>2041</v>
      </c>
      <c r="AD555" s="11">
        <v>2041</v>
      </c>
      <c r="AE555" s="19">
        <f>ROUND((Z555*'Data-CostAssumptions'!$G$5)*(1+'Data-CostAssumptions'!$G$3)^(AB555-'Data-CostAssumptions'!$G$4),-3)</f>
        <v>20000</v>
      </c>
      <c r="AF555" s="19">
        <f>ROUND((Z555)*(1+'Data-CostAssumptions'!$G$3)^(AD555-'Data-CostAssumptions'!$G$4),-3)</f>
        <v>90000</v>
      </c>
      <c r="AG555" s="170" t="str">
        <f t="shared" si="30"/>
        <v>No</v>
      </c>
    </row>
    <row r="556" spans="1:33" ht="15" customHeight="1" x14ac:dyDescent="0.2">
      <c r="B556" s="11" t="s">
        <v>1211</v>
      </c>
      <c r="C556" s="11">
        <v>12274</v>
      </c>
      <c r="D556" s="84" t="s">
        <v>282</v>
      </c>
      <c r="E556" s="14"/>
      <c r="F556" s="14"/>
      <c r="G556" s="20">
        <v>1777</v>
      </c>
      <c r="H556" s="13" t="s">
        <v>2813</v>
      </c>
      <c r="I556" s="13" t="str">
        <f t="shared" si="31"/>
        <v>SR 820/Hollywood Bl (46th Av to )</v>
      </c>
      <c r="J556" s="11" t="s">
        <v>27</v>
      </c>
      <c r="K556" s="13" t="str">
        <f>VLOOKUP(J556,'Data-ProjectTypes'!A$3:B$13,2,FALSE)</f>
        <v>Program</v>
      </c>
      <c r="L556" s="142" t="s">
        <v>613</v>
      </c>
      <c r="M556" s="11" t="s">
        <v>2010</v>
      </c>
      <c r="Q556" s="79">
        <v>0</v>
      </c>
      <c r="R556" s="143">
        <v>25000</v>
      </c>
      <c r="S556" s="12"/>
      <c r="T556" s="12"/>
      <c r="U556" s="12"/>
      <c r="V556" s="12"/>
      <c r="W556" s="12"/>
      <c r="X556" s="12"/>
      <c r="Y556" s="12"/>
      <c r="Z556" s="18">
        <f>ROUND(R556*'Data-CostAssumptions'!$C$3,-3)</f>
        <v>35000</v>
      </c>
      <c r="AA556" s="11">
        <f t="shared" si="29"/>
        <v>0</v>
      </c>
      <c r="AB556" s="11">
        <v>2041</v>
      </c>
      <c r="AC556" s="11">
        <v>2041</v>
      </c>
      <c r="AD556" s="11">
        <v>2041</v>
      </c>
      <c r="AE556" s="19">
        <f>ROUND((Z556*'Data-CostAssumptions'!$G$5)*(1+'Data-CostAssumptions'!$G$3)^(AB556-'Data-CostAssumptions'!$G$4),-3)</f>
        <v>20000</v>
      </c>
      <c r="AF556" s="19">
        <f>ROUND((Z556)*(1+'Data-CostAssumptions'!$G$3)^(AD556-'Data-CostAssumptions'!$G$4),-3)</f>
        <v>90000</v>
      </c>
      <c r="AG556" s="170" t="str">
        <f t="shared" si="30"/>
        <v>No</v>
      </c>
    </row>
    <row r="557" spans="1:33" ht="15" customHeight="1" x14ac:dyDescent="0.2">
      <c r="B557" s="11" t="s">
        <v>1211</v>
      </c>
      <c r="C557" s="13">
        <v>455</v>
      </c>
      <c r="D557" s="13" t="s">
        <v>420</v>
      </c>
      <c r="E557" s="20">
        <v>313</v>
      </c>
      <c r="F557" s="20">
        <v>166</v>
      </c>
      <c r="G557" s="20">
        <v>663</v>
      </c>
      <c r="H557" s="13" t="s">
        <v>2036</v>
      </c>
      <c r="I557" s="13" t="str">
        <f t="shared" si="31"/>
        <v>NE 6th Av (NE 43rd St to Prospect Rd)</v>
      </c>
      <c r="J557" s="13" t="s">
        <v>27</v>
      </c>
      <c r="K557" s="13" t="str">
        <f>VLOOKUP(J557,'Data-ProjectTypes'!A$3:B$13,2,FALSE)</f>
        <v>Program</v>
      </c>
      <c r="L557" s="21" t="s">
        <v>348</v>
      </c>
      <c r="M557" s="13" t="s">
        <v>2515</v>
      </c>
      <c r="N557" s="13" t="s">
        <v>1859</v>
      </c>
      <c r="O557" s="13" t="s">
        <v>273</v>
      </c>
      <c r="P557" s="13" t="s">
        <v>273</v>
      </c>
      <c r="Q557" s="22">
        <v>0.1</v>
      </c>
      <c r="R557" s="23">
        <v>34323</v>
      </c>
      <c r="Y557" s="17"/>
      <c r="Z557" s="18">
        <f>ROUND(R557*'Data-CostAssumptions'!$C$8,-3)</f>
        <v>34000</v>
      </c>
      <c r="AA557" s="11">
        <f t="shared" si="29"/>
        <v>0</v>
      </c>
      <c r="AB557" s="11">
        <v>2041</v>
      </c>
      <c r="AC557" s="11">
        <v>2041</v>
      </c>
      <c r="AD557" s="11">
        <v>2041</v>
      </c>
      <c r="AE557" s="19">
        <f>ROUND((Z557*'Data-CostAssumptions'!$G$5)*(1+'Data-CostAssumptions'!$G$3)^(AB557-'Data-CostAssumptions'!$G$4),-3)</f>
        <v>19000</v>
      </c>
      <c r="AF557" s="19">
        <f>ROUND((Z557)*(1+'Data-CostAssumptions'!$G$3)^(AD557-'Data-CostAssumptions'!$G$4),-3)</f>
        <v>87000</v>
      </c>
      <c r="AG557" s="170" t="str">
        <f t="shared" si="30"/>
        <v>No</v>
      </c>
    </row>
    <row r="558" spans="1:33" ht="15" customHeight="1" x14ac:dyDescent="0.2">
      <c r="B558" s="11" t="s">
        <v>1211</v>
      </c>
      <c r="C558" s="13">
        <v>329</v>
      </c>
      <c r="D558" s="13" t="s">
        <v>420</v>
      </c>
      <c r="E558" s="20">
        <v>342</v>
      </c>
      <c r="F558" s="20">
        <v>159</v>
      </c>
      <c r="G558" s="20">
        <v>540</v>
      </c>
      <c r="H558" s="13" t="s">
        <v>728</v>
      </c>
      <c r="I558" s="13" t="str">
        <f t="shared" si="31"/>
        <v>Dixie Hwy (Hollywood Bl to Tyler St)</v>
      </c>
      <c r="J558" s="13" t="s">
        <v>27</v>
      </c>
      <c r="K558" s="13" t="str">
        <f>VLOOKUP(J558,'Data-ProjectTypes'!A$3:B$13,2,FALSE)</f>
        <v>Program</v>
      </c>
      <c r="L558" s="21" t="s">
        <v>348</v>
      </c>
      <c r="M558" s="13" t="s">
        <v>1820</v>
      </c>
      <c r="N558" s="13" t="s">
        <v>1969</v>
      </c>
      <c r="O558" s="13" t="s">
        <v>273</v>
      </c>
      <c r="P558" s="13" t="s">
        <v>273</v>
      </c>
      <c r="Q558" s="22">
        <v>0.1</v>
      </c>
      <c r="R558" s="23">
        <v>22969</v>
      </c>
      <c r="S558" s="21"/>
      <c r="T558" s="21"/>
      <c r="U558" s="21"/>
      <c r="V558" s="24"/>
      <c r="W558" s="24"/>
      <c r="X558" s="24"/>
      <c r="Y558" s="17"/>
      <c r="Z558" s="18">
        <f>ROUND(R558*'Data-CostAssumptions'!$C$3,-3)</f>
        <v>32000</v>
      </c>
      <c r="AA558" s="11">
        <f t="shared" si="29"/>
        <v>0</v>
      </c>
      <c r="AB558" s="11">
        <v>2041</v>
      </c>
      <c r="AC558" s="11">
        <v>2041</v>
      </c>
      <c r="AD558" s="11">
        <v>2041</v>
      </c>
      <c r="AE558" s="19">
        <f>ROUND((Z558*'Data-CostAssumptions'!$G$5)*(1+'Data-CostAssumptions'!$G$3)^(AB558-'Data-CostAssumptions'!$G$4),-3)</f>
        <v>18000</v>
      </c>
      <c r="AF558" s="19">
        <f>ROUND((Z558)*(1+'Data-CostAssumptions'!$G$3)^(AD558-'Data-CostAssumptions'!$G$4),-3)</f>
        <v>82000</v>
      </c>
      <c r="AG558" s="170" t="str">
        <f t="shared" si="30"/>
        <v>No</v>
      </c>
    </row>
    <row r="559" spans="1:33" ht="15" customHeight="1" x14ac:dyDescent="0.2">
      <c r="B559" s="11" t="s">
        <v>1211</v>
      </c>
      <c r="C559" s="13">
        <v>388</v>
      </c>
      <c r="D559" s="13" t="s">
        <v>420</v>
      </c>
      <c r="E559" s="20">
        <v>301</v>
      </c>
      <c r="F559" s="20">
        <v>163</v>
      </c>
      <c r="G559" s="20">
        <v>599</v>
      </c>
      <c r="H559" s="13" t="s">
        <v>2127</v>
      </c>
      <c r="I559" s="13" t="str">
        <f t="shared" si="31"/>
        <v>SW 4th Av (SW 10th St to SW 9th St)</v>
      </c>
      <c r="J559" s="13" t="s">
        <v>27</v>
      </c>
      <c r="K559" s="13" t="str">
        <f>VLOOKUP(J559,'Data-ProjectTypes'!A$3:B$13,2,FALSE)</f>
        <v>Program</v>
      </c>
      <c r="L559" s="21" t="s">
        <v>348</v>
      </c>
      <c r="M559" s="13" t="s">
        <v>1954</v>
      </c>
      <c r="N559" s="13" t="s">
        <v>1967</v>
      </c>
      <c r="O559" s="13" t="s">
        <v>273</v>
      </c>
      <c r="P559" s="13" t="s">
        <v>273</v>
      </c>
      <c r="Q559" s="22">
        <v>0.1</v>
      </c>
      <c r="R559" s="23">
        <v>22547</v>
      </c>
      <c r="Y559" s="17"/>
      <c r="Z559" s="18">
        <f>ROUND(R559*'Data-CostAssumptions'!$C$3,-3)</f>
        <v>31000</v>
      </c>
      <c r="AA559" s="11">
        <f t="shared" si="29"/>
        <v>0</v>
      </c>
      <c r="AB559" s="11">
        <v>2041</v>
      </c>
      <c r="AC559" s="11">
        <v>2041</v>
      </c>
      <c r="AD559" s="11">
        <v>2041</v>
      </c>
      <c r="AE559" s="19">
        <f>ROUND((Z559*'Data-CostAssumptions'!$G$5)*(1+'Data-CostAssumptions'!$G$3)^(AB559-'Data-CostAssumptions'!$G$4),-3)</f>
        <v>17000</v>
      </c>
      <c r="AF559" s="19">
        <f>ROUND((Z559)*(1+'Data-CostAssumptions'!$G$3)^(AD559-'Data-CostAssumptions'!$G$4),-3)</f>
        <v>79000</v>
      </c>
      <c r="AG559" s="170" t="str">
        <f t="shared" si="30"/>
        <v>No</v>
      </c>
    </row>
    <row r="560" spans="1:33" ht="15" customHeight="1" x14ac:dyDescent="0.2">
      <c r="B560" s="11" t="s">
        <v>1211</v>
      </c>
      <c r="C560" s="13">
        <v>344</v>
      </c>
      <c r="D560" s="13" t="s">
        <v>420</v>
      </c>
      <c r="E560" s="20">
        <v>433</v>
      </c>
      <c r="F560" s="20">
        <v>160</v>
      </c>
      <c r="G560" s="20">
        <v>555</v>
      </c>
      <c r="H560" s="13" t="s">
        <v>2022</v>
      </c>
      <c r="I560" s="13" t="str">
        <f t="shared" si="31"/>
        <v>NE 13th Av (Atlantic Bl to NE 1st St)</v>
      </c>
      <c r="J560" s="13" t="s">
        <v>27</v>
      </c>
      <c r="K560" s="13" t="str">
        <f>VLOOKUP(J560,'Data-ProjectTypes'!A$3:B$13,2,FALSE)</f>
        <v>Program</v>
      </c>
      <c r="L560" s="21" t="s">
        <v>348</v>
      </c>
      <c r="M560" s="13" t="s">
        <v>1809</v>
      </c>
      <c r="N560" s="13" t="s">
        <v>2482</v>
      </c>
      <c r="O560" s="13" t="s">
        <v>270</v>
      </c>
      <c r="P560" s="13" t="s">
        <v>270</v>
      </c>
      <c r="Q560" s="22">
        <v>0.1</v>
      </c>
      <c r="R560" s="23">
        <v>21339</v>
      </c>
      <c r="S560" s="21"/>
      <c r="T560" s="21"/>
      <c r="U560" s="21"/>
      <c r="V560" s="24"/>
      <c r="W560" s="24"/>
      <c r="X560" s="34" t="s">
        <v>1173</v>
      </c>
      <c r="Y560" s="17" t="s">
        <v>1171</v>
      </c>
      <c r="Z560" s="18">
        <f>ROUND(R560*'Data-CostAssumptions'!$C$3,-3)</f>
        <v>30000</v>
      </c>
      <c r="AA560" s="11">
        <f t="shared" si="29"/>
        <v>0</v>
      </c>
      <c r="AB560" s="11">
        <v>2041</v>
      </c>
      <c r="AC560" s="11">
        <v>2041</v>
      </c>
      <c r="AD560" s="11">
        <v>2041</v>
      </c>
      <c r="AE560" s="19">
        <f>ROUND((Z560*'Data-CostAssumptions'!$G$5)*(1+'Data-CostAssumptions'!$G$3)^(AB560-'Data-CostAssumptions'!$G$4),-3)</f>
        <v>17000</v>
      </c>
      <c r="AF560" s="19">
        <f>ROUND((Z560)*(1+'Data-CostAssumptions'!$G$3)^(AD560-'Data-CostAssumptions'!$G$4),-3)</f>
        <v>77000</v>
      </c>
      <c r="AG560" s="170" t="str">
        <f t="shared" si="30"/>
        <v>No</v>
      </c>
    </row>
    <row r="561" spans="1:33" ht="15" customHeight="1" x14ac:dyDescent="0.2">
      <c r="B561" s="11" t="s">
        <v>1211</v>
      </c>
      <c r="C561" s="11">
        <v>12261</v>
      </c>
      <c r="D561" s="84" t="s">
        <v>282</v>
      </c>
      <c r="E561" s="14"/>
      <c r="F561" s="14"/>
      <c r="G561" s="20">
        <v>1770</v>
      </c>
      <c r="H561" s="13" t="s">
        <v>1880</v>
      </c>
      <c r="I561" s="13" t="str">
        <f t="shared" si="31"/>
        <v>Johnson St (E of 31st Rd to C-10 Canal)</v>
      </c>
      <c r="J561" s="11" t="s">
        <v>27</v>
      </c>
      <c r="K561" s="13" t="str">
        <f>VLOOKUP(J561,'Data-ProjectTypes'!A$3:B$13,2,FALSE)</f>
        <v>Program</v>
      </c>
      <c r="L561" s="142" t="s">
        <v>600</v>
      </c>
      <c r="M561" s="11" t="s">
        <v>2426</v>
      </c>
      <c r="N561" s="11" t="s">
        <v>654</v>
      </c>
      <c r="Q561" s="79">
        <v>0.2</v>
      </c>
      <c r="R561" s="143">
        <f>ROUND('Data-CostAssumptions'!$C$23*Q561,-1)</f>
        <v>29200</v>
      </c>
      <c r="Y561" s="12" t="s">
        <v>3008</v>
      </c>
      <c r="Z561" s="18">
        <f>ROUND(R561*'Data-CostAssumptions'!$C$8,-3)</f>
        <v>29000</v>
      </c>
      <c r="AA561" s="11">
        <f t="shared" si="29"/>
        <v>0</v>
      </c>
      <c r="AB561" s="11">
        <v>2041</v>
      </c>
      <c r="AC561" s="11">
        <v>2041</v>
      </c>
      <c r="AD561" s="11">
        <v>2041</v>
      </c>
      <c r="AE561" s="19">
        <f>ROUND((Z561*'Data-CostAssumptions'!$G$5)*(1+'Data-CostAssumptions'!$G$3)^(AB561-'Data-CostAssumptions'!$G$4),-3)</f>
        <v>16000</v>
      </c>
      <c r="AF561" s="19">
        <f>ROUND((Z561)*(1+'Data-CostAssumptions'!$G$3)^(AD561-'Data-CostAssumptions'!$G$4),-3)</f>
        <v>74000</v>
      </c>
      <c r="AG561" s="170" t="str">
        <f t="shared" si="30"/>
        <v>No</v>
      </c>
    </row>
    <row r="562" spans="1:33" ht="15" customHeight="1" x14ac:dyDescent="0.2">
      <c r="B562" s="11" t="s">
        <v>1211</v>
      </c>
      <c r="C562" s="13">
        <v>224</v>
      </c>
      <c r="D562" s="13" t="s">
        <v>420</v>
      </c>
      <c r="E562" s="20">
        <v>35</v>
      </c>
      <c r="F562" s="20">
        <v>152</v>
      </c>
      <c r="G562" s="20">
        <v>438</v>
      </c>
      <c r="H562" s="13" t="s">
        <v>1912</v>
      </c>
      <c r="I562" s="13" t="str">
        <f t="shared" si="31"/>
        <v>NW 2nd St (Douglas Rd to Just east of NW 2nd St)</v>
      </c>
      <c r="J562" s="13" t="s">
        <v>27</v>
      </c>
      <c r="K562" s="13" t="str">
        <f>VLOOKUP(J562,'Data-ProjectTypes'!A$3:B$13,2,FALSE)</f>
        <v>Program</v>
      </c>
      <c r="L562" s="21" t="s">
        <v>348</v>
      </c>
      <c r="M562" s="13" t="s">
        <v>2425</v>
      </c>
      <c r="N562" s="13" t="s">
        <v>2539</v>
      </c>
      <c r="O562" s="13" t="s">
        <v>273</v>
      </c>
      <c r="P562" s="13" t="s">
        <v>273</v>
      </c>
      <c r="Q562" s="22">
        <v>0.1</v>
      </c>
      <c r="R562" s="23">
        <v>19914</v>
      </c>
      <c r="S562" s="21"/>
      <c r="T562" s="21"/>
      <c r="U562" s="21"/>
      <c r="V562" s="24"/>
      <c r="W562" s="24"/>
      <c r="X562" s="24"/>
      <c r="Y562" s="17"/>
      <c r="Z562" s="18">
        <f>ROUND(R562*'Data-CostAssumptions'!$C$3,-3)</f>
        <v>28000</v>
      </c>
      <c r="AA562" s="11">
        <f t="shared" si="29"/>
        <v>0</v>
      </c>
      <c r="AB562" s="11">
        <v>2041</v>
      </c>
      <c r="AC562" s="11">
        <v>2041</v>
      </c>
      <c r="AD562" s="11">
        <v>2041</v>
      </c>
      <c r="AE562" s="19">
        <f>ROUND((Z562*'Data-CostAssumptions'!$G$5)*(1+'Data-CostAssumptions'!$G$3)^(AB562-'Data-CostAssumptions'!$G$4),-3)</f>
        <v>16000</v>
      </c>
      <c r="AF562" s="19">
        <f>ROUND((Z562)*(1+'Data-CostAssumptions'!$G$3)^(AD562-'Data-CostAssumptions'!$G$4),-3)</f>
        <v>72000</v>
      </c>
      <c r="AG562" s="170" t="str">
        <f t="shared" si="30"/>
        <v>No</v>
      </c>
    </row>
    <row r="563" spans="1:33" ht="15" customHeight="1" x14ac:dyDescent="0.2">
      <c r="A563" s="12"/>
      <c r="B563" s="11" t="s">
        <v>1211</v>
      </c>
      <c r="C563" s="12"/>
      <c r="D563" s="84" t="s">
        <v>276</v>
      </c>
      <c r="E563" s="104">
        <v>95</v>
      </c>
      <c r="F563" s="104"/>
      <c r="G563" s="20">
        <v>1645</v>
      </c>
      <c r="H563" s="13" t="s">
        <v>1247</v>
      </c>
      <c r="I563" s="13" t="str">
        <f t="shared" si="31"/>
        <v>SW/SE 2ND ST (BRICKELL Av to US 1)</v>
      </c>
      <c r="J563" s="12" t="s">
        <v>27</v>
      </c>
      <c r="K563" s="13" t="str">
        <f>VLOOKUP(J563,'Data-ProjectTypes'!A$3:B$13,2,FALSE)</f>
        <v>Program</v>
      </c>
      <c r="L563" s="12" t="s">
        <v>1395</v>
      </c>
      <c r="M563" s="105" t="s">
        <v>2608</v>
      </c>
      <c r="N563" s="12" t="s">
        <v>98</v>
      </c>
      <c r="O563" s="12"/>
      <c r="P563" s="12"/>
      <c r="Q563" s="72">
        <v>0.5</v>
      </c>
      <c r="R563" s="23">
        <v>27000</v>
      </c>
      <c r="Y563" s="12"/>
      <c r="Z563" s="18">
        <f>ROUND(R563*'Data-CostAssumptions'!$C$8,-3)</f>
        <v>27000</v>
      </c>
      <c r="AA563" s="11">
        <f t="shared" si="29"/>
        <v>0</v>
      </c>
      <c r="AB563" s="11">
        <v>2041</v>
      </c>
      <c r="AC563" s="11">
        <v>2041</v>
      </c>
      <c r="AD563" s="11">
        <v>2041</v>
      </c>
      <c r="AE563" s="19">
        <f>ROUND((Z563*'Data-CostAssumptions'!$G$5)*(1+'Data-CostAssumptions'!$G$3)^(AB563-'Data-CostAssumptions'!$G$4),-3)</f>
        <v>15000</v>
      </c>
      <c r="AF563" s="19">
        <f>ROUND((Z563)*(1+'Data-CostAssumptions'!$G$3)^(AD563-'Data-CostAssumptions'!$G$4),-3)</f>
        <v>69000</v>
      </c>
      <c r="AG563" s="170" t="str">
        <f t="shared" si="30"/>
        <v>No</v>
      </c>
    </row>
    <row r="564" spans="1:33" ht="15" customHeight="1" x14ac:dyDescent="0.2">
      <c r="B564" s="11" t="s">
        <v>1211</v>
      </c>
      <c r="C564" s="13">
        <v>478</v>
      </c>
      <c r="D564" s="13" t="s">
        <v>420</v>
      </c>
      <c r="E564" s="20">
        <v>406</v>
      </c>
      <c r="F564" s="20">
        <v>168</v>
      </c>
      <c r="G564" s="20">
        <v>685</v>
      </c>
      <c r="H564" s="13" t="s">
        <v>2078</v>
      </c>
      <c r="I564" s="13" t="str">
        <f t="shared" si="31"/>
        <v>NW 70th Av (NW 5th St to NW 6th St)</v>
      </c>
      <c r="J564" s="13" t="s">
        <v>27</v>
      </c>
      <c r="K564" s="13" t="str">
        <f>VLOOKUP(J564,'Data-ProjectTypes'!A$3:B$13,2,FALSE)</f>
        <v>Program</v>
      </c>
      <c r="L564" s="21" t="s">
        <v>348</v>
      </c>
      <c r="M564" s="13" t="s">
        <v>1926</v>
      </c>
      <c r="N564" s="13" t="s">
        <v>2546</v>
      </c>
      <c r="O564" s="13" t="s">
        <v>284</v>
      </c>
      <c r="P564" s="13" t="s">
        <v>284</v>
      </c>
      <c r="Q564" s="22">
        <v>0.1</v>
      </c>
      <c r="R564" s="23">
        <v>25905</v>
      </c>
      <c r="S564" s="76"/>
      <c r="T564" s="81"/>
      <c r="U564" s="81"/>
      <c r="V564" s="81"/>
      <c r="W564" s="81"/>
      <c r="X564" s="81"/>
      <c r="Y564" s="82"/>
      <c r="Z564" s="18">
        <f>ROUND(R564*'Data-CostAssumptions'!$C$8,-3)</f>
        <v>26000</v>
      </c>
      <c r="AA564" s="11">
        <f t="shared" si="29"/>
        <v>0</v>
      </c>
      <c r="AB564" s="11">
        <v>2041</v>
      </c>
      <c r="AC564" s="11">
        <v>2041</v>
      </c>
      <c r="AD564" s="11">
        <v>2041</v>
      </c>
      <c r="AE564" s="19">
        <f>ROUND((Z564*'Data-CostAssumptions'!$G$5)*(1+'Data-CostAssumptions'!$G$3)^(AB564-'Data-CostAssumptions'!$G$4),-3)</f>
        <v>15000</v>
      </c>
      <c r="AF564" s="19">
        <f>ROUND((Z564)*(1+'Data-CostAssumptions'!$G$3)^(AD564-'Data-CostAssumptions'!$G$4),-3)</f>
        <v>67000</v>
      </c>
      <c r="AG564" s="170" t="str">
        <f t="shared" si="30"/>
        <v>No</v>
      </c>
    </row>
    <row r="565" spans="1:33" ht="15" customHeight="1" x14ac:dyDescent="0.2">
      <c r="B565" s="11" t="s">
        <v>1211</v>
      </c>
      <c r="C565" s="11">
        <v>216</v>
      </c>
      <c r="D565" s="84" t="s">
        <v>276</v>
      </c>
      <c r="E565" s="14">
        <v>380</v>
      </c>
      <c r="F565" s="14">
        <v>152</v>
      </c>
      <c r="G565" s="20">
        <v>1521</v>
      </c>
      <c r="H565" s="13" t="s">
        <v>1901</v>
      </c>
      <c r="I565" s="13" t="str">
        <f t="shared" si="31"/>
        <v>NE 62nd St/Cypress Creek Rd (Just east of Corporate Dr to I-95 Ramp)</v>
      </c>
      <c r="J565" s="11" t="s">
        <v>27</v>
      </c>
      <c r="K565" s="13" t="str">
        <f>VLOOKUP(J565,'Data-ProjectTypes'!A$3:B$13,2,FALSE)</f>
        <v>Program</v>
      </c>
      <c r="L565" s="11" t="s">
        <v>1221</v>
      </c>
      <c r="M565" s="106" t="s">
        <v>2660</v>
      </c>
      <c r="N565" s="84" t="s">
        <v>142</v>
      </c>
      <c r="O565" s="11" t="s">
        <v>273</v>
      </c>
      <c r="P565" s="11" t="s">
        <v>273</v>
      </c>
      <c r="Q565" s="107">
        <v>0.1</v>
      </c>
      <c r="R565" s="23">
        <v>26244</v>
      </c>
      <c r="Y565" s="12"/>
      <c r="Z565" s="71">
        <f>ROUND(R565*'Data-CostAssumptions'!$C$8,-3)</f>
        <v>26000</v>
      </c>
      <c r="AA565" s="11">
        <f t="shared" si="29"/>
        <v>0</v>
      </c>
      <c r="AB565" s="11">
        <v>2041</v>
      </c>
      <c r="AC565" s="11">
        <v>2041</v>
      </c>
      <c r="AD565" s="11">
        <v>2041</v>
      </c>
      <c r="AE565" s="19">
        <f>ROUND((Z565*'Data-CostAssumptions'!$G$5)*(1+'Data-CostAssumptions'!$G$3)^(AB565-'Data-CostAssumptions'!$G$4),-3)</f>
        <v>15000</v>
      </c>
      <c r="AF565" s="19">
        <f>ROUND((Z565)*(1+'Data-CostAssumptions'!$G$3)^(AD565-'Data-CostAssumptions'!$G$4),-3)</f>
        <v>67000</v>
      </c>
      <c r="AG565" s="170" t="str">
        <f t="shared" si="30"/>
        <v>No</v>
      </c>
    </row>
    <row r="566" spans="1:33" ht="15" customHeight="1" x14ac:dyDescent="0.2">
      <c r="B566" s="11" t="s">
        <v>1211</v>
      </c>
      <c r="C566" s="13">
        <v>619</v>
      </c>
      <c r="D566" s="13" t="s">
        <v>420</v>
      </c>
      <c r="E566" s="20">
        <v>403</v>
      </c>
      <c r="F566" s="20">
        <v>176</v>
      </c>
      <c r="G566" s="20">
        <v>820</v>
      </c>
      <c r="H566" s="13" t="s">
        <v>2062</v>
      </c>
      <c r="I566" s="13" t="str">
        <f t="shared" si="31"/>
        <v>NW 31st Av (NW 24th St to Just north of NW 24th St)</v>
      </c>
      <c r="J566" s="13" t="s">
        <v>27</v>
      </c>
      <c r="K566" s="13" t="str">
        <f>VLOOKUP(J566,'Data-ProjectTypes'!A$3:B$13,2,FALSE)</f>
        <v>Program</v>
      </c>
      <c r="L566" s="21" t="s">
        <v>348</v>
      </c>
      <c r="M566" s="13" t="s">
        <v>2542</v>
      </c>
      <c r="N566" s="13" t="s">
        <v>2541</v>
      </c>
      <c r="O566" s="13" t="s">
        <v>273</v>
      </c>
      <c r="P566" s="13" t="s">
        <v>273</v>
      </c>
      <c r="Q566" s="22">
        <v>0.1</v>
      </c>
      <c r="R566" s="23">
        <v>25170</v>
      </c>
      <c r="Y566" s="12"/>
      <c r="Z566" s="71">
        <f>ROUND(R566*'Data-CostAssumptions'!$C$8,-3)</f>
        <v>25000</v>
      </c>
      <c r="AA566" s="11">
        <f t="shared" si="29"/>
        <v>0</v>
      </c>
      <c r="AB566" s="11">
        <v>2041</v>
      </c>
      <c r="AC566" s="11">
        <v>2041</v>
      </c>
      <c r="AD566" s="11">
        <v>2041</v>
      </c>
      <c r="AE566" s="19">
        <f>ROUND((Z566*'Data-CostAssumptions'!$G$5)*(1+'Data-CostAssumptions'!$G$3)^(AB566-'Data-CostAssumptions'!$G$4),-3)</f>
        <v>14000</v>
      </c>
      <c r="AF566" s="19">
        <f>ROUND((Z566)*(1+'Data-CostAssumptions'!$G$3)^(AD566-'Data-CostAssumptions'!$G$4),-3)</f>
        <v>64000</v>
      </c>
      <c r="AG566" s="170" t="str">
        <f t="shared" si="30"/>
        <v>No</v>
      </c>
    </row>
    <row r="567" spans="1:33" ht="15" customHeight="1" x14ac:dyDescent="0.2">
      <c r="B567" s="11" t="s">
        <v>1211</v>
      </c>
      <c r="C567" s="11">
        <v>12291</v>
      </c>
      <c r="D567" s="84" t="s">
        <v>282</v>
      </c>
      <c r="E567" s="14"/>
      <c r="F567" s="14"/>
      <c r="G567" s="20">
        <v>1781</v>
      </c>
      <c r="H567" s="13" t="s">
        <v>2813</v>
      </c>
      <c r="I567" s="13" t="str">
        <f t="shared" si="31"/>
        <v>SR 820/Hollywood Bl (S 35th Av to )</v>
      </c>
      <c r="J567" s="11" t="s">
        <v>27</v>
      </c>
      <c r="K567" s="13" t="str">
        <f>VLOOKUP(J567,'Data-ProjectTypes'!A$3:B$13,2,FALSE)</f>
        <v>Program</v>
      </c>
      <c r="L567" s="142" t="s">
        <v>629</v>
      </c>
      <c r="M567" s="11" t="s">
        <v>2351</v>
      </c>
      <c r="Q567" s="79">
        <v>0</v>
      </c>
      <c r="R567" s="143">
        <v>25000</v>
      </c>
      <c r="S567" s="12"/>
      <c r="T567" s="12"/>
      <c r="U567" s="12"/>
      <c r="V567" s="12"/>
      <c r="W567" s="12"/>
      <c r="X567" s="12"/>
      <c r="Y567" s="12"/>
      <c r="Z567" s="18">
        <f>ROUND(R567*'Data-CostAssumptions'!$C$8,-3)</f>
        <v>25000</v>
      </c>
      <c r="AA567" s="11">
        <f t="shared" si="29"/>
        <v>0</v>
      </c>
      <c r="AB567" s="11">
        <v>2041</v>
      </c>
      <c r="AC567" s="11">
        <v>2041</v>
      </c>
      <c r="AD567" s="11">
        <v>2041</v>
      </c>
      <c r="AE567" s="19">
        <f>ROUND((Z567*'Data-CostAssumptions'!$G$5)*(1+'Data-CostAssumptions'!$G$3)^(AB567-'Data-CostAssumptions'!$G$4),-3)</f>
        <v>14000</v>
      </c>
      <c r="AF567" s="19">
        <f>ROUND((Z567)*(1+'Data-CostAssumptions'!$G$3)^(AD567-'Data-CostAssumptions'!$G$4),-3)</f>
        <v>64000</v>
      </c>
      <c r="AG567" s="170" t="str">
        <f t="shared" si="30"/>
        <v>No</v>
      </c>
    </row>
    <row r="568" spans="1:33" ht="15" customHeight="1" x14ac:dyDescent="0.2">
      <c r="B568" s="11" t="s">
        <v>1211</v>
      </c>
      <c r="C568" s="11">
        <v>12292</v>
      </c>
      <c r="D568" s="84" t="s">
        <v>282</v>
      </c>
      <c r="E568" s="14"/>
      <c r="F568" s="14"/>
      <c r="G568" s="20">
        <v>1782</v>
      </c>
      <c r="H568" s="13" t="s">
        <v>2813</v>
      </c>
      <c r="I568" s="13" t="str">
        <f t="shared" si="31"/>
        <v>SR 820/Hollywood Bl (Entrada Dr to )</v>
      </c>
      <c r="J568" s="11" t="s">
        <v>27</v>
      </c>
      <c r="K568" s="13" t="str">
        <f>VLOOKUP(J568,'Data-ProjectTypes'!A$3:B$13,2,FALSE)</f>
        <v>Program</v>
      </c>
      <c r="L568" s="142" t="s">
        <v>630</v>
      </c>
      <c r="M568" s="11" t="s">
        <v>2656</v>
      </c>
      <c r="Q568" s="79">
        <v>0</v>
      </c>
      <c r="R568" s="143">
        <v>25000</v>
      </c>
      <c r="S568" s="12"/>
      <c r="T568" s="12"/>
      <c r="U568" s="12"/>
      <c r="V568" s="12"/>
      <c r="W568" s="12"/>
      <c r="X568" s="12"/>
      <c r="Y568" s="12"/>
      <c r="Z568" s="18">
        <f>ROUND(R568*'Data-CostAssumptions'!$C$8,-3)</f>
        <v>25000</v>
      </c>
      <c r="AA568" s="11">
        <f t="shared" si="29"/>
        <v>0</v>
      </c>
      <c r="AB568" s="11">
        <v>2041</v>
      </c>
      <c r="AC568" s="11">
        <v>2041</v>
      </c>
      <c r="AD568" s="11">
        <v>2041</v>
      </c>
      <c r="AE568" s="19">
        <f>ROUND((Z568*'Data-CostAssumptions'!$G$5)*(1+'Data-CostAssumptions'!$G$3)^(AB568-'Data-CostAssumptions'!$G$4),-3)</f>
        <v>14000</v>
      </c>
      <c r="AF568" s="19">
        <f>ROUND((Z568)*(1+'Data-CostAssumptions'!$G$3)^(AD568-'Data-CostAssumptions'!$G$4),-3)</f>
        <v>64000</v>
      </c>
      <c r="AG568" s="170" t="str">
        <f t="shared" si="30"/>
        <v>No</v>
      </c>
    </row>
    <row r="569" spans="1:33" ht="15" customHeight="1" x14ac:dyDescent="0.2">
      <c r="B569" s="11" t="s">
        <v>1211</v>
      </c>
      <c r="C569" s="11">
        <v>12298</v>
      </c>
      <c r="D569" s="84" t="s">
        <v>282</v>
      </c>
      <c r="E569" s="14"/>
      <c r="F569" s="14"/>
      <c r="G569" s="20">
        <v>1787</v>
      </c>
      <c r="H569" s="13" t="s">
        <v>2813</v>
      </c>
      <c r="I569" s="13" t="str">
        <f t="shared" si="31"/>
        <v>SR 820/Hollywood Bl (I-95 Northbound Ramps to )</v>
      </c>
      <c r="J569" s="11" t="s">
        <v>27</v>
      </c>
      <c r="K569" s="13" t="str">
        <f>VLOOKUP(J569,'Data-ProjectTypes'!A$3:B$13,2,FALSE)</f>
        <v>Program</v>
      </c>
      <c r="L569" s="142" t="s">
        <v>635</v>
      </c>
      <c r="M569" s="11" t="s">
        <v>660</v>
      </c>
      <c r="Q569" s="79">
        <v>0</v>
      </c>
      <c r="R569" s="143">
        <v>25000</v>
      </c>
      <c r="S569" s="12"/>
      <c r="T569" s="12"/>
      <c r="U569" s="12"/>
      <c r="V569" s="12"/>
      <c r="W569" s="12"/>
      <c r="X569" s="12"/>
      <c r="Y569" s="12"/>
      <c r="Z569" s="18">
        <f>ROUND(R569*'Data-CostAssumptions'!$C$8,-3)</f>
        <v>25000</v>
      </c>
      <c r="AA569" s="11">
        <f t="shared" si="29"/>
        <v>0</v>
      </c>
      <c r="AB569" s="11">
        <v>2041</v>
      </c>
      <c r="AC569" s="11">
        <v>2041</v>
      </c>
      <c r="AD569" s="11">
        <v>2041</v>
      </c>
      <c r="AE569" s="19">
        <f>ROUND((Z569*'Data-CostAssumptions'!$G$5)*(1+'Data-CostAssumptions'!$G$3)^(AB569-'Data-CostAssumptions'!$G$4),-3)</f>
        <v>14000</v>
      </c>
      <c r="AF569" s="19">
        <f>ROUND((Z569)*(1+'Data-CostAssumptions'!$G$3)^(AD569-'Data-CostAssumptions'!$G$4),-3)</f>
        <v>64000</v>
      </c>
      <c r="AG569" s="170" t="str">
        <f t="shared" si="30"/>
        <v>No</v>
      </c>
    </row>
    <row r="570" spans="1:33" ht="15" customHeight="1" x14ac:dyDescent="0.2">
      <c r="A570" s="76"/>
      <c r="B570" s="76" t="s">
        <v>1211</v>
      </c>
      <c r="C570" s="76">
        <v>12304</v>
      </c>
      <c r="D570" s="144" t="s">
        <v>282</v>
      </c>
      <c r="E570" s="77"/>
      <c r="F570" s="77"/>
      <c r="G570" s="20">
        <v>1789</v>
      </c>
      <c r="H570" s="47" t="s">
        <v>1936</v>
      </c>
      <c r="I570" s="47" t="str">
        <f t="shared" si="31"/>
        <v>Polk St (24th Av to )</v>
      </c>
      <c r="J570" s="76" t="s">
        <v>27</v>
      </c>
      <c r="K570" s="47" t="str">
        <f>VLOOKUP(J570,'Data-ProjectTypes'!A$3:B$13,2,FALSE)</f>
        <v>Program</v>
      </c>
      <c r="L570" s="142" t="s">
        <v>641</v>
      </c>
      <c r="M570" s="76" t="s">
        <v>2008</v>
      </c>
      <c r="N570" s="76"/>
      <c r="O570" s="76"/>
      <c r="P570" s="76"/>
      <c r="Q570" s="79">
        <v>0</v>
      </c>
      <c r="R570" s="143">
        <v>25000</v>
      </c>
      <c r="S570" s="12"/>
      <c r="T570" s="12"/>
      <c r="U570" s="12"/>
      <c r="V570" s="12"/>
      <c r="W570" s="12"/>
      <c r="X570" s="12"/>
      <c r="Y570" s="12"/>
      <c r="Z570" s="18">
        <f>ROUND(R570*'Data-CostAssumptions'!$C$8,-3)</f>
        <v>25000</v>
      </c>
      <c r="AA570" s="11">
        <f t="shared" si="29"/>
        <v>0</v>
      </c>
      <c r="AB570" s="11">
        <v>2041</v>
      </c>
      <c r="AC570" s="11">
        <v>2041</v>
      </c>
      <c r="AD570" s="11">
        <v>2041</v>
      </c>
      <c r="AE570" s="19">
        <f>ROUND((Z570*'Data-CostAssumptions'!$G$5)*(1+'Data-CostAssumptions'!$G$3)^(AB570-'Data-CostAssumptions'!$G$4),-3)</f>
        <v>14000</v>
      </c>
      <c r="AF570" s="19">
        <f>ROUND((Z570)*(1+'Data-CostAssumptions'!$G$3)^(AD570-'Data-CostAssumptions'!$G$4),-3)</f>
        <v>64000</v>
      </c>
      <c r="AG570" s="170" t="str">
        <f t="shared" si="30"/>
        <v>No</v>
      </c>
    </row>
    <row r="571" spans="1:33" ht="15" customHeight="1" x14ac:dyDescent="0.2">
      <c r="B571" s="11" t="s">
        <v>1211</v>
      </c>
      <c r="C571" s="11">
        <v>12312</v>
      </c>
      <c r="D571" s="84" t="s">
        <v>282</v>
      </c>
      <c r="E571" s="14"/>
      <c r="F571" s="14"/>
      <c r="G571" s="20">
        <v>1792</v>
      </c>
      <c r="H571" s="13" t="s">
        <v>110</v>
      </c>
      <c r="I571" s="13" t="str">
        <f t="shared" si="31"/>
        <v>SR A1A (Hollywood Bl to )</v>
      </c>
      <c r="J571" s="11" t="s">
        <v>27</v>
      </c>
      <c r="K571" s="13" t="str">
        <f>VLOOKUP(J571,'Data-ProjectTypes'!A$3:B$13,2,FALSE)</f>
        <v>Program</v>
      </c>
      <c r="L571" s="142" t="s">
        <v>649</v>
      </c>
      <c r="M571" s="11" t="s">
        <v>1820</v>
      </c>
      <c r="Q571" s="79">
        <v>0</v>
      </c>
      <c r="R571" s="147">
        <v>25000</v>
      </c>
      <c r="S571" s="12"/>
      <c r="T571" s="12"/>
      <c r="U571" s="12"/>
      <c r="V571" s="12"/>
      <c r="W571" s="12"/>
      <c r="X571" s="12"/>
      <c r="Y571" s="12"/>
      <c r="Z571" s="18">
        <f>ROUND(R571*'Data-CostAssumptions'!$C$8,-3)</f>
        <v>25000</v>
      </c>
      <c r="AA571" s="11">
        <f t="shared" si="29"/>
        <v>0</v>
      </c>
      <c r="AB571" s="11">
        <v>2041</v>
      </c>
      <c r="AC571" s="11">
        <v>2041</v>
      </c>
      <c r="AD571" s="11">
        <v>2041</v>
      </c>
      <c r="AE571" s="19">
        <f>ROUND((Z571*'Data-CostAssumptions'!$G$5)*(1+'Data-CostAssumptions'!$G$3)^(AB571-'Data-CostAssumptions'!$G$4),-3)</f>
        <v>14000</v>
      </c>
      <c r="AF571" s="19">
        <f>ROUND((Z571)*(1+'Data-CostAssumptions'!$G$3)^(AD571-'Data-CostAssumptions'!$G$4),-3)</f>
        <v>64000</v>
      </c>
      <c r="AG571" s="170" t="str">
        <f t="shared" si="30"/>
        <v>No</v>
      </c>
    </row>
    <row r="572" spans="1:33" ht="15" customHeight="1" x14ac:dyDescent="0.2">
      <c r="B572" s="11" t="s">
        <v>1211</v>
      </c>
      <c r="C572" s="13">
        <v>341</v>
      </c>
      <c r="D572" s="13" t="s">
        <v>420</v>
      </c>
      <c r="E572" s="20">
        <v>422</v>
      </c>
      <c r="F572" s="20">
        <v>160</v>
      </c>
      <c r="G572" s="20">
        <v>552</v>
      </c>
      <c r="H572" s="13" t="s">
        <v>2033</v>
      </c>
      <c r="I572" s="13" t="str">
        <f t="shared" si="31"/>
        <v>NE 3rd Av (NE 25th Court to NE 26th St)</v>
      </c>
      <c r="J572" s="13" t="s">
        <v>27</v>
      </c>
      <c r="K572" s="13" t="str">
        <f>VLOOKUP(J572,'Data-ProjectTypes'!A$3:B$13,2,FALSE)</f>
        <v>Program</v>
      </c>
      <c r="L572" s="21" t="s">
        <v>348</v>
      </c>
      <c r="M572" s="13" t="s">
        <v>106</v>
      </c>
      <c r="N572" s="13" t="s">
        <v>1887</v>
      </c>
      <c r="O572" s="13" t="s">
        <v>275</v>
      </c>
      <c r="P572" s="13" t="s">
        <v>275</v>
      </c>
      <c r="Q572" s="22">
        <v>0</v>
      </c>
      <c r="R572" s="23">
        <v>16681</v>
      </c>
      <c r="S572" s="21" t="s">
        <v>24</v>
      </c>
      <c r="T572" s="21"/>
      <c r="U572" s="21"/>
      <c r="V572" s="24"/>
      <c r="W572" s="24"/>
      <c r="X572" s="24"/>
      <c r="Y572" s="17" t="s">
        <v>469</v>
      </c>
      <c r="Z572" s="18">
        <f>ROUND(R572*'Data-CostAssumptions'!$C$3,-3)</f>
        <v>23000</v>
      </c>
      <c r="AA572" s="11">
        <f t="shared" si="29"/>
        <v>0</v>
      </c>
      <c r="AB572" s="11">
        <v>2041</v>
      </c>
      <c r="AC572" s="11">
        <v>2041</v>
      </c>
      <c r="AD572" s="11">
        <v>2041</v>
      </c>
      <c r="AE572" s="19">
        <f>ROUND((Z572*'Data-CostAssumptions'!$G$5)*(1+'Data-CostAssumptions'!$G$3)^(AB572-'Data-CostAssumptions'!$G$4),-3)</f>
        <v>13000</v>
      </c>
      <c r="AF572" s="19">
        <f>ROUND((Z572)*(1+'Data-CostAssumptions'!$G$3)^(AD572-'Data-CostAssumptions'!$G$4),-3)</f>
        <v>59000</v>
      </c>
      <c r="AG572" s="170" t="str">
        <f t="shared" si="30"/>
        <v>No</v>
      </c>
    </row>
    <row r="573" spans="1:33" ht="15" customHeight="1" x14ac:dyDescent="0.2">
      <c r="B573" s="11" t="s">
        <v>1211</v>
      </c>
      <c r="C573" s="13">
        <v>579</v>
      </c>
      <c r="D573" s="13" t="s">
        <v>420</v>
      </c>
      <c r="E573" s="20">
        <v>395</v>
      </c>
      <c r="F573" s="20">
        <v>174</v>
      </c>
      <c r="G573" s="20">
        <v>784</v>
      </c>
      <c r="H573" s="13" t="s">
        <v>2737</v>
      </c>
      <c r="I573" s="13" t="str">
        <f t="shared" si="31"/>
        <v>SR 810/West Hillsboro Bl (Just east of Century Bl to Just west of Century Bl)</v>
      </c>
      <c r="J573" s="13" t="s">
        <v>27</v>
      </c>
      <c r="K573" s="13" t="str">
        <f>VLOOKUP(J573,'Data-ProjectTypes'!A$3:B$13,2,FALSE)</f>
        <v>Program</v>
      </c>
      <c r="L573" s="21" t="s">
        <v>348</v>
      </c>
      <c r="M573" s="13" t="s">
        <v>2335</v>
      </c>
      <c r="N573" s="13" t="s">
        <v>2290</v>
      </c>
      <c r="O573" s="13" t="s">
        <v>270</v>
      </c>
      <c r="P573" s="13" t="s">
        <v>270</v>
      </c>
      <c r="Q573" s="22">
        <v>0.1</v>
      </c>
      <c r="R573" s="23">
        <v>20719</v>
      </c>
      <c r="V573" s="85" t="s">
        <v>456</v>
      </c>
      <c r="X573" s="11" t="s">
        <v>464</v>
      </c>
      <c r="Y573" s="12"/>
      <c r="Z573" s="18">
        <f>ROUND(R573*'Data-CostAssumptions'!$C$4,-3)</f>
        <v>21000</v>
      </c>
      <c r="AA573" s="11">
        <f t="shared" si="29"/>
        <v>1</v>
      </c>
      <c r="AB573" s="11">
        <v>2041</v>
      </c>
      <c r="AC573" s="11">
        <v>2041</v>
      </c>
      <c r="AD573" s="11">
        <v>2041</v>
      </c>
      <c r="AE573" s="19">
        <f>ROUND((Z573*'Data-CostAssumptions'!$G$5)*(1+'Data-CostAssumptions'!$G$3)^(AB573-'Data-CostAssumptions'!$G$4),-3)</f>
        <v>12000</v>
      </c>
      <c r="AF573" s="19">
        <f>ROUND((Z573)*(1+'Data-CostAssumptions'!$G$3)^(AD573-'Data-CostAssumptions'!$G$4),-3)</f>
        <v>54000</v>
      </c>
      <c r="AG573" s="170" t="str">
        <f t="shared" si="30"/>
        <v>No</v>
      </c>
    </row>
    <row r="574" spans="1:33" ht="15" customHeight="1" x14ac:dyDescent="0.2">
      <c r="B574" s="11" t="s">
        <v>1211</v>
      </c>
      <c r="C574" s="11">
        <v>12302</v>
      </c>
      <c r="D574" s="84" t="s">
        <v>282</v>
      </c>
      <c r="E574" s="14"/>
      <c r="F574" s="14"/>
      <c r="G574" s="20">
        <v>1788</v>
      </c>
      <c r="H574" s="13" t="s">
        <v>1970</v>
      </c>
      <c r="I574" s="13" t="str">
        <f t="shared" si="31"/>
        <v>Van Buren St (24th Av to )</v>
      </c>
      <c r="J574" s="11" t="s">
        <v>27</v>
      </c>
      <c r="K574" s="13" t="str">
        <f>VLOOKUP(J574,'Data-ProjectTypes'!A$3:B$13,2,FALSE)</f>
        <v>Program</v>
      </c>
      <c r="L574" s="142" t="s">
        <v>639</v>
      </c>
      <c r="M574" s="11" t="s">
        <v>2008</v>
      </c>
      <c r="Q574" s="79">
        <v>0</v>
      </c>
      <c r="R574" s="143">
        <v>20000</v>
      </c>
      <c r="S574" s="12"/>
      <c r="T574" s="12"/>
      <c r="U574" s="12"/>
      <c r="V574" s="12"/>
      <c r="W574" s="12"/>
      <c r="X574" s="12"/>
      <c r="Y574" s="12"/>
      <c r="Z574" s="18">
        <f>ROUND(R574*'Data-CostAssumptions'!$C$8,-3)</f>
        <v>20000</v>
      </c>
      <c r="AA574" s="11">
        <f t="shared" si="29"/>
        <v>0</v>
      </c>
      <c r="AB574" s="11">
        <v>2041</v>
      </c>
      <c r="AC574" s="11">
        <v>2041</v>
      </c>
      <c r="AD574" s="11">
        <v>2041</v>
      </c>
      <c r="AE574" s="19">
        <f>ROUND((Z574*'Data-CostAssumptions'!$G$5)*(1+'Data-CostAssumptions'!$G$3)^(AB574-'Data-CostAssumptions'!$G$4),-3)</f>
        <v>11000</v>
      </c>
      <c r="AF574" s="19">
        <f>ROUND((Z574)*(1+'Data-CostAssumptions'!$G$3)^(AD574-'Data-CostAssumptions'!$G$4),-3)</f>
        <v>51000</v>
      </c>
      <c r="AG574" s="170" t="str">
        <f t="shared" si="30"/>
        <v>No</v>
      </c>
    </row>
    <row r="575" spans="1:33" ht="15" customHeight="1" x14ac:dyDescent="0.2">
      <c r="B575" s="11" t="s">
        <v>1211</v>
      </c>
      <c r="C575" s="13">
        <v>608</v>
      </c>
      <c r="D575" s="13" t="s">
        <v>420</v>
      </c>
      <c r="E575" s="20">
        <v>378</v>
      </c>
      <c r="F575" s="20">
        <v>175</v>
      </c>
      <c r="G575" s="20">
        <v>810</v>
      </c>
      <c r="H575" s="13" t="s">
        <v>1754</v>
      </c>
      <c r="I575" s="13" t="str">
        <f t="shared" ref="I575:I584" si="32">IF(M575="@",H575&amp;" ("&amp;M575&amp;"  "&amp;N575&amp;")",H575&amp;" ("&amp;M575&amp;" to "&amp;N575&amp;")")</f>
        <v>Lyons Rd (Just south of NW 15th St to NW 15th St)</v>
      </c>
      <c r="J575" s="13" t="s">
        <v>27</v>
      </c>
      <c r="K575" s="13" t="str">
        <f>VLOOKUP(J575,'Data-ProjectTypes'!A$3:B$13,2,FALSE)</f>
        <v>Program</v>
      </c>
      <c r="L575" s="21" t="s">
        <v>348</v>
      </c>
      <c r="M575" s="13" t="s">
        <v>2497</v>
      </c>
      <c r="N575" s="13" t="s">
        <v>1909</v>
      </c>
      <c r="O575" s="13" t="s">
        <v>283</v>
      </c>
      <c r="P575" s="13" t="s">
        <v>283</v>
      </c>
      <c r="Q575" s="22">
        <v>0.1</v>
      </c>
      <c r="R575" s="23">
        <v>18040</v>
      </c>
      <c r="Y575" s="12"/>
      <c r="Z575" s="71">
        <f>ROUND(R575*'Data-CostAssumptions'!$C$8,-3)</f>
        <v>18000</v>
      </c>
      <c r="AA575" s="11">
        <f t="shared" si="29"/>
        <v>0</v>
      </c>
      <c r="AB575" s="11">
        <v>2041</v>
      </c>
      <c r="AC575" s="11">
        <v>2041</v>
      </c>
      <c r="AD575" s="11">
        <v>2041</v>
      </c>
      <c r="AE575" s="19">
        <f>ROUND((Z575*'Data-CostAssumptions'!$G$5)*(1+'Data-CostAssumptions'!$G$3)^(AB575-'Data-CostAssumptions'!$G$4),-3)</f>
        <v>10000</v>
      </c>
      <c r="AF575" s="19">
        <f>ROUND((Z575)*(1+'Data-CostAssumptions'!$G$3)^(AD575-'Data-CostAssumptions'!$G$4),-3)</f>
        <v>46000</v>
      </c>
      <c r="AG575" s="170" t="str">
        <f t="shared" si="30"/>
        <v>No</v>
      </c>
    </row>
    <row r="576" spans="1:33" ht="15" customHeight="1" x14ac:dyDescent="0.2">
      <c r="A576" s="66"/>
      <c r="B576" s="66" t="s">
        <v>1211</v>
      </c>
      <c r="C576" s="66">
        <v>12254</v>
      </c>
      <c r="D576" s="86" t="s">
        <v>282</v>
      </c>
      <c r="E576" s="14"/>
      <c r="F576" s="14"/>
      <c r="G576" s="20">
        <v>1767</v>
      </c>
      <c r="H576" s="67" t="s">
        <v>1880</v>
      </c>
      <c r="I576" s="67" t="str">
        <f t="shared" si="32"/>
        <v>Johnson St (N 56th Av to )</v>
      </c>
      <c r="J576" s="66" t="s">
        <v>27</v>
      </c>
      <c r="K576" s="67" t="str">
        <f>VLOOKUP(J576,'Data-ProjectTypes'!A$3:B$13,2,FALSE)</f>
        <v>Program</v>
      </c>
      <c r="L576" s="87" t="s">
        <v>593</v>
      </c>
      <c r="M576" s="11" t="s">
        <v>2220</v>
      </c>
      <c r="Q576" s="74">
        <v>0</v>
      </c>
      <c r="R576" s="70">
        <f>+'Data-CostAssumptions'!C29</f>
        <v>13500</v>
      </c>
      <c r="Y576" s="12" t="s">
        <v>3006</v>
      </c>
      <c r="Z576" s="18">
        <f>ROUND(R576*'Data-CostAssumptions'!$C$8,-3)</f>
        <v>14000</v>
      </c>
      <c r="AA576" s="11">
        <f t="shared" si="29"/>
        <v>0</v>
      </c>
      <c r="AB576" s="11">
        <v>2041</v>
      </c>
      <c r="AC576" s="11">
        <v>2041</v>
      </c>
      <c r="AD576" s="11">
        <v>2041</v>
      </c>
      <c r="AE576" s="19">
        <f>ROUND((Z576*'Data-CostAssumptions'!$G$5)*(1+'Data-CostAssumptions'!$G$3)^(AB576-'Data-CostAssumptions'!$G$4),-3)</f>
        <v>8000</v>
      </c>
      <c r="AF576" s="19">
        <f>ROUND((Z576)*(1+'Data-CostAssumptions'!$G$3)^(AD576-'Data-CostAssumptions'!$G$4),-3)</f>
        <v>36000</v>
      </c>
      <c r="AG576" s="170" t="str">
        <f t="shared" si="30"/>
        <v>No</v>
      </c>
    </row>
    <row r="577" spans="1:33" ht="15" customHeight="1" x14ac:dyDescent="0.2">
      <c r="B577" s="11" t="s">
        <v>1211</v>
      </c>
      <c r="C577" s="11">
        <v>12251</v>
      </c>
      <c r="D577" s="84" t="s">
        <v>282</v>
      </c>
      <c r="E577" s="14"/>
      <c r="F577" s="14"/>
      <c r="G577" s="20">
        <v>1766</v>
      </c>
      <c r="H577" s="13" t="s">
        <v>1880</v>
      </c>
      <c r="I577" s="13" t="str">
        <f t="shared" si="32"/>
        <v>Johnson St (University Dr to NW 64th Av)</v>
      </c>
      <c r="J577" s="11" t="s">
        <v>27</v>
      </c>
      <c r="K577" s="13" t="str">
        <f>VLOOKUP(J577,'Data-ProjectTypes'!A$3:B$13,2,FALSE)</f>
        <v>Program</v>
      </c>
      <c r="L577" s="142" t="s">
        <v>590</v>
      </c>
      <c r="M577" s="11" t="s">
        <v>1804</v>
      </c>
      <c r="N577" s="11" t="s">
        <v>2225</v>
      </c>
      <c r="Q577" s="79">
        <v>2</v>
      </c>
      <c r="R577" s="143">
        <f>ROUND('Data-CostAssumptions'!$C$26*4,-1)</f>
        <v>10000</v>
      </c>
      <c r="Y577" s="12" t="s">
        <v>3006</v>
      </c>
      <c r="Z577" s="18">
        <f>ROUND(R577*'Data-CostAssumptions'!$C$8,-3)</f>
        <v>10000</v>
      </c>
      <c r="AA577" s="11">
        <f t="shared" si="29"/>
        <v>0</v>
      </c>
      <c r="AB577" s="11">
        <v>2041</v>
      </c>
      <c r="AC577" s="11">
        <v>2041</v>
      </c>
      <c r="AD577" s="11">
        <v>2041</v>
      </c>
      <c r="AE577" s="19">
        <f>ROUND((Z577*'Data-CostAssumptions'!$G$5)*(1+'Data-CostAssumptions'!$G$3)^(AB577-'Data-CostAssumptions'!$G$4),-3)</f>
        <v>6000</v>
      </c>
      <c r="AF577" s="19">
        <f>ROUND((Z577)*(1+'Data-CostAssumptions'!$G$3)^(AD577-'Data-CostAssumptions'!$G$4),-3)</f>
        <v>26000</v>
      </c>
      <c r="AG577" s="170" t="str">
        <f t="shared" si="30"/>
        <v>No</v>
      </c>
    </row>
    <row r="578" spans="1:33" ht="15" customHeight="1" x14ac:dyDescent="0.2">
      <c r="B578" s="11" t="s">
        <v>1211</v>
      </c>
      <c r="C578" s="11">
        <v>12265</v>
      </c>
      <c r="D578" s="84" t="s">
        <v>282</v>
      </c>
      <c r="E578" s="14"/>
      <c r="F578" s="14"/>
      <c r="G578" s="20">
        <v>1772</v>
      </c>
      <c r="H578" s="13" t="s">
        <v>2813</v>
      </c>
      <c r="I578" s="13" t="str">
        <f t="shared" si="32"/>
        <v>SR 820/Hollywood Bl (62nd Av to )</v>
      </c>
      <c r="J578" s="11" t="s">
        <v>27</v>
      </c>
      <c r="K578" s="13" t="str">
        <f>VLOOKUP(J578,'Data-ProjectTypes'!A$3:B$13,2,FALSE)</f>
        <v>Program</v>
      </c>
      <c r="L578" s="142" t="s">
        <v>604</v>
      </c>
      <c r="M578" s="11" t="s">
        <v>2013</v>
      </c>
      <c r="Q578" s="79">
        <v>0</v>
      </c>
      <c r="R578" s="143">
        <v>10000</v>
      </c>
      <c r="Y578" s="12" t="s">
        <v>3007</v>
      </c>
      <c r="Z578" s="18">
        <f>ROUND(R578*'Data-CostAssumptions'!$C$8,-3)</f>
        <v>10000</v>
      </c>
      <c r="AA578" s="11">
        <f t="shared" ref="AA578:AA584" si="33">IF(V578="",IF(W578="",0,1),1)</f>
        <v>0</v>
      </c>
      <c r="AB578" s="11">
        <v>2041</v>
      </c>
      <c r="AC578" s="11">
        <v>2041</v>
      </c>
      <c r="AD578" s="11">
        <v>2041</v>
      </c>
      <c r="AE578" s="19">
        <f>ROUND((Z578*'Data-CostAssumptions'!$G$5)*(1+'Data-CostAssumptions'!$G$3)^(AB578-'Data-CostAssumptions'!$G$4),-3)</f>
        <v>6000</v>
      </c>
      <c r="AF578" s="19">
        <f>ROUND((Z578)*(1+'Data-CostAssumptions'!$G$3)^(AD578-'Data-CostAssumptions'!$G$4),-3)</f>
        <v>26000</v>
      </c>
      <c r="AG578" s="170" t="str">
        <f t="shared" ref="AG578:AG584" si="34">IF(MIN(AC578:AD578)&lt;2041,"Yes","No")</f>
        <v>No</v>
      </c>
    </row>
    <row r="579" spans="1:33" ht="15" customHeight="1" x14ac:dyDescent="0.2">
      <c r="B579" s="11" t="s">
        <v>1211</v>
      </c>
      <c r="C579" s="11">
        <v>12257</v>
      </c>
      <c r="D579" s="84" t="s">
        <v>282</v>
      </c>
      <c r="E579" s="14"/>
      <c r="F579" s="14"/>
      <c r="G579" s="20">
        <v>1768</v>
      </c>
      <c r="H579" s="13" t="s">
        <v>1880</v>
      </c>
      <c r="I579" s="13" t="str">
        <f t="shared" si="32"/>
        <v>Johnson St (N 40th Av to )</v>
      </c>
      <c r="J579" s="11" t="s">
        <v>27</v>
      </c>
      <c r="K579" s="13" t="str">
        <f>VLOOKUP(J579,'Data-ProjectTypes'!A$3:B$13,2,FALSE)</f>
        <v>Program</v>
      </c>
      <c r="L579" s="142" t="s">
        <v>596</v>
      </c>
      <c r="M579" s="11" t="s">
        <v>2358</v>
      </c>
      <c r="Q579" s="79">
        <v>0</v>
      </c>
      <c r="R579" s="143">
        <v>7500</v>
      </c>
      <c r="Y579" s="12" t="s">
        <v>3006</v>
      </c>
      <c r="Z579" s="18">
        <f>ROUND(R579*'Data-CostAssumptions'!$C$8,-3)</f>
        <v>8000</v>
      </c>
      <c r="AA579" s="11">
        <f t="shared" si="33"/>
        <v>0</v>
      </c>
      <c r="AB579" s="11">
        <v>2041</v>
      </c>
      <c r="AC579" s="11">
        <v>2041</v>
      </c>
      <c r="AD579" s="11">
        <v>2041</v>
      </c>
      <c r="AE579" s="19">
        <f>ROUND((Z579*'Data-CostAssumptions'!$G$5)*(1+'Data-CostAssumptions'!$G$3)^(AB579-'Data-CostAssumptions'!$G$4),-3)</f>
        <v>5000</v>
      </c>
      <c r="AF579" s="19">
        <f>ROUND((Z579)*(1+'Data-CostAssumptions'!$G$3)^(AD579-'Data-CostAssumptions'!$G$4),-3)</f>
        <v>21000</v>
      </c>
      <c r="AG579" s="170" t="str">
        <f t="shared" si="34"/>
        <v>No</v>
      </c>
    </row>
    <row r="580" spans="1:33" ht="15" customHeight="1" x14ac:dyDescent="0.2">
      <c r="B580" s="11" t="s">
        <v>1211</v>
      </c>
      <c r="C580" s="11">
        <v>12258</v>
      </c>
      <c r="D580" s="84" t="s">
        <v>282</v>
      </c>
      <c r="E580" s="14"/>
      <c r="F580" s="14"/>
      <c r="G580" s="20">
        <v>1769</v>
      </c>
      <c r="H580" s="13" t="s">
        <v>1880</v>
      </c>
      <c r="I580" s="13" t="str">
        <f t="shared" si="32"/>
        <v>Johnson St (N 35th Av to )</v>
      </c>
      <c r="J580" s="11" t="s">
        <v>27</v>
      </c>
      <c r="K580" s="13" t="str">
        <f>VLOOKUP(J580,'Data-ProjectTypes'!A$3:B$13,2,FALSE)</f>
        <v>Program</v>
      </c>
      <c r="L580" s="142" t="s">
        <v>597</v>
      </c>
      <c r="M580" s="11" t="s">
        <v>2227</v>
      </c>
      <c r="Q580" s="79">
        <v>0</v>
      </c>
      <c r="R580" s="143">
        <v>7500</v>
      </c>
      <c r="T580" s="12" t="s">
        <v>3007</v>
      </c>
      <c r="Y580" s="12" t="s">
        <v>3007</v>
      </c>
      <c r="Z580" s="18">
        <f>ROUND(R580*'Data-CostAssumptions'!$C$8,-3)</f>
        <v>8000</v>
      </c>
      <c r="AA580" s="11">
        <f t="shared" si="33"/>
        <v>0</v>
      </c>
      <c r="AB580" s="11">
        <v>2041</v>
      </c>
      <c r="AC580" s="11">
        <v>2041</v>
      </c>
      <c r="AD580" s="11">
        <v>2041</v>
      </c>
      <c r="AE580" s="19">
        <f>ROUND((Z580*'Data-CostAssumptions'!$G$5)*(1+'Data-CostAssumptions'!$G$3)^(AB580-'Data-CostAssumptions'!$G$4),-3)</f>
        <v>5000</v>
      </c>
      <c r="AF580" s="19">
        <f>ROUND((Z580)*(1+'Data-CostAssumptions'!$G$3)^(AD580-'Data-CostAssumptions'!$G$4),-3)</f>
        <v>21000</v>
      </c>
      <c r="AG580" s="170" t="str">
        <f t="shared" si="34"/>
        <v>No</v>
      </c>
    </row>
    <row r="581" spans="1:33" ht="15" customHeight="1" x14ac:dyDescent="0.2">
      <c r="B581" s="11" t="s">
        <v>1211</v>
      </c>
      <c r="C581" s="11">
        <v>12262</v>
      </c>
      <c r="D581" s="84" t="s">
        <v>282</v>
      </c>
      <c r="E581" s="14"/>
      <c r="F581" s="14"/>
      <c r="G581" s="20">
        <v>1771</v>
      </c>
      <c r="H581" s="13" t="s">
        <v>1880</v>
      </c>
      <c r="I581" s="13" t="str">
        <f t="shared" si="32"/>
        <v>Johnson St (31st St to )</v>
      </c>
      <c r="J581" s="11" t="s">
        <v>27</v>
      </c>
      <c r="K581" s="13" t="str">
        <f>VLOOKUP(J581,'Data-ProjectTypes'!A$3:B$13,2,FALSE)</f>
        <v>Program</v>
      </c>
      <c r="L581" s="142" t="s">
        <v>601</v>
      </c>
      <c r="M581" s="11" t="s">
        <v>2493</v>
      </c>
      <c r="Q581" s="79"/>
      <c r="R581" s="143">
        <f>ROUND('Data-CostAssumptions'!$C$26,-1)</f>
        <v>2500</v>
      </c>
      <c r="T581" s="12" t="s">
        <v>3007</v>
      </c>
      <c r="Y581" s="12" t="s">
        <v>3007</v>
      </c>
      <c r="Z581" s="18">
        <f>ROUND(R581*'Data-CostAssumptions'!$C$8,-3)</f>
        <v>3000</v>
      </c>
      <c r="AA581" s="11">
        <f t="shared" si="33"/>
        <v>0</v>
      </c>
      <c r="AB581" s="11">
        <v>2041</v>
      </c>
      <c r="AC581" s="11">
        <v>2041</v>
      </c>
      <c r="AD581" s="11">
        <v>2041</v>
      </c>
      <c r="AE581" s="19">
        <f>ROUND((Z581*'Data-CostAssumptions'!$G$5)*(1+'Data-CostAssumptions'!$G$3)^(AB581-'Data-CostAssumptions'!$G$4),-3)</f>
        <v>2000</v>
      </c>
      <c r="AF581" s="19">
        <f>ROUND((Z581)*(1+'Data-CostAssumptions'!$G$3)^(AD581-'Data-CostAssumptions'!$G$4),-3)</f>
        <v>8000</v>
      </c>
      <c r="AG581" s="170" t="str">
        <f t="shared" si="34"/>
        <v>No</v>
      </c>
    </row>
    <row r="582" spans="1:33" ht="15" customHeight="1" x14ac:dyDescent="0.2">
      <c r="B582" s="11" t="s">
        <v>1211</v>
      </c>
      <c r="C582" s="11">
        <v>12267</v>
      </c>
      <c r="D582" s="84" t="s">
        <v>282</v>
      </c>
      <c r="E582" s="14"/>
      <c r="F582" s="14"/>
      <c r="G582" s="20">
        <v>1773</v>
      </c>
      <c r="H582" s="13" t="s">
        <v>1971</v>
      </c>
      <c r="I582" s="13" t="str">
        <f t="shared" si="32"/>
        <v>Washington St (SR 7 to )</v>
      </c>
      <c r="J582" s="11" t="s">
        <v>27</v>
      </c>
      <c r="K582" s="13" t="str">
        <f>VLOOKUP(J582,'Data-ProjectTypes'!A$3:B$13,2,FALSE)</f>
        <v>Program</v>
      </c>
      <c r="L582" s="142" t="s">
        <v>606</v>
      </c>
      <c r="M582" s="11" t="s">
        <v>53</v>
      </c>
      <c r="Q582" s="79">
        <v>0</v>
      </c>
      <c r="R582" s="143">
        <f>ROUND('Data-CostAssumptions'!$C$26,-1)</f>
        <v>2500</v>
      </c>
      <c r="S582" s="12"/>
      <c r="T582" s="12"/>
      <c r="U582" s="12"/>
      <c r="V582" s="12"/>
      <c r="W582" s="12"/>
      <c r="X582" s="12"/>
      <c r="Y582" s="12"/>
      <c r="Z582" s="18">
        <f>ROUND(R582*'Data-CostAssumptions'!$C$3,-3)</f>
        <v>3000</v>
      </c>
      <c r="AA582" s="11">
        <f t="shared" si="33"/>
        <v>0</v>
      </c>
      <c r="AB582" s="11">
        <v>2041</v>
      </c>
      <c r="AC582" s="11">
        <v>2041</v>
      </c>
      <c r="AD582" s="11">
        <v>2041</v>
      </c>
      <c r="AE582" s="19">
        <f>ROUND((Z582*'Data-CostAssumptions'!$G$5)*(1+'Data-CostAssumptions'!$G$3)^(AB582-'Data-CostAssumptions'!$G$4),-3)</f>
        <v>2000</v>
      </c>
      <c r="AF582" s="19">
        <f>ROUND((Z582)*(1+'Data-CostAssumptions'!$G$3)^(AD582-'Data-CostAssumptions'!$G$4),-3)</f>
        <v>8000</v>
      </c>
      <c r="AG582" s="170" t="str">
        <f t="shared" si="34"/>
        <v>No</v>
      </c>
    </row>
    <row r="583" spans="1:33" ht="15" customHeight="1" x14ac:dyDescent="0.2">
      <c r="B583" s="11" t="s">
        <v>1211</v>
      </c>
      <c r="C583" s="11">
        <v>12271</v>
      </c>
      <c r="D583" s="84" t="s">
        <v>282</v>
      </c>
      <c r="E583" s="14"/>
      <c r="F583" s="14"/>
      <c r="G583" s="20">
        <v>1774</v>
      </c>
      <c r="H583" s="13" t="s">
        <v>2813</v>
      </c>
      <c r="I583" s="13" t="str">
        <f t="shared" si="32"/>
        <v>SR 820/Hollywood Bl (58th Av to )</v>
      </c>
      <c r="J583" s="11" t="s">
        <v>27</v>
      </c>
      <c r="K583" s="13" t="str">
        <f>VLOOKUP(J583,'Data-ProjectTypes'!A$3:B$13,2,FALSE)</f>
        <v>Program</v>
      </c>
      <c r="L583" s="142" t="s">
        <v>610</v>
      </c>
      <c r="M583" s="11" t="s">
        <v>2012</v>
      </c>
      <c r="Q583" s="79">
        <v>0</v>
      </c>
      <c r="R583" s="143">
        <f>ROUND('Data-CostAssumptions'!$C$26,-1)</f>
        <v>2500</v>
      </c>
      <c r="S583" s="12"/>
      <c r="T583" s="12"/>
      <c r="U583" s="12"/>
      <c r="V583" s="12"/>
      <c r="W583" s="12"/>
      <c r="X583" s="12"/>
      <c r="Y583" s="12"/>
      <c r="Z583" s="18">
        <f>ROUND(R583*'Data-CostAssumptions'!$C$3,-3)</f>
        <v>3000</v>
      </c>
      <c r="AA583" s="11">
        <f t="shared" si="33"/>
        <v>0</v>
      </c>
      <c r="AB583" s="11">
        <v>2041</v>
      </c>
      <c r="AC583" s="11">
        <v>2041</v>
      </c>
      <c r="AD583" s="11">
        <v>2041</v>
      </c>
      <c r="AE583" s="19">
        <f>ROUND((Z583*'Data-CostAssumptions'!$G$5)*(1+'Data-CostAssumptions'!$G$3)^(AB583-'Data-CostAssumptions'!$G$4),-3)</f>
        <v>2000</v>
      </c>
      <c r="AF583" s="19">
        <f>ROUND((Z583)*(1+'Data-CostAssumptions'!$G$3)^(AD583-'Data-CostAssumptions'!$G$4),-3)</f>
        <v>8000</v>
      </c>
      <c r="AG583" s="170" t="str">
        <f t="shared" si="34"/>
        <v>No</v>
      </c>
    </row>
    <row r="584" spans="1:33" ht="15" customHeight="1" x14ac:dyDescent="0.2">
      <c r="A584" s="66"/>
      <c r="B584" s="66" t="s">
        <v>1211</v>
      </c>
      <c r="C584" s="66">
        <v>12309</v>
      </c>
      <c r="D584" s="86" t="s">
        <v>282</v>
      </c>
      <c r="E584" s="14"/>
      <c r="F584" s="14"/>
      <c r="G584" s="20">
        <v>1791</v>
      </c>
      <c r="H584" s="67" t="s">
        <v>2813</v>
      </c>
      <c r="I584" s="67" t="str">
        <f t="shared" si="32"/>
        <v>SR 820/Hollywood Bl (8th Av to )</v>
      </c>
      <c r="J584" s="66" t="s">
        <v>27</v>
      </c>
      <c r="K584" s="67" t="str">
        <f>VLOOKUP(J584,'Data-ProjectTypes'!A$3:B$13,2,FALSE)</f>
        <v>Program</v>
      </c>
      <c r="L584" s="87" t="s">
        <v>646</v>
      </c>
      <c r="M584" s="11" t="s">
        <v>2352</v>
      </c>
      <c r="Q584" s="74"/>
      <c r="R584" s="70"/>
      <c r="S584" s="12"/>
      <c r="T584" s="12"/>
      <c r="U584" s="12"/>
      <c r="V584" s="12"/>
      <c r="W584" s="12"/>
      <c r="X584" s="12"/>
      <c r="Y584" s="12"/>
      <c r="Z584" s="18">
        <f>ROUND(R584*'Data-CostAssumptions'!$C$8,-3)</f>
        <v>0</v>
      </c>
      <c r="AA584" s="11">
        <f t="shared" si="33"/>
        <v>0</v>
      </c>
      <c r="AB584" s="11">
        <v>2041</v>
      </c>
      <c r="AC584" s="11">
        <v>2041</v>
      </c>
      <c r="AD584" s="11">
        <v>2041</v>
      </c>
      <c r="AE584" s="19">
        <f>ROUND((Z584*'Data-CostAssumptions'!$G$5)*(1+'Data-CostAssumptions'!$G$3)^(AB584-'Data-CostAssumptions'!$G$4),-3)</f>
        <v>0</v>
      </c>
      <c r="AF584" s="19">
        <f>ROUND((Z584)*(1+'Data-CostAssumptions'!$G$3)^(AD584-'Data-CostAssumptions'!$G$4),-3)</f>
        <v>0</v>
      </c>
      <c r="AG584" s="170" t="str">
        <f t="shared" si="34"/>
        <v>No</v>
      </c>
    </row>
    <row r="585" spans="1:33" ht="15" customHeight="1" x14ac:dyDescent="0.2">
      <c r="Z585" s="19">
        <f>SUM(Z2:Z584)</f>
        <v>385467000</v>
      </c>
    </row>
    <row r="586" spans="1:33" ht="15" customHeight="1" x14ac:dyDescent="0.2">
      <c r="Z586" s="18"/>
    </row>
    <row r="587" spans="1:33" ht="15" customHeight="1" x14ac:dyDescent="0.2">
      <c r="Z587" s="19"/>
    </row>
  </sheetData>
  <sortState ref="A2:AG584">
    <sortCondition descending="1" ref="Z2:Z584"/>
  </sortState>
  <conditionalFormatting sqref="H2:I584">
    <cfRule type="expression" dxfId="105" priority="3">
      <formula>B2="KILL"</formula>
    </cfRule>
  </conditionalFormatting>
  <conditionalFormatting sqref="AB2:AD584">
    <cfRule type="cellIs" dxfId="104" priority="2" operator="lessThan">
      <formula>2041</formula>
    </cfRule>
  </conditionalFormatting>
  <conditionalFormatting sqref="AG2:AG584">
    <cfRule type="cellIs" dxfId="103" priority="1" operator="equal">
      <formula>"Yes"</formula>
    </cfRule>
  </conditionalFormatting>
  <dataValidations disablePrompts="1" count="1">
    <dataValidation type="list" allowBlank="1" showInputMessage="1" showErrorMessage="1" sqref="J505">
      <formula1>Type</formula1>
    </dataValidation>
  </dataValidations>
  <pageMargins left="0.25" right="0.25" top="0.75" bottom="0.75" header="0.3" footer="0.3"/>
  <pageSetup scale="4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E0F7"/>
    <pageSetUpPr fitToPage="1"/>
  </sheetPr>
  <dimension ref="A1:AG68"/>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6.42578125" style="11" bestFit="1" customWidth="1"/>
    <col min="5" max="5" width="9.5703125" style="11" bestFit="1" customWidth="1"/>
    <col min="6" max="6" width="8.140625" style="11" bestFit="1" customWidth="1"/>
    <col min="7" max="7" width="8" style="11" bestFit="1" customWidth="1"/>
    <col min="8" max="8" width="32.7109375" style="11" bestFit="1" customWidth="1"/>
    <col min="9" max="9" width="61.7109375" style="11" bestFit="1" customWidth="1"/>
    <col min="10" max="10" width="10.42578125" style="11" bestFit="1" customWidth="1"/>
    <col min="11" max="11" width="14" style="11" bestFit="1" customWidth="1"/>
    <col min="12" max="12" width="64.42578125" style="11" bestFit="1" customWidth="1"/>
    <col min="13" max="13" width="27" style="11" bestFit="1" customWidth="1"/>
    <col min="14" max="14" width="22.42578125" style="11" bestFit="1" customWidth="1"/>
    <col min="15" max="16" width="20.140625" style="11" bestFit="1" customWidth="1"/>
    <col min="17" max="17" width="12.28515625" style="11" bestFit="1" customWidth="1"/>
    <col min="18" max="18" width="13.42578125" style="11" bestFit="1" customWidth="1"/>
    <col min="19" max="19" width="11.140625" style="11" bestFit="1" customWidth="1"/>
    <col min="20" max="20" width="78.140625" style="11" bestFit="1" customWidth="1"/>
    <col min="21" max="21" width="77.42578125" style="11" bestFit="1" customWidth="1"/>
    <col min="22" max="22" width="255.7109375" style="11" bestFit="1" customWidth="1"/>
    <col min="23" max="23" width="161.28515625" style="11" bestFit="1" customWidth="1"/>
    <col min="24" max="24" width="255.7109375" style="11" bestFit="1" customWidth="1"/>
    <col min="25" max="25" width="43.285156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hidden="1" customWidth="1"/>
    <col min="34" max="16384" width="9.140625" style="11"/>
  </cols>
  <sheetData>
    <row r="1" spans="1:33" ht="15" customHeight="1" x14ac:dyDescent="0.2">
      <c r="A1" s="322" t="s">
        <v>1192</v>
      </c>
      <c r="B1" s="322" t="s">
        <v>1211</v>
      </c>
      <c r="C1" s="322" t="s">
        <v>1193</v>
      </c>
      <c r="D1" s="322" t="s">
        <v>419</v>
      </c>
      <c r="E1" s="323" t="s">
        <v>1217</v>
      </c>
      <c r="F1" s="323" t="s">
        <v>1218</v>
      </c>
      <c r="G1" s="323" t="s">
        <v>3105</v>
      </c>
      <c r="H1" s="322" t="s">
        <v>1</v>
      </c>
      <c r="I1" s="322" t="s">
        <v>1739</v>
      </c>
      <c r="J1" s="322" t="s">
        <v>299</v>
      </c>
      <c r="K1" s="324" t="s">
        <v>1209</v>
      </c>
      <c r="L1" s="322" t="s">
        <v>2</v>
      </c>
      <c r="M1" s="325" t="s">
        <v>1191</v>
      </c>
      <c r="N1" s="322" t="s">
        <v>1198</v>
      </c>
      <c r="O1" s="322" t="s">
        <v>1196</v>
      </c>
      <c r="P1" s="322" t="s">
        <v>1197</v>
      </c>
      <c r="Q1" s="326" t="s">
        <v>1194</v>
      </c>
      <c r="R1" s="322" t="s">
        <v>1195</v>
      </c>
      <c r="S1" s="322" t="s">
        <v>2705</v>
      </c>
      <c r="T1" s="327" t="s">
        <v>349</v>
      </c>
      <c r="U1" s="327" t="s">
        <v>358</v>
      </c>
      <c r="V1" s="327" t="s">
        <v>434</v>
      </c>
      <c r="W1" s="327" t="s">
        <v>3252</v>
      </c>
      <c r="X1" s="327" t="s">
        <v>360</v>
      </c>
      <c r="Y1" s="322" t="s">
        <v>2703</v>
      </c>
      <c r="Z1" s="328" t="s">
        <v>3045</v>
      </c>
      <c r="AA1" s="329" t="s">
        <v>3107</v>
      </c>
      <c r="AB1" s="330" t="s">
        <v>3167</v>
      </c>
      <c r="AC1" s="330" t="s">
        <v>3117</v>
      </c>
      <c r="AD1" s="330" t="s">
        <v>3118</v>
      </c>
      <c r="AE1" s="331" t="s">
        <v>3168</v>
      </c>
      <c r="AF1" s="331" t="s">
        <v>3125</v>
      </c>
      <c r="AG1" s="332" t="s">
        <v>3155</v>
      </c>
    </row>
    <row r="2" spans="1:33" ht="15" customHeight="1" x14ac:dyDescent="0.2">
      <c r="B2" s="11" t="s">
        <v>1211</v>
      </c>
      <c r="C2" s="13">
        <v>10110</v>
      </c>
      <c r="D2" s="13" t="s">
        <v>420</v>
      </c>
      <c r="E2" s="20" t="s">
        <v>298</v>
      </c>
      <c r="F2" s="20">
        <v>147</v>
      </c>
      <c r="G2" s="20">
        <v>338</v>
      </c>
      <c r="H2" s="13" t="s">
        <v>204</v>
      </c>
      <c r="I2" s="13" t="str">
        <f t="shared" ref="I2:I33" si="0">IF(M2="@",H2&amp;" ("&amp;M2&amp;"  "&amp;N2&amp;")",H2&amp;" ("&amp;M2&amp;" to "&amp;N2&amp;")")</f>
        <v>Barrier Island North (Hillsboro Inlet to North County Line)</v>
      </c>
      <c r="J2" s="13" t="s">
        <v>366</v>
      </c>
      <c r="K2" s="13" t="str">
        <f>VLOOKUP(J2,'Data-ProjectTypes'!A$3:B$13,2,FALSE)</f>
        <v>Program</v>
      </c>
      <c r="L2" s="21" t="s">
        <v>348</v>
      </c>
      <c r="M2" s="13" t="s">
        <v>99</v>
      </c>
      <c r="N2" s="13" t="s">
        <v>44</v>
      </c>
      <c r="O2" s="13" t="s">
        <v>270</v>
      </c>
      <c r="P2" s="13" t="s">
        <v>270</v>
      </c>
      <c r="Q2" s="22">
        <v>4.0999999999999996</v>
      </c>
      <c r="R2" s="23">
        <v>4095000</v>
      </c>
      <c r="S2" s="21"/>
      <c r="T2" s="21"/>
      <c r="U2" s="21"/>
      <c r="V2" s="24"/>
      <c r="W2" s="24"/>
      <c r="X2" s="32"/>
      <c r="Y2" s="17"/>
      <c r="Z2" s="18">
        <f>ROUND(R2*'Data-CostAssumptions'!$C$3,-3)</f>
        <v>5667000</v>
      </c>
      <c r="AA2" s="11">
        <f>IF(V2="",IF(W2="",0,1),1)</f>
        <v>0</v>
      </c>
      <c r="AB2" s="11">
        <v>2041</v>
      </c>
      <c r="AC2" s="11">
        <v>2041</v>
      </c>
      <c r="AD2" s="11">
        <v>2041</v>
      </c>
      <c r="AE2" s="19">
        <f>ROUND((Z2*'Data-CostAssumptions'!$G$5)*(1+'Data-CostAssumptions'!$G$3)^(AB2-'Data-CostAssumptions'!$G$4),-3)</f>
        <v>3197000</v>
      </c>
      <c r="AF2" s="19">
        <f>ROUND((Z2)*(1+'Data-CostAssumptions'!$G$3)^(AD2-'Data-CostAssumptions'!$G$4),-3)</f>
        <v>14530000</v>
      </c>
      <c r="AG2" s="170" t="str">
        <f>IF(MIN(AC2:AD2)&lt;2041,"Yes","No")</f>
        <v>No</v>
      </c>
    </row>
    <row r="3" spans="1:33" ht="15" customHeight="1" x14ac:dyDescent="0.2">
      <c r="B3" s="11" t="s">
        <v>1211</v>
      </c>
      <c r="C3" s="13">
        <v>10111</v>
      </c>
      <c r="D3" s="13" t="s">
        <v>420</v>
      </c>
      <c r="E3" s="20" t="s">
        <v>298</v>
      </c>
      <c r="F3" s="20">
        <v>147</v>
      </c>
      <c r="G3" s="20">
        <v>339</v>
      </c>
      <c r="H3" s="13" t="s">
        <v>187</v>
      </c>
      <c r="I3" s="13" t="str">
        <f t="shared" si="0"/>
        <v>Barrier Island South (South County Line to Dania County Bl)</v>
      </c>
      <c r="J3" s="13" t="s">
        <v>366</v>
      </c>
      <c r="K3" s="13" t="str">
        <f>VLOOKUP(J3,'Data-ProjectTypes'!A$3:B$13,2,FALSE)</f>
        <v>Program</v>
      </c>
      <c r="L3" s="21" t="s">
        <v>348</v>
      </c>
      <c r="M3" s="13" t="s">
        <v>155</v>
      </c>
      <c r="N3" s="13" t="s">
        <v>2292</v>
      </c>
      <c r="O3" s="13" t="s">
        <v>270</v>
      </c>
      <c r="P3" s="13" t="s">
        <v>270</v>
      </c>
      <c r="Q3" s="22">
        <v>5.4</v>
      </c>
      <c r="R3" s="23">
        <v>5399500</v>
      </c>
      <c r="S3" s="21" t="s">
        <v>24</v>
      </c>
      <c r="T3" s="21" t="s">
        <v>24</v>
      </c>
      <c r="U3" s="21" t="s">
        <v>24</v>
      </c>
      <c r="V3" s="24" t="s">
        <v>699</v>
      </c>
      <c r="W3" s="24"/>
      <c r="X3" s="29" t="s">
        <v>773</v>
      </c>
      <c r="Y3" s="17" t="s">
        <v>772</v>
      </c>
      <c r="Z3" s="18">
        <f>ROUND(R3*'Data-CostAssumptions'!$C$3,-3)</f>
        <v>7473000</v>
      </c>
      <c r="AA3" s="11">
        <f t="shared" ref="AA3:AA66" si="1">IF(V3="",IF(W3="",0,1),1)</f>
        <v>1</v>
      </c>
      <c r="AB3" s="11">
        <v>2041</v>
      </c>
      <c r="AC3" s="11">
        <v>2041</v>
      </c>
      <c r="AD3" s="11">
        <v>2041</v>
      </c>
      <c r="AE3" s="19">
        <f>ROUND((Z3*'Data-CostAssumptions'!$G$5)*(1+'Data-CostAssumptions'!$G$3)^(AB3-'Data-CostAssumptions'!$G$4),-3)</f>
        <v>4215000</v>
      </c>
      <c r="AF3" s="19">
        <f>ROUND((Z3)*(1+'Data-CostAssumptions'!$G$3)^(AD3-'Data-CostAssumptions'!$G$4),-3)</f>
        <v>19160000</v>
      </c>
      <c r="AG3" s="170" t="str">
        <f t="shared" ref="AG3:AG66" si="2">IF(MIN(AC3:AD3)&lt;2041,"Yes","No")</f>
        <v>No</v>
      </c>
    </row>
    <row r="4" spans="1:33" ht="15" customHeight="1" x14ac:dyDescent="0.2">
      <c r="B4" s="11" t="s">
        <v>1211</v>
      </c>
      <c r="C4" s="13">
        <v>10112</v>
      </c>
      <c r="D4" s="13" t="s">
        <v>420</v>
      </c>
      <c r="E4" s="20" t="s">
        <v>298</v>
      </c>
      <c r="F4" s="20">
        <v>147</v>
      </c>
      <c r="G4" s="20">
        <v>340</v>
      </c>
      <c r="H4" s="13" t="s">
        <v>187</v>
      </c>
      <c r="I4" s="13" t="str">
        <f t="shared" si="0"/>
        <v>Barrier Island South (SR A1A to US 1)</v>
      </c>
      <c r="J4" s="13" t="s">
        <v>366</v>
      </c>
      <c r="K4" s="13" t="str">
        <f>VLOOKUP(J4,'Data-ProjectTypes'!A$3:B$13,2,FALSE)</f>
        <v>Program</v>
      </c>
      <c r="L4" s="21" t="s">
        <v>348</v>
      </c>
      <c r="M4" s="13" t="s">
        <v>110</v>
      </c>
      <c r="N4" s="13" t="s">
        <v>98</v>
      </c>
      <c r="O4" s="13" t="s">
        <v>270</v>
      </c>
      <c r="P4" s="13" t="s">
        <v>270</v>
      </c>
      <c r="Q4" s="22">
        <v>1.8</v>
      </c>
      <c r="R4" s="23">
        <v>1827900</v>
      </c>
      <c r="S4" s="21"/>
      <c r="T4" s="21"/>
      <c r="U4" s="21"/>
      <c r="V4" s="24"/>
      <c r="W4" s="24"/>
      <c r="X4" s="24" t="s">
        <v>774</v>
      </c>
      <c r="Y4" s="17" t="s">
        <v>765</v>
      </c>
      <c r="Z4" s="18">
        <f>ROUND(R4*'Data-CostAssumptions'!$C$3,-3)</f>
        <v>2530000</v>
      </c>
      <c r="AA4" s="11">
        <f t="shared" si="1"/>
        <v>0</v>
      </c>
      <c r="AB4" s="11">
        <v>2041</v>
      </c>
      <c r="AC4" s="11">
        <v>2041</v>
      </c>
      <c r="AD4" s="11">
        <v>2041</v>
      </c>
      <c r="AE4" s="19">
        <f>ROUND((Z4*'Data-CostAssumptions'!$G$5)*(1+'Data-CostAssumptions'!$G$3)^(AB4-'Data-CostAssumptions'!$G$4),-3)</f>
        <v>1427000</v>
      </c>
      <c r="AF4" s="19">
        <f>ROUND((Z4)*(1+'Data-CostAssumptions'!$G$3)^(AD4-'Data-CostAssumptions'!$G$4),-3)</f>
        <v>6487000</v>
      </c>
      <c r="AG4" s="170" t="str">
        <f t="shared" si="2"/>
        <v>No</v>
      </c>
    </row>
    <row r="5" spans="1:33" ht="15" customHeight="1" x14ac:dyDescent="0.2">
      <c r="B5" s="11" t="s">
        <v>1211</v>
      </c>
      <c r="C5" s="13">
        <v>10113</v>
      </c>
      <c r="D5" s="13" t="s">
        <v>420</v>
      </c>
      <c r="E5" s="20" t="s">
        <v>298</v>
      </c>
      <c r="F5" s="20">
        <v>147</v>
      </c>
      <c r="G5" s="20">
        <v>341</v>
      </c>
      <c r="H5" s="13" t="s">
        <v>267</v>
      </c>
      <c r="I5" s="13" t="str">
        <f t="shared" si="0"/>
        <v>Brian Picollo (Pine Island Rd to Flamingo Rd)</v>
      </c>
      <c r="J5" s="13" t="s">
        <v>366</v>
      </c>
      <c r="K5" s="13" t="str">
        <f>VLOOKUP(J5,'Data-ProjectTypes'!A$3:B$13,2,FALSE)</f>
        <v>Program</v>
      </c>
      <c r="L5" s="21" t="s">
        <v>348</v>
      </c>
      <c r="M5" s="13" t="s">
        <v>266</v>
      </c>
      <c r="N5" s="13" t="s">
        <v>159</v>
      </c>
      <c r="O5" s="13" t="s">
        <v>273</v>
      </c>
      <c r="P5" s="13" t="s">
        <v>273</v>
      </c>
      <c r="Q5" s="22">
        <v>3.3</v>
      </c>
      <c r="R5" s="23">
        <v>3248100</v>
      </c>
      <c r="S5" s="21"/>
      <c r="T5" s="21"/>
      <c r="U5" s="21"/>
      <c r="V5" s="24" t="s">
        <v>671</v>
      </c>
      <c r="W5" s="24"/>
      <c r="X5" s="24"/>
      <c r="Y5" s="17" t="s">
        <v>670</v>
      </c>
      <c r="Z5" s="18">
        <f>ROUND(R5*'Data-CostAssumptions'!$C$3,-3)</f>
        <v>4495000</v>
      </c>
      <c r="AA5" s="11">
        <f t="shared" si="1"/>
        <v>1</v>
      </c>
      <c r="AB5" s="11">
        <v>2041</v>
      </c>
      <c r="AC5" s="11">
        <v>2041</v>
      </c>
      <c r="AD5" s="11">
        <v>2041</v>
      </c>
      <c r="AE5" s="19">
        <f>ROUND((Z5*'Data-CostAssumptions'!$G$5)*(1+'Data-CostAssumptions'!$G$3)^(AB5-'Data-CostAssumptions'!$G$4),-3)</f>
        <v>2535000</v>
      </c>
      <c r="AF5" s="19">
        <f>ROUND((Z5)*(1+'Data-CostAssumptions'!$G$3)^(AD5-'Data-CostAssumptions'!$G$4),-3)</f>
        <v>11525000</v>
      </c>
      <c r="AG5" s="170" t="str">
        <f t="shared" si="2"/>
        <v>No</v>
      </c>
    </row>
    <row r="6" spans="1:33" ht="15" customHeight="1" x14ac:dyDescent="0.2">
      <c r="B6" s="11" t="s">
        <v>1211</v>
      </c>
      <c r="C6" s="13">
        <v>10141</v>
      </c>
      <c r="D6" s="13" t="s">
        <v>420</v>
      </c>
      <c r="E6" s="20" t="s">
        <v>298</v>
      </c>
      <c r="F6" s="20">
        <v>148</v>
      </c>
      <c r="G6" s="20">
        <v>342</v>
      </c>
      <c r="H6" s="13" t="s">
        <v>32</v>
      </c>
      <c r="I6" s="13" t="str">
        <f t="shared" si="0"/>
        <v>C-11 West (US 27 to I-75)</v>
      </c>
      <c r="J6" s="13" t="s">
        <v>366</v>
      </c>
      <c r="K6" s="13" t="str">
        <f>VLOOKUP(J6,'Data-ProjectTypes'!A$3:B$13,2,FALSE)</f>
        <v>Program</v>
      </c>
      <c r="L6" s="21" t="s">
        <v>348</v>
      </c>
      <c r="M6" s="13" t="s">
        <v>30</v>
      </c>
      <c r="N6" s="13" t="s">
        <v>31</v>
      </c>
      <c r="O6" s="13" t="s">
        <v>272</v>
      </c>
      <c r="P6" s="13" t="s">
        <v>272</v>
      </c>
      <c r="Q6" s="22">
        <v>5.0999999999999996</v>
      </c>
      <c r="R6" s="23">
        <v>5046500</v>
      </c>
      <c r="S6" s="21" t="s">
        <v>24</v>
      </c>
      <c r="T6" s="21" t="s">
        <v>25</v>
      </c>
      <c r="U6" s="21"/>
      <c r="V6" s="24" t="s">
        <v>672</v>
      </c>
      <c r="W6" s="24" t="s">
        <v>491</v>
      </c>
      <c r="X6" s="24"/>
      <c r="Y6" s="17" t="s">
        <v>673</v>
      </c>
      <c r="Z6" s="18">
        <f>ROUND(R6*'Data-CostAssumptions'!$C$3,-3)</f>
        <v>6984000</v>
      </c>
      <c r="AA6" s="11">
        <f t="shared" si="1"/>
        <v>1</v>
      </c>
      <c r="AB6" s="11">
        <v>2041</v>
      </c>
      <c r="AC6" s="11">
        <v>2041</v>
      </c>
      <c r="AD6" s="11">
        <v>2041</v>
      </c>
      <c r="AE6" s="19">
        <f>ROUND((Z6*'Data-CostAssumptions'!$G$5)*(1+'Data-CostAssumptions'!$G$3)^(AB6-'Data-CostAssumptions'!$G$4),-3)</f>
        <v>3939000</v>
      </c>
      <c r="AF6" s="19">
        <f>ROUND((Z6)*(1+'Data-CostAssumptions'!$G$3)^(AD6-'Data-CostAssumptions'!$G$4),-3)</f>
        <v>17907000</v>
      </c>
      <c r="AG6" s="170" t="str">
        <f t="shared" si="2"/>
        <v>No</v>
      </c>
    </row>
    <row r="7" spans="1:33" ht="15" customHeight="1" x14ac:dyDescent="0.2">
      <c r="B7" s="11" t="s">
        <v>1211</v>
      </c>
      <c r="C7" s="13">
        <v>10114</v>
      </c>
      <c r="D7" s="13" t="s">
        <v>420</v>
      </c>
      <c r="E7" s="20" t="s">
        <v>298</v>
      </c>
      <c r="F7" s="20">
        <v>147</v>
      </c>
      <c r="G7" s="20">
        <v>343</v>
      </c>
      <c r="H7" s="13" t="s">
        <v>118</v>
      </c>
      <c r="I7" s="13" t="str">
        <f t="shared" si="0"/>
        <v>C-12 East (Delevoe Park to SR 7)</v>
      </c>
      <c r="J7" s="13" t="s">
        <v>366</v>
      </c>
      <c r="K7" s="13" t="str">
        <f>VLOOKUP(J7,'Data-ProjectTypes'!A$3:B$13,2,FALSE)</f>
        <v>Program</v>
      </c>
      <c r="L7" s="21" t="s">
        <v>348</v>
      </c>
      <c r="M7" s="13" t="s">
        <v>117</v>
      </c>
      <c r="N7" s="13" t="s">
        <v>53</v>
      </c>
      <c r="O7" s="13" t="s">
        <v>270</v>
      </c>
      <c r="P7" s="13" t="s">
        <v>270</v>
      </c>
      <c r="Q7" s="22">
        <v>2</v>
      </c>
      <c r="R7" s="23">
        <v>1989000</v>
      </c>
      <c r="S7" s="21"/>
      <c r="T7" s="21"/>
      <c r="U7" s="21"/>
      <c r="V7" s="24"/>
      <c r="W7" s="24"/>
      <c r="X7" s="24"/>
      <c r="Y7" s="17"/>
      <c r="Z7" s="18">
        <f>ROUND(R7*'Data-CostAssumptions'!$C$3,-3)</f>
        <v>2753000</v>
      </c>
      <c r="AA7" s="11">
        <f t="shared" si="1"/>
        <v>0</v>
      </c>
      <c r="AB7" s="11">
        <v>2041</v>
      </c>
      <c r="AC7" s="11">
        <v>2041</v>
      </c>
      <c r="AD7" s="11">
        <v>2041</v>
      </c>
      <c r="AE7" s="19">
        <f>ROUND((Z7*'Data-CostAssumptions'!$G$5)*(1+'Data-CostAssumptions'!$G$3)^(AB7-'Data-CostAssumptions'!$G$4),-3)</f>
        <v>1553000</v>
      </c>
      <c r="AF7" s="19">
        <f>ROUND((Z7)*(1+'Data-CostAssumptions'!$G$3)^(AD7-'Data-CostAssumptions'!$G$4),-3)</f>
        <v>7059000</v>
      </c>
      <c r="AG7" s="170" t="str">
        <f t="shared" si="2"/>
        <v>No</v>
      </c>
    </row>
    <row r="8" spans="1:33" ht="15" customHeight="1" x14ac:dyDescent="0.2">
      <c r="B8" s="11" t="s">
        <v>1211</v>
      </c>
      <c r="C8" s="13">
        <v>10115</v>
      </c>
      <c r="D8" s="13" t="s">
        <v>420</v>
      </c>
      <c r="E8" s="20" t="s">
        <v>298</v>
      </c>
      <c r="F8" s="20">
        <v>147</v>
      </c>
      <c r="G8" s="20">
        <v>344</v>
      </c>
      <c r="H8" s="13" t="s">
        <v>116</v>
      </c>
      <c r="I8" s="13" t="str">
        <f t="shared" si="0"/>
        <v>C-12 West (SR 7 to C-42 Canal)</v>
      </c>
      <c r="J8" s="13" t="s">
        <v>366</v>
      </c>
      <c r="K8" s="13" t="str">
        <f>VLOOKUP(J8,'Data-ProjectTypes'!A$3:B$13,2,FALSE)</f>
        <v>Program</v>
      </c>
      <c r="L8" s="21" t="s">
        <v>348</v>
      </c>
      <c r="M8" s="13" t="s">
        <v>53</v>
      </c>
      <c r="N8" s="13" t="s">
        <v>82</v>
      </c>
      <c r="O8" s="13" t="s">
        <v>284</v>
      </c>
      <c r="P8" s="13" t="s">
        <v>284</v>
      </c>
      <c r="Q8" s="22">
        <v>5</v>
      </c>
      <c r="R8" s="23">
        <v>5006300</v>
      </c>
      <c r="S8" s="21"/>
      <c r="T8" s="21"/>
      <c r="U8" s="21"/>
      <c r="V8" s="24"/>
      <c r="W8" s="24"/>
      <c r="X8" s="24"/>
      <c r="Y8" s="17"/>
      <c r="Z8" s="18">
        <f>ROUND(R8*'Data-CostAssumptions'!$C$3,-3)</f>
        <v>6929000</v>
      </c>
      <c r="AA8" s="11">
        <f t="shared" si="1"/>
        <v>0</v>
      </c>
      <c r="AB8" s="11">
        <v>2041</v>
      </c>
      <c r="AC8" s="11">
        <v>2041</v>
      </c>
      <c r="AD8" s="11">
        <v>2041</v>
      </c>
      <c r="AE8" s="19">
        <f>ROUND((Z8*'Data-CostAssumptions'!$G$5)*(1+'Data-CostAssumptions'!$G$3)^(AB8-'Data-CostAssumptions'!$G$4),-3)</f>
        <v>3908000</v>
      </c>
      <c r="AF8" s="19">
        <f>ROUND((Z8)*(1+'Data-CostAssumptions'!$G$3)^(AD8-'Data-CostAssumptions'!$G$4),-3)</f>
        <v>17766000</v>
      </c>
      <c r="AG8" s="170" t="str">
        <f t="shared" si="2"/>
        <v>No</v>
      </c>
    </row>
    <row r="9" spans="1:33" ht="15" customHeight="1" x14ac:dyDescent="0.2">
      <c r="B9" s="11" t="s">
        <v>1211</v>
      </c>
      <c r="C9" s="13">
        <v>10116</v>
      </c>
      <c r="D9" s="13" t="s">
        <v>420</v>
      </c>
      <c r="E9" s="20" t="s">
        <v>298</v>
      </c>
      <c r="F9" s="20">
        <v>147</v>
      </c>
      <c r="G9" s="20">
        <v>345</v>
      </c>
      <c r="H9" s="13" t="s">
        <v>141</v>
      </c>
      <c r="I9" s="13" t="str">
        <f t="shared" si="0"/>
        <v>C-13 East (NW 21st Av to NW 31st Av)</v>
      </c>
      <c r="J9" s="13" t="s">
        <v>366</v>
      </c>
      <c r="K9" s="13" t="str">
        <f>VLOOKUP(J9,'Data-ProjectTypes'!A$3:B$13,2,FALSE)</f>
        <v>Program</v>
      </c>
      <c r="L9" s="21" t="s">
        <v>348</v>
      </c>
      <c r="M9" s="13" t="s">
        <v>2057</v>
      </c>
      <c r="N9" s="13" t="s">
        <v>2062</v>
      </c>
      <c r="O9" s="13" t="s">
        <v>273</v>
      </c>
      <c r="P9" s="13" t="s">
        <v>273</v>
      </c>
      <c r="Q9" s="22">
        <v>1</v>
      </c>
      <c r="R9" s="23">
        <v>983500</v>
      </c>
      <c r="S9" s="21"/>
      <c r="T9" s="21"/>
      <c r="U9" s="21"/>
      <c r="V9" s="24"/>
      <c r="W9" s="24"/>
      <c r="X9" s="24"/>
      <c r="Y9" s="17"/>
      <c r="Z9" s="18">
        <f>ROUND(R9*'Data-CostAssumptions'!$C$3,-3)</f>
        <v>1361000</v>
      </c>
      <c r="AA9" s="11">
        <f t="shared" si="1"/>
        <v>0</v>
      </c>
      <c r="AB9" s="11">
        <v>2041</v>
      </c>
      <c r="AC9" s="11">
        <v>2041</v>
      </c>
      <c r="AD9" s="11">
        <v>2041</v>
      </c>
      <c r="AE9" s="19">
        <f>ROUND((Z9*'Data-CostAssumptions'!$G$5)*(1+'Data-CostAssumptions'!$G$3)^(AB9-'Data-CostAssumptions'!$G$4),-3)</f>
        <v>768000</v>
      </c>
      <c r="AF9" s="19">
        <f>ROUND((Z9)*(1+'Data-CostAssumptions'!$G$3)^(AD9-'Data-CostAssumptions'!$G$4),-3)</f>
        <v>3490000</v>
      </c>
      <c r="AG9" s="170" t="str">
        <f t="shared" si="2"/>
        <v>No</v>
      </c>
    </row>
    <row r="10" spans="1:33" ht="15" customHeight="1" x14ac:dyDescent="0.2">
      <c r="B10" s="11" t="s">
        <v>1211</v>
      </c>
      <c r="C10" s="13">
        <v>10117</v>
      </c>
      <c r="D10" s="13" t="s">
        <v>420</v>
      </c>
      <c r="E10" s="20" t="s">
        <v>298</v>
      </c>
      <c r="F10" s="20">
        <v>147</v>
      </c>
      <c r="G10" s="20">
        <v>346</v>
      </c>
      <c r="H10" s="13" t="s">
        <v>83</v>
      </c>
      <c r="I10" s="13" t="str">
        <f t="shared" si="0"/>
        <v>C-13 West (Florida's Turnpike to C-42 Canal)</v>
      </c>
      <c r="J10" s="13" t="s">
        <v>366</v>
      </c>
      <c r="K10" s="13" t="str">
        <f>VLOOKUP(J10,'Data-ProjectTypes'!A$3:B$13,2,FALSE)</f>
        <v>Program</v>
      </c>
      <c r="L10" s="21" t="s">
        <v>348</v>
      </c>
      <c r="M10" s="13" t="s">
        <v>42</v>
      </c>
      <c r="N10" s="13" t="s">
        <v>82</v>
      </c>
      <c r="O10" s="13" t="s">
        <v>272</v>
      </c>
      <c r="P10" s="13" t="s">
        <v>272</v>
      </c>
      <c r="Q10" s="22">
        <v>4.9000000000000004</v>
      </c>
      <c r="R10" s="23">
        <v>4903200</v>
      </c>
      <c r="S10" s="21"/>
      <c r="T10" s="21"/>
      <c r="U10" s="21"/>
      <c r="V10" s="24"/>
      <c r="W10" s="24"/>
      <c r="X10" s="24"/>
      <c r="Y10" s="17"/>
      <c r="Z10" s="18">
        <f>ROUND(R10*'Data-CostAssumptions'!$C$3,-3)</f>
        <v>6786000</v>
      </c>
      <c r="AA10" s="11">
        <f t="shared" si="1"/>
        <v>0</v>
      </c>
      <c r="AB10" s="11">
        <v>2041</v>
      </c>
      <c r="AC10" s="11">
        <v>2041</v>
      </c>
      <c r="AD10" s="11">
        <v>2041</v>
      </c>
      <c r="AE10" s="19">
        <f>ROUND((Z10*'Data-CostAssumptions'!$G$5)*(1+'Data-CostAssumptions'!$G$3)^(AB10-'Data-CostAssumptions'!$G$4),-3)</f>
        <v>3828000</v>
      </c>
      <c r="AF10" s="19">
        <f>ROUND((Z10)*(1+'Data-CostAssumptions'!$G$3)^(AD10-'Data-CostAssumptions'!$G$4),-3)</f>
        <v>17399000</v>
      </c>
      <c r="AG10" s="170" t="str">
        <f t="shared" si="2"/>
        <v>No</v>
      </c>
    </row>
    <row r="11" spans="1:33" ht="15" customHeight="1" x14ac:dyDescent="0.2">
      <c r="B11" s="11" t="s">
        <v>1211</v>
      </c>
      <c r="C11" s="13">
        <v>10118</v>
      </c>
      <c r="D11" s="13" t="s">
        <v>420</v>
      </c>
      <c r="E11" s="20" t="s">
        <v>298</v>
      </c>
      <c r="F11" s="20">
        <v>147</v>
      </c>
      <c r="G11" s="20">
        <v>347</v>
      </c>
      <c r="H11" s="13" t="s">
        <v>158</v>
      </c>
      <c r="I11" s="13" t="str">
        <f t="shared" si="0"/>
        <v>C-9 (Flamingo Rd to Conservation Levee)</v>
      </c>
      <c r="J11" s="13" t="s">
        <v>366</v>
      </c>
      <c r="K11" s="13" t="str">
        <f>VLOOKUP(J11,'Data-ProjectTypes'!A$3:B$13,2,FALSE)</f>
        <v>Program</v>
      </c>
      <c r="L11" s="21" t="s">
        <v>348</v>
      </c>
      <c r="M11" s="13" t="s">
        <v>159</v>
      </c>
      <c r="N11" s="13" t="s">
        <v>137</v>
      </c>
      <c r="O11" s="13" t="s">
        <v>274</v>
      </c>
      <c r="P11" s="13" t="s">
        <v>274</v>
      </c>
      <c r="Q11" s="22">
        <v>8.6</v>
      </c>
      <c r="R11" s="23">
        <v>8610000</v>
      </c>
      <c r="S11" s="21"/>
      <c r="T11" s="21"/>
      <c r="U11" s="21"/>
      <c r="V11" s="24"/>
      <c r="W11" s="24"/>
      <c r="X11" s="24"/>
      <c r="Y11" s="17"/>
      <c r="Z11" s="18">
        <f>ROUND(R11*'Data-CostAssumptions'!$C$3,-3)</f>
        <v>11916000</v>
      </c>
      <c r="AA11" s="11">
        <f t="shared" si="1"/>
        <v>0</v>
      </c>
      <c r="AB11" s="11">
        <v>2041</v>
      </c>
      <c r="AC11" s="11">
        <v>2041</v>
      </c>
      <c r="AD11" s="11">
        <v>2041</v>
      </c>
      <c r="AE11" s="19">
        <f>ROUND((Z11*'Data-CostAssumptions'!$G$5)*(1+'Data-CostAssumptions'!$G$3)^(AB11-'Data-CostAssumptions'!$G$4),-3)</f>
        <v>6721000</v>
      </c>
      <c r="AF11" s="19">
        <f>ROUND((Z11)*(1+'Data-CostAssumptions'!$G$3)^(AD11-'Data-CostAssumptions'!$G$4),-3)</f>
        <v>30552000</v>
      </c>
      <c r="AG11" s="170" t="str">
        <f t="shared" si="2"/>
        <v>No</v>
      </c>
    </row>
    <row r="12" spans="1:33" ht="15" customHeight="1" x14ac:dyDescent="0.2">
      <c r="B12" s="11" t="s">
        <v>1211</v>
      </c>
      <c r="C12" s="13">
        <v>10119</v>
      </c>
      <c r="D12" s="13" t="s">
        <v>420</v>
      </c>
      <c r="E12" s="20" t="s">
        <v>298</v>
      </c>
      <c r="F12" s="20">
        <v>147</v>
      </c>
      <c r="G12" s="20">
        <v>348</v>
      </c>
      <c r="H12" s="13" t="s">
        <v>158</v>
      </c>
      <c r="I12" s="13" t="str">
        <f t="shared" si="0"/>
        <v>C-9 (Red Rd to Flamingo Rd.)</v>
      </c>
      <c r="J12" s="13" t="s">
        <v>366</v>
      </c>
      <c r="K12" s="13" t="str">
        <f>VLOOKUP(J12,'Data-ProjectTypes'!A$3:B$13,2,FALSE)</f>
        <v>Program</v>
      </c>
      <c r="L12" s="21" t="s">
        <v>348</v>
      </c>
      <c r="M12" s="13" t="s">
        <v>156</v>
      </c>
      <c r="N12" s="13" t="s">
        <v>157</v>
      </c>
      <c r="O12" s="13" t="s">
        <v>270</v>
      </c>
      <c r="P12" s="13" t="s">
        <v>270</v>
      </c>
      <c r="Q12" s="22">
        <v>1</v>
      </c>
      <c r="R12" s="23">
        <v>985700</v>
      </c>
      <c r="S12" s="21"/>
      <c r="T12" s="21"/>
      <c r="U12" s="21"/>
      <c r="V12" s="24"/>
      <c r="W12" s="24"/>
      <c r="X12" s="24"/>
      <c r="Y12" s="17"/>
      <c r="Z12" s="18">
        <f>ROUND(R12*'Data-CostAssumptions'!$C$3,-3)</f>
        <v>1364000</v>
      </c>
      <c r="AA12" s="11">
        <f t="shared" si="1"/>
        <v>0</v>
      </c>
      <c r="AB12" s="11">
        <v>2041</v>
      </c>
      <c r="AC12" s="11">
        <v>2041</v>
      </c>
      <c r="AD12" s="11">
        <v>2041</v>
      </c>
      <c r="AE12" s="19">
        <f>ROUND((Z12*'Data-CostAssumptions'!$G$5)*(1+'Data-CostAssumptions'!$G$3)^(AB12-'Data-CostAssumptions'!$G$4),-3)</f>
        <v>769000</v>
      </c>
      <c r="AF12" s="19">
        <f>ROUND((Z12)*(1+'Data-CostAssumptions'!$G$3)^(AD12-'Data-CostAssumptions'!$G$4),-3)</f>
        <v>3497000</v>
      </c>
      <c r="AG12" s="170" t="str">
        <f t="shared" si="2"/>
        <v>No</v>
      </c>
    </row>
    <row r="13" spans="1:33" ht="15" customHeight="1" x14ac:dyDescent="0.2">
      <c r="B13" s="11" t="s">
        <v>1211</v>
      </c>
      <c r="C13" s="13">
        <v>10142</v>
      </c>
      <c r="D13" s="13" t="s">
        <v>420</v>
      </c>
      <c r="E13" s="20" t="s">
        <v>298</v>
      </c>
      <c r="F13" s="20">
        <v>148</v>
      </c>
      <c r="G13" s="20">
        <v>349</v>
      </c>
      <c r="H13" s="13" t="s">
        <v>134</v>
      </c>
      <c r="I13" s="13" t="str">
        <f t="shared" si="0"/>
        <v>CSX Trail (Hallandale Beach Bl to Griffin Rd)</v>
      </c>
      <c r="J13" s="13" t="s">
        <v>366</v>
      </c>
      <c r="K13" s="13" t="str">
        <f>VLOOKUP(J13,'Data-ProjectTypes'!A$3:B$13,2,FALSE)</f>
        <v>Program</v>
      </c>
      <c r="L13" s="21" t="s">
        <v>348</v>
      </c>
      <c r="M13" s="13" t="s">
        <v>1818</v>
      </c>
      <c r="N13" s="13" t="s">
        <v>1750</v>
      </c>
      <c r="O13" s="13" t="s">
        <v>270</v>
      </c>
      <c r="P13" s="13" t="s">
        <v>270</v>
      </c>
      <c r="Q13" s="22">
        <v>6.1</v>
      </c>
      <c r="R13" s="23">
        <v>6082400</v>
      </c>
      <c r="S13" s="21"/>
      <c r="T13" s="21"/>
      <c r="U13" s="21"/>
      <c r="V13" s="24"/>
      <c r="W13" s="24"/>
      <c r="X13" s="24"/>
      <c r="Y13" s="17"/>
      <c r="Z13" s="18">
        <f>ROUND(R13*'Data-CostAssumptions'!$C$3,-3)</f>
        <v>8418000</v>
      </c>
      <c r="AA13" s="11">
        <f t="shared" si="1"/>
        <v>0</v>
      </c>
      <c r="AB13" s="11">
        <v>2041</v>
      </c>
      <c r="AC13" s="11">
        <v>2041</v>
      </c>
      <c r="AD13" s="11">
        <v>2041</v>
      </c>
      <c r="AE13" s="19">
        <f>ROUND((Z13*'Data-CostAssumptions'!$G$5)*(1+'Data-CostAssumptions'!$G$3)^(AB13-'Data-CostAssumptions'!$G$4),-3)</f>
        <v>4748000</v>
      </c>
      <c r="AF13" s="19">
        <f>ROUND((Z13)*(1+'Data-CostAssumptions'!$G$3)^(AD13-'Data-CostAssumptions'!$G$4),-3)</f>
        <v>21583000</v>
      </c>
      <c r="AG13" s="170" t="str">
        <f t="shared" si="2"/>
        <v>No</v>
      </c>
    </row>
    <row r="14" spans="1:33" ht="15" customHeight="1" x14ac:dyDescent="0.2">
      <c r="B14" s="11" t="s">
        <v>1211</v>
      </c>
      <c r="C14" s="13">
        <v>10168</v>
      </c>
      <c r="D14" s="13" t="s">
        <v>420</v>
      </c>
      <c r="E14" s="20" t="s">
        <v>298</v>
      </c>
      <c r="F14" s="20">
        <v>149</v>
      </c>
      <c r="G14" s="20">
        <v>350</v>
      </c>
      <c r="H14" s="13" t="s">
        <v>47</v>
      </c>
      <c r="I14" s="13" t="str">
        <f t="shared" si="0"/>
        <v>Cypress Creek Connector (North Dixie Hwy to NW 31st Av)</v>
      </c>
      <c r="J14" s="13" t="s">
        <v>366</v>
      </c>
      <c r="K14" s="13" t="str">
        <f>VLOOKUP(J14,'Data-ProjectTypes'!A$3:B$13,2,FALSE)</f>
        <v>Program</v>
      </c>
      <c r="L14" s="21" t="s">
        <v>348</v>
      </c>
      <c r="M14" s="13" t="s">
        <v>2596</v>
      </c>
      <c r="N14" s="13" t="s">
        <v>2062</v>
      </c>
      <c r="O14" s="13" t="s">
        <v>270</v>
      </c>
      <c r="P14" s="13" t="s">
        <v>270</v>
      </c>
      <c r="Q14" s="22">
        <v>2.7</v>
      </c>
      <c r="R14" s="23">
        <v>2727000</v>
      </c>
      <c r="S14" s="21"/>
      <c r="T14" s="21"/>
      <c r="U14" s="21"/>
      <c r="V14" s="24"/>
      <c r="W14" s="24"/>
      <c r="X14" s="24"/>
      <c r="Y14" s="17"/>
      <c r="Z14" s="18">
        <f>ROUND(R14*'Data-CostAssumptions'!$C$3,-3)</f>
        <v>3774000</v>
      </c>
      <c r="AA14" s="11">
        <f t="shared" si="1"/>
        <v>0</v>
      </c>
      <c r="AB14" s="11">
        <v>2041</v>
      </c>
      <c r="AC14" s="11">
        <v>2041</v>
      </c>
      <c r="AD14" s="11">
        <v>2041</v>
      </c>
      <c r="AE14" s="19">
        <f>ROUND((Z14*'Data-CostAssumptions'!$G$5)*(1+'Data-CostAssumptions'!$G$3)^(AB14-'Data-CostAssumptions'!$G$4),-3)</f>
        <v>2129000</v>
      </c>
      <c r="AF14" s="19">
        <f>ROUND((Z14)*(1+'Data-CostAssumptions'!$G$3)^(AD14-'Data-CostAssumptions'!$G$4),-3)</f>
        <v>9676000</v>
      </c>
      <c r="AG14" s="170" t="str">
        <f t="shared" si="2"/>
        <v>No</v>
      </c>
    </row>
    <row r="15" spans="1:33" ht="15" customHeight="1" x14ac:dyDescent="0.2">
      <c r="B15" s="11" t="s">
        <v>1211</v>
      </c>
      <c r="C15" s="13">
        <v>10169</v>
      </c>
      <c r="D15" s="13" t="s">
        <v>420</v>
      </c>
      <c r="E15" s="20" t="s">
        <v>298</v>
      </c>
      <c r="F15" s="20">
        <v>149</v>
      </c>
      <c r="G15" s="20">
        <v>351</v>
      </c>
      <c r="H15" s="13" t="s">
        <v>47</v>
      </c>
      <c r="I15" s="13" t="str">
        <f t="shared" si="0"/>
        <v>Cypress Creek Connector (NW 31st Av to Palm Aire Canal)</v>
      </c>
      <c r="J15" s="13" t="s">
        <v>366</v>
      </c>
      <c r="K15" s="13" t="str">
        <f>VLOOKUP(J15,'Data-ProjectTypes'!A$3:B$13,2,FALSE)</f>
        <v>Program</v>
      </c>
      <c r="L15" s="21" t="s">
        <v>348</v>
      </c>
      <c r="M15" s="13" t="s">
        <v>2062</v>
      </c>
      <c r="N15" s="13" t="s">
        <v>46</v>
      </c>
      <c r="O15" s="13" t="s">
        <v>270</v>
      </c>
      <c r="P15" s="13" t="s">
        <v>270</v>
      </c>
      <c r="Q15" s="22">
        <v>0.8</v>
      </c>
      <c r="R15" s="23">
        <v>808500</v>
      </c>
      <c r="S15" s="21"/>
      <c r="T15" s="21"/>
      <c r="U15" s="21"/>
      <c r="V15" s="24"/>
      <c r="W15" s="24"/>
      <c r="X15" s="24"/>
      <c r="Y15" s="17"/>
      <c r="Z15" s="18">
        <f>ROUND(R15*'Data-CostAssumptions'!$C$3,-3)</f>
        <v>1119000</v>
      </c>
      <c r="AA15" s="11">
        <f t="shared" si="1"/>
        <v>0</v>
      </c>
      <c r="AB15" s="11">
        <v>2041</v>
      </c>
      <c r="AC15" s="11">
        <v>2041</v>
      </c>
      <c r="AD15" s="11">
        <v>2041</v>
      </c>
      <c r="AE15" s="19">
        <f>ROUND((Z15*'Data-CostAssumptions'!$G$5)*(1+'Data-CostAssumptions'!$G$3)^(AB15-'Data-CostAssumptions'!$G$4),-3)</f>
        <v>631000</v>
      </c>
      <c r="AF15" s="19">
        <f>ROUND((Z15)*(1+'Data-CostAssumptions'!$G$3)^(AD15-'Data-CostAssumptions'!$G$4),-3)</f>
        <v>2869000</v>
      </c>
      <c r="AG15" s="170" t="str">
        <f t="shared" si="2"/>
        <v>No</v>
      </c>
    </row>
    <row r="16" spans="1:33" ht="15" customHeight="1" x14ac:dyDescent="0.2">
      <c r="B16" s="11" t="s">
        <v>1211</v>
      </c>
      <c r="C16" s="13">
        <v>10143</v>
      </c>
      <c r="D16" s="13" t="s">
        <v>420</v>
      </c>
      <c r="E16" s="20" t="s">
        <v>298</v>
      </c>
      <c r="F16" s="20">
        <v>148</v>
      </c>
      <c r="G16" s="20">
        <v>352</v>
      </c>
      <c r="H16" s="13" t="s">
        <v>103</v>
      </c>
      <c r="I16" s="13" t="str">
        <f t="shared" si="0"/>
        <v>Cypress Creek Connector Palm Aire (Existing Path to Atlantic Bl)</v>
      </c>
      <c r="J16" s="13" t="s">
        <v>366</v>
      </c>
      <c r="K16" s="13" t="str">
        <f>VLOOKUP(J16,'Data-ProjectTypes'!A$3:B$13,2,FALSE)</f>
        <v>Program</v>
      </c>
      <c r="L16" s="21" t="s">
        <v>348</v>
      </c>
      <c r="M16" s="13" t="s">
        <v>102</v>
      </c>
      <c r="N16" s="13" t="s">
        <v>1809</v>
      </c>
      <c r="O16" s="13" t="s">
        <v>270</v>
      </c>
      <c r="P16" s="13" t="s">
        <v>270</v>
      </c>
      <c r="Q16" s="22">
        <v>0.2</v>
      </c>
      <c r="R16" s="23">
        <v>241300</v>
      </c>
      <c r="S16" s="21"/>
      <c r="T16" s="21"/>
      <c r="U16" s="21"/>
      <c r="V16" s="24"/>
      <c r="W16" s="24"/>
      <c r="X16" s="24"/>
      <c r="Y16" s="17"/>
      <c r="Z16" s="18">
        <f>ROUND(R16*'Data-CostAssumptions'!$C$3,-3)</f>
        <v>334000</v>
      </c>
      <c r="AA16" s="11">
        <f t="shared" si="1"/>
        <v>0</v>
      </c>
      <c r="AB16" s="11">
        <v>2041</v>
      </c>
      <c r="AC16" s="11">
        <v>2041</v>
      </c>
      <c r="AD16" s="11">
        <v>2041</v>
      </c>
      <c r="AE16" s="19">
        <f>ROUND((Z16*'Data-CostAssumptions'!$G$5)*(1+'Data-CostAssumptions'!$G$3)^(AB16-'Data-CostAssumptions'!$G$4),-3)</f>
        <v>188000</v>
      </c>
      <c r="AF16" s="19">
        <f>ROUND((Z16)*(1+'Data-CostAssumptions'!$G$3)^(AD16-'Data-CostAssumptions'!$G$4),-3)</f>
        <v>856000</v>
      </c>
      <c r="AG16" s="170" t="str">
        <f t="shared" si="2"/>
        <v>No</v>
      </c>
    </row>
    <row r="17" spans="2:33" ht="15" customHeight="1" x14ac:dyDescent="0.2">
      <c r="B17" s="11" t="s">
        <v>1211</v>
      </c>
      <c r="C17" s="13">
        <v>10144</v>
      </c>
      <c r="D17" s="13" t="s">
        <v>420</v>
      </c>
      <c r="E17" s="20" t="s">
        <v>298</v>
      </c>
      <c r="F17" s="20">
        <v>148</v>
      </c>
      <c r="G17" s="20">
        <v>353</v>
      </c>
      <c r="H17" s="13" t="s">
        <v>51</v>
      </c>
      <c r="I17" s="13" t="str">
        <f t="shared" si="0"/>
        <v>Cypress Creek North Spur (Sample Rd to C-14 Canal)</v>
      </c>
      <c r="J17" s="13" t="s">
        <v>366</v>
      </c>
      <c r="K17" s="13" t="str">
        <f>VLOOKUP(J17,'Data-ProjectTypes'!A$3:B$13,2,FALSE)</f>
        <v>Program</v>
      </c>
      <c r="L17" s="21" t="s">
        <v>348</v>
      </c>
      <c r="M17" s="13" t="s">
        <v>1864</v>
      </c>
      <c r="N17" s="13" t="s">
        <v>50</v>
      </c>
      <c r="O17" s="13" t="s">
        <v>272</v>
      </c>
      <c r="P17" s="13" t="s">
        <v>272</v>
      </c>
      <c r="Q17" s="22">
        <v>2.9</v>
      </c>
      <c r="R17" s="23">
        <v>2886900</v>
      </c>
      <c r="S17" s="21"/>
      <c r="T17" s="21"/>
      <c r="U17" s="21"/>
      <c r="V17" s="24"/>
      <c r="W17" s="24"/>
      <c r="X17" s="24"/>
      <c r="Y17" s="17"/>
      <c r="Z17" s="18">
        <f>ROUND(R17*'Data-CostAssumptions'!$C$3,-3)</f>
        <v>3995000</v>
      </c>
      <c r="AA17" s="11">
        <f t="shared" si="1"/>
        <v>0</v>
      </c>
      <c r="AB17" s="11">
        <v>2041</v>
      </c>
      <c r="AC17" s="11">
        <v>2041</v>
      </c>
      <c r="AD17" s="11">
        <v>2041</v>
      </c>
      <c r="AE17" s="19">
        <f>ROUND((Z17*'Data-CostAssumptions'!$G$5)*(1+'Data-CostAssumptions'!$G$3)^(AB17-'Data-CostAssumptions'!$G$4),-3)</f>
        <v>2253000</v>
      </c>
      <c r="AF17" s="19">
        <f>ROUND((Z17)*(1+'Data-CostAssumptions'!$G$3)^(AD17-'Data-CostAssumptions'!$G$4),-3)</f>
        <v>10243000</v>
      </c>
      <c r="AG17" s="170" t="str">
        <f t="shared" si="2"/>
        <v>No</v>
      </c>
    </row>
    <row r="18" spans="2:33" ht="15" customHeight="1" x14ac:dyDescent="0.2">
      <c r="B18" s="11" t="s">
        <v>1211</v>
      </c>
      <c r="C18" s="13">
        <v>10145</v>
      </c>
      <c r="D18" s="13" t="s">
        <v>420</v>
      </c>
      <c r="E18" s="20" t="s">
        <v>298</v>
      </c>
      <c r="F18" s="20">
        <v>148</v>
      </c>
      <c r="G18" s="20">
        <v>354</v>
      </c>
      <c r="H18" s="13" t="s">
        <v>73</v>
      </c>
      <c r="I18" s="13" t="str">
        <f t="shared" si="0"/>
        <v>Cypress Creek South Spur (Southgate Bl to McNab Rd)</v>
      </c>
      <c r="J18" s="13" t="s">
        <v>366</v>
      </c>
      <c r="K18" s="13" t="str">
        <f>VLOOKUP(J18,'Data-ProjectTypes'!A$3:B$13,2,FALSE)</f>
        <v>Program</v>
      </c>
      <c r="L18" s="21" t="s">
        <v>348</v>
      </c>
      <c r="M18" s="13" t="s">
        <v>1829</v>
      </c>
      <c r="N18" s="13" t="s">
        <v>1854</v>
      </c>
      <c r="O18" s="13" t="s">
        <v>272</v>
      </c>
      <c r="P18" s="13" t="s">
        <v>272</v>
      </c>
      <c r="Q18" s="22">
        <v>1.4</v>
      </c>
      <c r="R18" s="23">
        <v>1403300</v>
      </c>
      <c r="S18" s="21" t="s">
        <v>24</v>
      </c>
      <c r="T18" s="21"/>
      <c r="U18" s="21"/>
      <c r="V18" s="24"/>
      <c r="W18" s="24"/>
      <c r="X18" s="24"/>
      <c r="Y18" s="17" t="s">
        <v>460</v>
      </c>
      <c r="Z18" s="18">
        <f>ROUND(R18*'Data-CostAssumptions'!$C$3,-3)</f>
        <v>1942000</v>
      </c>
      <c r="AA18" s="11">
        <f t="shared" si="1"/>
        <v>0</v>
      </c>
      <c r="AB18" s="11">
        <v>2041</v>
      </c>
      <c r="AC18" s="11">
        <v>2041</v>
      </c>
      <c r="AD18" s="11">
        <v>2041</v>
      </c>
      <c r="AE18" s="19">
        <f>ROUND((Z18*'Data-CostAssumptions'!$G$5)*(1+'Data-CostAssumptions'!$G$3)^(AB18-'Data-CostAssumptions'!$G$4),-3)</f>
        <v>1095000</v>
      </c>
      <c r="AF18" s="19">
        <f>ROUND((Z18)*(1+'Data-CostAssumptions'!$G$3)^(AD18-'Data-CostAssumptions'!$G$4),-3)</f>
        <v>4979000</v>
      </c>
      <c r="AG18" s="170" t="str">
        <f t="shared" si="2"/>
        <v>No</v>
      </c>
    </row>
    <row r="19" spans="2:33" ht="15" customHeight="1" x14ac:dyDescent="0.2">
      <c r="B19" s="11" t="s">
        <v>1211</v>
      </c>
      <c r="C19" s="13">
        <v>10120</v>
      </c>
      <c r="D19" s="13" t="s">
        <v>420</v>
      </c>
      <c r="E19" s="20" t="s">
        <v>298</v>
      </c>
      <c r="F19" s="20">
        <v>147</v>
      </c>
      <c r="G19" s="20">
        <v>355</v>
      </c>
      <c r="H19" s="13" t="s">
        <v>2688</v>
      </c>
      <c r="I19" s="13" t="str">
        <f t="shared" si="0"/>
        <v>Dixie Hwy - Central (Commercial Bl to Atlantic Bl)</v>
      </c>
      <c r="J19" s="13" t="s">
        <v>366</v>
      </c>
      <c r="K19" s="13" t="str">
        <f>VLOOKUP(J19,'Data-ProjectTypes'!A$3:B$13,2,FALSE)</f>
        <v>Program</v>
      </c>
      <c r="L19" s="21" t="s">
        <v>348</v>
      </c>
      <c r="M19" s="13" t="s">
        <v>1813</v>
      </c>
      <c r="N19" s="13" t="s">
        <v>1809</v>
      </c>
      <c r="O19" s="13" t="s">
        <v>270</v>
      </c>
      <c r="P19" s="13" t="s">
        <v>270</v>
      </c>
      <c r="Q19" s="22">
        <v>3</v>
      </c>
      <c r="R19" s="23">
        <v>3029400</v>
      </c>
      <c r="S19" s="21" t="s">
        <v>24</v>
      </c>
      <c r="T19" s="21"/>
      <c r="U19" s="21"/>
      <c r="V19" s="24"/>
      <c r="W19" s="24"/>
      <c r="X19" s="31" t="s">
        <v>737</v>
      </c>
      <c r="Y19" s="17" t="s">
        <v>735</v>
      </c>
      <c r="Z19" s="18">
        <f>ROUND(R19*'Data-CostAssumptions'!$C$3,-3)</f>
        <v>4193000</v>
      </c>
      <c r="AA19" s="11">
        <f t="shared" si="1"/>
        <v>0</v>
      </c>
      <c r="AB19" s="11">
        <v>2041</v>
      </c>
      <c r="AC19" s="11">
        <v>2041</v>
      </c>
      <c r="AD19" s="11">
        <v>2041</v>
      </c>
      <c r="AE19" s="19">
        <f>ROUND((Z19*'Data-CostAssumptions'!$G$5)*(1+'Data-CostAssumptions'!$G$3)^(AB19-'Data-CostAssumptions'!$G$4),-3)</f>
        <v>2365000</v>
      </c>
      <c r="AF19" s="19">
        <f>ROUND((Z19)*(1+'Data-CostAssumptions'!$G$3)^(AD19-'Data-CostAssumptions'!$G$4),-3)</f>
        <v>10751000</v>
      </c>
      <c r="AG19" s="170" t="str">
        <f t="shared" si="2"/>
        <v>No</v>
      </c>
    </row>
    <row r="20" spans="2:33" ht="15" customHeight="1" x14ac:dyDescent="0.2">
      <c r="B20" s="11" t="s">
        <v>1211</v>
      </c>
      <c r="C20" s="13">
        <v>10121</v>
      </c>
      <c r="D20" s="13" t="s">
        <v>420</v>
      </c>
      <c r="E20" s="20" t="s">
        <v>298</v>
      </c>
      <c r="F20" s="20">
        <v>147</v>
      </c>
      <c r="G20" s="20">
        <v>356</v>
      </c>
      <c r="H20" s="13" t="s">
        <v>2688</v>
      </c>
      <c r="I20" s="13" t="str">
        <f t="shared" si="0"/>
        <v>Dixie Hwy - Central (Sunrise Bl to Commercial Bl)</v>
      </c>
      <c r="J20" s="13" t="s">
        <v>366</v>
      </c>
      <c r="K20" s="13" t="str">
        <f>VLOOKUP(J20,'Data-ProjectTypes'!A$3:B$13,2,FALSE)</f>
        <v>Program</v>
      </c>
      <c r="L20" s="26" t="s">
        <v>842</v>
      </c>
      <c r="M20" s="13" t="s">
        <v>1830</v>
      </c>
      <c r="N20" s="13" t="s">
        <v>1813</v>
      </c>
      <c r="O20" s="13" t="s">
        <v>270</v>
      </c>
      <c r="P20" s="13" t="s">
        <v>270</v>
      </c>
      <c r="Q20" s="22">
        <v>3.9</v>
      </c>
      <c r="R20" s="23">
        <v>4352158.0839918926</v>
      </c>
      <c r="S20" s="21"/>
      <c r="T20" s="21"/>
      <c r="U20" s="21"/>
      <c r="V20" s="24"/>
      <c r="W20" s="24"/>
      <c r="X20" s="28"/>
      <c r="Y20" s="17"/>
      <c r="Z20" s="18">
        <f>ROUND(R20*'Data-CostAssumptions'!$C$3,-3)</f>
        <v>6023000</v>
      </c>
      <c r="AA20" s="11">
        <f t="shared" si="1"/>
        <v>0</v>
      </c>
      <c r="AB20" s="11">
        <v>2041</v>
      </c>
      <c r="AC20" s="11">
        <v>2041</v>
      </c>
      <c r="AD20" s="11">
        <v>2041</v>
      </c>
      <c r="AE20" s="19">
        <f>ROUND((Z20*'Data-CostAssumptions'!$G$5)*(1+'Data-CostAssumptions'!$G$3)^(AB20-'Data-CostAssumptions'!$G$4),-3)</f>
        <v>3397000</v>
      </c>
      <c r="AF20" s="19">
        <f>ROUND((Z20)*(1+'Data-CostAssumptions'!$G$3)^(AD20-'Data-CostAssumptions'!$G$4),-3)</f>
        <v>15443000</v>
      </c>
      <c r="AG20" s="170" t="str">
        <f t="shared" si="2"/>
        <v>No</v>
      </c>
    </row>
    <row r="21" spans="2:33" ht="15" customHeight="1" x14ac:dyDescent="0.2">
      <c r="B21" s="11" t="s">
        <v>1211</v>
      </c>
      <c r="C21" s="13">
        <v>10122</v>
      </c>
      <c r="D21" s="13" t="s">
        <v>420</v>
      </c>
      <c r="E21" s="20" t="s">
        <v>298</v>
      </c>
      <c r="F21" s="20">
        <v>147</v>
      </c>
      <c r="G21" s="20">
        <v>357</v>
      </c>
      <c r="H21" s="13" t="s">
        <v>2688</v>
      </c>
      <c r="I21" s="13" t="str">
        <f t="shared" si="0"/>
        <v>Dixie Hwy - Central (Eller Dr to Sunrise Bl)</v>
      </c>
      <c r="J21" s="13" t="s">
        <v>366</v>
      </c>
      <c r="K21" s="13" t="str">
        <f>VLOOKUP(J21,'Data-ProjectTypes'!A$3:B$13,2,FALSE)</f>
        <v>Program</v>
      </c>
      <c r="L21" s="21" t="s">
        <v>348</v>
      </c>
      <c r="M21" s="13" t="s">
        <v>1789</v>
      </c>
      <c r="N21" s="13" t="s">
        <v>1830</v>
      </c>
      <c r="O21" s="13" t="s">
        <v>273</v>
      </c>
      <c r="P21" s="13" t="s">
        <v>273</v>
      </c>
      <c r="Q21" s="22">
        <v>3.8</v>
      </c>
      <c r="R21" s="23">
        <v>3810300</v>
      </c>
      <c r="S21" s="21"/>
      <c r="T21" s="21"/>
      <c r="U21" s="21"/>
      <c r="V21" s="24"/>
      <c r="W21" s="24"/>
      <c r="X21" s="24"/>
      <c r="Y21" s="17"/>
      <c r="Z21" s="18">
        <f>ROUND(R21*'Data-CostAssumptions'!$C$3,-3)</f>
        <v>5273000</v>
      </c>
      <c r="AA21" s="11">
        <f t="shared" si="1"/>
        <v>0</v>
      </c>
      <c r="AB21" s="11">
        <v>2041</v>
      </c>
      <c r="AC21" s="11">
        <v>2041</v>
      </c>
      <c r="AD21" s="11">
        <v>2041</v>
      </c>
      <c r="AE21" s="19">
        <f>ROUND((Z21*'Data-CostAssumptions'!$G$5)*(1+'Data-CostAssumptions'!$G$3)^(AB21-'Data-CostAssumptions'!$G$4),-3)</f>
        <v>2974000</v>
      </c>
      <c r="AF21" s="19">
        <f>ROUND((Z21)*(1+'Data-CostAssumptions'!$G$3)^(AD21-'Data-CostAssumptions'!$G$4),-3)</f>
        <v>13520000</v>
      </c>
      <c r="AG21" s="170" t="str">
        <f t="shared" si="2"/>
        <v>No</v>
      </c>
    </row>
    <row r="22" spans="2:33" ht="15" customHeight="1" x14ac:dyDescent="0.2">
      <c r="B22" s="11" t="s">
        <v>1211</v>
      </c>
      <c r="C22" s="13">
        <v>10123</v>
      </c>
      <c r="D22" s="13" t="s">
        <v>420</v>
      </c>
      <c r="E22" s="20" t="s">
        <v>298</v>
      </c>
      <c r="F22" s="20">
        <v>147</v>
      </c>
      <c r="G22" s="20">
        <v>358</v>
      </c>
      <c r="H22" s="13" t="s">
        <v>2689</v>
      </c>
      <c r="I22" s="13" t="str">
        <f t="shared" si="0"/>
        <v>Dixie Hwy - North (Atlantic Bl to Pioneer Park)</v>
      </c>
      <c r="J22" s="13" t="s">
        <v>366</v>
      </c>
      <c r="K22" s="13" t="str">
        <f>VLOOKUP(J22,'Data-ProjectTypes'!A$3:B$13,2,FALSE)</f>
        <v>Program</v>
      </c>
      <c r="L22" s="21" t="s">
        <v>348</v>
      </c>
      <c r="M22" s="13" t="s">
        <v>1809</v>
      </c>
      <c r="N22" s="13" t="s">
        <v>104</v>
      </c>
      <c r="O22" s="13" t="s">
        <v>270</v>
      </c>
      <c r="P22" s="13" t="s">
        <v>270</v>
      </c>
      <c r="Q22" s="22">
        <v>6.6</v>
      </c>
      <c r="R22" s="23">
        <v>6586400</v>
      </c>
      <c r="S22" s="21" t="s">
        <v>24</v>
      </c>
      <c r="T22" s="21" t="s">
        <v>684</v>
      </c>
      <c r="U22" s="21" t="s">
        <v>684</v>
      </c>
      <c r="V22" s="24"/>
      <c r="W22" s="24"/>
      <c r="X22" s="24"/>
      <c r="Y22" s="17" t="s">
        <v>685</v>
      </c>
      <c r="Z22" s="18">
        <f>ROUND(R22*'Data-CostAssumptions'!$C$3,-3)</f>
        <v>9116000</v>
      </c>
      <c r="AA22" s="11">
        <f t="shared" si="1"/>
        <v>0</v>
      </c>
      <c r="AB22" s="11">
        <v>2041</v>
      </c>
      <c r="AC22" s="11">
        <v>2041</v>
      </c>
      <c r="AD22" s="11">
        <v>2041</v>
      </c>
      <c r="AE22" s="19">
        <f>ROUND((Z22*'Data-CostAssumptions'!$G$5)*(1+'Data-CostAssumptions'!$G$3)^(AB22-'Data-CostAssumptions'!$G$4),-3)</f>
        <v>5142000</v>
      </c>
      <c r="AF22" s="19">
        <f>ROUND((Z22)*(1+'Data-CostAssumptions'!$G$3)^(AD22-'Data-CostAssumptions'!$G$4),-3)</f>
        <v>23373000</v>
      </c>
      <c r="AG22" s="170" t="str">
        <f t="shared" si="2"/>
        <v>No</v>
      </c>
    </row>
    <row r="23" spans="2:33" ht="15" customHeight="1" x14ac:dyDescent="0.2">
      <c r="B23" s="11" t="s">
        <v>1211</v>
      </c>
      <c r="C23" s="13">
        <v>10124</v>
      </c>
      <c r="D23" s="13" t="s">
        <v>420</v>
      </c>
      <c r="E23" s="20" t="s">
        <v>298</v>
      </c>
      <c r="F23" s="20">
        <v>147</v>
      </c>
      <c r="G23" s="20">
        <v>359</v>
      </c>
      <c r="H23" s="13" t="s">
        <v>2690</v>
      </c>
      <c r="I23" s="13" t="str">
        <f t="shared" si="0"/>
        <v>Dixie Hwy - South (Bluestone Park to Dania Beach Bl)</v>
      </c>
      <c r="J23" s="13" t="s">
        <v>366</v>
      </c>
      <c r="K23" s="13" t="str">
        <f>VLOOKUP(J23,'Data-ProjectTypes'!A$3:B$13,2,FALSE)</f>
        <v>Program</v>
      </c>
      <c r="L23" s="21" t="s">
        <v>348</v>
      </c>
      <c r="M23" s="13" t="s">
        <v>186</v>
      </c>
      <c r="N23" s="13" t="s">
        <v>1815</v>
      </c>
      <c r="O23" s="13" t="s">
        <v>273</v>
      </c>
      <c r="P23" s="13" t="s">
        <v>273</v>
      </c>
      <c r="Q23" s="22">
        <v>5.6</v>
      </c>
      <c r="R23" s="23">
        <v>5554300</v>
      </c>
      <c r="S23" s="21" t="s">
        <v>24</v>
      </c>
      <c r="T23" s="21"/>
      <c r="U23" s="21"/>
      <c r="V23" s="24"/>
      <c r="W23" s="24" t="s">
        <v>545</v>
      </c>
      <c r="X23" s="24"/>
      <c r="Y23" s="17" t="s">
        <v>538</v>
      </c>
      <c r="Z23" s="18">
        <f>ROUND(R23*'Data-CostAssumptions'!$C$3,-3)</f>
        <v>7687000</v>
      </c>
      <c r="AA23" s="11">
        <f t="shared" si="1"/>
        <v>1</v>
      </c>
      <c r="AB23" s="11">
        <v>2041</v>
      </c>
      <c r="AC23" s="11">
        <v>2041</v>
      </c>
      <c r="AD23" s="11">
        <v>2041</v>
      </c>
      <c r="AE23" s="19">
        <f>ROUND((Z23*'Data-CostAssumptions'!$G$5)*(1+'Data-CostAssumptions'!$G$3)^(AB23-'Data-CostAssumptions'!$G$4),-3)</f>
        <v>4336000</v>
      </c>
      <c r="AF23" s="19">
        <f>ROUND((Z23)*(1+'Data-CostAssumptions'!$G$3)^(AD23-'Data-CostAssumptions'!$G$4),-3)</f>
        <v>19709000</v>
      </c>
      <c r="AG23" s="170" t="str">
        <f t="shared" si="2"/>
        <v>No</v>
      </c>
    </row>
    <row r="24" spans="2:33" ht="15" customHeight="1" x14ac:dyDescent="0.2">
      <c r="B24" s="11" t="s">
        <v>1211</v>
      </c>
      <c r="C24" s="13">
        <v>10125</v>
      </c>
      <c r="D24" s="13" t="s">
        <v>420</v>
      </c>
      <c r="E24" s="20" t="s">
        <v>298</v>
      </c>
      <c r="F24" s="20">
        <v>147</v>
      </c>
      <c r="G24" s="20">
        <v>360</v>
      </c>
      <c r="H24" s="13" t="s">
        <v>2690</v>
      </c>
      <c r="I24" s="13" t="str">
        <f t="shared" si="0"/>
        <v>Dixie Hwy - South (Dania Beach Bl to Eller Dr)</v>
      </c>
      <c r="J24" s="13" t="s">
        <v>366</v>
      </c>
      <c r="K24" s="13" t="str">
        <f>VLOOKUP(J24,'Data-ProjectTypes'!A$3:B$13,2,FALSE)</f>
        <v>Program</v>
      </c>
      <c r="L24" s="21" t="s">
        <v>348</v>
      </c>
      <c r="M24" s="13" t="s">
        <v>1815</v>
      </c>
      <c r="N24" s="13" t="s">
        <v>1789</v>
      </c>
      <c r="O24" s="13" t="s">
        <v>272</v>
      </c>
      <c r="P24" s="13" t="s">
        <v>272</v>
      </c>
      <c r="Q24" s="22">
        <v>3.1</v>
      </c>
      <c r="R24" s="23">
        <v>3087300</v>
      </c>
      <c r="S24" s="21"/>
      <c r="T24" s="21"/>
      <c r="U24" s="21"/>
      <c r="V24" s="24"/>
      <c r="W24" s="24"/>
      <c r="X24" s="24"/>
      <c r="Y24" s="17"/>
      <c r="Z24" s="18">
        <f>ROUND(R24*'Data-CostAssumptions'!$C$3,-3)</f>
        <v>4273000</v>
      </c>
      <c r="AA24" s="11">
        <f t="shared" si="1"/>
        <v>0</v>
      </c>
      <c r="AB24" s="11">
        <v>2041</v>
      </c>
      <c r="AC24" s="11">
        <v>2041</v>
      </c>
      <c r="AD24" s="11">
        <v>2041</v>
      </c>
      <c r="AE24" s="19">
        <f>ROUND((Z24*'Data-CostAssumptions'!$G$5)*(1+'Data-CostAssumptions'!$G$3)^(AB24-'Data-CostAssumptions'!$G$4),-3)</f>
        <v>2410000</v>
      </c>
      <c r="AF24" s="19">
        <f>ROUND((Z24)*(1+'Data-CostAssumptions'!$G$3)^(AD24-'Data-CostAssumptions'!$G$4),-3)</f>
        <v>10956000</v>
      </c>
      <c r="AG24" s="170" t="str">
        <f t="shared" si="2"/>
        <v>No</v>
      </c>
    </row>
    <row r="25" spans="2:33" ht="15" customHeight="1" x14ac:dyDescent="0.2">
      <c r="B25" s="11" t="s">
        <v>1211</v>
      </c>
      <c r="C25" s="13">
        <v>10126</v>
      </c>
      <c r="D25" s="13" t="s">
        <v>420</v>
      </c>
      <c r="E25" s="20" t="s">
        <v>298</v>
      </c>
      <c r="F25" s="20">
        <v>147</v>
      </c>
      <c r="G25" s="20">
        <v>361</v>
      </c>
      <c r="H25" s="13" t="s">
        <v>56</v>
      </c>
      <c r="I25" s="13" t="str">
        <f t="shared" si="0"/>
        <v>FPL North Central (New River Greenway to Sunrise Bl)</v>
      </c>
      <c r="J25" s="13" t="s">
        <v>366</v>
      </c>
      <c r="K25" s="13" t="str">
        <f>VLOOKUP(J25,'Data-ProjectTypes'!A$3:B$13,2,FALSE)</f>
        <v>Program</v>
      </c>
      <c r="L25" s="21" t="s">
        <v>348</v>
      </c>
      <c r="M25" s="13" t="s">
        <v>55</v>
      </c>
      <c r="N25" s="13" t="s">
        <v>1830</v>
      </c>
      <c r="O25" s="13" t="s">
        <v>273</v>
      </c>
      <c r="P25" s="13" t="s">
        <v>273</v>
      </c>
      <c r="Q25" s="22">
        <v>3.3</v>
      </c>
      <c r="R25" s="23">
        <v>3265400</v>
      </c>
      <c r="S25" s="21"/>
      <c r="T25" s="21"/>
      <c r="U25" s="21"/>
      <c r="V25" s="24"/>
      <c r="W25" s="24"/>
      <c r="X25" s="24"/>
      <c r="Y25" s="17"/>
      <c r="Z25" s="18">
        <f>ROUND(R25*'Data-CostAssumptions'!$C$3,-3)</f>
        <v>4519000</v>
      </c>
      <c r="AA25" s="11">
        <f t="shared" si="1"/>
        <v>0</v>
      </c>
      <c r="AB25" s="11">
        <v>2041</v>
      </c>
      <c r="AC25" s="11">
        <v>2041</v>
      </c>
      <c r="AD25" s="11">
        <v>2041</v>
      </c>
      <c r="AE25" s="19">
        <f>ROUND((Z25*'Data-CostAssumptions'!$G$5)*(1+'Data-CostAssumptions'!$G$3)^(AB25-'Data-CostAssumptions'!$G$4),-3)</f>
        <v>2549000</v>
      </c>
      <c r="AF25" s="19">
        <f>ROUND((Z25)*(1+'Data-CostAssumptions'!$G$3)^(AD25-'Data-CostAssumptions'!$G$4),-3)</f>
        <v>11586000</v>
      </c>
      <c r="AG25" s="170" t="str">
        <f t="shared" si="2"/>
        <v>No</v>
      </c>
    </row>
    <row r="26" spans="2:33" ht="15" customHeight="1" x14ac:dyDescent="0.2">
      <c r="B26" s="11" t="s">
        <v>1211</v>
      </c>
      <c r="C26" s="13">
        <v>10170</v>
      </c>
      <c r="D26" s="13" t="s">
        <v>420</v>
      </c>
      <c r="E26" s="20" t="s">
        <v>298</v>
      </c>
      <c r="F26" s="20">
        <v>149</v>
      </c>
      <c r="G26" s="20">
        <v>362</v>
      </c>
      <c r="H26" s="13" t="s">
        <v>181</v>
      </c>
      <c r="I26" s="13" t="str">
        <f t="shared" si="0"/>
        <v>FPL South Central (Griffin Rd to New River)</v>
      </c>
      <c r="J26" s="13" t="s">
        <v>366</v>
      </c>
      <c r="K26" s="13" t="str">
        <f>VLOOKUP(J26,'Data-ProjectTypes'!A$3:B$13,2,FALSE)</f>
        <v>Program</v>
      </c>
      <c r="L26" s="21" t="s">
        <v>348</v>
      </c>
      <c r="M26" s="13" t="s">
        <v>1750</v>
      </c>
      <c r="N26" s="13" t="s">
        <v>180</v>
      </c>
      <c r="O26" s="13" t="s">
        <v>270</v>
      </c>
      <c r="P26" s="13" t="s">
        <v>270</v>
      </c>
      <c r="Q26" s="22">
        <v>2.7</v>
      </c>
      <c r="R26" s="23">
        <v>2945346.139904724</v>
      </c>
      <c r="S26" s="21"/>
      <c r="T26" s="21"/>
      <c r="U26" s="21"/>
      <c r="V26" s="24"/>
      <c r="W26" s="24"/>
      <c r="X26" s="24"/>
      <c r="Y26" s="17"/>
      <c r="Z26" s="18">
        <f>ROUND(R26*'Data-CostAssumptions'!$C$3,-3)</f>
        <v>4076000</v>
      </c>
      <c r="AA26" s="11">
        <f t="shared" si="1"/>
        <v>0</v>
      </c>
      <c r="AB26" s="11">
        <v>2041</v>
      </c>
      <c r="AC26" s="11">
        <v>2041</v>
      </c>
      <c r="AD26" s="11">
        <v>2041</v>
      </c>
      <c r="AE26" s="19">
        <f>ROUND((Z26*'Data-CostAssumptions'!$G$5)*(1+'Data-CostAssumptions'!$G$3)^(AB26-'Data-CostAssumptions'!$G$4),-3)</f>
        <v>2299000</v>
      </c>
      <c r="AF26" s="19">
        <f>ROUND((Z26)*(1+'Data-CostAssumptions'!$G$3)^(AD26-'Data-CostAssumptions'!$G$4),-3)</f>
        <v>10451000</v>
      </c>
      <c r="AG26" s="170" t="str">
        <f t="shared" si="2"/>
        <v>No</v>
      </c>
    </row>
    <row r="27" spans="2:33" ht="15" customHeight="1" x14ac:dyDescent="0.2">
      <c r="B27" s="11" t="s">
        <v>1211</v>
      </c>
      <c r="C27" s="13">
        <v>10171</v>
      </c>
      <c r="D27" s="13" t="s">
        <v>420</v>
      </c>
      <c r="E27" s="20" t="s">
        <v>298</v>
      </c>
      <c r="F27" s="20">
        <v>149</v>
      </c>
      <c r="G27" s="20">
        <v>363</v>
      </c>
      <c r="H27" s="13" t="s">
        <v>181</v>
      </c>
      <c r="I27" s="13" t="str">
        <f t="shared" si="0"/>
        <v>FPL South Central (SW 42nd Av to Orange Dr)</v>
      </c>
      <c r="J27" s="13" t="s">
        <v>366</v>
      </c>
      <c r="K27" s="13" t="str">
        <f>VLOOKUP(J27,'Data-ProjectTypes'!A$3:B$13,2,FALSE)</f>
        <v>Program</v>
      </c>
      <c r="L27" s="21" t="s">
        <v>348</v>
      </c>
      <c r="M27" s="13" t="s">
        <v>2347</v>
      </c>
      <c r="N27" s="13" t="s">
        <v>184</v>
      </c>
      <c r="O27" s="13" t="s">
        <v>270</v>
      </c>
      <c r="P27" s="13" t="s">
        <v>270</v>
      </c>
      <c r="Q27" s="22">
        <v>1</v>
      </c>
      <c r="R27" s="23">
        <v>976400</v>
      </c>
      <c r="S27" s="21"/>
      <c r="T27" s="21"/>
      <c r="U27" s="21"/>
      <c r="V27" s="24"/>
      <c r="W27" s="24"/>
      <c r="X27" s="24"/>
      <c r="Y27" s="17"/>
      <c r="Z27" s="18">
        <f>ROUND(R27*'Data-CostAssumptions'!$C$3,-3)</f>
        <v>1351000</v>
      </c>
      <c r="AA27" s="11">
        <f t="shared" si="1"/>
        <v>0</v>
      </c>
      <c r="AB27" s="11">
        <v>2041</v>
      </c>
      <c r="AC27" s="11">
        <v>2041</v>
      </c>
      <c r="AD27" s="11">
        <v>2041</v>
      </c>
      <c r="AE27" s="19">
        <f>ROUND((Z27*'Data-CostAssumptions'!$G$5)*(1+'Data-CostAssumptions'!$G$3)^(AB27-'Data-CostAssumptions'!$G$4),-3)</f>
        <v>762000</v>
      </c>
      <c r="AF27" s="19">
        <f>ROUND((Z27)*(1+'Data-CostAssumptions'!$G$3)^(AD27-'Data-CostAssumptions'!$G$4),-3)</f>
        <v>3464000</v>
      </c>
      <c r="AG27" s="170" t="str">
        <f t="shared" si="2"/>
        <v>No</v>
      </c>
    </row>
    <row r="28" spans="2:33" ht="15" customHeight="1" x14ac:dyDescent="0.2">
      <c r="B28" s="11" t="s">
        <v>1211</v>
      </c>
      <c r="C28" s="13">
        <v>10146</v>
      </c>
      <c r="D28" s="13" t="s">
        <v>420</v>
      </c>
      <c r="E28" s="20" t="s">
        <v>298</v>
      </c>
      <c r="F28" s="20">
        <v>148</v>
      </c>
      <c r="G28" s="20">
        <v>366</v>
      </c>
      <c r="H28" s="13" t="s">
        <v>268</v>
      </c>
      <c r="I28" s="13" t="str">
        <f t="shared" si="0"/>
        <v>Hillsboro Canal Central (SR 845 / Powerline Rd to SR 7)</v>
      </c>
      <c r="J28" s="13" t="s">
        <v>366</v>
      </c>
      <c r="K28" s="13" t="str">
        <f>VLOOKUP(J28,'Data-ProjectTypes'!A$3:B$13,2,FALSE)</f>
        <v>Program</v>
      </c>
      <c r="L28" s="21" t="s">
        <v>348</v>
      </c>
      <c r="M28" s="13" t="s">
        <v>2210</v>
      </c>
      <c r="N28" s="13" t="s">
        <v>53</v>
      </c>
      <c r="O28" s="13" t="s">
        <v>270</v>
      </c>
      <c r="P28" s="13" t="s">
        <v>270</v>
      </c>
      <c r="Q28" s="22">
        <v>4.0999999999999996</v>
      </c>
      <c r="R28" s="23">
        <v>4086400</v>
      </c>
      <c r="S28" s="21"/>
      <c r="T28" s="21"/>
      <c r="U28" s="21"/>
      <c r="V28" s="24"/>
      <c r="W28" s="24"/>
      <c r="X28" s="24"/>
      <c r="Y28" s="17"/>
      <c r="Z28" s="18">
        <f>ROUND(R28*'Data-CostAssumptions'!$C$3,-3)</f>
        <v>5656000</v>
      </c>
      <c r="AA28" s="11">
        <f t="shared" si="1"/>
        <v>0</v>
      </c>
      <c r="AB28" s="11">
        <v>2041</v>
      </c>
      <c r="AC28" s="11">
        <v>2041</v>
      </c>
      <c r="AD28" s="11">
        <v>2041</v>
      </c>
      <c r="AE28" s="19">
        <f>ROUND((Z28*'Data-CostAssumptions'!$G$5)*(1+'Data-CostAssumptions'!$G$3)^(AB28-'Data-CostAssumptions'!$G$4),-3)</f>
        <v>3190000</v>
      </c>
      <c r="AF28" s="19">
        <f>ROUND((Z28)*(1+'Data-CostAssumptions'!$G$3)^(AD28-'Data-CostAssumptions'!$G$4),-3)</f>
        <v>14502000</v>
      </c>
      <c r="AG28" s="170" t="str">
        <f t="shared" si="2"/>
        <v>No</v>
      </c>
    </row>
    <row r="29" spans="2:33" ht="15" customHeight="1" x14ac:dyDescent="0.2">
      <c r="B29" s="11" t="s">
        <v>1211</v>
      </c>
      <c r="C29" s="13">
        <v>10147</v>
      </c>
      <c r="D29" s="13" t="s">
        <v>420</v>
      </c>
      <c r="E29" s="20" t="s">
        <v>298</v>
      </c>
      <c r="F29" s="20">
        <v>148</v>
      </c>
      <c r="G29" s="20">
        <v>367</v>
      </c>
      <c r="H29" s="13" t="s">
        <v>226</v>
      </c>
      <c r="I29" s="13" t="str">
        <f t="shared" si="0"/>
        <v>Hillsboro Canal East (Pioneer Park to Powerline Rd)</v>
      </c>
      <c r="J29" s="13" t="s">
        <v>366</v>
      </c>
      <c r="K29" s="13" t="str">
        <f>VLOOKUP(J29,'Data-ProjectTypes'!A$3:B$13,2,FALSE)</f>
        <v>Program</v>
      </c>
      <c r="L29" s="21" t="s">
        <v>348</v>
      </c>
      <c r="M29" s="13" t="s">
        <v>104</v>
      </c>
      <c r="N29" s="13" t="s">
        <v>1858</v>
      </c>
      <c r="O29" s="13" t="s">
        <v>270</v>
      </c>
      <c r="P29" s="13" t="s">
        <v>270</v>
      </c>
      <c r="Q29" s="22">
        <v>3.7</v>
      </c>
      <c r="R29" s="23">
        <v>4120743.440220187</v>
      </c>
      <c r="S29" s="21"/>
      <c r="T29" s="21"/>
      <c r="U29" s="21"/>
      <c r="V29" s="24"/>
      <c r="W29" s="24"/>
      <c r="X29" s="28"/>
      <c r="Y29" s="17"/>
      <c r="Z29" s="18">
        <f>ROUND(R29*'Data-CostAssumptions'!$C$3,-3)</f>
        <v>5703000</v>
      </c>
      <c r="AA29" s="11">
        <f t="shared" si="1"/>
        <v>0</v>
      </c>
      <c r="AB29" s="11">
        <v>2041</v>
      </c>
      <c r="AC29" s="11">
        <v>2041</v>
      </c>
      <c r="AD29" s="11">
        <v>2041</v>
      </c>
      <c r="AE29" s="19">
        <f>ROUND((Z29*'Data-CostAssumptions'!$G$5)*(1+'Data-CostAssumptions'!$G$3)^(AB29-'Data-CostAssumptions'!$G$4),-3)</f>
        <v>3217000</v>
      </c>
      <c r="AF29" s="19">
        <f>ROUND((Z29)*(1+'Data-CostAssumptions'!$G$3)^(AD29-'Data-CostAssumptions'!$G$4),-3)</f>
        <v>14622000</v>
      </c>
      <c r="AG29" s="170" t="str">
        <f t="shared" si="2"/>
        <v>No</v>
      </c>
    </row>
    <row r="30" spans="2:33" ht="15" customHeight="1" x14ac:dyDescent="0.2">
      <c r="B30" s="11" t="s">
        <v>1211</v>
      </c>
      <c r="C30" s="13">
        <v>10127</v>
      </c>
      <c r="D30" s="13" t="s">
        <v>420</v>
      </c>
      <c r="E30" s="20" t="s">
        <v>298</v>
      </c>
      <c r="F30" s="20">
        <v>147</v>
      </c>
      <c r="G30" s="20">
        <v>368</v>
      </c>
      <c r="H30" s="13" t="s">
        <v>54</v>
      </c>
      <c r="I30" s="13" t="str">
        <f t="shared" si="0"/>
        <v>Hillsboro Canal West (Loxahatchee Wildlife Refuge to SR 7)</v>
      </c>
      <c r="J30" s="13" t="s">
        <v>366</v>
      </c>
      <c r="K30" s="13" t="str">
        <f>VLOOKUP(J30,'Data-ProjectTypes'!A$3:B$13,2,FALSE)</f>
        <v>Program</v>
      </c>
      <c r="L30" s="21" t="s">
        <v>348</v>
      </c>
      <c r="M30" s="13" t="s">
        <v>52</v>
      </c>
      <c r="N30" s="13" t="s">
        <v>53</v>
      </c>
      <c r="O30" s="13" t="s">
        <v>272</v>
      </c>
      <c r="P30" s="13" t="s">
        <v>272</v>
      </c>
      <c r="Q30" s="22">
        <v>4.9000000000000004</v>
      </c>
      <c r="R30" s="23">
        <v>4875500</v>
      </c>
      <c r="S30" s="21" t="s">
        <v>24</v>
      </c>
      <c r="T30" s="21" t="s">
        <v>24</v>
      </c>
      <c r="U30" s="21"/>
      <c r="V30" s="24"/>
      <c r="W30" s="24"/>
      <c r="X30" s="24"/>
      <c r="Y30" s="17" t="s">
        <v>469</v>
      </c>
      <c r="Z30" s="18">
        <f>ROUND(R30*'Data-CostAssumptions'!$C$3,-3)</f>
        <v>6748000</v>
      </c>
      <c r="AA30" s="11">
        <f t="shared" si="1"/>
        <v>0</v>
      </c>
      <c r="AB30" s="11">
        <v>2041</v>
      </c>
      <c r="AC30" s="11">
        <v>2041</v>
      </c>
      <c r="AD30" s="11">
        <v>2041</v>
      </c>
      <c r="AE30" s="19">
        <f>ROUND((Z30*'Data-CostAssumptions'!$G$5)*(1+'Data-CostAssumptions'!$G$3)^(AB30-'Data-CostAssumptions'!$G$4),-3)</f>
        <v>3806000</v>
      </c>
      <c r="AF30" s="19">
        <f>ROUND((Z30)*(1+'Data-CostAssumptions'!$G$3)^(AD30-'Data-CostAssumptions'!$G$4),-3)</f>
        <v>17302000</v>
      </c>
      <c r="AG30" s="170" t="str">
        <f t="shared" si="2"/>
        <v>No</v>
      </c>
    </row>
    <row r="31" spans="2:33" ht="15" customHeight="1" x14ac:dyDescent="0.2">
      <c r="B31" s="11" t="s">
        <v>1211</v>
      </c>
      <c r="C31" s="13">
        <v>10151</v>
      </c>
      <c r="D31" s="13" t="s">
        <v>420</v>
      </c>
      <c r="E31" s="20" t="s">
        <v>298</v>
      </c>
      <c r="F31" s="20">
        <v>149</v>
      </c>
      <c r="G31" s="20">
        <v>370</v>
      </c>
      <c r="H31" s="13" t="s">
        <v>1823</v>
      </c>
      <c r="I31" s="13" t="str">
        <f t="shared" si="0"/>
        <v>Las Olas Bl (SR A1A to US 1)</v>
      </c>
      <c r="J31" s="13" t="s">
        <v>366</v>
      </c>
      <c r="K31" s="13" t="str">
        <f>VLOOKUP(J31,'Data-ProjectTypes'!A$3:B$13,2,FALSE)</f>
        <v>Program</v>
      </c>
      <c r="L31" s="21" t="s">
        <v>348</v>
      </c>
      <c r="M31" s="13" t="s">
        <v>110</v>
      </c>
      <c r="N31" s="13" t="s">
        <v>98</v>
      </c>
      <c r="O31" s="13" t="s">
        <v>270</v>
      </c>
      <c r="P31" s="13" t="s">
        <v>270</v>
      </c>
      <c r="Q31" s="22">
        <v>2.2000000000000002</v>
      </c>
      <c r="R31" s="23">
        <v>2243700</v>
      </c>
      <c r="S31" s="21" t="s">
        <v>24</v>
      </c>
      <c r="T31" s="21" t="s">
        <v>25</v>
      </c>
      <c r="U31" s="21"/>
      <c r="V31" s="24"/>
      <c r="W31" s="24" t="s">
        <v>781</v>
      </c>
      <c r="X31" s="28"/>
      <c r="Y31" s="17" t="s">
        <v>782</v>
      </c>
      <c r="Z31" s="18">
        <f>ROUND(R31*'Data-CostAssumptions'!$C$3,-3)</f>
        <v>3105000</v>
      </c>
      <c r="AA31" s="11">
        <f t="shared" si="1"/>
        <v>1</v>
      </c>
      <c r="AB31" s="11">
        <v>2041</v>
      </c>
      <c r="AC31" s="11">
        <v>2041</v>
      </c>
      <c r="AD31" s="11">
        <v>2041</v>
      </c>
      <c r="AE31" s="19">
        <f>ROUND((Z31*'Data-CostAssumptions'!$G$5)*(1+'Data-CostAssumptions'!$G$3)^(AB31-'Data-CostAssumptions'!$G$4),-3)</f>
        <v>1751000</v>
      </c>
      <c r="AF31" s="19">
        <f>ROUND((Z31)*(1+'Data-CostAssumptions'!$G$3)^(AD31-'Data-CostAssumptions'!$G$4),-3)</f>
        <v>7961000</v>
      </c>
      <c r="AG31" s="170" t="str">
        <f t="shared" si="2"/>
        <v>No</v>
      </c>
    </row>
    <row r="32" spans="2:33" ht="15" customHeight="1" x14ac:dyDescent="0.2">
      <c r="B32" s="11" t="s">
        <v>1211</v>
      </c>
      <c r="C32" s="13">
        <v>10154</v>
      </c>
      <c r="D32" s="13" t="s">
        <v>420</v>
      </c>
      <c r="E32" s="20" t="s">
        <v>298</v>
      </c>
      <c r="F32" s="20">
        <v>149</v>
      </c>
      <c r="G32" s="20">
        <v>373</v>
      </c>
      <c r="H32" s="13" t="s">
        <v>241</v>
      </c>
      <c r="I32" s="13" t="str">
        <f t="shared" si="0"/>
        <v>Nob Hill Trail (New River to Griffin Rd)</v>
      </c>
      <c r="J32" s="13" t="s">
        <v>366</v>
      </c>
      <c r="K32" s="13" t="str">
        <f>VLOOKUP(J32,'Data-ProjectTypes'!A$3:B$13,2,FALSE)</f>
        <v>Program</v>
      </c>
      <c r="L32" s="21" t="s">
        <v>348</v>
      </c>
      <c r="M32" s="13" t="s">
        <v>180</v>
      </c>
      <c r="N32" s="13" t="s">
        <v>1750</v>
      </c>
      <c r="O32" s="13" t="s">
        <v>273</v>
      </c>
      <c r="P32" s="13" t="s">
        <v>273</v>
      </c>
      <c r="Q32" s="22">
        <v>3</v>
      </c>
      <c r="R32" s="23">
        <v>3025800</v>
      </c>
      <c r="S32" s="21"/>
      <c r="T32" s="21"/>
      <c r="U32" s="21"/>
      <c r="V32" s="24"/>
      <c r="W32" s="24"/>
      <c r="X32" s="24"/>
      <c r="Y32" s="17"/>
      <c r="Z32" s="18">
        <f>ROUND(R32*'Data-CostAssumptions'!$C$3,-3)</f>
        <v>4188000</v>
      </c>
      <c r="AA32" s="11">
        <f t="shared" si="1"/>
        <v>0</v>
      </c>
      <c r="AB32" s="11">
        <v>2041</v>
      </c>
      <c r="AC32" s="11">
        <v>2041</v>
      </c>
      <c r="AD32" s="11">
        <v>2041</v>
      </c>
      <c r="AE32" s="19">
        <f>ROUND((Z32*'Data-CostAssumptions'!$G$5)*(1+'Data-CostAssumptions'!$G$3)^(AB32-'Data-CostAssumptions'!$G$4),-3)</f>
        <v>2362000</v>
      </c>
      <c r="AF32" s="19">
        <f>ROUND((Z32)*(1+'Data-CostAssumptions'!$G$3)^(AD32-'Data-CostAssumptions'!$G$4),-3)</f>
        <v>10738000</v>
      </c>
      <c r="AG32" s="170" t="str">
        <f t="shared" si="2"/>
        <v>No</v>
      </c>
    </row>
    <row r="33" spans="2:33" ht="15" customHeight="1" x14ac:dyDescent="0.2">
      <c r="B33" s="11" t="s">
        <v>1211</v>
      </c>
      <c r="C33" s="13">
        <v>10172</v>
      </c>
      <c r="D33" s="13" t="s">
        <v>420</v>
      </c>
      <c r="E33" s="20" t="s">
        <v>298</v>
      </c>
      <c r="F33" s="20">
        <v>150</v>
      </c>
      <c r="G33" s="20">
        <v>374</v>
      </c>
      <c r="H33" s="13" t="s">
        <v>1926</v>
      </c>
      <c r="I33" s="13" t="str">
        <f t="shared" si="0"/>
        <v>NW 5th St (East Acre Dr to University Dr)</v>
      </c>
      <c r="J33" s="13" t="s">
        <v>366</v>
      </c>
      <c r="K33" s="13" t="str">
        <f>VLOOKUP(J33,'Data-ProjectTypes'!A$3:B$13,2,FALSE)</f>
        <v>Program</v>
      </c>
      <c r="L33" s="21" t="s">
        <v>348</v>
      </c>
      <c r="M33" s="13" t="s">
        <v>2667</v>
      </c>
      <c r="N33" s="13" t="s">
        <v>1804</v>
      </c>
      <c r="O33" s="13" t="s">
        <v>284</v>
      </c>
      <c r="P33" s="13" t="s">
        <v>284</v>
      </c>
      <c r="Q33" s="22">
        <v>2.4</v>
      </c>
      <c r="R33" s="23">
        <v>2360100</v>
      </c>
      <c r="S33" s="21" t="s">
        <v>24</v>
      </c>
      <c r="T33" s="21" t="s">
        <v>25</v>
      </c>
      <c r="U33" s="21" t="s">
        <v>25</v>
      </c>
      <c r="V33" s="24"/>
      <c r="W33" s="24"/>
      <c r="X33" s="24"/>
      <c r="Y33" s="17" t="s">
        <v>685</v>
      </c>
      <c r="Z33" s="18">
        <f>ROUND(R33*'Data-CostAssumptions'!$C$3,-3)</f>
        <v>3266000</v>
      </c>
      <c r="AA33" s="11">
        <f t="shared" si="1"/>
        <v>0</v>
      </c>
      <c r="AB33" s="11">
        <v>2041</v>
      </c>
      <c r="AC33" s="11">
        <v>2041</v>
      </c>
      <c r="AD33" s="11">
        <v>2041</v>
      </c>
      <c r="AE33" s="19">
        <f>ROUND((Z33*'Data-CostAssumptions'!$G$5)*(1+'Data-CostAssumptions'!$G$3)^(AB33-'Data-CostAssumptions'!$G$4),-3)</f>
        <v>1842000</v>
      </c>
      <c r="AF33" s="19">
        <f>ROUND((Z33)*(1+'Data-CostAssumptions'!$G$3)^(AD33-'Data-CostAssumptions'!$G$4),-3)</f>
        <v>8374000</v>
      </c>
      <c r="AG33" s="170" t="str">
        <f t="shared" si="2"/>
        <v>No</v>
      </c>
    </row>
    <row r="34" spans="2:33" ht="15" customHeight="1" x14ac:dyDescent="0.2">
      <c r="B34" s="11" t="s">
        <v>1211</v>
      </c>
      <c r="C34" s="13">
        <v>10158</v>
      </c>
      <c r="D34" s="13" t="s">
        <v>420</v>
      </c>
      <c r="E34" s="20" t="s">
        <v>298</v>
      </c>
      <c r="F34" s="20">
        <v>149</v>
      </c>
      <c r="G34" s="20">
        <v>375</v>
      </c>
      <c r="H34" s="13" t="s">
        <v>2877</v>
      </c>
      <c r="I34" s="13" t="str">
        <f t="shared" ref="I34:I65" si="3">IF(M34="@",H34&amp;" ("&amp;M34&amp;"  "&amp;N34&amp;")",H34&amp;" ("&amp;M34&amp;" to "&amp;N34&amp;")")</f>
        <v>PEV (SE 17th St to US 1)</v>
      </c>
      <c r="J34" s="13" t="s">
        <v>366</v>
      </c>
      <c r="K34" s="13" t="str">
        <f>VLOOKUP(J34,'Data-ProjectTypes'!A$3:B$13,2,FALSE)</f>
        <v>Program</v>
      </c>
      <c r="L34" s="21" t="s">
        <v>348</v>
      </c>
      <c r="M34" s="13" t="s">
        <v>182</v>
      </c>
      <c r="N34" s="13" t="s">
        <v>98</v>
      </c>
      <c r="O34" s="13" t="s">
        <v>272</v>
      </c>
      <c r="P34" s="13" t="s">
        <v>272</v>
      </c>
      <c r="Q34" s="22">
        <v>4.0999999999999996</v>
      </c>
      <c r="R34" s="23">
        <v>4077300</v>
      </c>
      <c r="S34" s="21"/>
      <c r="T34" s="21"/>
      <c r="U34" s="21"/>
      <c r="V34" s="24"/>
      <c r="W34" s="24"/>
      <c r="X34" s="34" t="s">
        <v>1173</v>
      </c>
      <c r="Y34" s="17" t="s">
        <v>1171</v>
      </c>
      <c r="Z34" s="18">
        <f>ROUND(R34*'Data-CostAssumptions'!$C$3,-3)</f>
        <v>5643000</v>
      </c>
      <c r="AA34" s="11">
        <f t="shared" si="1"/>
        <v>0</v>
      </c>
      <c r="AB34" s="11">
        <v>2041</v>
      </c>
      <c r="AC34" s="11">
        <v>2041</v>
      </c>
      <c r="AD34" s="11">
        <v>2041</v>
      </c>
      <c r="AE34" s="19">
        <f>ROUND((Z34*'Data-CostAssumptions'!$G$5)*(1+'Data-CostAssumptions'!$G$3)^(AB34-'Data-CostAssumptions'!$G$4),-3)</f>
        <v>3183000</v>
      </c>
      <c r="AF34" s="19">
        <f>ROUND((Z34)*(1+'Data-CostAssumptions'!$G$3)^(AD34-'Data-CostAssumptions'!$G$4),-3)</f>
        <v>14468000</v>
      </c>
      <c r="AG34" s="170" t="str">
        <f t="shared" si="2"/>
        <v>No</v>
      </c>
    </row>
    <row r="35" spans="2:33" ht="15" customHeight="1" x14ac:dyDescent="0.2">
      <c r="B35" s="11" t="s">
        <v>1211</v>
      </c>
      <c r="C35" s="13">
        <v>10173</v>
      </c>
      <c r="D35" s="13" t="s">
        <v>420</v>
      </c>
      <c r="E35" s="20" t="s">
        <v>298</v>
      </c>
      <c r="F35" s="20">
        <v>150</v>
      </c>
      <c r="G35" s="20">
        <v>376</v>
      </c>
      <c r="H35" s="13" t="s">
        <v>2876</v>
      </c>
      <c r="I35" s="13" t="str">
        <f t="shared" si="3"/>
        <v>PEV Connector (US 1 to Oakridge Av)</v>
      </c>
      <c r="J35" s="13" t="s">
        <v>366</v>
      </c>
      <c r="K35" s="13" t="str">
        <f>VLOOKUP(J35,'Data-ProjectTypes'!A$3:B$13,2,FALSE)</f>
        <v>Program</v>
      </c>
      <c r="L35" s="21" t="s">
        <v>348</v>
      </c>
      <c r="M35" s="13" t="s">
        <v>98</v>
      </c>
      <c r="N35" s="13" t="s">
        <v>2255</v>
      </c>
      <c r="O35" s="13" t="s">
        <v>273</v>
      </c>
      <c r="P35" s="13" t="s">
        <v>273</v>
      </c>
      <c r="Q35" s="22">
        <v>3.4</v>
      </c>
      <c r="R35" s="23">
        <v>3358900</v>
      </c>
      <c r="S35" s="21" t="s">
        <v>24</v>
      </c>
      <c r="T35" s="21" t="s">
        <v>25</v>
      </c>
      <c r="U35" s="21" t="s">
        <v>24</v>
      </c>
      <c r="V35" s="24"/>
      <c r="W35" s="24"/>
      <c r="X35" s="28"/>
      <c r="Y35" s="17" t="s">
        <v>538</v>
      </c>
      <c r="Z35" s="18">
        <f>ROUND(R35*'Data-CostAssumptions'!$C$3,-3)</f>
        <v>4649000</v>
      </c>
      <c r="AA35" s="11">
        <f t="shared" si="1"/>
        <v>0</v>
      </c>
      <c r="AB35" s="11">
        <v>2041</v>
      </c>
      <c r="AC35" s="11">
        <v>2041</v>
      </c>
      <c r="AD35" s="11">
        <v>2041</v>
      </c>
      <c r="AE35" s="19">
        <f>ROUND((Z35*'Data-CostAssumptions'!$G$5)*(1+'Data-CostAssumptions'!$G$3)^(AB35-'Data-CostAssumptions'!$G$4),-3)</f>
        <v>2622000</v>
      </c>
      <c r="AF35" s="19">
        <f>ROUND((Z35)*(1+'Data-CostAssumptions'!$G$3)^(AD35-'Data-CostAssumptions'!$G$4),-3)</f>
        <v>11920000</v>
      </c>
      <c r="AG35" s="170" t="str">
        <f t="shared" si="2"/>
        <v>No</v>
      </c>
    </row>
    <row r="36" spans="2:33" ht="15" customHeight="1" x14ac:dyDescent="0.2">
      <c r="B36" s="11" t="s">
        <v>1211</v>
      </c>
      <c r="C36" s="13">
        <v>10129</v>
      </c>
      <c r="D36" s="13" t="s">
        <v>420</v>
      </c>
      <c r="E36" s="20" t="s">
        <v>298</v>
      </c>
      <c r="F36" s="20">
        <v>147</v>
      </c>
      <c r="G36" s="20">
        <v>377</v>
      </c>
      <c r="H36" s="13" t="s">
        <v>185</v>
      </c>
      <c r="I36" s="13" t="str">
        <f t="shared" si="3"/>
        <v>Pond Apple (SR 84 to Orange Dr)</v>
      </c>
      <c r="J36" s="13" t="s">
        <v>366</v>
      </c>
      <c r="K36" s="13" t="str">
        <f>VLOOKUP(J36,'Data-ProjectTypes'!A$3:B$13,2,FALSE)</f>
        <v>Program</v>
      </c>
      <c r="L36" s="21" t="s">
        <v>348</v>
      </c>
      <c r="M36" s="13" t="s">
        <v>45</v>
      </c>
      <c r="N36" s="13" t="s">
        <v>184</v>
      </c>
      <c r="O36" s="13" t="s">
        <v>272</v>
      </c>
      <c r="P36" s="13" t="s">
        <v>272</v>
      </c>
      <c r="Q36" s="22">
        <v>2.8</v>
      </c>
      <c r="R36" s="23">
        <v>2791500</v>
      </c>
      <c r="S36" s="21"/>
      <c r="T36" s="21"/>
      <c r="U36" s="21"/>
      <c r="V36" s="24"/>
      <c r="W36" s="24" t="s">
        <v>696</v>
      </c>
      <c r="X36" s="24"/>
      <c r="Y36" s="17" t="s">
        <v>287</v>
      </c>
      <c r="Z36" s="18">
        <f>ROUND(R36*'Data-CostAssumptions'!$C$3,-3)</f>
        <v>3863000</v>
      </c>
      <c r="AA36" s="11">
        <f t="shared" si="1"/>
        <v>1</v>
      </c>
      <c r="AB36" s="11">
        <v>2041</v>
      </c>
      <c r="AC36" s="11">
        <v>2041</v>
      </c>
      <c r="AD36" s="11">
        <v>2041</v>
      </c>
      <c r="AE36" s="19">
        <f>ROUND((Z36*'Data-CostAssumptions'!$G$5)*(1+'Data-CostAssumptions'!$G$3)^(AB36-'Data-CostAssumptions'!$G$4),-3)</f>
        <v>2179000</v>
      </c>
      <c r="AF36" s="19">
        <f>ROUND((Z36)*(1+'Data-CostAssumptions'!$G$3)^(AD36-'Data-CostAssumptions'!$G$4),-3)</f>
        <v>9905000</v>
      </c>
      <c r="AG36" s="170" t="str">
        <f t="shared" si="2"/>
        <v>No</v>
      </c>
    </row>
    <row r="37" spans="2:33" ht="15" customHeight="1" x14ac:dyDescent="0.2">
      <c r="B37" s="11" t="s">
        <v>1211</v>
      </c>
      <c r="C37" s="13">
        <v>10128</v>
      </c>
      <c r="D37" s="13" t="s">
        <v>420</v>
      </c>
      <c r="E37" s="20" t="s">
        <v>298</v>
      </c>
      <c r="F37" s="20">
        <v>147</v>
      </c>
      <c r="G37" s="20">
        <v>378</v>
      </c>
      <c r="H37" s="13" t="s">
        <v>245</v>
      </c>
      <c r="I37" s="13" t="str">
        <f t="shared" si="3"/>
        <v>Pond Apple - Waldrep Connector (Florida's Turnpike to Stirling Rd)</v>
      </c>
      <c r="J37" s="13" t="s">
        <v>366</v>
      </c>
      <c r="K37" s="13" t="str">
        <f>VLOOKUP(J37,'Data-ProjectTypes'!A$3:B$13,2,FALSE)</f>
        <v>Program</v>
      </c>
      <c r="L37" s="21" t="s">
        <v>348</v>
      </c>
      <c r="M37" s="13" t="s">
        <v>42</v>
      </c>
      <c r="N37" s="13" t="s">
        <v>177</v>
      </c>
      <c r="O37" s="13" t="s">
        <v>273</v>
      </c>
      <c r="P37" s="13" t="s">
        <v>273</v>
      </c>
      <c r="Q37" s="22">
        <v>3.1</v>
      </c>
      <c r="R37" s="23">
        <v>3067400</v>
      </c>
      <c r="S37" s="21"/>
      <c r="T37" s="21"/>
      <c r="U37" s="21"/>
      <c r="V37" s="24"/>
      <c r="W37" s="24" t="s">
        <v>696</v>
      </c>
      <c r="X37" s="24"/>
      <c r="Y37" s="17" t="s">
        <v>287</v>
      </c>
      <c r="Z37" s="18">
        <f>ROUND(R37*'Data-CostAssumptions'!$C$3,-3)</f>
        <v>4245000</v>
      </c>
      <c r="AA37" s="11">
        <f t="shared" si="1"/>
        <v>1</v>
      </c>
      <c r="AB37" s="11">
        <v>2041</v>
      </c>
      <c r="AC37" s="11">
        <v>2041</v>
      </c>
      <c r="AD37" s="11">
        <v>2041</v>
      </c>
      <c r="AE37" s="19">
        <f>ROUND((Z37*'Data-CostAssumptions'!$G$5)*(1+'Data-CostAssumptions'!$G$3)^(AB37-'Data-CostAssumptions'!$G$4),-3)</f>
        <v>2394000</v>
      </c>
      <c r="AF37" s="19">
        <f>ROUND((Z37)*(1+'Data-CostAssumptions'!$G$3)^(AD37-'Data-CostAssumptions'!$G$4),-3)</f>
        <v>10884000</v>
      </c>
      <c r="AG37" s="170" t="str">
        <f t="shared" si="2"/>
        <v>No</v>
      </c>
    </row>
    <row r="38" spans="2:33" ht="15" customHeight="1" x14ac:dyDescent="0.2">
      <c r="B38" s="11" t="s">
        <v>1211</v>
      </c>
      <c r="C38" s="13">
        <v>10130</v>
      </c>
      <c r="D38" s="13" t="s">
        <v>420</v>
      </c>
      <c r="E38" s="20" t="s">
        <v>298</v>
      </c>
      <c r="F38" s="20">
        <v>148</v>
      </c>
      <c r="G38" s="20">
        <v>379</v>
      </c>
      <c r="H38" s="13" t="s">
        <v>244</v>
      </c>
      <c r="I38" s="13" t="str">
        <f t="shared" si="3"/>
        <v>Pond Apple Connector (FPL ROW 0.5 South to Orange Dr)</v>
      </c>
      <c r="J38" s="13" t="s">
        <v>366</v>
      </c>
      <c r="K38" s="13" t="str">
        <f>VLOOKUP(J38,'Data-ProjectTypes'!A$3:B$13,2,FALSE)</f>
        <v>Program</v>
      </c>
      <c r="L38" s="21" t="s">
        <v>348</v>
      </c>
      <c r="M38" s="13" t="s">
        <v>243</v>
      </c>
      <c r="N38" s="13" t="s">
        <v>184</v>
      </c>
      <c r="O38" s="13" t="s">
        <v>270</v>
      </c>
      <c r="P38" s="13" t="s">
        <v>270</v>
      </c>
      <c r="Q38" s="22">
        <v>0.81</v>
      </c>
      <c r="R38" s="23">
        <v>809100</v>
      </c>
      <c r="S38" s="21"/>
      <c r="T38" s="21"/>
      <c r="U38" s="21"/>
      <c r="V38" s="24"/>
      <c r="W38" s="24"/>
      <c r="X38" s="24"/>
      <c r="Y38" s="17"/>
      <c r="Z38" s="18">
        <f>ROUND(R38*'Data-CostAssumptions'!$C$3,-3)</f>
        <v>1120000</v>
      </c>
      <c r="AA38" s="11">
        <f t="shared" si="1"/>
        <v>0</v>
      </c>
      <c r="AB38" s="11">
        <v>2041</v>
      </c>
      <c r="AC38" s="11">
        <v>2041</v>
      </c>
      <c r="AD38" s="11">
        <v>2041</v>
      </c>
      <c r="AE38" s="19">
        <f>ROUND((Z38*'Data-CostAssumptions'!$G$5)*(1+'Data-CostAssumptions'!$G$3)^(AB38-'Data-CostAssumptions'!$G$4),-3)</f>
        <v>632000</v>
      </c>
      <c r="AF38" s="19">
        <f>ROUND((Z38)*(1+'Data-CostAssumptions'!$G$3)^(AD38-'Data-CostAssumptions'!$G$4),-3)</f>
        <v>2872000</v>
      </c>
      <c r="AG38" s="170" t="str">
        <f t="shared" si="2"/>
        <v>No</v>
      </c>
    </row>
    <row r="39" spans="2:33" ht="15" customHeight="1" x14ac:dyDescent="0.2">
      <c r="B39" s="11" t="s">
        <v>1211</v>
      </c>
      <c r="C39" s="13">
        <v>10159</v>
      </c>
      <c r="D39" s="13" t="s">
        <v>420</v>
      </c>
      <c r="E39" s="20" t="s">
        <v>298</v>
      </c>
      <c r="F39" s="20">
        <v>149</v>
      </c>
      <c r="G39" s="20">
        <v>380</v>
      </c>
      <c r="H39" s="13" t="s">
        <v>1799</v>
      </c>
      <c r="I39" s="13" t="str">
        <f t="shared" si="3"/>
        <v>Riverside Dr (Lox Rd to Holmberg Rd)</v>
      </c>
      <c r="J39" s="13" t="s">
        <v>366</v>
      </c>
      <c r="K39" s="13" t="str">
        <f>VLOOKUP(J39,'Data-ProjectTypes'!A$3:B$13,2,FALSE)</f>
        <v>Program</v>
      </c>
      <c r="L39" s="21" t="s">
        <v>348</v>
      </c>
      <c r="M39" s="13" t="s">
        <v>138</v>
      </c>
      <c r="N39" s="13" t="s">
        <v>2404</v>
      </c>
      <c r="O39" s="13" t="s">
        <v>272</v>
      </c>
      <c r="P39" s="13" t="s">
        <v>272</v>
      </c>
      <c r="Q39" s="22">
        <v>1.7</v>
      </c>
      <c r="R39" s="23">
        <v>1696000</v>
      </c>
      <c r="S39" s="21"/>
      <c r="T39" s="21"/>
      <c r="U39" s="21"/>
      <c r="V39" s="24"/>
      <c r="W39" s="24"/>
      <c r="X39" s="24"/>
      <c r="Y39" s="17"/>
      <c r="Z39" s="18">
        <f>ROUND(R39*'Data-CostAssumptions'!$C$3,-3)</f>
        <v>2347000</v>
      </c>
      <c r="AA39" s="11">
        <f t="shared" si="1"/>
        <v>0</v>
      </c>
      <c r="AB39" s="11">
        <v>2041</v>
      </c>
      <c r="AC39" s="11">
        <v>2041</v>
      </c>
      <c r="AD39" s="11">
        <v>2041</v>
      </c>
      <c r="AE39" s="19">
        <f>ROUND((Z39*'Data-CostAssumptions'!$G$5)*(1+'Data-CostAssumptions'!$G$3)^(AB39-'Data-CostAssumptions'!$G$4),-3)</f>
        <v>1324000</v>
      </c>
      <c r="AF39" s="19">
        <f>ROUND((Z39)*(1+'Data-CostAssumptions'!$G$3)^(AD39-'Data-CostAssumptions'!$G$4),-3)</f>
        <v>6018000</v>
      </c>
      <c r="AG39" s="170" t="str">
        <f t="shared" si="2"/>
        <v>No</v>
      </c>
    </row>
    <row r="40" spans="2:33" ht="15" customHeight="1" x14ac:dyDescent="0.2">
      <c r="B40" s="11" t="s">
        <v>1211</v>
      </c>
      <c r="C40" s="13">
        <v>10131</v>
      </c>
      <c r="D40" s="13" t="s">
        <v>420</v>
      </c>
      <c r="E40" s="20" t="s">
        <v>298</v>
      </c>
      <c r="F40" s="20">
        <v>148</v>
      </c>
      <c r="G40" s="20">
        <v>381</v>
      </c>
      <c r="H40" s="13" t="s">
        <v>76</v>
      </c>
      <c r="I40" s="13" t="str">
        <f t="shared" si="3"/>
        <v>Rock Island Central (Commercial Bl to Southgate Rd)</v>
      </c>
      <c r="J40" s="13" t="s">
        <v>366</v>
      </c>
      <c r="K40" s="13" t="str">
        <f>VLOOKUP(J40,'Data-ProjectTypes'!A$3:B$13,2,FALSE)</f>
        <v>Program</v>
      </c>
      <c r="L40" s="21" t="s">
        <v>348</v>
      </c>
      <c r="M40" s="13" t="s">
        <v>1813</v>
      </c>
      <c r="N40" s="13" t="s">
        <v>75</v>
      </c>
      <c r="O40" s="13" t="s">
        <v>272</v>
      </c>
      <c r="P40" s="13" t="s">
        <v>272</v>
      </c>
      <c r="Q40" s="22">
        <v>2.5</v>
      </c>
      <c r="R40" s="23">
        <v>2477400</v>
      </c>
      <c r="S40" s="21"/>
      <c r="T40" s="21"/>
      <c r="U40" s="21"/>
      <c r="V40" s="24"/>
      <c r="W40" s="24"/>
      <c r="X40" s="24"/>
      <c r="Y40" s="17"/>
      <c r="Z40" s="18">
        <f>ROUND(R40*'Data-CostAssumptions'!$C$3,-3)</f>
        <v>3429000</v>
      </c>
      <c r="AA40" s="11">
        <f t="shared" si="1"/>
        <v>0</v>
      </c>
      <c r="AB40" s="11">
        <v>2041</v>
      </c>
      <c r="AC40" s="11">
        <v>2041</v>
      </c>
      <c r="AD40" s="11">
        <v>2041</v>
      </c>
      <c r="AE40" s="19">
        <f>ROUND((Z40*'Data-CostAssumptions'!$G$5)*(1+'Data-CostAssumptions'!$G$3)^(AB40-'Data-CostAssumptions'!$G$4),-3)</f>
        <v>1934000</v>
      </c>
      <c r="AF40" s="19">
        <f>ROUND((Z40)*(1+'Data-CostAssumptions'!$G$3)^(AD40-'Data-CostAssumptions'!$G$4),-3)</f>
        <v>8792000</v>
      </c>
      <c r="AG40" s="170" t="str">
        <f t="shared" si="2"/>
        <v>No</v>
      </c>
    </row>
    <row r="41" spans="2:33" ht="15" customHeight="1" x14ac:dyDescent="0.2">
      <c r="B41" s="11" t="s">
        <v>1211</v>
      </c>
      <c r="C41" s="13">
        <v>10132</v>
      </c>
      <c r="D41" s="13" t="s">
        <v>420</v>
      </c>
      <c r="E41" s="20" t="s">
        <v>298</v>
      </c>
      <c r="F41" s="20">
        <v>148</v>
      </c>
      <c r="G41" s="20">
        <v>382</v>
      </c>
      <c r="H41" s="13" t="s">
        <v>139</v>
      </c>
      <c r="I41" s="13" t="str">
        <f t="shared" si="3"/>
        <v>Rock Island North (Southgate Rd to Lox Rd)</v>
      </c>
      <c r="J41" s="13" t="s">
        <v>366</v>
      </c>
      <c r="K41" s="13" t="str">
        <f>VLOOKUP(J41,'Data-ProjectTypes'!A$3:B$13,2,FALSE)</f>
        <v>Program</v>
      </c>
      <c r="L41" s="21" t="s">
        <v>348</v>
      </c>
      <c r="M41" s="13" t="s">
        <v>75</v>
      </c>
      <c r="N41" s="13" t="s">
        <v>138</v>
      </c>
      <c r="O41" s="13" t="s">
        <v>272</v>
      </c>
      <c r="P41" s="13" t="s">
        <v>272</v>
      </c>
      <c r="Q41" s="22">
        <v>7.4</v>
      </c>
      <c r="R41" s="23">
        <v>7407400</v>
      </c>
      <c r="S41" s="21" t="s">
        <v>24</v>
      </c>
      <c r="T41" s="21"/>
      <c r="U41" s="21"/>
      <c r="V41" s="24"/>
      <c r="W41" s="24" t="s">
        <v>553</v>
      </c>
      <c r="X41" s="24"/>
      <c r="Y41" s="17" t="s">
        <v>538</v>
      </c>
      <c r="Z41" s="18">
        <f>ROUND(R41*'Data-CostAssumptions'!$C$3,-3)</f>
        <v>10252000</v>
      </c>
      <c r="AA41" s="11">
        <f t="shared" si="1"/>
        <v>1</v>
      </c>
      <c r="AB41" s="11">
        <v>2041</v>
      </c>
      <c r="AC41" s="11">
        <v>2041</v>
      </c>
      <c r="AD41" s="11">
        <v>2041</v>
      </c>
      <c r="AE41" s="19">
        <f>ROUND((Z41*'Data-CostAssumptions'!$G$5)*(1+'Data-CostAssumptions'!$G$3)^(AB41-'Data-CostAssumptions'!$G$4),-3)</f>
        <v>5783000</v>
      </c>
      <c r="AF41" s="19">
        <f>ROUND((Z41)*(1+'Data-CostAssumptions'!$G$3)^(AD41-'Data-CostAssumptions'!$G$4),-3)</f>
        <v>26286000</v>
      </c>
      <c r="AG41" s="170" t="str">
        <f t="shared" si="2"/>
        <v>No</v>
      </c>
    </row>
    <row r="42" spans="2:33" ht="15" customHeight="1" x14ac:dyDescent="0.2">
      <c r="B42" s="11" t="s">
        <v>1211</v>
      </c>
      <c r="C42" s="13">
        <v>10133</v>
      </c>
      <c r="D42" s="13" t="s">
        <v>420</v>
      </c>
      <c r="E42" s="20" t="s">
        <v>298</v>
      </c>
      <c r="F42" s="20">
        <v>148</v>
      </c>
      <c r="G42" s="20">
        <v>383</v>
      </c>
      <c r="H42" s="13" t="s">
        <v>74</v>
      </c>
      <c r="I42" s="13" t="str">
        <f t="shared" si="3"/>
        <v>Rock Island South (Sunrise Bl to Commercial Bl)</v>
      </c>
      <c r="J42" s="13" t="s">
        <v>366</v>
      </c>
      <c r="K42" s="13" t="str">
        <f>VLOOKUP(J42,'Data-ProjectTypes'!A$3:B$13,2,FALSE)</f>
        <v>Program</v>
      </c>
      <c r="L42" s="21" t="s">
        <v>348</v>
      </c>
      <c r="M42" s="13" t="s">
        <v>1830</v>
      </c>
      <c r="N42" s="13" t="s">
        <v>1813</v>
      </c>
      <c r="O42" s="13" t="s">
        <v>272</v>
      </c>
      <c r="P42" s="13" t="s">
        <v>272</v>
      </c>
      <c r="Q42" s="22">
        <v>4.2</v>
      </c>
      <c r="R42" s="23">
        <v>4184600</v>
      </c>
      <c r="S42" s="21" t="s">
        <v>24</v>
      </c>
      <c r="T42" s="21"/>
      <c r="U42" s="21"/>
      <c r="V42" s="24"/>
      <c r="W42" s="24" t="s">
        <v>553</v>
      </c>
      <c r="X42" s="24"/>
      <c r="Y42" s="17" t="s">
        <v>538</v>
      </c>
      <c r="Z42" s="18">
        <f>ROUND(R42*'Data-CostAssumptions'!$C$3,-3)</f>
        <v>5791000</v>
      </c>
      <c r="AA42" s="11">
        <f t="shared" si="1"/>
        <v>1</v>
      </c>
      <c r="AB42" s="11">
        <v>2041</v>
      </c>
      <c r="AC42" s="11">
        <v>2041</v>
      </c>
      <c r="AD42" s="11">
        <v>2041</v>
      </c>
      <c r="AE42" s="19">
        <f>ROUND((Z42*'Data-CostAssumptions'!$G$5)*(1+'Data-CostAssumptions'!$G$3)^(AB42-'Data-CostAssumptions'!$G$4),-3)</f>
        <v>3267000</v>
      </c>
      <c r="AF42" s="19">
        <f>ROUND((Z42)*(1+'Data-CostAssumptions'!$G$3)^(AD42-'Data-CostAssumptions'!$G$4),-3)</f>
        <v>14848000</v>
      </c>
      <c r="AG42" s="170" t="str">
        <f t="shared" si="2"/>
        <v>No</v>
      </c>
    </row>
    <row r="43" spans="2:33" ht="15" customHeight="1" x14ac:dyDescent="0.2">
      <c r="B43" s="11" t="s">
        <v>1211</v>
      </c>
      <c r="C43" s="13">
        <v>10161</v>
      </c>
      <c r="D43" s="13" t="s">
        <v>420</v>
      </c>
      <c r="E43" s="20" t="s">
        <v>298</v>
      </c>
      <c r="F43" s="20">
        <v>149</v>
      </c>
      <c r="G43" s="20">
        <v>384</v>
      </c>
      <c r="H43" s="13" t="s">
        <v>1951</v>
      </c>
      <c r="I43" s="13" t="str">
        <f t="shared" si="3"/>
        <v>Sheridan St (Pine Island Rd to Flamingo Rd)</v>
      </c>
      <c r="J43" s="13" t="s">
        <v>366</v>
      </c>
      <c r="K43" s="13" t="str">
        <f>VLOOKUP(J43,'Data-ProjectTypes'!A$3:B$13,2,FALSE)</f>
        <v>Program</v>
      </c>
      <c r="L43" s="21" t="s">
        <v>348</v>
      </c>
      <c r="M43" s="13" t="s">
        <v>266</v>
      </c>
      <c r="N43" s="13" t="s">
        <v>159</v>
      </c>
      <c r="O43" s="13" t="s">
        <v>273</v>
      </c>
      <c r="P43" s="13" t="s">
        <v>273</v>
      </c>
      <c r="Q43" s="22">
        <v>2.9</v>
      </c>
      <c r="R43" s="23">
        <v>2903500</v>
      </c>
      <c r="S43" s="21" t="s">
        <v>24</v>
      </c>
      <c r="T43" s="21" t="s">
        <v>25</v>
      </c>
      <c r="U43" s="21" t="s">
        <v>24</v>
      </c>
      <c r="V43" s="24" t="s">
        <v>554</v>
      </c>
      <c r="W43" s="24"/>
      <c r="X43" s="24" t="s">
        <v>555</v>
      </c>
      <c r="Y43" s="17" t="s">
        <v>538</v>
      </c>
      <c r="Z43" s="18">
        <f>ROUND(R43*'Data-CostAssumptions'!$C$3,-3)</f>
        <v>4018000</v>
      </c>
      <c r="AA43" s="11">
        <f t="shared" si="1"/>
        <v>1</v>
      </c>
      <c r="AB43" s="11">
        <v>2041</v>
      </c>
      <c r="AC43" s="11">
        <v>2041</v>
      </c>
      <c r="AD43" s="11">
        <v>2041</v>
      </c>
      <c r="AE43" s="19">
        <f>ROUND((Z43*'Data-CostAssumptions'!$G$5)*(1+'Data-CostAssumptions'!$G$3)^(AB43-'Data-CostAssumptions'!$G$4),-3)</f>
        <v>2266000</v>
      </c>
      <c r="AF43" s="19">
        <f>ROUND((Z43)*(1+'Data-CostAssumptions'!$G$3)^(AD43-'Data-CostAssumptions'!$G$4),-3)</f>
        <v>10302000</v>
      </c>
      <c r="AG43" s="170" t="str">
        <f t="shared" si="2"/>
        <v>No</v>
      </c>
    </row>
    <row r="44" spans="2:33" ht="15" customHeight="1" x14ac:dyDescent="0.2">
      <c r="B44" s="11" t="s">
        <v>1211</v>
      </c>
      <c r="C44" s="13">
        <v>10162</v>
      </c>
      <c r="D44" s="13" t="s">
        <v>420</v>
      </c>
      <c r="E44" s="20" t="s">
        <v>298</v>
      </c>
      <c r="F44" s="20">
        <v>149</v>
      </c>
      <c r="G44" s="20">
        <v>385</v>
      </c>
      <c r="H44" s="13" t="s">
        <v>1951</v>
      </c>
      <c r="I44" s="13" t="str">
        <f t="shared" si="3"/>
        <v>Sheridan St (Flamingo Rd to US 27)</v>
      </c>
      <c r="J44" s="13" t="s">
        <v>366</v>
      </c>
      <c r="K44" s="13" t="str">
        <f>VLOOKUP(J44,'Data-ProjectTypes'!A$3:B$13,2,FALSE)</f>
        <v>Program</v>
      </c>
      <c r="L44" s="21" t="s">
        <v>348</v>
      </c>
      <c r="M44" s="13" t="s">
        <v>159</v>
      </c>
      <c r="N44" s="13" t="s">
        <v>30</v>
      </c>
      <c r="O44" s="13" t="s">
        <v>273</v>
      </c>
      <c r="P44" s="13" t="s">
        <v>273</v>
      </c>
      <c r="Q44" s="22">
        <v>7.5</v>
      </c>
      <c r="R44" s="23">
        <v>7499700</v>
      </c>
      <c r="S44" s="21" t="s">
        <v>24</v>
      </c>
      <c r="T44" s="21" t="s">
        <v>24</v>
      </c>
      <c r="U44" s="21" t="s">
        <v>24</v>
      </c>
      <c r="V44" s="24" t="s">
        <v>516</v>
      </c>
      <c r="W44" s="24"/>
      <c r="X44" s="24"/>
      <c r="Y44" s="17" t="s">
        <v>297</v>
      </c>
      <c r="Z44" s="18">
        <f>ROUND(R44*'Data-CostAssumptions'!$C$3,-3)</f>
        <v>10380000</v>
      </c>
      <c r="AA44" s="11">
        <f t="shared" si="1"/>
        <v>1</v>
      </c>
      <c r="AB44" s="11">
        <v>2041</v>
      </c>
      <c r="AC44" s="11">
        <v>2041</v>
      </c>
      <c r="AD44" s="11">
        <v>2041</v>
      </c>
      <c r="AE44" s="19">
        <f>ROUND((Z44*'Data-CostAssumptions'!$G$5)*(1+'Data-CostAssumptions'!$G$3)^(AB44-'Data-CostAssumptions'!$G$4),-3)</f>
        <v>5855000</v>
      </c>
      <c r="AF44" s="19">
        <f>ROUND((Z44)*(1+'Data-CostAssumptions'!$G$3)^(AD44-'Data-CostAssumptions'!$G$4),-3)</f>
        <v>26614000</v>
      </c>
      <c r="AG44" s="170" t="str">
        <f t="shared" si="2"/>
        <v>No</v>
      </c>
    </row>
    <row r="45" spans="2:33" ht="15" customHeight="1" x14ac:dyDescent="0.2">
      <c r="B45" s="11" t="s">
        <v>1211</v>
      </c>
      <c r="C45" s="13">
        <v>10163</v>
      </c>
      <c r="D45" s="13" t="s">
        <v>420</v>
      </c>
      <c r="E45" s="20" t="s">
        <v>298</v>
      </c>
      <c r="F45" s="20">
        <v>149</v>
      </c>
      <c r="G45" s="20">
        <v>386</v>
      </c>
      <c r="H45" s="13" t="s">
        <v>140</v>
      </c>
      <c r="I45" s="13" t="str">
        <f t="shared" si="3"/>
        <v>Snook Creek (I-95 to Powerline Rd)</v>
      </c>
      <c r="J45" s="13" t="s">
        <v>366</v>
      </c>
      <c r="K45" s="13" t="str">
        <f>VLOOKUP(J45,'Data-ProjectTypes'!A$3:B$13,2,FALSE)</f>
        <v>Program</v>
      </c>
      <c r="L45" s="21" t="s">
        <v>348</v>
      </c>
      <c r="M45" s="13" t="s">
        <v>41</v>
      </c>
      <c r="N45" s="13" t="s">
        <v>1858</v>
      </c>
      <c r="O45" s="13" t="s">
        <v>270</v>
      </c>
      <c r="P45" s="13" t="s">
        <v>270</v>
      </c>
      <c r="Q45" s="22">
        <v>0.5</v>
      </c>
      <c r="R45" s="23">
        <v>511200</v>
      </c>
      <c r="S45" s="21" t="s">
        <v>24</v>
      </c>
      <c r="T45" s="21" t="s">
        <v>25</v>
      </c>
      <c r="U45" s="21" t="s">
        <v>24</v>
      </c>
      <c r="V45" s="24" t="s">
        <v>553</v>
      </c>
      <c r="W45" s="24"/>
      <c r="X45" s="24"/>
      <c r="Y45" s="17" t="s">
        <v>538</v>
      </c>
      <c r="Z45" s="18">
        <f>ROUND(R45*'Data-CostAssumptions'!$C$3,-3)</f>
        <v>708000</v>
      </c>
      <c r="AA45" s="11">
        <f t="shared" si="1"/>
        <v>1</v>
      </c>
      <c r="AB45" s="11">
        <v>2041</v>
      </c>
      <c r="AC45" s="11">
        <v>2041</v>
      </c>
      <c r="AD45" s="11">
        <v>2041</v>
      </c>
      <c r="AE45" s="19">
        <f>ROUND((Z45*'Data-CostAssumptions'!$G$5)*(1+'Data-CostAssumptions'!$G$3)^(AB45-'Data-CostAssumptions'!$G$4),-3)</f>
        <v>399000</v>
      </c>
      <c r="AF45" s="19">
        <f>ROUND((Z45)*(1+'Data-CostAssumptions'!$G$3)^(AD45-'Data-CostAssumptions'!$G$4),-3)</f>
        <v>1815000</v>
      </c>
      <c r="AG45" s="170" t="str">
        <f t="shared" si="2"/>
        <v>No</v>
      </c>
    </row>
    <row r="46" spans="2:33" ht="15" customHeight="1" x14ac:dyDescent="0.2">
      <c r="B46" s="11" t="s">
        <v>1211</v>
      </c>
      <c r="C46" s="13">
        <v>10164</v>
      </c>
      <c r="D46" s="13" t="s">
        <v>420</v>
      </c>
      <c r="E46" s="20" t="s">
        <v>298</v>
      </c>
      <c r="F46" s="20">
        <v>149</v>
      </c>
      <c r="G46" s="20">
        <v>387</v>
      </c>
      <c r="H46" s="13" t="s">
        <v>1981</v>
      </c>
      <c r="I46" s="13" t="str">
        <f t="shared" si="3"/>
        <v>Snook Creek Pkwy (I-95 to Powerline Rd)</v>
      </c>
      <c r="J46" s="13" t="s">
        <v>366</v>
      </c>
      <c r="K46" s="13" t="str">
        <f>VLOOKUP(J46,'Data-ProjectTypes'!A$3:B$13,2,FALSE)</f>
        <v>Program</v>
      </c>
      <c r="L46" s="21" t="s">
        <v>348</v>
      </c>
      <c r="M46" s="13" t="s">
        <v>41</v>
      </c>
      <c r="N46" s="13" t="s">
        <v>1858</v>
      </c>
      <c r="O46" s="13" t="s">
        <v>273</v>
      </c>
      <c r="P46" s="13" t="s">
        <v>273</v>
      </c>
      <c r="Q46" s="22">
        <v>1</v>
      </c>
      <c r="R46" s="23">
        <v>1044400</v>
      </c>
      <c r="S46" s="21"/>
      <c r="T46" s="21"/>
      <c r="U46" s="21"/>
      <c r="V46" s="24"/>
      <c r="W46" s="24"/>
      <c r="X46" s="24"/>
      <c r="Y46" s="17"/>
      <c r="Z46" s="18">
        <f>ROUND(R46*'Data-CostAssumptions'!$C$3,-3)</f>
        <v>1445000</v>
      </c>
      <c r="AA46" s="11">
        <f t="shared" si="1"/>
        <v>0</v>
      </c>
      <c r="AB46" s="11">
        <v>2041</v>
      </c>
      <c r="AC46" s="11">
        <v>2041</v>
      </c>
      <c r="AD46" s="11">
        <v>2041</v>
      </c>
      <c r="AE46" s="19">
        <f>ROUND((Z46*'Data-CostAssumptions'!$G$5)*(1+'Data-CostAssumptions'!$G$3)^(AB46-'Data-CostAssumptions'!$G$4),-3)</f>
        <v>815000</v>
      </c>
      <c r="AF46" s="19">
        <f>ROUND((Z46)*(1+'Data-CostAssumptions'!$G$3)^(AD46-'Data-CostAssumptions'!$G$4),-3)</f>
        <v>3705000</v>
      </c>
      <c r="AG46" s="170" t="str">
        <f t="shared" si="2"/>
        <v>No</v>
      </c>
    </row>
    <row r="47" spans="2:33" ht="15" customHeight="1" x14ac:dyDescent="0.2">
      <c r="B47" s="11" t="s">
        <v>1211</v>
      </c>
      <c r="C47" s="13">
        <v>10148</v>
      </c>
      <c r="D47" s="13" t="s">
        <v>420</v>
      </c>
      <c r="E47" s="20" t="s">
        <v>298</v>
      </c>
      <c r="F47" s="20">
        <v>149</v>
      </c>
      <c r="G47" s="20">
        <v>388</v>
      </c>
      <c r="H47" s="13" t="s">
        <v>2813</v>
      </c>
      <c r="I47" s="13" t="str">
        <f t="shared" si="3"/>
        <v>SR 820/Hollywood Bl (SR 7 to Florida's Turnpike)</v>
      </c>
      <c r="J47" s="13" t="s">
        <v>366</v>
      </c>
      <c r="K47" s="13" t="str">
        <f>VLOOKUP(J47,'Data-ProjectTypes'!A$3:B$13,2,FALSE)</f>
        <v>Program</v>
      </c>
      <c r="L47" s="21" t="s">
        <v>348</v>
      </c>
      <c r="M47" s="13" t="s">
        <v>53</v>
      </c>
      <c r="N47" s="13" t="s">
        <v>42</v>
      </c>
      <c r="O47" s="13" t="s">
        <v>270</v>
      </c>
      <c r="P47" s="13" t="s">
        <v>270</v>
      </c>
      <c r="Q47" s="22">
        <v>0.4</v>
      </c>
      <c r="R47" s="23">
        <v>377300</v>
      </c>
      <c r="S47" s="21"/>
      <c r="T47" s="21"/>
      <c r="U47" s="21"/>
      <c r="V47" s="24"/>
      <c r="W47" s="24"/>
      <c r="X47" s="24"/>
      <c r="Y47" s="17"/>
      <c r="Z47" s="18">
        <f>ROUND(R47*'Data-CostAssumptions'!$C$3,-3)</f>
        <v>522000</v>
      </c>
      <c r="AA47" s="11">
        <f t="shared" si="1"/>
        <v>0</v>
      </c>
      <c r="AB47" s="11">
        <v>2041</v>
      </c>
      <c r="AC47" s="11">
        <v>2041</v>
      </c>
      <c r="AD47" s="11">
        <v>2041</v>
      </c>
      <c r="AE47" s="19">
        <f>ROUND((Z47*'Data-CostAssumptions'!$G$5)*(1+'Data-CostAssumptions'!$G$3)^(AB47-'Data-CostAssumptions'!$G$4),-3)</f>
        <v>294000</v>
      </c>
      <c r="AF47" s="19">
        <f>ROUND((Z47)*(1+'Data-CostAssumptions'!$G$3)^(AD47-'Data-CostAssumptions'!$G$4),-3)</f>
        <v>1338000</v>
      </c>
      <c r="AG47" s="170" t="str">
        <f t="shared" si="2"/>
        <v>No</v>
      </c>
    </row>
    <row r="48" spans="2:33" ht="15" customHeight="1" x14ac:dyDescent="0.2">
      <c r="B48" s="11" t="s">
        <v>1211</v>
      </c>
      <c r="C48" s="13">
        <v>10149</v>
      </c>
      <c r="D48" s="13" t="s">
        <v>420</v>
      </c>
      <c r="E48" s="20" t="s">
        <v>298</v>
      </c>
      <c r="F48" s="20">
        <v>149</v>
      </c>
      <c r="G48" s="20">
        <v>389</v>
      </c>
      <c r="H48" s="13" t="s">
        <v>2813</v>
      </c>
      <c r="I48" s="13" t="str">
        <f t="shared" si="3"/>
        <v>SR 820/Hollywood Bl (US 1 to SR 7)</v>
      </c>
      <c r="J48" s="13" t="s">
        <v>366</v>
      </c>
      <c r="K48" s="13" t="str">
        <f>VLOOKUP(J48,'Data-ProjectTypes'!A$3:B$13,2,FALSE)</f>
        <v>Program</v>
      </c>
      <c r="L48" s="21" t="s">
        <v>348</v>
      </c>
      <c r="M48" s="13" t="s">
        <v>98</v>
      </c>
      <c r="N48" s="13" t="s">
        <v>53</v>
      </c>
      <c r="O48" s="13" t="s">
        <v>270</v>
      </c>
      <c r="P48" s="13" t="s">
        <v>270</v>
      </c>
      <c r="Q48" s="22">
        <v>4.5999999999999996</v>
      </c>
      <c r="R48" s="23">
        <v>4624900</v>
      </c>
      <c r="S48" s="21"/>
      <c r="T48" s="21"/>
      <c r="U48" s="21"/>
      <c r="V48" s="24"/>
      <c r="W48" s="24"/>
      <c r="X48" s="24"/>
      <c r="Y48" s="17"/>
      <c r="Z48" s="18">
        <f>ROUND(R48*'Data-CostAssumptions'!$C$3,-3)</f>
        <v>6401000</v>
      </c>
      <c r="AA48" s="11">
        <f t="shared" si="1"/>
        <v>0</v>
      </c>
      <c r="AB48" s="11">
        <v>2041</v>
      </c>
      <c r="AC48" s="11">
        <v>2041</v>
      </c>
      <c r="AD48" s="11">
        <v>2041</v>
      </c>
      <c r="AE48" s="19">
        <f>ROUND((Z48*'Data-CostAssumptions'!$G$5)*(1+'Data-CostAssumptions'!$G$3)^(AB48-'Data-CostAssumptions'!$G$4),-3)</f>
        <v>3611000</v>
      </c>
      <c r="AF48" s="19">
        <f>ROUND((Z48)*(1+'Data-CostAssumptions'!$G$3)^(AD48-'Data-CostAssumptions'!$G$4),-3)</f>
        <v>16412000</v>
      </c>
      <c r="AG48" s="170" t="str">
        <f t="shared" si="2"/>
        <v>No</v>
      </c>
    </row>
    <row r="49" spans="1:33" ht="15" customHeight="1" x14ac:dyDescent="0.2">
      <c r="B49" s="11" t="s">
        <v>1211</v>
      </c>
      <c r="C49" s="13">
        <v>10155</v>
      </c>
      <c r="D49" s="13" t="s">
        <v>420</v>
      </c>
      <c r="E49" s="20" t="s">
        <v>298</v>
      </c>
      <c r="F49" s="20">
        <v>149</v>
      </c>
      <c r="G49" s="20">
        <v>391</v>
      </c>
      <c r="H49" s="13" t="s">
        <v>2722</v>
      </c>
      <c r="I49" s="13" t="str">
        <f t="shared" si="3"/>
        <v>SR 820/Pines Bl East (University Dr to Flamingo Rd)</v>
      </c>
      <c r="J49" s="13" t="s">
        <v>366</v>
      </c>
      <c r="K49" s="13" t="str">
        <f>VLOOKUP(J49,'Data-ProjectTypes'!A$3:B$13,2,FALSE)</f>
        <v>Program</v>
      </c>
      <c r="L49" s="21" t="s">
        <v>348</v>
      </c>
      <c r="M49" s="13" t="s">
        <v>1804</v>
      </c>
      <c r="N49" s="13" t="s">
        <v>159</v>
      </c>
      <c r="O49" s="13" t="s">
        <v>270</v>
      </c>
      <c r="P49" s="13" t="s">
        <v>270</v>
      </c>
      <c r="Q49" s="22">
        <v>4</v>
      </c>
      <c r="R49" s="23">
        <v>3971900</v>
      </c>
      <c r="S49" s="21"/>
      <c r="T49" s="21"/>
      <c r="U49" s="21"/>
      <c r="V49" s="24"/>
      <c r="W49" s="24"/>
      <c r="X49" s="24"/>
      <c r="Y49" s="17"/>
      <c r="Z49" s="18">
        <f>ROUND(R49*'Data-CostAssumptions'!$C$3,-3)</f>
        <v>5497000</v>
      </c>
      <c r="AA49" s="11">
        <f t="shared" si="1"/>
        <v>0</v>
      </c>
      <c r="AB49" s="11">
        <v>2041</v>
      </c>
      <c r="AC49" s="11">
        <v>2041</v>
      </c>
      <c r="AD49" s="11">
        <v>2041</v>
      </c>
      <c r="AE49" s="19">
        <f>ROUND((Z49*'Data-CostAssumptions'!$G$5)*(1+'Data-CostAssumptions'!$G$3)^(AB49-'Data-CostAssumptions'!$G$4),-3)</f>
        <v>3101000</v>
      </c>
      <c r="AF49" s="19">
        <f>ROUND((Z49)*(1+'Data-CostAssumptions'!$G$3)^(AD49-'Data-CostAssumptions'!$G$4),-3)</f>
        <v>14094000</v>
      </c>
      <c r="AG49" s="170" t="str">
        <f t="shared" si="2"/>
        <v>No</v>
      </c>
    </row>
    <row r="50" spans="1:33" ht="15" customHeight="1" x14ac:dyDescent="0.2">
      <c r="B50" s="11" t="s">
        <v>1211</v>
      </c>
      <c r="C50" s="13">
        <v>10156</v>
      </c>
      <c r="D50" s="13" t="s">
        <v>420</v>
      </c>
      <c r="E50" s="20" t="s">
        <v>298</v>
      </c>
      <c r="F50" s="20">
        <v>149</v>
      </c>
      <c r="G50" s="20">
        <v>392</v>
      </c>
      <c r="H50" s="13" t="s">
        <v>2722</v>
      </c>
      <c r="I50" s="13" t="str">
        <f t="shared" si="3"/>
        <v>SR 820/Pines Bl East (SR 7 to University Dr)</v>
      </c>
      <c r="J50" s="13" t="s">
        <v>366</v>
      </c>
      <c r="K50" s="13" t="str">
        <f>VLOOKUP(J50,'Data-ProjectTypes'!A$3:B$13,2,FALSE)</f>
        <v>Program</v>
      </c>
      <c r="L50" s="21" t="s">
        <v>348</v>
      </c>
      <c r="M50" s="13" t="s">
        <v>53</v>
      </c>
      <c r="N50" s="13" t="s">
        <v>1804</v>
      </c>
      <c r="O50" s="13" t="s">
        <v>270</v>
      </c>
      <c r="P50" s="13" t="s">
        <v>270</v>
      </c>
      <c r="Q50" s="22">
        <v>2.1</v>
      </c>
      <c r="R50" s="23">
        <v>2141200</v>
      </c>
      <c r="S50" s="21"/>
      <c r="T50" s="21"/>
      <c r="U50" s="21"/>
      <c r="V50" s="24"/>
      <c r="W50" s="24"/>
      <c r="X50" s="24"/>
      <c r="Y50" s="17"/>
      <c r="Z50" s="18">
        <f>ROUND(R50*'Data-CostAssumptions'!$C$3,-3)</f>
        <v>2963000</v>
      </c>
      <c r="AA50" s="11">
        <f t="shared" si="1"/>
        <v>0</v>
      </c>
      <c r="AB50" s="11">
        <v>2041</v>
      </c>
      <c r="AC50" s="11">
        <v>2041</v>
      </c>
      <c r="AD50" s="11">
        <v>2041</v>
      </c>
      <c r="AE50" s="19">
        <f>ROUND((Z50*'Data-CostAssumptions'!$G$5)*(1+'Data-CostAssumptions'!$G$3)^(AB50-'Data-CostAssumptions'!$G$4),-3)</f>
        <v>1671000</v>
      </c>
      <c r="AF50" s="19">
        <f>ROUND((Z50)*(1+'Data-CostAssumptions'!$G$3)^(AD50-'Data-CostAssumptions'!$G$4),-3)</f>
        <v>7597000</v>
      </c>
      <c r="AG50" s="170" t="str">
        <f t="shared" si="2"/>
        <v>No</v>
      </c>
    </row>
    <row r="51" spans="1:33" ht="15" customHeight="1" x14ac:dyDescent="0.2">
      <c r="B51" s="11" t="s">
        <v>1211</v>
      </c>
      <c r="C51" s="13">
        <v>10157</v>
      </c>
      <c r="D51" s="13" t="s">
        <v>420</v>
      </c>
      <c r="E51" s="20" t="s">
        <v>298</v>
      </c>
      <c r="F51" s="20">
        <v>149</v>
      </c>
      <c r="G51" s="20">
        <v>393</v>
      </c>
      <c r="H51" s="13" t="s">
        <v>2723</v>
      </c>
      <c r="I51" s="13" t="str">
        <f t="shared" si="3"/>
        <v>SR 820/Pines Bl West (Flamingo Rd to US 27)</v>
      </c>
      <c r="J51" s="13" t="s">
        <v>366</v>
      </c>
      <c r="K51" s="13" t="str">
        <f>VLOOKUP(J51,'Data-ProjectTypes'!A$3:B$13,2,FALSE)</f>
        <v>Program</v>
      </c>
      <c r="L51" s="21" t="s">
        <v>348</v>
      </c>
      <c r="M51" s="13" t="s">
        <v>159</v>
      </c>
      <c r="N51" s="13" t="s">
        <v>30</v>
      </c>
      <c r="O51" s="13" t="s">
        <v>270</v>
      </c>
      <c r="P51" s="13" t="s">
        <v>270</v>
      </c>
      <c r="Q51" s="22">
        <v>7.5</v>
      </c>
      <c r="R51" s="23">
        <v>7522300</v>
      </c>
      <c r="S51" s="21"/>
      <c r="T51" s="21"/>
      <c r="U51" s="21"/>
      <c r="V51" s="24"/>
      <c r="W51" s="24"/>
      <c r="X51" s="24"/>
      <c r="Y51" s="17"/>
      <c r="Z51" s="18">
        <f>ROUND(R51*'Data-CostAssumptions'!$C$3,-3)</f>
        <v>10411000</v>
      </c>
      <c r="AA51" s="11">
        <f t="shared" si="1"/>
        <v>0</v>
      </c>
      <c r="AB51" s="11">
        <v>2041</v>
      </c>
      <c r="AC51" s="11">
        <v>2041</v>
      </c>
      <c r="AD51" s="11">
        <v>2041</v>
      </c>
      <c r="AE51" s="19">
        <f>ROUND((Z51*'Data-CostAssumptions'!$G$5)*(1+'Data-CostAssumptions'!$G$3)^(AB51-'Data-CostAssumptions'!$G$4),-3)</f>
        <v>5873000</v>
      </c>
      <c r="AF51" s="19">
        <f>ROUND((Z51)*(1+'Data-CostAssumptions'!$G$3)^(AD51-'Data-CostAssumptions'!$G$4),-3)</f>
        <v>26693000</v>
      </c>
      <c r="AG51" s="170" t="str">
        <f t="shared" si="2"/>
        <v>No</v>
      </c>
    </row>
    <row r="52" spans="1:33" ht="15" customHeight="1" x14ac:dyDescent="0.2">
      <c r="B52" s="11" t="s">
        <v>1211</v>
      </c>
      <c r="C52" s="13">
        <v>10160</v>
      </c>
      <c r="D52" s="13" t="s">
        <v>420</v>
      </c>
      <c r="E52" s="20" t="s">
        <v>298</v>
      </c>
      <c r="F52" s="20">
        <v>149</v>
      </c>
      <c r="G52" s="20">
        <v>394</v>
      </c>
      <c r="H52" s="13" t="s">
        <v>2790</v>
      </c>
      <c r="I52" s="13" t="str">
        <f t="shared" si="3"/>
        <v>SR 822/Sheridan St East (SR A1A to US 1)</v>
      </c>
      <c r="J52" s="13" t="s">
        <v>366</v>
      </c>
      <c r="K52" s="13" t="str">
        <f>VLOOKUP(J52,'Data-ProjectTypes'!A$3:B$13,2,FALSE)</f>
        <v>Program</v>
      </c>
      <c r="L52" s="21" t="s">
        <v>348</v>
      </c>
      <c r="M52" s="13" t="s">
        <v>110</v>
      </c>
      <c r="N52" s="13" t="s">
        <v>98</v>
      </c>
      <c r="O52" s="13" t="s">
        <v>270</v>
      </c>
      <c r="P52" s="13" t="s">
        <v>270</v>
      </c>
      <c r="Q52" s="22">
        <v>1.7</v>
      </c>
      <c r="R52" s="23">
        <v>1719800</v>
      </c>
      <c r="S52" s="21"/>
      <c r="T52" s="21"/>
      <c r="U52" s="21"/>
      <c r="V52" s="24"/>
      <c r="W52" s="24"/>
      <c r="X52" s="24"/>
      <c r="Y52" s="17"/>
      <c r="Z52" s="18">
        <f>ROUND(R52*'Data-CostAssumptions'!$C$3,-3)</f>
        <v>2380000</v>
      </c>
      <c r="AA52" s="11">
        <f t="shared" si="1"/>
        <v>0</v>
      </c>
      <c r="AB52" s="11">
        <v>2041</v>
      </c>
      <c r="AC52" s="11">
        <v>2041</v>
      </c>
      <c r="AD52" s="11">
        <v>2041</v>
      </c>
      <c r="AE52" s="19">
        <f>ROUND((Z52*'Data-CostAssumptions'!$G$5)*(1+'Data-CostAssumptions'!$G$3)^(AB52-'Data-CostAssumptions'!$G$4),-3)</f>
        <v>1342000</v>
      </c>
      <c r="AF52" s="19">
        <f>ROUND((Z52)*(1+'Data-CostAssumptions'!$G$3)^(AD52-'Data-CostAssumptions'!$G$4),-3)</f>
        <v>6102000</v>
      </c>
      <c r="AG52" s="170" t="str">
        <f t="shared" si="2"/>
        <v>No</v>
      </c>
    </row>
    <row r="53" spans="1:33" ht="15" customHeight="1" x14ac:dyDescent="0.2">
      <c r="B53" s="11" t="s">
        <v>1211</v>
      </c>
      <c r="C53" s="13">
        <v>10001</v>
      </c>
      <c r="D53" s="13" t="s">
        <v>420</v>
      </c>
      <c r="E53" s="20" t="s">
        <v>298</v>
      </c>
      <c r="F53" s="20">
        <v>147</v>
      </c>
      <c r="G53" s="20">
        <v>399</v>
      </c>
      <c r="H53" s="13" t="s">
        <v>101</v>
      </c>
      <c r="I53" s="13" t="str">
        <f t="shared" si="3"/>
        <v>SR A1A Greenway name (US 1 to Hillsboro Inlet)</v>
      </c>
      <c r="J53" s="13" t="s">
        <v>366</v>
      </c>
      <c r="K53" s="13" t="str">
        <f>VLOOKUP(J53,'Data-ProjectTypes'!A$3:B$13,2,FALSE)</f>
        <v>Program</v>
      </c>
      <c r="L53" s="21" t="s">
        <v>100</v>
      </c>
      <c r="M53" s="13" t="s">
        <v>98</v>
      </c>
      <c r="N53" s="13" t="s">
        <v>99</v>
      </c>
      <c r="O53" s="13" t="s">
        <v>270</v>
      </c>
      <c r="P53" s="13" t="s">
        <v>270</v>
      </c>
      <c r="Q53" s="22">
        <v>13.2</v>
      </c>
      <c r="R53" s="23">
        <v>14326275.935594905</v>
      </c>
      <c r="S53" s="21"/>
      <c r="T53" s="21"/>
      <c r="U53" s="21"/>
      <c r="V53" s="24"/>
      <c r="W53" s="24"/>
      <c r="X53" s="24"/>
      <c r="Y53" s="17"/>
      <c r="Z53" s="18">
        <f>ROUND(R53*'Data-CostAssumptions'!$C$3,-3)</f>
        <v>19828000</v>
      </c>
      <c r="AA53" s="11">
        <f t="shared" si="1"/>
        <v>0</v>
      </c>
      <c r="AB53" s="11">
        <v>2041</v>
      </c>
      <c r="AC53" s="11">
        <v>2041</v>
      </c>
      <c r="AD53" s="11">
        <v>2041</v>
      </c>
      <c r="AE53" s="19">
        <f>ROUND((Z53*'Data-CostAssumptions'!$G$5)*(1+'Data-CostAssumptions'!$G$3)^(AB53-'Data-CostAssumptions'!$G$4),-3)</f>
        <v>11184000</v>
      </c>
      <c r="AF53" s="19">
        <f>ROUND((Z53)*(1+'Data-CostAssumptions'!$G$3)^(AD53-'Data-CostAssumptions'!$G$4),-3)</f>
        <v>50838000</v>
      </c>
      <c r="AG53" s="170" t="str">
        <f t="shared" si="2"/>
        <v>No</v>
      </c>
    </row>
    <row r="54" spans="1:33" ht="15" customHeight="1" x14ac:dyDescent="0.2">
      <c r="B54" s="11" t="s">
        <v>1211</v>
      </c>
      <c r="C54" s="13">
        <v>10174</v>
      </c>
      <c r="D54" s="13" t="s">
        <v>420</v>
      </c>
      <c r="E54" s="20" t="s">
        <v>298</v>
      </c>
      <c r="F54" s="20">
        <v>150</v>
      </c>
      <c r="G54" s="20">
        <v>400</v>
      </c>
      <c r="H54" s="13" t="s">
        <v>81</v>
      </c>
      <c r="I54" s="13" t="str">
        <f t="shared" si="3"/>
        <v>Sunset Strip (Hiatus Rd to Sunrise Bl)</v>
      </c>
      <c r="J54" s="13" t="s">
        <v>366</v>
      </c>
      <c r="K54" s="13" t="str">
        <f>VLOOKUP(J54,'Data-ProjectTypes'!A$3:B$13,2,FALSE)</f>
        <v>Program</v>
      </c>
      <c r="L54" s="21" t="s">
        <v>348</v>
      </c>
      <c r="M54" s="13" t="s">
        <v>1752</v>
      </c>
      <c r="N54" s="13" t="s">
        <v>1830</v>
      </c>
      <c r="O54" s="13" t="s">
        <v>272</v>
      </c>
      <c r="P54" s="13" t="s">
        <v>272</v>
      </c>
      <c r="Q54" s="22">
        <v>5.5</v>
      </c>
      <c r="R54" s="23">
        <v>5453700</v>
      </c>
      <c r="S54" s="21"/>
      <c r="T54" s="21"/>
      <c r="U54" s="21"/>
      <c r="V54" s="24"/>
      <c r="W54" s="24" t="s">
        <v>696</v>
      </c>
      <c r="X54" s="24"/>
      <c r="Y54" s="17" t="s">
        <v>287</v>
      </c>
      <c r="Z54" s="18">
        <f>ROUND(R54*'Data-CostAssumptions'!$C$3,-3)</f>
        <v>7548000</v>
      </c>
      <c r="AA54" s="11">
        <f t="shared" si="1"/>
        <v>1</v>
      </c>
      <c r="AB54" s="11">
        <v>2041</v>
      </c>
      <c r="AC54" s="11">
        <v>2041</v>
      </c>
      <c r="AD54" s="11">
        <v>2041</v>
      </c>
      <c r="AE54" s="19">
        <f>ROUND((Z54*'Data-CostAssumptions'!$G$5)*(1+'Data-CostAssumptions'!$G$3)^(AB54-'Data-CostAssumptions'!$G$4),-3)</f>
        <v>4258000</v>
      </c>
      <c r="AF54" s="19">
        <f>ROUND((Z54)*(1+'Data-CostAssumptions'!$G$3)^(AD54-'Data-CostAssumptions'!$G$4),-3)</f>
        <v>19353000</v>
      </c>
      <c r="AG54" s="170" t="str">
        <f t="shared" si="2"/>
        <v>No</v>
      </c>
    </row>
    <row r="55" spans="1:33" ht="15" customHeight="1" x14ac:dyDescent="0.2">
      <c r="B55" s="11" t="s">
        <v>1211</v>
      </c>
      <c r="C55" s="13">
        <v>10166</v>
      </c>
      <c r="D55" s="13" t="s">
        <v>420</v>
      </c>
      <c r="E55" s="20" t="s">
        <v>298</v>
      </c>
      <c r="F55" s="20">
        <v>149</v>
      </c>
      <c r="G55" s="20">
        <v>402</v>
      </c>
      <c r="H55" s="13" t="s">
        <v>2122</v>
      </c>
      <c r="I55" s="13" t="str">
        <f t="shared" si="3"/>
        <v>SW 39th Av (Davie Bl to Broward Bl)</v>
      </c>
      <c r="J55" s="13" t="s">
        <v>366</v>
      </c>
      <c r="K55" s="13" t="str">
        <f>VLOOKUP(J55,'Data-ProjectTypes'!A$3:B$13,2,FALSE)</f>
        <v>Program</v>
      </c>
      <c r="L55" s="21" t="s">
        <v>348</v>
      </c>
      <c r="M55" s="13" t="s">
        <v>1816</v>
      </c>
      <c r="N55" s="13" t="s">
        <v>1811</v>
      </c>
      <c r="O55" s="13" t="s">
        <v>270</v>
      </c>
      <c r="P55" s="13" t="s">
        <v>270</v>
      </c>
      <c r="Q55" s="22">
        <v>1.2</v>
      </c>
      <c r="R55" s="23">
        <v>1151000</v>
      </c>
      <c r="S55" s="21"/>
      <c r="T55" s="21"/>
      <c r="U55" s="21"/>
      <c r="V55" s="24"/>
      <c r="W55" s="24"/>
      <c r="X55" s="24" t="s">
        <v>495</v>
      </c>
      <c r="Y55" s="17" t="s">
        <v>492</v>
      </c>
      <c r="Z55" s="18">
        <f>ROUND(R55*'Data-CostAssumptions'!$C$3,-3)</f>
        <v>1593000</v>
      </c>
      <c r="AA55" s="11">
        <f t="shared" si="1"/>
        <v>0</v>
      </c>
      <c r="AB55" s="11">
        <v>2041</v>
      </c>
      <c r="AC55" s="11">
        <v>2041</v>
      </c>
      <c r="AD55" s="11">
        <v>2041</v>
      </c>
      <c r="AE55" s="19">
        <f>ROUND((Z55*'Data-CostAssumptions'!$G$5)*(1+'Data-CostAssumptions'!$G$3)^(AB55-'Data-CostAssumptions'!$G$4),-3)</f>
        <v>899000</v>
      </c>
      <c r="AF55" s="19">
        <f>ROUND((Z55)*(1+'Data-CostAssumptions'!$G$3)^(AD55-'Data-CostAssumptions'!$G$4),-3)</f>
        <v>4084000</v>
      </c>
      <c r="AG55" s="170" t="str">
        <f t="shared" si="2"/>
        <v>No</v>
      </c>
    </row>
    <row r="56" spans="1:33" ht="15" customHeight="1" x14ac:dyDescent="0.2">
      <c r="B56" s="11" t="s">
        <v>1211</v>
      </c>
      <c r="C56" s="13">
        <v>10134</v>
      </c>
      <c r="D56" s="13" t="s">
        <v>420</v>
      </c>
      <c r="E56" s="20" t="s">
        <v>298</v>
      </c>
      <c r="F56" s="20">
        <v>148</v>
      </c>
      <c r="G56" s="20">
        <v>403</v>
      </c>
      <c r="H56" s="13" t="s">
        <v>260</v>
      </c>
      <c r="I56" s="13" t="str">
        <f t="shared" si="3"/>
        <v>Tradewinds (Tradewinds Park to SR 7)</v>
      </c>
      <c r="J56" s="13" t="s">
        <v>366</v>
      </c>
      <c r="K56" s="13" t="str">
        <f>VLOOKUP(J56,'Data-ProjectTypes'!A$3:B$13,2,FALSE)</f>
        <v>Program</v>
      </c>
      <c r="L56" s="21" t="s">
        <v>348</v>
      </c>
      <c r="M56" s="13" t="s">
        <v>259</v>
      </c>
      <c r="N56" s="13" t="s">
        <v>53</v>
      </c>
      <c r="O56" s="13" t="s">
        <v>272</v>
      </c>
      <c r="P56" s="13" t="s">
        <v>272</v>
      </c>
      <c r="Q56" s="22">
        <v>3</v>
      </c>
      <c r="R56" s="23">
        <v>3028100</v>
      </c>
      <c r="S56" s="21"/>
      <c r="T56" s="21"/>
      <c r="U56" s="21"/>
      <c r="V56" s="24"/>
      <c r="W56" s="24"/>
      <c r="X56" s="24" t="s">
        <v>491</v>
      </c>
      <c r="Y56" s="17" t="s">
        <v>492</v>
      </c>
      <c r="Z56" s="18">
        <f>ROUND(R56*'Data-CostAssumptions'!$C$3,-3)</f>
        <v>4191000</v>
      </c>
      <c r="AA56" s="11">
        <f t="shared" si="1"/>
        <v>0</v>
      </c>
      <c r="AB56" s="11">
        <v>2041</v>
      </c>
      <c r="AC56" s="11">
        <v>2041</v>
      </c>
      <c r="AD56" s="11">
        <v>2041</v>
      </c>
      <c r="AE56" s="19">
        <f>ROUND((Z56*'Data-CostAssumptions'!$G$5)*(1+'Data-CostAssumptions'!$G$3)^(AB56-'Data-CostAssumptions'!$G$4),-3)</f>
        <v>2364000</v>
      </c>
      <c r="AF56" s="19">
        <f>ROUND((Z56)*(1+'Data-CostAssumptions'!$G$3)^(AD56-'Data-CostAssumptions'!$G$4),-3)</f>
        <v>10746000</v>
      </c>
      <c r="AG56" s="170" t="str">
        <f t="shared" si="2"/>
        <v>No</v>
      </c>
    </row>
    <row r="57" spans="1:33" ht="15" customHeight="1" x14ac:dyDescent="0.2">
      <c r="B57" s="11" t="s">
        <v>1211</v>
      </c>
      <c r="C57" s="13">
        <v>10135</v>
      </c>
      <c r="D57" s="13" t="s">
        <v>420</v>
      </c>
      <c r="E57" s="20" t="s">
        <v>298</v>
      </c>
      <c r="F57" s="20">
        <v>148</v>
      </c>
      <c r="G57" s="20">
        <v>404</v>
      </c>
      <c r="H57" s="13" t="s">
        <v>242</v>
      </c>
      <c r="I57" s="13" t="str">
        <f t="shared" si="3"/>
        <v>Vista View (New River Greenway to Griffin Rd)</v>
      </c>
      <c r="J57" s="13" t="s">
        <v>366</v>
      </c>
      <c r="K57" s="13" t="str">
        <f>VLOOKUP(J57,'Data-ProjectTypes'!A$3:B$13,2,FALSE)</f>
        <v>Program</v>
      </c>
      <c r="L57" s="21" t="s">
        <v>348</v>
      </c>
      <c r="M57" s="13" t="s">
        <v>55</v>
      </c>
      <c r="N57" s="13" t="s">
        <v>1750</v>
      </c>
      <c r="O57" s="13" t="s">
        <v>272</v>
      </c>
      <c r="P57" s="13" t="s">
        <v>272</v>
      </c>
      <c r="Q57" s="22">
        <v>4.2</v>
      </c>
      <c r="R57" s="23">
        <v>4213800</v>
      </c>
      <c r="S57" s="21" t="s">
        <v>24</v>
      </c>
      <c r="T57" s="21" t="s">
        <v>25</v>
      </c>
      <c r="U57" s="21"/>
      <c r="V57" s="24"/>
      <c r="W57" s="24"/>
      <c r="X57" s="24"/>
      <c r="Y57" s="17" t="s">
        <v>492</v>
      </c>
      <c r="Z57" s="18">
        <f>ROUND(R57*'Data-CostAssumptions'!$C$3,-3)</f>
        <v>5832000</v>
      </c>
      <c r="AA57" s="11">
        <f t="shared" si="1"/>
        <v>0</v>
      </c>
      <c r="AB57" s="11">
        <v>2041</v>
      </c>
      <c r="AC57" s="11">
        <v>2041</v>
      </c>
      <c r="AD57" s="11">
        <v>2041</v>
      </c>
      <c r="AE57" s="19">
        <f>ROUND((Z57*'Data-CostAssumptions'!$G$5)*(1+'Data-CostAssumptions'!$G$3)^(AB57-'Data-CostAssumptions'!$G$4),-3)</f>
        <v>3290000</v>
      </c>
      <c r="AF57" s="19">
        <f>ROUND((Z57)*(1+'Data-CostAssumptions'!$G$3)^(AD57-'Data-CostAssumptions'!$G$4),-3)</f>
        <v>14953000</v>
      </c>
      <c r="AG57" s="170" t="str">
        <f t="shared" si="2"/>
        <v>No</v>
      </c>
    </row>
    <row r="58" spans="1:33" ht="15" customHeight="1" x14ac:dyDescent="0.2">
      <c r="B58" s="11" t="s">
        <v>1211</v>
      </c>
      <c r="C58" s="13">
        <v>10136</v>
      </c>
      <c r="D58" s="13" t="s">
        <v>420</v>
      </c>
      <c r="E58" s="20" t="s">
        <v>298</v>
      </c>
      <c r="F58" s="20">
        <v>148</v>
      </c>
      <c r="G58" s="20">
        <v>405</v>
      </c>
      <c r="H58" s="13" t="s">
        <v>129</v>
      </c>
      <c r="I58" s="13" t="str">
        <f t="shared" si="3"/>
        <v>Waldrep to C-9 Connector (South County Line to Miramar Parkway)</v>
      </c>
      <c r="J58" s="13" t="s">
        <v>366</v>
      </c>
      <c r="K58" s="13" t="str">
        <f>VLOOKUP(J58,'Data-ProjectTypes'!A$3:B$13,2,FALSE)</f>
        <v>Program</v>
      </c>
      <c r="L58" s="21" t="s">
        <v>348</v>
      </c>
      <c r="M58" s="13" t="s">
        <v>155</v>
      </c>
      <c r="N58" s="13" t="s">
        <v>39</v>
      </c>
      <c r="O58" s="13" t="s">
        <v>274</v>
      </c>
      <c r="P58" s="13" t="s">
        <v>274</v>
      </c>
      <c r="Q58" s="22">
        <v>1.9</v>
      </c>
      <c r="R58" s="23">
        <v>1923400</v>
      </c>
      <c r="S58" s="21"/>
      <c r="T58" s="21"/>
      <c r="U58" s="21"/>
      <c r="V58" s="24"/>
      <c r="W58" s="24"/>
      <c r="X58" s="24"/>
      <c r="Y58" s="17"/>
      <c r="Z58" s="18">
        <f>ROUND(R58*'Data-CostAssumptions'!$C$3,-3)</f>
        <v>2662000</v>
      </c>
      <c r="AA58" s="11">
        <f t="shared" si="1"/>
        <v>0</v>
      </c>
      <c r="AB58" s="11">
        <v>2041</v>
      </c>
      <c r="AC58" s="11">
        <v>2041</v>
      </c>
      <c r="AD58" s="11">
        <v>2041</v>
      </c>
      <c r="AE58" s="19">
        <f>ROUND((Z58*'Data-CostAssumptions'!$G$5)*(1+'Data-CostAssumptions'!$G$3)^(AB58-'Data-CostAssumptions'!$G$4),-3)</f>
        <v>1502000</v>
      </c>
      <c r="AF58" s="19">
        <f>ROUND((Z58)*(1+'Data-CostAssumptions'!$G$3)^(AD58-'Data-CostAssumptions'!$G$4),-3)</f>
        <v>6825000</v>
      </c>
      <c r="AG58" s="170" t="str">
        <f t="shared" si="2"/>
        <v>No</v>
      </c>
    </row>
    <row r="59" spans="1:33" ht="15" customHeight="1" x14ac:dyDescent="0.2">
      <c r="B59" s="11" t="s">
        <v>1211</v>
      </c>
      <c r="C59" s="13">
        <v>10137</v>
      </c>
      <c r="D59" s="13" t="s">
        <v>420</v>
      </c>
      <c r="E59" s="20" t="s">
        <v>298</v>
      </c>
      <c r="F59" s="20">
        <v>148</v>
      </c>
      <c r="G59" s="20">
        <v>406</v>
      </c>
      <c r="H59" s="13" t="s">
        <v>129</v>
      </c>
      <c r="I59" s="13" t="str">
        <f t="shared" si="3"/>
        <v>Waldrep to C-9 Connector (Miramar Parkway to Pines Bl)</v>
      </c>
      <c r="J59" s="13" t="s">
        <v>366</v>
      </c>
      <c r="K59" s="13" t="str">
        <f>VLOOKUP(J59,'Data-ProjectTypes'!A$3:B$13,2,FALSE)</f>
        <v>Program</v>
      </c>
      <c r="L59" s="21" t="s">
        <v>348</v>
      </c>
      <c r="M59" s="13" t="s">
        <v>39</v>
      </c>
      <c r="N59" s="13" t="s">
        <v>1826</v>
      </c>
      <c r="O59" s="13" t="s">
        <v>272</v>
      </c>
      <c r="P59" s="13" t="s">
        <v>272</v>
      </c>
      <c r="Q59" s="22">
        <v>2.5</v>
      </c>
      <c r="R59" s="23">
        <v>2463000</v>
      </c>
      <c r="S59" s="21"/>
      <c r="T59" s="21"/>
      <c r="U59" s="21"/>
      <c r="V59" s="24"/>
      <c r="W59" s="24"/>
      <c r="X59" s="32"/>
      <c r="Y59" s="17"/>
      <c r="Z59" s="18">
        <f>ROUND(R59*'Data-CostAssumptions'!$C$3,-3)</f>
        <v>3409000</v>
      </c>
      <c r="AA59" s="11">
        <f t="shared" si="1"/>
        <v>0</v>
      </c>
      <c r="AB59" s="11">
        <v>2041</v>
      </c>
      <c r="AC59" s="11">
        <v>2041</v>
      </c>
      <c r="AD59" s="11">
        <v>2041</v>
      </c>
      <c r="AE59" s="19">
        <f>ROUND((Z59*'Data-CostAssumptions'!$G$5)*(1+'Data-CostAssumptions'!$G$3)^(AB59-'Data-CostAssumptions'!$G$4),-3)</f>
        <v>1923000</v>
      </c>
      <c r="AF59" s="19">
        <f>ROUND((Z59)*(1+'Data-CostAssumptions'!$G$3)^(AD59-'Data-CostAssumptions'!$G$4),-3)</f>
        <v>8741000</v>
      </c>
      <c r="AG59" s="170" t="str">
        <f t="shared" si="2"/>
        <v>No</v>
      </c>
    </row>
    <row r="60" spans="1:33" ht="15" customHeight="1" x14ac:dyDescent="0.2">
      <c r="B60" s="11" t="s">
        <v>1211</v>
      </c>
      <c r="C60" s="13">
        <v>10138</v>
      </c>
      <c r="D60" s="13" t="s">
        <v>420</v>
      </c>
      <c r="E60" s="20" t="s">
        <v>298</v>
      </c>
      <c r="F60" s="20">
        <v>148</v>
      </c>
      <c r="G60" s="20">
        <v>407</v>
      </c>
      <c r="H60" s="13" t="s">
        <v>129</v>
      </c>
      <c r="I60" s="13" t="str">
        <f t="shared" si="3"/>
        <v>Waldrep to C-9 Connector (Pines Bl to Sheridan)</v>
      </c>
      <c r="J60" s="13" t="s">
        <v>366</v>
      </c>
      <c r="K60" s="13" t="str">
        <f>VLOOKUP(J60,'Data-ProjectTypes'!A$3:B$13,2,FALSE)</f>
        <v>Program</v>
      </c>
      <c r="L60" s="21" t="s">
        <v>348</v>
      </c>
      <c r="M60" s="13" t="s">
        <v>1826</v>
      </c>
      <c r="N60" s="13" t="s">
        <v>128</v>
      </c>
      <c r="O60" s="13" t="s">
        <v>272</v>
      </c>
      <c r="P60" s="13" t="s">
        <v>272</v>
      </c>
      <c r="Q60" s="22">
        <v>1.8</v>
      </c>
      <c r="R60" s="23">
        <v>1775800</v>
      </c>
      <c r="S60" s="21"/>
      <c r="T60" s="21"/>
      <c r="U60" s="21"/>
      <c r="V60" s="24"/>
      <c r="W60" s="24"/>
      <c r="X60" s="24"/>
      <c r="Y60" s="17"/>
      <c r="Z60" s="18">
        <f>ROUND(R60*'Data-CostAssumptions'!$C$3,-3)</f>
        <v>2458000</v>
      </c>
      <c r="AA60" s="11">
        <f t="shared" si="1"/>
        <v>0</v>
      </c>
      <c r="AB60" s="11">
        <v>2041</v>
      </c>
      <c r="AC60" s="11">
        <v>2041</v>
      </c>
      <c r="AD60" s="11">
        <v>2041</v>
      </c>
      <c r="AE60" s="19">
        <f>ROUND((Z60*'Data-CostAssumptions'!$G$5)*(1+'Data-CostAssumptions'!$G$3)^(AB60-'Data-CostAssumptions'!$G$4),-3)</f>
        <v>1386000</v>
      </c>
      <c r="AF60" s="19">
        <f>ROUND((Z60)*(1+'Data-CostAssumptions'!$G$3)^(AD60-'Data-CostAssumptions'!$G$4),-3)</f>
        <v>6302000</v>
      </c>
      <c r="AG60" s="170" t="str">
        <f t="shared" si="2"/>
        <v>No</v>
      </c>
    </row>
    <row r="61" spans="1:33" ht="15" customHeight="1" x14ac:dyDescent="0.2">
      <c r="B61" s="11" t="s">
        <v>1211</v>
      </c>
      <c r="C61" s="13">
        <v>10139</v>
      </c>
      <c r="D61" s="13" t="s">
        <v>420</v>
      </c>
      <c r="E61" s="20" t="s">
        <v>298</v>
      </c>
      <c r="F61" s="20">
        <v>148</v>
      </c>
      <c r="G61" s="20">
        <v>408</v>
      </c>
      <c r="H61" s="13" t="s">
        <v>2811</v>
      </c>
      <c r="I61" s="13" t="str">
        <f t="shared" si="3"/>
        <v>Waldrep to Griffin _x000D_Connector (Griffin Rd to North Douglas Rd)</v>
      </c>
      <c r="J61" s="13" t="s">
        <v>366</v>
      </c>
      <c r="K61" s="13" t="str">
        <f>VLOOKUP(J61,'Data-ProjectTypes'!A$3:B$13,2,FALSE)</f>
        <v>Program</v>
      </c>
      <c r="L61" s="21" t="s">
        <v>348</v>
      </c>
      <c r="M61" s="13" t="s">
        <v>1750</v>
      </c>
      <c r="N61" s="13" t="s">
        <v>1756</v>
      </c>
      <c r="O61" s="13" t="s">
        <v>273</v>
      </c>
      <c r="P61" s="13" t="s">
        <v>273</v>
      </c>
      <c r="Q61" s="22">
        <v>6.6</v>
      </c>
      <c r="R61" s="23">
        <v>6585300</v>
      </c>
      <c r="S61" s="21"/>
      <c r="T61" s="21"/>
      <c r="U61" s="21"/>
      <c r="V61" s="24"/>
      <c r="W61" s="24"/>
      <c r="X61" s="24"/>
      <c r="Y61" s="17"/>
      <c r="Z61" s="18">
        <f>ROUND(R61*'Data-CostAssumptions'!$C$3,-3)</f>
        <v>9114000</v>
      </c>
      <c r="AA61" s="11">
        <f t="shared" si="1"/>
        <v>0</v>
      </c>
      <c r="AB61" s="11">
        <v>2041</v>
      </c>
      <c r="AC61" s="11">
        <v>2041</v>
      </c>
      <c r="AD61" s="11">
        <v>2041</v>
      </c>
      <c r="AE61" s="19">
        <f>ROUND((Z61*'Data-CostAssumptions'!$G$5)*(1+'Data-CostAssumptions'!$G$3)^(AB61-'Data-CostAssumptions'!$G$4),-3)</f>
        <v>5141000</v>
      </c>
      <c r="AF61" s="19">
        <f>ROUND((Z61)*(1+'Data-CostAssumptions'!$G$3)^(AD61-'Data-CostAssumptions'!$G$4),-3)</f>
        <v>23368000</v>
      </c>
      <c r="AG61" s="170" t="str">
        <f t="shared" si="2"/>
        <v>No</v>
      </c>
    </row>
    <row r="62" spans="1:33" ht="15" customHeight="1" x14ac:dyDescent="0.2">
      <c r="B62" s="11" t="s">
        <v>1211</v>
      </c>
      <c r="C62" s="13">
        <v>10140</v>
      </c>
      <c r="D62" s="13" t="s">
        <v>420</v>
      </c>
      <c r="E62" s="20" t="s">
        <v>298</v>
      </c>
      <c r="F62" s="20">
        <v>148</v>
      </c>
      <c r="G62" s="20">
        <v>409</v>
      </c>
      <c r="H62" s="13" t="s">
        <v>1780</v>
      </c>
      <c r="I62" s="13" t="str">
        <f t="shared" si="3"/>
        <v>Wiles Rd (SR 7 to Conservation Levee)</v>
      </c>
      <c r="J62" s="13" t="s">
        <v>366</v>
      </c>
      <c r="K62" s="13" t="str">
        <f>VLOOKUP(J62,'Data-ProjectTypes'!A$3:B$13,2,FALSE)</f>
        <v>Program</v>
      </c>
      <c r="L62" s="21" t="s">
        <v>348</v>
      </c>
      <c r="M62" s="13" t="s">
        <v>53</v>
      </c>
      <c r="N62" s="13" t="s">
        <v>137</v>
      </c>
      <c r="O62" s="13" t="s">
        <v>272</v>
      </c>
      <c r="P62" s="13" t="s">
        <v>272</v>
      </c>
      <c r="Q62" s="22">
        <v>4.7</v>
      </c>
      <c r="R62" s="23">
        <v>4668500</v>
      </c>
      <c r="S62" s="21"/>
      <c r="T62" s="21"/>
      <c r="U62" s="21"/>
      <c r="V62" s="24"/>
      <c r="W62" s="24"/>
      <c r="X62" s="24"/>
      <c r="Y62" s="17"/>
      <c r="Z62" s="18">
        <f>ROUND(R62*'Data-CostAssumptions'!$C$3,-3)</f>
        <v>6461000</v>
      </c>
      <c r="AA62" s="11">
        <f t="shared" si="1"/>
        <v>0</v>
      </c>
      <c r="AB62" s="11">
        <v>2041</v>
      </c>
      <c r="AC62" s="11">
        <v>2041</v>
      </c>
      <c r="AD62" s="11">
        <v>2041</v>
      </c>
      <c r="AE62" s="19">
        <f>ROUND((Z62*'Data-CostAssumptions'!$G$5)*(1+'Data-CostAssumptions'!$G$3)^(AB62-'Data-CostAssumptions'!$G$4),-3)</f>
        <v>3644000</v>
      </c>
      <c r="AF62" s="19">
        <f>ROUND((Z62)*(1+'Data-CostAssumptions'!$G$3)^(AD62-'Data-CostAssumptions'!$G$4),-3)</f>
        <v>16566000</v>
      </c>
      <c r="AG62" s="170" t="str">
        <f t="shared" si="2"/>
        <v>No</v>
      </c>
    </row>
    <row r="63" spans="1:33" ht="15" customHeight="1" x14ac:dyDescent="0.2">
      <c r="A63" s="38"/>
      <c r="B63" s="38" t="s">
        <v>1211</v>
      </c>
      <c r="C63" s="39">
        <v>10167</v>
      </c>
      <c r="D63" s="39" t="s">
        <v>420</v>
      </c>
      <c r="E63" s="40" t="s">
        <v>298</v>
      </c>
      <c r="F63" s="40">
        <v>149</v>
      </c>
      <c r="G63" s="20">
        <v>410</v>
      </c>
      <c r="H63" s="39" t="s">
        <v>49</v>
      </c>
      <c r="I63" s="39" t="str">
        <f t="shared" si="3"/>
        <v>Wynmor Bridal Path (Copans Rd to Cococut Creek Parkway)</v>
      </c>
      <c r="J63" s="39" t="s">
        <v>366</v>
      </c>
      <c r="K63" s="39" t="str">
        <f>VLOOKUP(J63,'Data-ProjectTypes'!A$3:B$13,2,FALSE)</f>
        <v>Program</v>
      </c>
      <c r="L63" s="41" t="s">
        <v>348</v>
      </c>
      <c r="M63" s="39" t="s">
        <v>1836</v>
      </c>
      <c r="N63" s="39" t="s">
        <v>48</v>
      </c>
      <c r="O63" s="13" t="s">
        <v>270</v>
      </c>
      <c r="P63" s="13" t="s">
        <v>270</v>
      </c>
      <c r="Q63" s="42">
        <v>1</v>
      </c>
      <c r="R63" s="43">
        <v>1014500</v>
      </c>
      <c r="S63" s="21" t="s">
        <v>350</v>
      </c>
      <c r="T63" s="21"/>
      <c r="U63" s="21"/>
      <c r="V63" s="24"/>
      <c r="W63" s="24"/>
      <c r="X63" s="24" t="s">
        <v>496</v>
      </c>
      <c r="Y63" s="17" t="s">
        <v>492</v>
      </c>
      <c r="Z63" s="18">
        <f>ROUND(R63*'Data-CostAssumptions'!$C$3,-3)</f>
        <v>1404000</v>
      </c>
      <c r="AA63" s="11">
        <f t="shared" si="1"/>
        <v>0</v>
      </c>
      <c r="AB63" s="11">
        <v>2041</v>
      </c>
      <c r="AC63" s="11">
        <v>2041</v>
      </c>
      <c r="AD63" s="11">
        <v>2041</v>
      </c>
      <c r="AE63" s="19">
        <f>ROUND((Z63*'Data-CostAssumptions'!$G$5)*(1+'Data-CostAssumptions'!$G$3)^(AB63-'Data-CostAssumptions'!$G$4),-3)</f>
        <v>792000</v>
      </c>
      <c r="AF63" s="19">
        <f>ROUND((Z63)*(1+'Data-CostAssumptions'!$G$3)^(AD63-'Data-CostAssumptions'!$G$4),-3)</f>
        <v>3600000</v>
      </c>
      <c r="AG63" s="170" t="str">
        <f t="shared" si="2"/>
        <v>No</v>
      </c>
    </row>
    <row r="64" spans="1:33" ht="15" customHeight="1" x14ac:dyDescent="0.2">
      <c r="B64" s="11" t="s">
        <v>1211</v>
      </c>
      <c r="C64" s="11">
        <v>12350</v>
      </c>
      <c r="D64" s="84" t="s">
        <v>663</v>
      </c>
      <c r="E64" s="14"/>
      <c r="F64" s="14"/>
      <c r="G64" s="20">
        <v>1806</v>
      </c>
      <c r="H64" s="13" t="s">
        <v>664</v>
      </c>
      <c r="I64" s="13" t="str">
        <f t="shared" si="3"/>
        <v>C-13 Greenway trail ( to @ Sr 7 crossing)</v>
      </c>
      <c r="J64" s="11" t="s">
        <v>366</v>
      </c>
      <c r="K64" s="13" t="str">
        <f>VLOOKUP(J64,'Data-ProjectTypes'!A$3:B$13,2,FALSE)</f>
        <v>Program</v>
      </c>
      <c r="L64" s="11" t="s">
        <v>666</v>
      </c>
      <c r="N64" s="97" t="s">
        <v>665</v>
      </c>
      <c r="Q64" s="15">
        <v>0</v>
      </c>
      <c r="R64" s="16">
        <v>125000</v>
      </c>
      <c r="S64" s="21"/>
      <c r="T64" s="21"/>
      <c r="U64" s="21"/>
      <c r="V64" s="24"/>
      <c r="W64" s="24"/>
      <c r="X64" s="24"/>
      <c r="Y64" s="17"/>
      <c r="Z64" s="18">
        <f>ROUND(R64*'Data-CostAssumptions'!$C$3,-3)</f>
        <v>173000</v>
      </c>
      <c r="AA64" s="11">
        <f t="shared" si="1"/>
        <v>0</v>
      </c>
      <c r="AB64" s="11">
        <v>2041</v>
      </c>
      <c r="AC64" s="11">
        <v>2041</v>
      </c>
      <c r="AD64" s="11">
        <v>2041</v>
      </c>
      <c r="AE64" s="19">
        <f>ROUND((Z64*'Data-CostAssumptions'!$G$5)*(1+'Data-CostAssumptions'!$G$3)^(AB64-'Data-CostAssumptions'!$G$4),-3)</f>
        <v>98000</v>
      </c>
      <c r="AF64" s="19">
        <f>ROUND((Z64)*(1+'Data-CostAssumptions'!$G$3)^(AD64-'Data-CostAssumptions'!$G$4),-3)</f>
        <v>444000</v>
      </c>
      <c r="AG64" s="170" t="str">
        <f t="shared" si="2"/>
        <v>No</v>
      </c>
    </row>
    <row r="65" spans="2:33" ht="15" customHeight="1" x14ac:dyDescent="0.2">
      <c r="B65" s="11" t="s">
        <v>1211</v>
      </c>
      <c r="C65" s="11">
        <v>12351</v>
      </c>
      <c r="D65" s="84" t="s">
        <v>663</v>
      </c>
      <c r="E65" s="14"/>
      <c r="F65" s="14"/>
      <c r="G65" s="20">
        <v>1807</v>
      </c>
      <c r="H65" s="13" t="s">
        <v>664</v>
      </c>
      <c r="I65" s="13" t="str">
        <f t="shared" si="3"/>
        <v>C-13 Greenway trail ( to )</v>
      </c>
      <c r="J65" s="11" t="s">
        <v>366</v>
      </c>
      <c r="K65" s="13" t="str">
        <f>VLOOKUP(J65,'Data-ProjectTypes'!A$3:B$13,2,FALSE)</f>
        <v>Program</v>
      </c>
      <c r="L65" s="85" t="s">
        <v>669</v>
      </c>
      <c r="Q65" s="15">
        <v>0.25</v>
      </c>
      <c r="R65" s="16">
        <v>150000</v>
      </c>
      <c r="S65" s="21"/>
      <c r="T65" s="21"/>
      <c r="U65" s="21"/>
      <c r="V65" s="24"/>
      <c r="W65" s="24"/>
      <c r="X65" s="24" t="s">
        <v>764</v>
      </c>
      <c r="Y65" s="17" t="s">
        <v>765</v>
      </c>
      <c r="Z65" s="18">
        <f>ROUND(R65*'Data-CostAssumptions'!$C$3,-3)</f>
        <v>208000</v>
      </c>
      <c r="AA65" s="11">
        <f t="shared" si="1"/>
        <v>0</v>
      </c>
      <c r="AB65" s="11">
        <v>2041</v>
      </c>
      <c r="AC65" s="11">
        <v>2041</v>
      </c>
      <c r="AD65" s="11">
        <v>2041</v>
      </c>
      <c r="AE65" s="19">
        <f>ROUND((Z65*'Data-CostAssumptions'!$G$5)*(1+'Data-CostAssumptions'!$G$3)^(AB65-'Data-CostAssumptions'!$G$4),-3)</f>
        <v>117000</v>
      </c>
      <c r="AF65" s="19">
        <f>ROUND((Z65)*(1+'Data-CostAssumptions'!$G$3)^(AD65-'Data-CostAssumptions'!$G$4),-3)</f>
        <v>533000</v>
      </c>
      <c r="AG65" s="170" t="str">
        <f t="shared" si="2"/>
        <v>No</v>
      </c>
    </row>
    <row r="66" spans="2:33" ht="15" customHeight="1" x14ac:dyDescent="0.2">
      <c r="B66" s="11" t="s">
        <v>1211</v>
      </c>
      <c r="C66" s="11">
        <v>12502</v>
      </c>
      <c r="D66" s="84" t="s">
        <v>287</v>
      </c>
      <c r="E66" s="14"/>
      <c r="F66" s="14"/>
      <c r="G66" s="20">
        <v>1816</v>
      </c>
      <c r="H66" s="13" t="s">
        <v>2710</v>
      </c>
      <c r="I66" s="13" t="str">
        <f t="shared" ref="I66:I67" si="4">IF(M66="@",H66&amp;" ("&amp;M66&amp;"  "&amp;N66&amp;")",H66&amp;" ("&amp;M66&amp;" to "&amp;N66&amp;")")</f>
        <v>SR 816/Oakland Park Bl (I95 to NW 31 Av)</v>
      </c>
      <c r="J66" s="11" t="s">
        <v>366</v>
      </c>
      <c r="K66" s="13" t="str">
        <f>VLOOKUP(J66,'Data-ProjectTypes'!A$3:B$13,2,FALSE)</f>
        <v>Program</v>
      </c>
      <c r="L66" s="85" t="s">
        <v>720</v>
      </c>
      <c r="M66" s="11" t="s">
        <v>727</v>
      </c>
      <c r="N66" s="11" t="s">
        <v>2249</v>
      </c>
      <c r="Q66" s="15">
        <v>2.2999999999999998</v>
      </c>
      <c r="R66" s="16">
        <v>220000</v>
      </c>
      <c r="S66" s="21" t="s">
        <v>24</v>
      </c>
      <c r="T66" s="21" t="s">
        <v>24</v>
      </c>
      <c r="U66" s="21"/>
      <c r="V66" s="24"/>
      <c r="W66" s="24"/>
      <c r="X66" s="24"/>
      <c r="Y66" s="17" t="s">
        <v>469</v>
      </c>
      <c r="Z66" s="18">
        <f>ROUND(R66*'Data-CostAssumptions'!$C$3,-3)</f>
        <v>304000</v>
      </c>
      <c r="AA66" s="11">
        <f t="shared" si="1"/>
        <v>0</v>
      </c>
      <c r="AB66" s="11">
        <v>2041</v>
      </c>
      <c r="AC66" s="11">
        <v>2041</v>
      </c>
      <c r="AD66" s="11">
        <v>2041</v>
      </c>
      <c r="AE66" s="19">
        <f>ROUND((Z66*'Data-CostAssumptions'!$G$5)*(1+'Data-CostAssumptions'!$G$3)^(AB66-'Data-CostAssumptions'!$G$4),-3)</f>
        <v>171000</v>
      </c>
      <c r="AF66" s="19">
        <f>ROUND((Z66)*(1+'Data-CostAssumptions'!$G$3)^(AD66-'Data-CostAssumptions'!$G$4),-3)</f>
        <v>779000</v>
      </c>
      <c r="AG66" s="170" t="str">
        <f t="shared" si="2"/>
        <v>No</v>
      </c>
    </row>
    <row r="67" spans="2:33" ht="15" customHeight="1" x14ac:dyDescent="0.2">
      <c r="B67" s="11" t="s">
        <v>316</v>
      </c>
      <c r="C67" s="13">
        <v>10152</v>
      </c>
      <c r="D67" s="13" t="s">
        <v>420</v>
      </c>
      <c r="E67" s="20" t="s">
        <v>298</v>
      </c>
      <c r="F67" s="20">
        <v>149</v>
      </c>
      <c r="G67" s="20">
        <v>371</v>
      </c>
      <c r="H67" s="13" t="s">
        <v>1977</v>
      </c>
      <c r="I67" s="13" t="str">
        <f t="shared" si="4"/>
        <v>Miramar Pkwy (Florida's Turnpike to Flamingo Rd)</v>
      </c>
      <c r="J67" s="13" t="s">
        <v>366</v>
      </c>
      <c r="K67" s="13" t="str">
        <f>VLOOKUP(J67,'Data-ProjectTypes'!A$3:B$13,2,FALSE)</f>
        <v>Program</v>
      </c>
      <c r="L67" s="21" t="s">
        <v>2701</v>
      </c>
      <c r="M67" s="13" t="s">
        <v>42</v>
      </c>
      <c r="N67" s="13" t="s">
        <v>159</v>
      </c>
      <c r="O67" s="13" t="s">
        <v>274</v>
      </c>
      <c r="P67" s="13" t="s">
        <v>274</v>
      </c>
      <c r="Q67" s="22">
        <v>5.0999999999999996</v>
      </c>
      <c r="R67" s="23">
        <v>5067500</v>
      </c>
      <c r="S67" s="21"/>
      <c r="T67" s="21"/>
      <c r="U67" s="21"/>
      <c r="V67" s="36" t="s">
        <v>3238</v>
      </c>
      <c r="W67" s="24"/>
      <c r="X67" s="37" t="s">
        <v>3239</v>
      </c>
      <c r="Y67" s="17" t="s">
        <v>783</v>
      </c>
      <c r="Z67" s="18">
        <f>ROUND(R67*'Data-CostAssumptions'!$C$3,-3)</f>
        <v>7013000</v>
      </c>
      <c r="AA67" s="11">
        <f t="shared" ref="AA67" si="5">IF(V67="",IF(W67="",0,1),1)</f>
        <v>1</v>
      </c>
      <c r="AB67" s="11">
        <v>2041</v>
      </c>
      <c r="AC67" s="11">
        <v>2041</v>
      </c>
      <c r="AD67" s="11">
        <v>2041</v>
      </c>
      <c r="AE67" s="19">
        <f>ROUND((Z67*'Data-CostAssumptions'!$G$5)*(1+'Data-CostAssumptions'!$G$3)^(AB67-'Data-CostAssumptions'!$G$4),-3)</f>
        <v>3956000</v>
      </c>
      <c r="AF67" s="19">
        <f>ROUND((Z67)*(1+'Data-CostAssumptions'!$G$3)^(AD67-'Data-CostAssumptions'!$G$4),-3)</f>
        <v>17981000</v>
      </c>
      <c r="AG67" s="170" t="str">
        <f t="shared" ref="AG67" si="6">IF(MIN(AC67:AD67)&lt;2041,"Yes","No")</f>
        <v>No</v>
      </c>
    </row>
    <row r="68" spans="2:33" ht="15" customHeight="1" x14ac:dyDescent="0.2">
      <c r="Z68" s="19">
        <f>SUM(Z2:Z67)</f>
        <v>311279000</v>
      </c>
    </row>
  </sheetData>
  <conditionalFormatting sqref="H2:I67">
    <cfRule type="expression" dxfId="102" priority="3">
      <formula>B2="KILL"</formula>
    </cfRule>
  </conditionalFormatting>
  <conditionalFormatting sqref="AB2:AD67">
    <cfRule type="cellIs" dxfId="101" priority="2" operator="lessThan">
      <formula>2041</formula>
    </cfRule>
  </conditionalFormatting>
  <conditionalFormatting sqref="AG2:AG67">
    <cfRule type="cellIs" dxfId="100" priority="1" operator="equal">
      <formula>"Yes"</formula>
    </cfRule>
  </conditionalFormatting>
  <pageMargins left="0.25" right="0.25" top="0.75" bottom="0.75" header="0.3" footer="0.3"/>
  <pageSetup scale="4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E0F7"/>
    <pageSetUpPr fitToPage="1"/>
  </sheetPr>
  <dimension ref="A1:AG100"/>
  <sheetViews>
    <sheetView showGridLines="0" workbookViewId="0">
      <pane ySplit="1" topLeftCell="A2" activePane="bottomLeft" state="frozen"/>
      <selection pane="bottomLeft"/>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5" style="11" bestFit="1" customWidth="1"/>
    <col min="5" max="5" width="9.5703125" style="11" bestFit="1" customWidth="1"/>
    <col min="6" max="6" width="8.140625" style="11" bestFit="1" customWidth="1"/>
    <col min="7" max="7" width="8" style="11" bestFit="1" customWidth="1"/>
    <col min="8" max="8" width="39.42578125" style="11" bestFit="1" customWidth="1"/>
    <col min="9" max="9" width="64" style="11" bestFit="1" customWidth="1"/>
    <col min="10" max="10" width="6.5703125" style="11" bestFit="1" customWidth="1"/>
    <col min="11" max="11" width="14" style="11" bestFit="1" customWidth="1"/>
    <col min="12" max="12" width="255.7109375" style="11" bestFit="1" customWidth="1"/>
    <col min="13" max="13" width="11.140625" style="11" bestFit="1" customWidth="1"/>
    <col min="14" max="14" width="27.5703125" style="11" bestFit="1" customWidth="1"/>
    <col min="15" max="15" width="11" style="11" bestFit="1" customWidth="1"/>
    <col min="16" max="16" width="12.42578125" style="11" bestFit="1" customWidth="1"/>
    <col min="17" max="17" width="12.28515625" style="11" bestFit="1" customWidth="1"/>
    <col min="18" max="18" width="12.140625" style="11" bestFit="1" customWidth="1"/>
    <col min="19" max="19" width="9.140625" style="11" customWidth="1"/>
    <col min="20" max="20" width="78.140625" style="11" bestFit="1" customWidth="1"/>
    <col min="21" max="21" width="77.42578125" style="11" bestFit="1" customWidth="1"/>
    <col min="22" max="22" width="255.7109375" style="11" bestFit="1" customWidth="1"/>
    <col min="23" max="23" width="154.42578125" style="11" bestFit="1" customWidth="1"/>
    <col min="24" max="24" width="27.28515625" style="11" bestFit="1" customWidth="1"/>
    <col min="25" max="25" width="70.1406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9.42578125" style="11" bestFit="1" customWidth="1"/>
    <col min="32" max="32" width="14.5703125" style="11" bestFit="1" customWidth="1"/>
    <col min="33" max="33" width="14.42578125" style="11" hidden="1" customWidth="1"/>
    <col min="34" max="16384" width="9.140625" style="11"/>
  </cols>
  <sheetData>
    <row r="1" spans="1:33" ht="15" customHeight="1" x14ac:dyDescent="0.2">
      <c r="A1" s="312" t="s">
        <v>1192</v>
      </c>
      <c r="B1" s="312" t="s">
        <v>1211</v>
      </c>
      <c r="C1" s="312" t="s">
        <v>1193</v>
      </c>
      <c r="D1" s="313" t="s">
        <v>419</v>
      </c>
      <c r="E1" s="314" t="s">
        <v>1217</v>
      </c>
      <c r="F1" s="314" t="s">
        <v>1218</v>
      </c>
      <c r="G1" s="315" t="s">
        <v>3105</v>
      </c>
      <c r="H1" s="308" t="s">
        <v>1</v>
      </c>
      <c r="I1" s="308" t="s">
        <v>1739</v>
      </c>
      <c r="J1" s="308" t="s">
        <v>299</v>
      </c>
      <c r="K1" s="316" t="s">
        <v>1209</v>
      </c>
      <c r="L1" s="308" t="s">
        <v>2</v>
      </c>
      <c r="M1" s="317" t="s">
        <v>1191</v>
      </c>
      <c r="N1" s="308" t="s">
        <v>1198</v>
      </c>
      <c r="O1" s="308" t="s">
        <v>1196</v>
      </c>
      <c r="P1" s="308" t="s">
        <v>1197</v>
      </c>
      <c r="Q1" s="318" t="s">
        <v>1194</v>
      </c>
      <c r="R1" s="308" t="s">
        <v>1195</v>
      </c>
      <c r="S1" s="308" t="s">
        <v>2705</v>
      </c>
      <c r="T1" s="319" t="s">
        <v>349</v>
      </c>
      <c r="U1" s="319" t="s">
        <v>358</v>
      </c>
      <c r="V1" s="319" t="s">
        <v>434</v>
      </c>
      <c r="W1" s="319" t="s">
        <v>3252</v>
      </c>
      <c r="X1" s="319" t="s">
        <v>360</v>
      </c>
      <c r="Y1" s="308" t="s">
        <v>2703</v>
      </c>
      <c r="Z1" s="320" t="s">
        <v>3045</v>
      </c>
      <c r="AA1" s="321" t="s">
        <v>3107</v>
      </c>
      <c r="AB1" s="309" t="s">
        <v>3167</v>
      </c>
      <c r="AC1" s="309" t="s">
        <v>3117</v>
      </c>
      <c r="AD1" s="309" t="s">
        <v>3118</v>
      </c>
      <c r="AE1" s="310" t="s">
        <v>3168</v>
      </c>
      <c r="AF1" s="310" t="s">
        <v>3125</v>
      </c>
      <c r="AG1" s="311" t="s">
        <v>3155</v>
      </c>
    </row>
    <row r="2" spans="1:33" ht="15" customHeight="1" x14ac:dyDescent="0.2">
      <c r="B2" s="11" t="s">
        <v>1211</v>
      </c>
      <c r="C2" s="11">
        <v>12711</v>
      </c>
      <c r="D2" s="84" t="s">
        <v>278</v>
      </c>
      <c r="E2" s="14"/>
      <c r="F2" s="14"/>
      <c r="G2" s="20">
        <v>1852</v>
      </c>
      <c r="H2" s="13" t="s">
        <v>825</v>
      </c>
      <c r="I2" s="13" t="str">
        <f t="shared" ref="I2:I33" si="0">IF(M2="@",H2&amp;" ("&amp;M2&amp;"  "&amp;N2&amp;")",H2&amp;" ("&amp;M2&amp;" to "&amp;N2&amp;")")</f>
        <v>Community Shuttle (@  City of Sunrise)</v>
      </c>
      <c r="J2" s="11" t="s">
        <v>347</v>
      </c>
      <c r="K2" s="13" t="str">
        <f>VLOOKUP(J2,'Data-ProjectTypes'!A$3:B$13,2,FALSE)</f>
        <v>Project</v>
      </c>
      <c r="L2" s="11" t="s">
        <v>826</v>
      </c>
      <c r="M2" s="154" t="s">
        <v>2835</v>
      </c>
      <c r="N2" s="155" t="s">
        <v>2966</v>
      </c>
      <c r="Q2" s="15"/>
      <c r="R2" s="16">
        <v>300000</v>
      </c>
      <c r="S2" s="117"/>
      <c r="T2" s="12"/>
      <c r="U2" s="12"/>
      <c r="V2" s="12"/>
      <c r="W2" s="12"/>
      <c r="X2" s="12"/>
      <c r="Y2" s="117"/>
      <c r="Z2" s="135">
        <f>ROUND(R2*'Data-CostAssumptions'!$C$8,-3)</f>
        <v>300000</v>
      </c>
      <c r="AA2" s="11">
        <f>IF(V2="",IF(W2="",0,1),1)</f>
        <v>0</v>
      </c>
      <c r="AB2" s="11">
        <v>2041</v>
      </c>
      <c r="AC2" s="11">
        <v>2041</v>
      </c>
      <c r="AD2" s="11">
        <v>2041</v>
      </c>
      <c r="AE2" s="19">
        <f>ROUND((Z2*'Data-CostAssumptions'!$G$5)*(1+'Data-CostAssumptions'!$G$3)^(AB2-'Data-CostAssumptions'!$G$4),-3)</f>
        <v>169000</v>
      </c>
      <c r="AF2" s="19">
        <f>ROUND((Z2)*(1+'Data-CostAssumptions'!$G$3)^(AD2-'Data-CostAssumptions'!$G$4),-3)</f>
        <v>769000</v>
      </c>
      <c r="AG2" s="170" t="str">
        <f>IF(MIN(AC2:AD2)&lt;2041,"Yes","No")</f>
        <v>No</v>
      </c>
    </row>
    <row r="3" spans="1:33" ht="15" customHeight="1" x14ac:dyDescent="0.2">
      <c r="B3" s="11" t="s">
        <v>1211</v>
      </c>
      <c r="C3" s="13">
        <v>10064</v>
      </c>
      <c r="D3" s="13" t="s">
        <v>420</v>
      </c>
      <c r="E3" s="20" t="s">
        <v>298</v>
      </c>
      <c r="F3" s="20">
        <v>143</v>
      </c>
      <c r="G3" s="20">
        <v>943</v>
      </c>
      <c r="H3" s="13" t="s">
        <v>1836</v>
      </c>
      <c r="I3" s="13" t="str">
        <f t="shared" si="0"/>
        <v>Copans Rd (@  Dixie Hwy)</v>
      </c>
      <c r="J3" s="13" t="s">
        <v>347</v>
      </c>
      <c r="K3" s="13" t="str">
        <f>VLOOKUP(J3,'Data-ProjectTypes'!A$3:B$13,2,FALSE)</f>
        <v>Project</v>
      </c>
      <c r="L3" s="21" t="s">
        <v>77</v>
      </c>
      <c r="M3" s="13" t="s">
        <v>2835</v>
      </c>
      <c r="N3" s="13" t="s">
        <v>728</v>
      </c>
      <c r="O3" s="13" t="s">
        <v>365</v>
      </c>
      <c r="P3" s="13" t="s">
        <v>365</v>
      </c>
      <c r="Q3" s="22"/>
      <c r="R3" s="23">
        <v>718159.31568382459</v>
      </c>
      <c r="S3" s="12"/>
      <c r="T3" s="12"/>
      <c r="U3" s="12"/>
      <c r="V3" s="12"/>
      <c r="W3" s="12"/>
      <c r="X3" s="12"/>
      <c r="Y3" s="12"/>
      <c r="Z3" s="18">
        <f>ROUND(R3*'Data-CostAssumptions'!$C$8,-3)</f>
        <v>718000</v>
      </c>
      <c r="AA3" s="11">
        <f>IF(V3="",IF(W3="",0,1),1)</f>
        <v>0</v>
      </c>
      <c r="AB3" s="11">
        <v>2041</v>
      </c>
      <c r="AC3" s="11">
        <v>2041</v>
      </c>
      <c r="AD3" s="11">
        <v>2041</v>
      </c>
      <c r="AE3" s="19">
        <f>ROUND((Z3*'Data-CostAssumptions'!$G$5)*(1+'Data-CostAssumptions'!$G$3)^(AB3-'Data-CostAssumptions'!$G$4),-3)</f>
        <v>405000</v>
      </c>
      <c r="AF3" s="19">
        <f>ROUND((Z3)*(1+'Data-CostAssumptions'!$G$3)^(AD3-'Data-CostAssumptions'!$G$4),-3)</f>
        <v>1841000</v>
      </c>
      <c r="AG3" s="170" t="str">
        <f t="shared" ref="AG3:AG66" si="1">IF(MIN(AC3:AD3)&lt;2041,"Yes","No")</f>
        <v>No</v>
      </c>
    </row>
    <row r="4" spans="1:33" ht="15" customHeight="1" x14ac:dyDescent="0.2">
      <c r="B4" s="11" t="s">
        <v>1211</v>
      </c>
      <c r="C4" s="13">
        <v>10097</v>
      </c>
      <c r="D4" s="13" t="s">
        <v>420</v>
      </c>
      <c r="E4" s="20" t="s">
        <v>298</v>
      </c>
      <c r="F4" s="20">
        <v>146</v>
      </c>
      <c r="G4" s="20">
        <v>944</v>
      </c>
      <c r="H4" s="13" t="s">
        <v>1836</v>
      </c>
      <c r="I4" s="13" t="str">
        <f t="shared" si="0"/>
        <v>Copans Rd (@  US 1)</v>
      </c>
      <c r="J4" s="13" t="s">
        <v>347</v>
      </c>
      <c r="K4" s="13" t="str">
        <f>VLOOKUP(J4,'Data-ProjectTypes'!A$3:B$13,2,FALSE)</f>
        <v>Project</v>
      </c>
      <c r="L4" s="21" t="s">
        <v>77</v>
      </c>
      <c r="M4" s="13" t="s">
        <v>2835</v>
      </c>
      <c r="N4" s="13" t="s">
        <v>98</v>
      </c>
      <c r="O4" s="13" t="s">
        <v>365</v>
      </c>
      <c r="P4" s="13" t="s">
        <v>365</v>
      </c>
      <c r="Q4" s="22"/>
      <c r="R4" s="23">
        <v>718159.31568382459</v>
      </c>
      <c r="Y4" s="12"/>
      <c r="Z4" s="18">
        <f>ROUND(R4*'Data-CostAssumptions'!$C$8,-3)</f>
        <v>718000</v>
      </c>
      <c r="AA4" s="11">
        <f>IF(V4="",IF(W4="",0,1),1)</f>
        <v>0</v>
      </c>
      <c r="AB4" s="11">
        <v>2041</v>
      </c>
      <c r="AC4" s="11">
        <v>2041</v>
      </c>
      <c r="AD4" s="11">
        <v>2041</v>
      </c>
      <c r="AE4" s="19">
        <f>ROUND((Z4*'Data-CostAssumptions'!$G$5)*(1+'Data-CostAssumptions'!$G$3)^(AB4-'Data-CostAssumptions'!$G$4),-3)</f>
        <v>405000</v>
      </c>
      <c r="AF4" s="19">
        <f>ROUND((Z4)*(1+'Data-CostAssumptions'!$G$3)^(AD4-'Data-CostAssumptions'!$G$4),-3)</f>
        <v>1841000</v>
      </c>
      <c r="AG4" s="170" t="str">
        <f t="shared" si="1"/>
        <v>No</v>
      </c>
    </row>
    <row r="5" spans="1:33" ht="15" customHeight="1" x14ac:dyDescent="0.2">
      <c r="B5" s="11" t="s">
        <v>1211</v>
      </c>
      <c r="C5" s="13">
        <v>10053</v>
      </c>
      <c r="D5" s="13" t="s">
        <v>420</v>
      </c>
      <c r="E5" s="20" t="s">
        <v>298</v>
      </c>
      <c r="F5" s="20">
        <v>143</v>
      </c>
      <c r="G5" s="20">
        <v>945</v>
      </c>
      <c r="H5" s="13" t="s">
        <v>1842</v>
      </c>
      <c r="I5" s="13" t="str">
        <f t="shared" si="0"/>
        <v>Cypress Creek Rd (@  Dixie Hwy)</v>
      </c>
      <c r="J5" s="13" t="s">
        <v>347</v>
      </c>
      <c r="K5" s="13" t="str">
        <f>VLOOKUP(J5,'Data-ProjectTypes'!A$3:B$13,2,FALSE)</f>
        <v>Project</v>
      </c>
      <c r="L5" s="21" t="s">
        <v>77</v>
      </c>
      <c r="M5" s="13" t="s">
        <v>2835</v>
      </c>
      <c r="N5" s="13" t="s">
        <v>728</v>
      </c>
      <c r="O5" s="13" t="s">
        <v>365</v>
      </c>
      <c r="P5" s="13" t="s">
        <v>365</v>
      </c>
      <c r="Q5" s="22"/>
      <c r="R5" s="23">
        <v>718159.31568382459</v>
      </c>
      <c r="S5" s="12"/>
      <c r="T5" s="12"/>
      <c r="U5" s="12"/>
      <c r="V5" s="12"/>
      <c r="W5" s="12"/>
      <c r="X5" s="12"/>
      <c r="Y5" s="12"/>
      <c r="Z5" s="18">
        <f>ROUND(R5*'Data-CostAssumptions'!$C$8,-3)</f>
        <v>718000</v>
      </c>
      <c r="AA5" s="11">
        <f t="shared" ref="AA5:AA68" si="2">IF(V5="",IF(W5="",0,1),1)</f>
        <v>0</v>
      </c>
      <c r="AB5" s="11">
        <v>2041</v>
      </c>
      <c r="AC5" s="11">
        <v>2041</v>
      </c>
      <c r="AD5" s="11">
        <v>2041</v>
      </c>
      <c r="AE5" s="19">
        <f>ROUND((Z5*'Data-CostAssumptions'!$G$5)*(1+'Data-CostAssumptions'!$G$3)^(AB5-'Data-CostAssumptions'!$G$4),-3)</f>
        <v>405000</v>
      </c>
      <c r="AF5" s="19">
        <f>ROUND((Z5)*(1+'Data-CostAssumptions'!$G$3)^(AD5-'Data-CostAssumptions'!$G$4),-3)</f>
        <v>1841000</v>
      </c>
      <c r="AG5" s="170" t="str">
        <f t="shared" si="1"/>
        <v>No</v>
      </c>
    </row>
    <row r="6" spans="1:33" ht="15" customHeight="1" x14ac:dyDescent="0.2">
      <c r="B6" s="11" t="s">
        <v>1211</v>
      </c>
      <c r="C6" s="13">
        <v>10087</v>
      </c>
      <c r="D6" s="13" t="s">
        <v>420</v>
      </c>
      <c r="E6" s="20" t="s">
        <v>298</v>
      </c>
      <c r="F6" s="20">
        <v>145</v>
      </c>
      <c r="G6" s="20">
        <v>949</v>
      </c>
      <c r="H6" s="13" t="s">
        <v>1854</v>
      </c>
      <c r="I6" s="13" t="str">
        <f t="shared" si="0"/>
        <v>McNab Rd (@  Rock Island Rd)</v>
      </c>
      <c r="J6" s="13" t="s">
        <v>347</v>
      </c>
      <c r="K6" s="13" t="str">
        <f>VLOOKUP(J6,'Data-ProjectTypes'!A$3:B$13,2,FALSE)</f>
        <v>Project</v>
      </c>
      <c r="L6" s="21" t="s">
        <v>77</v>
      </c>
      <c r="M6" s="13" t="s">
        <v>2835</v>
      </c>
      <c r="N6" s="13" t="s">
        <v>1768</v>
      </c>
      <c r="O6" s="13" t="s">
        <v>365</v>
      </c>
      <c r="P6" s="13" t="s">
        <v>365</v>
      </c>
      <c r="Q6" s="22"/>
      <c r="R6" s="23">
        <v>718159.31568382459</v>
      </c>
      <c r="Y6" s="12"/>
      <c r="Z6" s="18">
        <f>ROUND(R6*'Data-CostAssumptions'!$C$8,-3)</f>
        <v>718000</v>
      </c>
      <c r="AA6" s="11">
        <f t="shared" si="2"/>
        <v>0</v>
      </c>
      <c r="AB6" s="11">
        <v>2041</v>
      </c>
      <c r="AC6" s="11">
        <v>2041</v>
      </c>
      <c r="AD6" s="11">
        <v>2041</v>
      </c>
      <c r="AE6" s="19">
        <f>ROUND((Z6*'Data-CostAssumptions'!$G$5)*(1+'Data-CostAssumptions'!$G$3)^(AB6-'Data-CostAssumptions'!$G$4),-3)</f>
        <v>405000</v>
      </c>
      <c r="AF6" s="19">
        <f>ROUND((Z6)*(1+'Data-CostAssumptions'!$G$3)^(AD6-'Data-CostAssumptions'!$G$4),-3)</f>
        <v>1841000</v>
      </c>
      <c r="AG6" s="170" t="str">
        <f t="shared" si="1"/>
        <v>No</v>
      </c>
    </row>
    <row r="7" spans="1:33" ht="15" customHeight="1" x14ac:dyDescent="0.2">
      <c r="B7" s="11" t="s">
        <v>1211</v>
      </c>
      <c r="C7" s="13">
        <v>10106</v>
      </c>
      <c r="D7" s="13" t="s">
        <v>420</v>
      </c>
      <c r="E7" s="20" t="s">
        <v>298</v>
      </c>
      <c r="F7" s="20">
        <v>146</v>
      </c>
      <c r="G7" s="20">
        <v>950</v>
      </c>
      <c r="H7" s="13" t="s">
        <v>1854</v>
      </c>
      <c r="I7" s="13" t="str">
        <f t="shared" si="0"/>
        <v>McNab Rd (@  Nob Hill Rd)</v>
      </c>
      <c r="J7" s="13" t="s">
        <v>347</v>
      </c>
      <c r="K7" s="13" t="str">
        <f>VLOOKUP(J7,'Data-ProjectTypes'!A$3:B$13,2,FALSE)</f>
        <v>Project</v>
      </c>
      <c r="L7" s="21" t="s">
        <v>77</v>
      </c>
      <c r="M7" s="13" t="s">
        <v>2835</v>
      </c>
      <c r="N7" s="13" t="s">
        <v>1755</v>
      </c>
      <c r="O7" s="13" t="s">
        <v>365</v>
      </c>
      <c r="P7" s="13" t="s">
        <v>365</v>
      </c>
      <c r="Q7" s="22"/>
      <c r="R7" s="23">
        <v>718159.31568382459</v>
      </c>
      <c r="Y7" s="12"/>
      <c r="Z7" s="18">
        <f>ROUND(R7*'Data-CostAssumptions'!$C$8,-3)</f>
        <v>718000</v>
      </c>
      <c r="AA7" s="11">
        <f t="shared" si="2"/>
        <v>0</v>
      </c>
      <c r="AB7" s="11">
        <v>2041</v>
      </c>
      <c r="AC7" s="11">
        <v>2041</v>
      </c>
      <c r="AD7" s="11">
        <v>2041</v>
      </c>
      <c r="AE7" s="19">
        <f>ROUND((Z7*'Data-CostAssumptions'!$G$5)*(1+'Data-CostAssumptions'!$G$3)^(AB7-'Data-CostAssumptions'!$G$4),-3)</f>
        <v>405000</v>
      </c>
      <c r="AF7" s="19">
        <f>ROUND((Z7)*(1+'Data-CostAssumptions'!$G$3)^(AD7-'Data-CostAssumptions'!$G$4),-3)</f>
        <v>1841000</v>
      </c>
      <c r="AG7" s="170" t="str">
        <f t="shared" si="1"/>
        <v>No</v>
      </c>
    </row>
    <row r="8" spans="1:33" ht="15" customHeight="1" x14ac:dyDescent="0.2">
      <c r="B8" s="11" t="s">
        <v>1211</v>
      </c>
      <c r="C8" s="13">
        <v>10107</v>
      </c>
      <c r="D8" s="13" t="s">
        <v>420</v>
      </c>
      <c r="E8" s="20" t="s">
        <v>298</v>
      </c>
      <c r="F8" s="20">
        <v>146</v>
      </c>
      <c r="G8" s="20">
        <v>951</v>
      </c>
      <c r="H8" s="13" t="s">
        <v>1854</v>
      </c>
      <c r="I8" s="13" t="str">
        <f t="shared" si="0"/>
        <v>McNab Rd (@  Pine Island Rd)</v>
      </c>
      <c r="J8" s="13" t="s">
        <v>347</v>
      </c>
      <c r="K8" s="13" t="str">
        <f>VLOOKUP(J8,'Data-ProjectTypes'!A$3:B$13,2,FALSE)</f>
        <v>Project</v>
      </c>
      <c r="L8" s="21" t="s">
        <v>77</v>
      </c>
      <c r="M8" s="13" t="s">
        <v>2835</v>
      </c>
      <c r="N8" s="13" t="s">
        <v>266</v>
      </c>
      <c r="O8" s="13" t="s">
        <v>365</v>
      </c>
      <c r="P8" s="13" t="s">
        <v>365</v>
      </c>
      <c r="Q8" s="22"/>
      <c r="R8" s="23">
        <v>718159.31568382459</v>
      </c>
      <c r="Y8" s="12"/>
      <c r="Z8" s="18">
        <f>ROUND(R8*'Data-CostAssumptions'!$C$8,-3)</f>
        <v>718000</v>
      </c>
      <c r="AA8" s="11">
        <f t="shared" si="2"/>
        <v>0</v>
      </c>
      <c r="AB8" s="11">
        <v>2041</v>
      </c>
      <c r="AC8" s="11">
        <v>2041</v>
      </c>
      <c r="AD8" s="11">
        <v>2041</v>
      </c>
      <c r="AE8" s="19">
        <f>ROUND((Z8*'Data-CostAssumptions'!$G$5)*(1+'Data-CostAssumptions'!$G$3)^(AB8-'Data-CostAssumptions'!$G$4),-3)</f>
        <v>405000</v>
      </c>
      <c r="AF8" s="19">
        <f>ROUND((Z8)*(1+'Data-CostAssumptions'!$G$3)^(AD8-'Data-CostAssumptions'!$G$4),-3)</f>
        <v>1841000</v>
      </c>
      <c r="AG8" s="170" t="str">
        <f t="shared" si="1"/>
        <v>No</v>
      </c>
    </row>
    <row r="9" spans="1:33" ht="15" customHeight="1" x14ac:dyDescent="0.2">
      <c r="B9" s="11" t="s">
        <v>1211</v>
      </c>
      <c r="C9" s="13">
        <v>10051</v>
      </c>
      <c r="D9" s="13" t="s">
        <v>420</v>
      </c>
      <c r="E9" s="20" t="s">
        <v>298</v>
      </c>
      <c r="F9" s="20">
        <v>143</v>
      </c>
      <c r="G9" s="20">
        <v>952</v>
      </c>
      <c r="H9" s="13" t="s">
        <v>1977</v>
      </c>
      <c r="I9" s="13" t="str">
        <f t="shared" si="0"/>
        <v>Miramar Pkwy (@  Palm Av)</v>
      </c>
      <c r="J9" s="13" t="s">
        <v>347</v>
      </c>
      <c r="K9" s="13" t="str">
        <f>VLOOKUP(J9,'Data-ProjectTypes'!A$3:B$13,2,FALSE)</f>
        <v>Project</v>
      </c>
      <c r="L9" s="21" t="s">
        <v>77</v>
      </c>
      <c r="M9" s="13" t="s">
        <v>2835</v>
      </c>
      <c r="N9" s="13" t="s">
        <v>2083</v>
      </c>
      <c r="O9" s="13" t="s">
        <v>365</v>
      </c>
      <c r="P9" s="13" t="s">
        <v>365</v>
      </c>
      <c r="Q9" s="22"/>
      <c r="R9" s="23">
        <v>718159.31568382459</v>
      </c>
      <c r="Y9" s="12"/>
      <c r="Z9" s="18">
        <f>ROUND(R9*'Data-CostAssumptions'!$C$8,-3)</f>
        <v>718000</v>
      </c>
      <c r="AA9" s="11">
        <f t="shared" si="2"/>
        <v>0</v>
      </c>
      <c r="AB9" s="11">
        <v>2041</v>
      </c>
      <c r="AC9" s="11">
        <v>2041</v>
      </c>
      <c r="AD9" s="11">
        <v>2041</v>
      </c>
      <c r="AE9" s="19">
        <f>ROUND((Z9*'Data-CostAssumptions'!$G$5)*(1+'Data-CostAssumptions'!$G$3)^(AB9-'Data-CostAssumptions'!$G$4),-3)</f>
        <v>405000</v>
      </c>
      <c r="AF9" s="19">
        <f>ROUND((Z9)*(1+'Data-CostAssumptions'!$G$3)^(AD9-'Data-CostAssumptions'!$G$4),-3)</f>
        <v>1841000</v>
      </c>
      <c r="AG9" s="170" t="str">
        <f t="shared" si="1"/>
        <v>No</v>
      </c>
    </row>
    <row r="10" spans="1:33" ht="15" customHeight="1" x14ac:dyDescent="0.2">
      <c r="B10" s="11" t="s">
        <v>1211</v>
      </c>
      <c r="C10" s="13">
        <v>10056</v>
      </c>
      <c r="D10" s="13" t="s">
        <v>420</v>
      </c>
      <c r="E10" s="20" t="s">
        <v>298</v>
      </c>
      <c r="F10" s="20">
        <v>143</v>
      </c>
      <c r="G10" s="20">
        <v>953</v>
      </c>
      <c r="H10" s="13" t="s">
        <v>1977</v>
      </c>
      <c r="I10" s="13" t="str">
        <f t="shared" si="0"/>
        <v>Miramar Pkwy (@  Flamingo Rd)</v>
      </c>
      <c r="J10" s="13" t="s">
        <v>347</v>
      </c>
      <c r="K10" s="13" t="str">
        <f>VLOOKUP(J10,'Data-ProjectTypes'!A$3:B$13,2,FALSE)</f>
        <v>Project</v>
      </c>
      <c r="L10" s="21" t="s">
        <v>77</v>
      </c>
      <c r="M10" s="13" t="s">
        <v>2835</v>
      </c>
      <c r="N10" s="13" t="s">
        <v>159</v>
      </c>
      <c r="O10" s="13" t="s">
        <v>365</v>
      </c>
      <c r="P10" s="13" t="s">
        <v>365</v>
      </c>
      <c r="Q10" s="22"/>
      <c r="R10" s="23">
        <v>718159.31568382459</v>
      </c>
      <c r="Y10" s="12"/>
      <c r="Z10" s="18">
        <f>ROUND(R10*'Data-CostAssumptions'!$C$8,-3)</f>
        <v>718000</v>
      </c>
      <c r="AA10" s="11">
        <f t="shared" si="2"/>
        <v>0</v>
      </c>
      <c r="AB10" s="11">
        <v>2041</v>
      </c>
      <c r="AC10" s="11">
        <v>2041</v>
      </c>
      <c r="AD10" s="11">
        <v>2041</v>
      </c>
      <c r="AE10" s="19">
        <f>ROUND((Z10*'Data-CostAssumptions'!$G$5)*(1+'Data-CostAssumptions'!$G$3)^(AB10-'Data-CostAssumptions'!$G$4),-3)</f>
        <v>405000</v>
      </c>
      <c r="AF10" s="19">
        <f>ROUND((Z10)*(1+'Data-CostAssumptions'!$G$3)^(AD10-'Data-CostAssumptions'!$G$4),-3)</f>
        <v>1841000</v>
      </c>
      <c r="AG10" s="170" t="str">
        <f t="shared" si="1"/>
        <v>No</v>
      </c>
    </row>
    <row r="11" spans="1:33" ht="15" customHeight="1" x14ac:dyDescent="0.2">
      <c r="B11" s="11" t="s">
        <v>1211</v>
      </c>
      <c r="C11" s="13">
        <v>10074</v>
      </c>
      <c r="D11" s="13" t="s">
        <v>420</v>
      </c>
      <c r="E11" s="20" t="s">
        <v>298</v>
      </c>
      <c r="F11" s="20">
        <v>144</v>
      </c>
      <c r="G11" s="20">
        <v>955</v>
      </c>
      <c r="H11" s="13" t="s">
        <v>1977</v>
      </c>
      <c r="I11" s="13" t="str">
        <f t="shared" si="0"/>
        <v>Miramar Pkwy (@  Douglas Rd)</v>
      </c>
      <c r="J11" s="13" t="s">
        <v>347</v>
      </c>
      <c r="K11" s="13" t="str">
        <f>VLOOKUP(J11,'Data-ProjectTypes'!A$3:B$13,2,FALSE)</f>
        <v>Project</v>
      </c>
      <c r="L11" s="21" t="s">
        <v>77</v>
      </c>
      <c r="M11" s="13" t="s">
        <v>2835</v>
      </c>
      <c r="N11" s="13" t="s">
        <v>2425</v>
      </c>
      <c r="O11" s="13" t="s">
        <v>365</v>
      </c>
      <c r="P11" s="13" t="s">
        <v>365</v>
      </c>
      <c r="Q11" s="22"/>
      <c r="R11" s="23">
        <v>718159.31568382459</v>
      </c>
      <c r="S11" s="12"/>
      <c r="T11" s="12"/>
      <c r="U11" s="12"/>
      <c r="V11" s="12"/>
      <c r="W11" s="12"/>
      <c r="X11" s="12"/>
      <c r="Y11" s="12"/>
      <c r="Z11" s="18">
        <f>ROUND(R11*'Data-CostAssumptions'!$C$8,-3)</f>
        <v>718000</v>
      </c>
      <c r="AA11" s="11">
        <f t="shared" si="2"/>
        <v>0</v>
      </c>
      <c r="AB11" s="11">
        <v>2041</v>
      </c>
      <c r="AC11" s="11">
        <v>2041</v>
      </c>
      <c r="AD11" s="11">
        <v>2041</v>
      </c>
      <c r="AE11" s="19">
        <f>ROUND((Z11*'Data-CostAssumptions'!$G$5)*(1+'Data-CostAssumptions'!$G$3)^(AB11-'Data-CostAssumptions'!$G$4),-3)</f>
        <v>405000</v>
      </c>
      <c r="AF11" s="19">
        <f>ROUND((Z11)*(1+'Data-CostAssumptions'!$G$3)^(AD11-'Data-CostAssumptions'!$G$4),-3)</f>
        <v>1841000</v>
      </c>
      <c r="AG11" s="170" t="str">
        <f t="shared" si="1"/>
        <v>No</v>
      </c>
    </row>
    <row r="12" spans="1:33" ht="15" customHeight="1" x14ac:dyDescent="0.2">
      <c r="B12" s="11" t="s">
        <v>1211</v>
      </c>
      <c r="C12" s="13">
        <v>10099</v>
      </c>
      <c r="D12" s="13" t="s">
        <v>420</v>
      </c>
      <c r="E12" s="20" t="s">
        <v>298</v>
      </c>
      <c r="F12" s="20">
        <v>146</v>
      </c>
      <c r="G12" s="20">
        <v>956</v>
      </c>
      <c r="H12" s="13" t="s">
        <v>1977</v>
      </c>
      <c r="I12" s="13" t="str">
        <f t="shared" si="0"/>
        <v>Miramar Pkwy (@  SW 172nd Av)</v>
      </c>
      <c r="J12" s="13" t="s">
        <v>347</v>
      </c>
      <c r="K12" s="13" t="str">
        <f>VLOOKUP(J12,'Data-ProjectTypes'!A$3:B$13,2,FALSE)</f>
        <v>Project</v>
      </c>
      <c r="L12" s="21" t="s">
        <v>77</v>
      </c>
      <c r="M12" s="13" t="s">
        <v>2835</v>
      </c>
      <c r="N12" s="13" t="s">
        <v>2110</v>
      </c>
      <c r="O12" s="13" t="s">
        <v>365</v>
      </c>
      <c r="P12" s="13" t="s">
        <v>365</v>
      </c>
      <c r="Q12" s="22"/>
      <c r="R12" s="23">
        <v>718159.31568382459</v>
      </c>
      <c r="S12" s="12"/>
      <c r="T12" s="12"/>
      <c r="U12" s="12"/>
      <c r="V12" s="12"/>
      <c r="W12" s="12"/>
      <c r="X12" s="12"/>
      <c r="Y12" s="12"/>
      <c r="Z12" s="18">
        <f>ROUND(R12*'Data-CostAssumptions'!$C$8,-3)</f>
        <v>718000</v>
      </c>
      <c r="AA12" s="11">
        <f t="shared" si="2"/>
        <v>0</v>
      </c>
      <c r="AB12" s="11">
        <v>2041</v>
      </c>
      <c r="AC12" s="11">
        <v>2041</v>
      </c>
      <c r="AD12" s="11">
        <v>2041</v>
      </c>
      <c r="AE12" s="19">
        <f>ROUND((Z12*'Data-CostAssumptions'!$G$5)*(1+'Data-CostAssumptions'!$G$3)^(AB12-'Data-CostAssumptions'!$G$4),-3)</f>
        <v>405000</v>
      </c>
      <c r="AF12" s="19">
        <f>ROUND((Z12)*(1+'Data-CostAssumptions'!$G$3)^(AD12-'Data-CostAssumptions'!$G$4),-3)</f>
        <v>1841000</v>
      </c>
      <c r="AG12" s="170" t="str">
        <f t="shared" si="1"/>
        <v>No</v>
      </c>
    </row>
    <row r="13" spans="1:33" ht="15" customHeight="1" x14ac:dyDescent="0.2">
      <c r="B13" s="11" t="s">
        <v>1211</v>
      </c>
      <c r="C13" s="13">
        <v>10075</v>
      </c>
      <c r="D13" s="13" t="s">
        <v>420</v>
      </c>
      <c r="E13" s="20" t="s">
        <v>298</v>
      </c>
      <c r="F13" s="20">
        <v>144</v>
      </c>
      <c r="G13" s="20">
        <v>960</v>
      </c>
      <c r="H13" s="13" t="s">
        <v>1763</v>
      </c>
      <c r="I13" s="13" t="str">
        <f t="shared" si="0"/>
        <v>Peters Rd (@  SR 7/US 441)</v>
      </c>
      <c r="J13" s="13" t="s">
        <v>347</v>
      </c>
      <c r="K13" s="13" t="str">
        <f>VLOOKUP(J13,'Data-ProjectTypes'!A$3:B$13,2,FALSE)</f>
        <v>Project</v>
      </c>
      <c r="L13" s="21" t="s">
        <v>77</v>
      </c>
      <c r="M13" s="13" t="s">
        <v>2835</v>
      </c>
      <c r="N13" s="13" t="s">
        <v>57</v>
      </c>
      <c r="O13" s="13" t="s">
        <v>365</v>
      </c>
      <c r="P13" s="13" t="s">
        <v>365</v>
      </c>
      <c r="Q13" s="22"/>
      <c r="R13" s="23">
        <v>718159.31568382459</v>
      </c>
      <c r="S13" s="12"/>
      <c r="T13" s="12"/>
      <c r="U13" s="12"/>
      <c r="V13" s="12"/>
      <c r="W13" s="12"/>
      <c r="X13" s="12"/>
      <c r="Y13" s="12"/>
      <c r="Z13" s="18">
        <f>ROUND(R13*'Data-CostAssumptions'!$C$8,-3)</f>
        <v>718000</v>
      </c>
      <c r="AA13" s="11">
        <f t="shared" si="2"/>
        <v>0</v>
      </c>
      <c r="AB13" s="11">
        <v>2041</v>
      </c>
      <c r="AC13" s="11">
        <v>2041</v>
      </c>
      <c r="AD13" s="11">
        <v>2041</v>
      </c>
      <c r="AE13" s="19">
        <f>ROUND((Z13*'Data-CostAssumptions'!$G$5)*(1+'Data-CostAssumptions'!$G$3)^(AB13-'Data-CostAssumptions'!$G$4),-3)</f>
        <v>405000</v>
      </c>
      <c r="AF13" s="19">
        <f>ROUND((Z13)*(1+'Data-CostAssumptions'!$G$3)^(AD13-'Data-CostAssumptions'!$G$4),-3)</f>
        <v>1841000</v>
      </c>
      <c r="AG13" s="170" t="str">
        <f t="shared" si="1"/>
        <v>No</v>
      </c>
    </row>
    <row r="14" spans="1:33" ht="15" customHeight="1" x14ac:dyDescent="0.2">
      <c r="B14" s="11" t="s">
        <v>1211</v>
      </c>
      <c r="C14" s="13">
        <v>10100</v>
      </c>
      <c r="D14" s="13" t="s">
        <v>420</v>
      </c>
      <c r="E14" s="20" t="s">
        <v>298</v>
      </c>
      <c r="F14" s="20">
        <v>146</v>
      </c>
      <c r="G14" s="20">
        <v>961</v>
      </c>
      <c r="H14" s="13" t="s">
        <v>266</v>
      </c>
      <c r="I14" s="13" t="str">
        <f t="shared" si="0"/>
        <v>Pine Island Rd (@  NW 57th St)</v>
      </c>
      <c r="J14" s="13" t="s">
        <v>347</v>
      </c>
      <c r="K14" s="13" t="str">
        <f>VLOOKUP(J14,'Data-ProjectTypes'!A$3:B$13,2,FALSE)</f>
        <v>Project</v>
      </c>
      <c r="L14" s="21" t="s">
        <v>77</v>
      </c>
      <c r="M14" s="13" t="s">
        <v>2835</v>
      </c>
      <c r="N14" s="13" t="s">
        <v>1925</v>
      </c>
      <c r="O14" s="13" t="s">
        <v>365</v>
      </c>
      <c r="P14" s="13" t="s">
        <v>365</v>
      </c>
      <c r="Q14" s="22"/>
      <c r="R14" s="23">
        <v>718159.31568382459</v>
      </c>
      <c r="S14" s="12"/>
      <c r="T14" s="12"/>
      <c r="U14" s="12"/>
      <c r="V14" s="12"/>
      <c r="W14" s="12"/>
      <c r="X14" s="12"/>
      <c r="Y14" s="12"/>
      <c r="Z14" s="18">
        <f>ROUND(R14*'Data-CostAssumptions'!$C$8,-3)</f>
        <v>718000</v>
      </c>
      <c r="AA14" s="11">
        <f t="shared" si="2"/>
        <v>0</v>
      </c>
      <c r="AB14" s="11">
        <v>2041</v>
      </c>
      <c r="AC14" s="11">
        <v>2041</v>
      </c>
      <c r="AD14" s="11">
        <v>2041</v>
      </c>
      <c r="AE14" s="19">
        <f>ROUND((Z14*'Data-CostAssumptions'!$G$5)*(1+'Data-CostAssumptions'!$G$3)^(AB14-'Data-CostAssumptions'!$G$4),-3)</f>
        <v>405000</v>
      </c>
      <c r="AF14" s="19">
        <f>ROUND((Z14)*(1+'Data-CostAssumptions'!$G$3)^(AD14-'Data-CostAssumptions'!$G$4),-3)</f>
        <v>1841000</v>
      </c>
      <c r="AG14" s="170" t="str">
        <f t="shared" si="1"/>
        <v>No</v>
      </c>
    </row>
    <row r="15" spans="1:33" ht="15" customHeight="1" x14ac:dyDescent="0.2">
      <c r="B15" s="11" t="s">
        <v>1211</v>
      </c>
      <c r="C15" s="13">
        <v>10066</v>
      </c>
      <c r="D15" s="13" t="s">
        <v>420</v>
      </c>
      <c r="E15" s="20" t="s">
        <v>298</v>
      </c>
      <c r="F15" s="20">
        <v>144</v>
      </c>
      <c r="G15" s="20">
        <v>963</v>
      </c>
      <c r="H15" s="13" t="s">
        <v>1827</v>
      </c>
      <c r="I15" s="13" t="str">
        <f t="shared" si="0"/>
        <v>Royal Palm Bl (@  University Dr)</v>
      </c>
      <c r="J15" s="13" t="s">
        <v>347</v>
      </c>
      <c r="K15" s="13" t="str">
        <f>VLOOKUP(J15,'Data-ProjectTypes'!A$3:B$13,2,FALSE)</f>
        <v>Project</v>
      </c>
      <c r="L15" s="21" t="s">
        <v>77</v>
      </c>
      <c r="M15" s="13" t="s">
        <v>2835</v>
      </c>
      <c r="N15" s="13" t="s">
        <v>1804</v>
      </c>
      <c r="O15" s="13" t="s">
        <v>365</v>
      </c>
      <c r="P15" s="13" t="s">
        <v>365</v>
      </c>
      <c r="Q15" s="22"/>
      <c r="R15" s="23">
        <v>718159.31568382459</v>
      </c>
      <c r="S15" s="12"/>
      <c r="T15" s="12"/>
      <c r="U15" s="12"/>
      <c r="V15" s="12"/>
      <c r="W15" s="12"/>
      <c r="X15" s="12"/>
      <c r="Y15" s="12"/>
      <c r="Z15" s="18">
        <f>ROUND(R15*'Data-CostAssumptions'!$C$8,-3)</f>
        <v>718000</v>
      </c>
      <c r="AA15" s="11">
        <f t="shared" si="2"/>
        <v>0</v>
      </c>
      <c r="AB15" s="11">
        <v>2041</v>
      </c>
      <c r="AC15" s="11">
        <v>2041</v>
      </c>
      <c r="AD15" s="11">
        <v>2041</v>
      </c>
      <c r="AE15" s="19">
        <f>ROUND((Z15*'Data-CostAssumptions'!$G$5)*(1+'Data-CostAssumptions'!$G$3)^(AB15-'Data-CostAssumptions'!$G$4),-3)</f>
        <v>405000</v>
      </c>
      <c r="AF15" s="19">
        <f>ROUND((Z15)*(1+'Data-CostAssumptions'!$G$3)^(AD15-'Data-CostAssumptions'!$G$4),-3)</f>
        <v>1841000</v>
      </c>
      <c r="AG15" s="170" t="str">
        <f t="shared" si="1"/>
        <v>No</v>
      </c>
    </row>
    <row r="16" spans="1:33" ht="15" customHeight="1" x14ac:dyDescent="0.2">
      <c r="B16" s="11" t="s">
        <v>1211</v>
      </c>
      <c r="C16" s="13">
        <v>10076</v>
      </c>
      <c r="D16" s="13" t="s">
        <v>420</v>
      </c>
      <c r="E16" s="20" t="s">
        <v>298</v>
      </c>
      <c r="F16" s="20">
        <v>144</v>
      </c>
      <c r="G16" s="20">
        <v>967</v>
      </c>
      <c r="H16" s="13" t="s">
        <v>2912</v>
      </c>
      <c r="I16" s="13" t="str">
        <f t="shared" si="0"/>
        <v>SR  820/Pines Bl (@  Flamingo Rd)</v>
      </c>
      <c r="J16" s="13" t="s">
        <v>347</v>
      </c>
      <c r="K16" s="13" t="str">
        <f>VLOOKUP(J16,'Data-ProjectTypes'!A$3:B$13,2,FALSE)</f>
        <v>Project</v>
      </c>
      <c r="L16" s="21" t="s">
        <v>77</v>
      </c>
      <c r="M16" s="13" t="s">
        <v>2835</v>
      </c>
      <c r="N16" s="13" t="s">
        <v>159</v>
      </c>
      <c r="O16" s="13" t="s">
        <v>365</v>
      </c>
      <c r="P16" s="13" t="s">
        <v>365</v>
      </c>
      <c r="Q16" s="22"/>
      <c r="R16" s="23">
        <v>718159.31568382459</v>
      </c>
      <c r="S16" s="12"/>
      <c r="T16" s="12"/>
      <c r="U16" s="12"/>
      <c r="V16" s="12"/>
      <c r="W16" s="12"/>
      <c r="X16" s="12"/>
      <c r="Y16" s="12"/>
      <c r="Z16" s="18">
        <f>ROUND(R16*'Data-CostAssumptions'!$C$8,-3)</f>
        <v>718000</v>
      </c>
      <c r="AA16" s="11">
        <f t="shared" si="2"/>
        <v>0</v>
      </c>
      <c r="AB16" s="11">
        <v>2041</v>
      </c>
      <c r="AC16" s="11">
        <v>2041</v>
      </c>
      <c r="AD16" s="11">
        <v>2041</v>
      </c>
      <c r="AE16" s="19">
        <f>ROUND((Z16*'Data-CostAssumptions'!$G$5)*(1+'Data-CostAssumptions'!$G$3)^(AB16-'Data-CostAssumptions'!$G$4),-3)</f>
        <v>405000</v>
      </c>
      <c r="AF16" s="19">
        <f>ROUND((Z16)*(1+'Data-CostAssumptions'!$G$3)^(AD16-'Data-CostAssumptions'!$G$4),-3)</f>
        <v>1841000</v>
      </c>
      <c r="AG16" s="170" t="str">
        <f t="shared" si="1"/>
        <v>No</v>
      </c>
    </row>
    <row r="17" spans="2:33" ht="15" customHeight="1" x14ac:dyDescent="0.2">
      <c r="B17" s="11" t="s">
        <v>1211</v>
      </c>
      <c r="C17" s="13">
        <v>10091</v>
      </c>
      <c r="D17" s="13" t="s">
        <v>420</v>
      </c>
      <c r="E17" s="20" t="s">
        <v>298</v>
      </c>
      <c r="F17" s="20">
        <v>145</v>
      </c>
      <c r="G17" s="20">
        <v>972</v>
      </c>
      <c r="H17" s="13" t="s">
        <v>2725</v>
      </c>
      <c r="I17" s="13" t="str">
        <f t="shared" si="0"/>
        <v>SR 7/US 441 &amp; Hillsboro Bl (@  Hillsboro Bl)</v>
      </c>
      <c r="J17" s="13" t="s">
        <v>347</v>
      </c>
      <c r="K17" s="13" t="str">
        <f>VLOOKUP(J17,'Data-ProjectTypes'!A$3:B$13,2,FALSE)</f>
        <v>Project</v>
      </c>
      <c r="L17" s="21" t="s">
        <v>77</v>
      </c>
      <c r="M17" s="13" t="s">
        <v>2835</v>
      </c>
      <c r="N17" s="13" t="s">
        <v>1819</v>
      </c>
      <c r="O17" s="13" t="s">
        <v>365</v>
      </c>
      <c r="P17" s="13" t="s">
        <v>365</v>
      </c>
      <c r="Q17" s="22"/>
      <c r="R17" s="23">
        <v>718159.31568382459</v>
      </c>
      <c r="S17" s="12"/>
      <c r="T17" s="12"/>
      <c r="U17" s="12"/>
      <c r="V17" s="12"/>
      <c r="W17" s="12"/>
      <c r="X17" s="12"/>
      <c r="Y17" s="12"/>
      <c r="Z17" s="18">
        <f>ROUND(R17*'Data-CostAssumptions'!$C$8,-3)</f>
        <v>718000</v>
      </c>
      <c r="AA17" s="11">
        <f t="shared" si="2"/>
        <v>0</v>
      </c>
      <c r="AB17" s="11">
        <v>2041</v>
      </c>
      <c r="AC17" s="11">
        <v>2041</v>
      </c>
      <c r="AD17" s="11">
        <v>2041</v>
      </c>
      <c r="AE17" s="19">
        <f>ROUND((Z17*'Data-CostAssumptions'!$G$5)*(1+'Data-CostAssumptions'!$G$3)^(AB17-'Data-CostAssumptions'!$G$4),-3)</f>
        <v>405000</v>
      </c>
      <c r="AF17" s="19">
        <f>ROUND((Z17)*(1+'Data-CostAssumptions'!$G$3)^(AD17-'Data-CostAssumptions'!$G$4),-3)</f>
        <v>1841000</v>
      </c>
      <c r="AG17" s="170" t="str">
        <f t="shared" si="1"/>
        <v>No</v>
      </c>
    </row>
    <row r="18" spans="2:33" ht="15" customHeight="1" x14ac:dyDescent="0.2">
      <c r="B18" s="11" t="s">
        <v>1211</v>
      </c>
      <c r="C18" s="13">
        <v>10085</v>
      </c>
      <c r="D18" s="13" t="s">
        <v>420</v>
      </c>
      <c r="E18" s="20" t="s">
        <v>298</v>
      </c>
      <c r="F18" s="20">
        <v>145</v>
      </c>
      <c r="G18" s="20">
        <v>973</v>
      </c>
      <c r="H18" s="13" t="s">
        <v>2913</v>
      </c>
      <c r="I18" s="13" t="str">
        <f t="shared" si="0"/>
        <v>SR 810/Hillsboro Bl (@  SR 845/Powerline Rd)</v>
      </c>
      <c r="J18" s="13" t="s">
        <v>347</v>
      </c>
      <c r="K18" s="13" t="str">
        <f>VLOOKUP(J18,'Data-ProjectTypes'!A$3:B$13,2,FALSE)</f>
        <v>Project</v>
      </c>
      <c r="L18" s="21" t="s">
        <v>77</v>
      </c>
      <c r="M18" s="13" t="s">
        <v>2835</v>
      </c>
      <c r="N18" s="13" t="s">
        <v>2799</v>
      </c>
      <c r="O18" s="13" t="s">
        <v>365</v>
      </c>
      <c r="P18" s="13" t="s">
        <v>365</v>
      </c>
      <c r="Q18" s="22"/>
      <c r="R18" s="23">
        <v>718159.31568382459</v>
      </c>
      <c r="S18" s="12"/>
      <c r="T18" s="12"/>
      <c r="U18" s="12"/>
      <c r="V18" s="12"/>
      <c r="W18" s="12"/>
      <c r="X18" s="12"/>
      <c r="Y18" s="12"/>
      <c r="Z18" s="18">
        <f>ROUND(R18*'Data-CostAssumptions'!$C$8,-3)</f>
        <v>718000</v>
      </c>
      <c r="AA18" s="11">
        <f t="shared" si="2"/>
        <v>0</v>
      </c>
      <c r="AB18" s="11">
        <v>2041</v>
      </c>
      <c r="AC18" s="11">
        <v>2041</v>
      </c>
      <c r="AD18" s="11">
        <v>2041</v>
      </c>
      <c r="AE18" s="19">
        <f>ROUND((Z18*'Data-CostAssumptions'!$G$5)*(1+'Data-CostAssumptions'!$G$3)^(AB18-'Data-CostAssumptions'!$G$4),-3)</f>
        <v>405000</v>
      </c>
      <c r="AF18" s="19">
        <f>ROUND((Z18)*(1+'Data-CostAssumptions'!$G$3)^(AD18-'Data-CostAssumptions'!$G$4),-3)</f>
        <v>1841000</v>
      </c>
      <c r="AG18" s="170" t="str">
        <f t="shared" si="1"/>
        <v>No</v>
      </c>
    </row>
    <row r="19" spans="2:33" ht="15" customHeight="1" x14ac:dyDescent="0.2">
      <c r="B19" s="11" t="s">
        <v>1211</v>
      </c>
      <c r="C19" s="13">
        <v>10073</v>
      </c>
      <c r="D19" s="13" t="s">
        <v>420</v>
      </c>
      <c r="E19" s="20" t="s">
        <v>298</v>
      </c>
      <c r="F19" s="20">
        <v>144</v>
      </c>
      <c r="G19" s="20">
        <v>974</v>
      </c>
      <c r="H19" s="13" t="s">
        <v>2816</v>
      </c>
      <c r="I19" s="13" t="str">
        <f t="shared" si="0"/>
        <v>SR 810/Hillsboro Bl &amp; SR A1A (@  SR A1A)</v>
      </c>
      <c r="J19" s="13" t="s">
        <v>347</v>
      </c>
      <c r="K19" s="13" t="str">
        <f>VLOOKUP(J19,'Data-ProjectTypes'!A$3:B$13,2,FALSE)</f>
        <v>Project</v>
      </c>
      <c r="L19" s="21" t="s">
        <v>77</v>
      </c>
      <c r="M19" s="13" t="s">
        <v>2835</v>
      </c>
      <c r="N19" s="13" t="s">
        <v>110</v>
      </c>
      <c r="O19" s="13" t="s">
        <v>365</v>
      </c>
      <c r="P19" s="13" t="s">
        <v>365</v>
      </c>
      <c r="Q19" s="22"/>
      <c r="R19" s="23">
        <v>718159.31568382459</v>
      </c>
      <c r="S19" s="12"/>
      <c r="T19" s="12"/>
      <c r="U19" s="12"/>
      <c r="V19" s="12"/>
      <c r="W19" s="12"/>
      <c r="X19" s="12"/>
      <c r="Y19" s="12"/>
      <c r="Z19" s="18">
        <f>ROUND(R19*'Data-CostAssumptions'!$C$8,-3)</f>
        <v>718000</v>
      </c>
      <c r="AA19" s="11">
        <f t="shared" si="2"/>
        <v>0</v>
      </c>
      <c r="AB19" s="11">
        <v>2041</v>
      </c>
      <c r="AC19" s="11">
        <v>2041</v>
      </c>
      <c r="AD19" s="11">
        <v>2041</v>
      </c>
      <c r="AE19" s="19">
        <f>ROUND((Z19*'Data-CostAssumptions'!$G$5)*(1+'Data-CostAssumptions'!$G$3)^(AB19-'Data-CostAssumptions'!$G$4),-3)</f>
        <v>405000</v>
      </c>
      <c r="AF19" s="19">
        <f>ROUND((Z19)*(1+'Data-CostAssumptions'!$G$3)^(AD19-'Data-CostAssumptions'!$G$4),-3)</f>
        <v>1841000</v>
      </c>
      <c r="AG19" s="170" t="str">
        <f t="shared" si="1"/>
        <v>No</v>
      </c>
    </row>
    <row r="20" spans="2:33" ht="15" customHeight="1" x14ac:dyDescent="0.2">
      <c r="B20" s="11" t="s">
        <v>1211</v>
      </c>
      <c r="C20" s="13">
        <v>10024</v>
      </c>
      <c r="D20" s="13" t="s">
        <v>420</v>
      </c>
      <c r="E20" s="20" t="s">
        <v>298</v>
      </c>
      <c r="F20" s="20">
        <v>141</v>
      </c>
      <c r="G20" s="20">
        <v>975</v>
      </c>
      <c r="H20" s="13" t="s">
        <v>2779</v>
      </c>
      <c r="I20" s="13" t="str">
        <f t="shared" si="0"/>
        <v>SR 814/Atlantic Bl &amp; Dixie Hwy (@  Dixie Hwy)</v>
      </c>
      <c r="J20" s="13" t="s">
        <v>347</v>
      </c>
      <c r="K20" s="13" t="str">
        <f>VLOOKUP(J20,'Data-ProjectTypes'!A$3:B$13,2,FALSE)</f>
        <v>Project</v>
      </c>
      <c r="L20" s="21" t="s">
        <v>77</v>
      </c>
      <c r="M20" s="13" t="s">
        <v>2835</v>
      </c>
      <c r="N20" s="13" t="s">
        <v>728</v>
      </c>
      <c r="O20" s="13" t="s">
        <v>365</v>
      </c>
      <c r="P20" s="13" t="s">
        <v>365</v>
      </c>
      <c r="Q20" s="22"/>
      <c r="R20" s="23">
        <v>718159.31568382459</v>
      </c>
      <c r="S20" s="12"/>
      <c r="T20" s="12"/>
      <c r="U20" s="12"/>
      <c r="V20" s="12"/>
      <c r="W20" s="12"/>
      <c r="X20" s="12"/>
      <c r="Y20" s="12"/>
      <c r="Z20" s="18">
        <f>ROUND(R20*'Data-CostAssumptions'!$C$8,-3)</f>
        <v>718000</v>
      </c>
      <c r="AA20" s="11">
        <f t="shared" si="2"/>
        <v>0</v>
      </c>
      <c r="AB20" s="11">
        <v>2041</v>
      </c>
      <c r="AC20" s="11">
        <v>2041</v>
      </c>
      <c r="AD20" s="11">
        <v>2041</v>
      </c>
      <c r="AE20" s="19">
        <f>ROUND((Z20*'Data-CostAssumptions'!$G$5)*(1+'Data-CostAssumptions'!$G$3)^(AB20-'Data-CostAssumptions'!$G$4),-3)</f>
        <v>405000</v>
      </c>
      <c r="AF20" s="19">
        <f>ROUND((Z20)*(1+'Data-CostAssumptions'!$G$3)^(AD20-'Data-CostAssumptions'!$G$4),-3)</f>
        <v>1841000</v>
      </c>
      <c r="AG20" s="170" t="str">
        <f t="shared" si="1"/>
        <v>No</v>
      </c>
    </row>
    <row r="21" spans="2:33" ht="15" customHeight="1" x14ac:dyDescent="0.2">
      <c r="B21" s="11" t="s">
        <v>1211</v>
      </c>
      <c r="C21" s="13">
        <v>10040</v>
      </c>
      <c r="D21" s="13" t="s">
        <v>420</v>
      </c>
      <c r="E21" s="20" t="s">
        <v>298</v>
      </c>
      <c r="F21" s="20">
        <v>142</v>
      </c>
      <c r="G21" s="20">
        <v>976</v>
      </c>
      <c r="H21" s="13" t="s">
        <v>2780</v>
      </c>
      <c r="I21" s="13" t="str">
        <f t="shared" si="0"/>
        <v>SR 814/Atlantic Bl &amp; SR 7/US 441 (@  SR 7/US 441)</v>
      </c>
      <c r="J21" s="13" t="s">
        <v>347</v>
      </c>
      <c r="K21" s="13" t="str">
        <f>VLOOKUP(J21,'Data-ProjectTypes'!A$3:B$13,2,FALSE)</f>
        <v>Project</v>
      </c>
      <c r="L21" s="21" t="s">
        <v>77</v>
      </c>
      <c r="M21" s="13" t="s">
        <v>2835</v>
      </c>
      <c r="N21" s="13" t="s">
        <v>57</v>
      </c>
      <c r="O21" s="13" t="s">
        <v>365</v>
      </c>
      <c r="P21" s="13" t="s">
        <v>365</v>
      </c>
      <c r="Q21" s="22"/>
      <c r="R21" s="23">
        <v>718159.31568382459</v>
      </c>
      <c r="S21" s="12"/>
      <c r="T21" s="12"/>
      <c r="U21" s="12"/>
      <c r="V21" s="12"/>
      <c r="W21" s="12"/>
      <c r="X21" s="12"/>
      <c r="Y21" s="12"/>
      <c r="Z21" s="18">
        <f>ROUND(R21*'Data-CostAssumptions'!$C$8,-3)</f>
        <v>718000</v>
      </c>
      <c r="AA21" s="11">
        <f t="shared" si="2"/>
        <v>0</v>
      </c>
      <c r="AB21" s="11">
        <v>2041</v>
      </c>
      <c r="AC21" s="11">
        <v>2041</v>
      </c>
      <c r="AD21" s="11">
        <v>2041</v>
      </c>
      <c r="AE21" s="19">
        <f>ROUND((Z21*'Data-CostAssumptions'!$G$5)*(1+'Data-CostAssumptions'!$G$3)^(AB21-'Data-CostAssumptions'!$G$4),-3)</f>
        <v>405000</v>
      </c>
      <c r="AF21" s="19">
        <f>ROUND((Z21)*(1+'Data-CostAssumptions'!$G$3)^(AD21-'Data-CostAssumptions'!$G$4),-3)</f>
        <v>1841000</v>
      </c>
      <c r="AG21" s="170" t="str">
        <f t="shared" si="1"/>
        <v>No</v>
      </c>
    </row>
    <row r="22" spans="2:33" ht="15" customHeight="1" x14ac:dyDescent="0.2">
      <c r="B22" s="11" t="s">
        <v>1211</v>
      </c>
      <c r="C22" s="13">
        <v>10083</v>
      </c>
      <c r="D22" s="13" t="s">
        <v>420</v>
      </c>
      <c r="E22" s="20" t="s">
        <v>298</v>
      </c>
      <c r="F22" s="20">
        <v>145</v>
      </c>
      <c r="G22" s="20">
        <v>977</v>
      </c>
      <c r="H22" s="13" t="s">
        <v>2781</v>
      </c>
      <c r="I22" s="13" t="str">
        <f t="shared" si="0"/>
        <v>SR 814/Atlantic Bl &amp; SR 817 /University Dr (@  SR 817/University Dr)</v>
      </c>
      <c r="J22" s="13" t="s">
        <v>347</v>
      </c>
      <c r="K22" s="13" t="str">
        <f>VLOOKUP(J22,'Data-ProjectTypes'!A$3:B$13,2,FALSE)</f>
        <v>Project</v>
      </c>
      <c r="L22" s="21" t="s">
        <v>77</v>
      </c>
      <c r="M22" s="13" t="s">
        <v>2835</v>
      </c>
      <c r="N22" s="13" t="s">
        <v>2709</v>
      </c>
      <c r="O22" s="13" t="s">
        <v>365</v>
      </c>
      <c r="P22" s="13" t="s">
        <v>365</v>
      </c>
      <c r="Q22" s="22"/>
      <c r="R22" s="23">
        <v>718159.31568382459</v>
      </c>
      <c r="S22" s="12"/>
      <c r="T22" s="12"/>
      <c r="U22" s="12"/>
      <c r="V22" s="12"/>
      <c r="W22" s="12"/>
      <c r="X22" s="12"/>
      <c r="Y22" s="12"/>
      <c r="Z22" s="18">
        <f>ROUND(R22*'Data-CostAssumptions'!$C$8,-3)</f>
        <v>718000</v>
      </c>
      <c r="AA22" s="11">
        <f t="shared" si="2"/>
        <v>0</v>
      </c>
      <c r="AB22" s="11">
        <v>2041</v>
      </c>
      <c r="AC22" s="11">
        <v>2041</v>
      </c>
      <c r="AD22" s="11">
        <v>2041</v>
      </c>
      <c r="AE22" s="19">
        <f>ROUND((Z22*'Data-CostAssumptions'!$G$5)*(1+'Data-CostAssumptions'!$G$3)^(AB22-'Data-CostAssumptions'!$G$4),-3)</f>
        <v>405000</v>
      </c>
      <c r="AF22" s="19">
        <f>ROUND((Z22)*(1+'Data-CostAssumptions'!$G$3)^(AD22-'Data-CostAssumptions'!$G$4),-3)</f>
        <v>1841000</v>
      </c>
      <c r="AG22" s="170" t="str">
        <f t="shared" si="1"/>
        <v>No</v>
      </c>
    </row>
    <row r="23" spans="2:33" ht="15" customHeight="1" x14ac:dyDescent="0.2">
      <c r="B23" s="11" t="s">
        <v>1211</v>
      </c>
      <c r="C23" s="13">
        <v>10039</v>
      </c>
      <c r="D23" s="13" t="s">
        <v>420</v>
      </c>
      <c r="E23" s="20" t="s">
        <v>298</v>
      </c>
      <c r="F23" s="20">
        <v>142</v>
      </c>
      <c r="G23" s="20">
        <v>978</v>
      </c>
      <c r="H23" s="13" t="s">
        <v>2782</v>
      </c>
      <c r="I23" s="13" t="str">
        <f t="shared" si="0"/>
        <v>SR 814/Atlantic Bl &amp; SR 845/Powerline Rd (@  SR 845/Powerline Rd)</v>
      </c>
      <c r="J23" s="13" t="s">
        <v>347</v>
      </c>
      <c r="K23" s="13" t="str">
        <f>VLOOKUP(J23,'Data-ProjectTypes'!A$3:B$13,2,FALSE)</f>
        <v>Project</v>
      </c>
      <c r="L23" s="21" t="s">
        <v>77</v>
      </c>
      <c r="M23" s="13" t="s">
        <v>2835</v>
      </c>
      <c r="N23" s="13" t="s">
        <v>2799</v>
      </c>
      <c r="O23" s="13" t="s">
        <v>365</v>
      </c>
      <c r="P23" s="13" t="s">
        <v>365</v>
      </c>
      <c r="Q23" s="22"/>
      <c r="R23" s="23">
        <v>718159.31568382459</v>
      </c>
      <c r="S23" s="12"/>
      <c r="T23" s="12"/>
      <c r="U23" s="12"/>
      <c r="V23" s="12"/>
      <c r="W23" s="12"/>
      <c r="X23" s="12"/>
      <c r="Y23" s="12"/>
      <c r="Z23" s="18">
        <f>ROUND(R23*'Data-CostAssumptions'!$C$8,-3)</f>
        <v>718000</v>
      </c>
      <c r="AA23" s="11">
        <f t="shared" si="2"/>
        <v>0</v>
      </c>
      <c r="AB23" s="11">
        <v>2041</v>
      </c>
      <c r="AC23" s="11">
        <v>2041</v>
      </c>
      <c r="AD23" s="11">
        <v>2041</v>
      </c>
      <c r="AE23" s="19">
        <f>ROUND((Z23*'Data-CostAssumptions'!$G$5)*(1+'Data-CostAssumptions'!$G$3)^(AB23-'Data-CostAssumptions'!$G$4),-3)</f>
        <v>405000</v>
      </c>
      <c r="AF23" s="19">
        <f>ROUND((Z23)*(1+'Data-CostAssumptions'!$G$3)^(AD23-'Data-CostAssumptions'!$G$4),-3)</f>
        <v>1841000</v>
      </c>
      <c r="AG23" s="170" t="str">
        <f t="shared" si="1"/>
        <v>No</v>
      </c>
    </row>
    <row r="24" spans="2:33" ht="15" customHeight="1" x14ac:dyDescent="0.2">
      <c r="B24" s="11" t="s">
        <v>1211</v>
      </c>
      <c r="C24" s="13">
        <v>10088</v>
      </c>
      <c r="D24" s="13" t="s">
        <v>420</v>
      </c>
      <c r="E24" s="20" t="s">
        <v>298</v>
      </c>
      <c r="F24" s="20">
        <v>145</v>
      </c>
      <c r="G24" s="20">
        <v>985</v>
      </c>
      <c r="H24" s="13" t="s">
        <v>2711</v>
      </c>
      <c r="I24" s="13" t="str">
        <f t="shared" si="0"/>
        <v>SR 816/Oakland Park Bl &amp; Hiatus Rd (@  Hiatus Rd)</v>
      </c>
      <c r="J24" s="13" t="s">
        <v>347</v>
      </c>
      <c r="K24" s="13" t="str">
        <f>VLOOKUP(J24,'Data-ProjectTypes'!A$3:B$13,2,FALSE)</f>
        <v>Project</v>
      </c>
      <c r="L24" s="21" t="s">
        <v>77</v>
      </c>
      <c r="M24" s="13" t="s">
        <v>2835</v>
      </c>
      <c r="N24" s="13" t="s">
        <v>1752</v>
      </c>
      <c r="O24" s="13" t="s">
        <v>365</v>
      </c>
      <c r="P24" s="13" t="s">
        <v>365</v>
      </c>
      <c r="Q24" s="22"/>
      <c r="R24" s="23">
        <v>718159.31568382459</v>
      </c>
      <c r="S24" s="12"/>
      <c r="T24" s="12"/>
      <c r="U24" s="12"/>
      <c r="V24" s="12"/>
      <c r="W24" s="12"/>
      <c r="X24" s="12"/>
      <c r="Y24" s="12"/>
      <c r="Z24" s="18">
        <f>ROUND(R24*'Data-CostAssumptions'!$C$8,-3)</f>
        <v>718000</v>
      </c>
      <c r="AA24" s="11">
        <f t="shared" si="2"/>
        <v>0</v>
      </c>
      <c r="AB24" s="11">
        <v>2041</v>
      </c>
      <c r="AC24" s="11">
        <v>2041</v>
      </c>
      <c r="AD24" s="11">
        <v>2041</v>
      </c>
      <c r="AE24" s="19">
        <f>ROUND((Z24*'Data-CostAssumptions'!$G$5)*(1+'Data-CostAssumptions'!$G$3)^(AB24-'Data-CostAssumptions'!$G$4),-3)</f>
        <v>405000</v>
      </c>
      <c r="AF24" s="19">
        <f>ROUND((Z24)*(1+'Data-CostAssumptions'!$G$3)^(AD24-'Data-CostAssumptions'!$G$4),-3)</f>
        <v>1841000</v>
      </c>
      <c r="AG24" s="170" t="str">
        <f t="shared" si="1"/>
        <v>No</v>
      </c>
    </row>
    <row r="25" spans="2:33" ht="15" customHeight="1" x14ac:dyDescent="0.2">
      <c r="B25" s="11" t="s">
        <v>1211</v>
      </c>
      <c r="C25" s="13">
        <v>10032</v>
      </c>
      <c r="D25" s="13" t="s">
        <v>420</v>
      </c>
      <c r="E25" s="20" t="s">
        <v>298</v>
      </c>
      <c r="F25" s="20">
        <v>141</v>
      </c>
      <c r="G25" s="20">
        <v>986</v>
      </c>
      <c r="H25" s="13" t="s">
        <v>2712</v>
      </c>
      <c r="I25" s="13" t="str">
        <f t="shared" si="0"/>
        <v>SR 816/Oakland Park Bl &amp; NW 31st Av (@  NW 31st Av)</v>
      </c>
      <c r="J25" s="13" t="s">
        <v>347</v>
      </c>
      <c r="K25" s="13" t="str">
        <f>VLOOKUP(J25,'Data-ProjectTypes'!A$3:B$13,2,FALSE)</f>
        <v>Project</v>
      </c>
      <c r="L25" s="21" t="s">
        <v>77</v>
      </c>
      <c r="M25" s="13" t="s">
        <v>2835</v>
      </c>
      <c r="N25" s="13" t="s">
        <v>2062</v>
      </c>
      <c r="O25" s="13" t="s">
        <v>365</v>
      </c>
      <c r="P25" s="13" t="s">
        <v>365</v>
      </c>
      <c r="Q25" s="22"/>
      <c r="R25" s="23">
        <v>718159.31568382459</v>
      </c>
      <c r="S25" s="12"/>
      <c r="T25" s="12"/>
      <c r="U25" s="12"/>
      <c r="V25" s="12"/>
      <c r="W25" s="12"/>
      <c r="X25" s="12"/>
      <c r="Y25" s="12"/>
      <c r="Z25" s="18">
        <f>ROUND(R25*'Data-CostAssumptions'!$C$8,-3)</f>
        <v>718000</v>
      </c>
      <c r="AA25" s="11">
        <f t="shared" si="2"/>
        <v>0</v>
      </c>
      <c r="AB25" s="11">
        <v>2041</v>
      </c>
      <c r="AC25" s="11">
        <v>2041</v>
      </c>
      <c r="AD25" s="11">
        <v>2041</v>
      </c>
      <c r="AE25" s="19">
        <f>ROUND((Z25*'Data-CostAssumptions'!$G$5)*(1+'Data-CostAssumptions'!$G$3)^(AB25-'Data-CostAssumptions'!$G$4),-3)</f>
        <v>405000</v>
      </c>
      <c r="AF25" s="19">
        <f>ROUND((Z25)*(1+'Data-CostAssumptions'!$G$3)^(AD25-'Data-CostAssumptions'!$G$4),-3)</f>
        <v>1841000</v>
      </c>
      <c r="AG25" s="170" t="str">
        <f t="shared" si="1"/>
        <v>No</v>
      </c>
    </row>
    <row r="26" spans="2:33" ht="15" customHeight="1" x14ac:dyDescent="0.2">
      <c r="B26" s="11" t="s">
        <v>1211</v>
      </c>
      <c r="C26" s="13">
        <v>10089</v>
      </c>
      <c r="D26" s="13" t="s">
        <v>420</v>
      </c>
      <c r="E26" s="20" t="s">
        <v>298</v>
      </c>
      <c r="F26" s="20">
        <v>145</v>
      </c>
      <c r="G26" s="20">
        <v>987</v>
      </c>
      <c r="H26" s="13" t="s">
        <v>2713</v>
      </c>
      <c r="I26" s="13" t="str">
        <f t="shared" si="0"/>
        <v>SR 816/Oakland Park Bl &amp; SR A1A (@  SR A1A)</v>
      </c>
      <c r="J26" s="13" t="s">
        <v>347</v>
      </c>
      <c r="K26" s="13" t="str">
        <f>VLOOKUP(J26,'Data-ProjectTypes'!A$3:B$13,2,FALSE)</f>
        <v>Project</v>
      </c>
      <c r="L26" s="21" t="s">
        <v>77</v>
      </c>
      <c r="M26" s="13" t="s">
        <v>2835</v>
      </c>
      <c r="N26" s="13" t="s">
        <v>110</v>
      </c>
      <c r="O26" s="13" t="s">
        <v>365</v>
      </c>
      <c r="P26" s="13" t="s">
        <v>365</v>
      </c>
      <c r="Q26" s="22"/>
      <c r="R26" s="23">
        <v>718159.31568382459</v>
      </c>
      <c r="S26" s="12"/>
      <c r="T26" s="12"/>
      <c r="U26" s="12"/>
      <c r="V26" s="12"/>
      <c r="W26" s="12"/>
      <c r="X26" s="12"/>
      <c r="Y26" s="12"/>
      <c r="Z26" s="18">
        <f>ROUND(R26*'Data-CostAssumptions'!$C$8,-3)</f>
        <v>718000</v>
      </c>
      <c r="AA26" s="11">
        <f t="shared" si="2"/>
        <v>0</v>
      </c>
      <c r="AB26" s="11">
        <v>2041</v>
      </c>
      <c r="AC26" s="11">
        <v>2041</v>
      </c>
      <c r="AD26" s="11">
        <v>2041</v>
      </c>
      <c r="AE26" s="19">
        <f>ROUND((Z26*'Data-CostAssumptions'!$G$5)*(1+'Data-CostAssumptions'!$G$3)^(AB26-'Data-CostAssumptions'!$G$4),-3)</f>
        <v>405000</v>
      </c>
      <c r="AF26" s="19">
        <f>ROUND((Z26)*(1+'Data-CostAssumptions'!$G$3)^(AD26-'Data-CostAssumptions'!$G$4),-3)</f>
        <v>1841000</v>
      </c>
      <c r="AG26" s="170" t="str">
        <f t="shared" si="1"/>
        <v>No</v>
      </c>
    </row>
    <row r="27" spans="2:33" ht="15" customHeight="1" x14ac:dyDescent="0.2">
      <c r="B27" s="11" t="s">
        <v>1211</v>
      </c>
      <c r="C27" s="13">
        <v>10041</v>
      </c>
      <c r="D27" s="13" t="s">
        <v>420</v>
      </c>
      <c r="E27" s="20" t="s">
        <v>298</v>
      </c>
      <c r="F27" s="20">
        <v>142</v>
      </c>
      <c r="G27" s="20">
        <v>993</v>
      </c>
      <c r="H27" s="13" t="s">
        <v>2784</v>
      </c>
      <c r="I27" s="13" t="str">
        <f t="shared" si="0"/>
        <v>SR 818/Griffin Rd (@  SR 7/US 441)</v>
      </c>
      <c r="J27" s="13" t="s">
        <v>347</v>
      </c>
      <c r="K27" s="13" t="str">
        <f>VLOOKUP(J27,'Data-ProjectTypes'!A$3:B$13,2,FALSE)</f>
        <v>Project</v>
      </c>
      <c r="L27" s="21" t="s">
        <v>77</v>
      </c>
      <c r="M27" s="75" t="s">
        <v>2835</v>
      </c>
      <c r="N27" s="13" t="s">
        <v>57</v>
      </c>
      <c r="O27" s="13" t="s">
        <v>365</v>
      </c>
      <c r="P27" s="13" t="s">
        <v>365</v>
      </c>
      <c r="Q27" s="22"/>
      <c r="R27" s="23">
        <v>718159.31568382459</v>
      </c>
      <c r="S27" s="12"/>
      <c r="T27" s="12"/>
      <c r="U27" s="12"/>
      <c r="V27" s="12"/>
      <c r="W27" s="12"/>
      <c r="X27" s="12"/>
      <c r="Y27" s="12"/>
      <c r="Z27" s="18">
        <f>ROUND(R27*'Data-CostAssumptions'!$C$8,-3)</f>
        <v>718000</v>
      </c>
      <c r="AA27" s="11">
        <f t="shared" si="2"/>
        <v>0</v>
      </c>
      <c r="AB27" s="11">
        <v>2041</v>
      </c>
      <c r="AC27" s="11">
        <v>2041</v>
      </c>
      <c r="AD27" s="11">
        <v>2041</v>
      </c>
      <c r="AE27" s="19">
        <f>ROUND((Z27*'Data-CostAssumptions'!$G$5)*(1+'Data-CostAssumptions'!$G$3)^(AB27-'Data-CostAssumptions'!$G$4),-3)</f>
        <v>405000</v>
      </c>
      <c r="AF27" s="19">
        <f>ROUND((Z27)*(1+'Data-CostAssumptions'!$G$3)^(AD27-'Data-CostAssumptions'!$G$4),-3)</f>
        <v>1841000</v>
      </c>
      <c r="AG27" s="170" t="str">
        <f t="shared" si="1"/>
        <v>No</v>
      </c>
    </row>
    <row r="28" spans="2:33" ht="15" customHeight="1" x14ac:dyDescent="0.2">
      <c r="B28" s="11" t="s">
        <v>1211</v>
      </c>
      <c r="C28" s="13">
        <v>10054</v>
      </c>
      <c r="D28" s="13" t="s">
        <v>420</v>
      </c>
      <c r="E28" s="20" t="s">
        <v>298</v>
      </c>
      <c r="F28" s="20">
        <v>143</v>
      </c>
      <c r="G28" s="20">
        <v>994</v>
      </c>
      <c r="H28" s="13" t="s">
        <v>2784</v>
      </c>
      <c r="I28" s="13" t="str">
        <f t="shared" si="0"/>
        <v>SR 818/Griffin Rd (@  University Dr)</v>
      </c>
      <c r="J28" s="13" t="s">
        <v>347</v>
      </c>
      <c r="K28" s="13" t="str">
        <f>VLOOKUP(J28,'Data-ProjectTypes'!A$3:B$13,2,FALSE)</f>
        <v>Project</v>
      </c>
      <c r="L28" s="21" t="s">
        <v>77</v>
      </c>
      <c r="M28" s="75" t="s">
        <v>2835</v>
      </c>
      <c r="N28" s="13" t="s">
        <v>1804</v>
      </c>
      <c r="O28" s="13" t="s">
        <v>365</v>
      </c>
      <c r="P28" s="13" t="s">
        <v>365</v>
      </c>
      <c r="Q28" s="22"/>
      <c r="R28" s="23">
        <v>718159.31568382459</v>
      </c>
      <c r="S28" s="12"/>
      <c r="T28" s="12"/>
      <c r="U28" s="12"/>
      <c r="V28" s="12"/>
      <c r="W28" s="12"/>
      <c r="X28" s="12"/>
      <c r="Y28" s="12"/>
      <c r="Z28" s="18">
        <f>ROUND(R28*'Data-CostAssumptions'!$C$8,-3)</f>
        <v>718000</v>
      </c>
      <c r="AA28" s="11">
        <f t="shared" si="2"/>
        <v>0</v>
      </c>
      <c r="AB28" s="11">
        <v>2041</v>
      </c>
      <c r="AC28" s="11">
        <v>2041</v>
      </c>
      <c r="AD28" s="11">
        <v>2041</v>
      </c>
      <c r="AE28" s="19">
        <f>ROUND((Z28*'Data-CostAssumptions'!$G$5)*(1+'Data-CostAssumptions'!$G$3)^(AB28-'Data-CostAssumptions'!$G$4),-3)</f>
        <v>405000</v>
      </c>
      <c r="AF28" s="19">
        <f>ROUND((Z28)*(1+'Data-CostAssumptions'!$G$3)^(AD28-'Data-CostAssumptions'!$G$4),-3)</f>
        <v>1841000</v>
      </c>
      <c r="AG28" s="170" t="str">
        <f t="shared" si="1"/>
        <v>No</v>
      </c>
    </row>
    <row r="29" spans="2:33" ht="15" customHeight="1" x14ac:dyDescent="0.2">
      <c r="B29" s="11" t="s">
        <v>1211</v>
      </c>
      <c r="C29" s="13">
        <v>10081</v>
      </c>
      <c r="D29" s="13" t="s">
        <v>420</v>
      </c>
      <c r="E29" s="20" t="s">
        <v>298</v>
      </c>
      <c r="F29" s="20">
        <v>145</v>
      </c>
      <c r="G29" s="20">
        <v>995</v>
      </c>
      <c r="H29" s="13" t="s">
        <v>2784</v>
      </c>
      <c r="I29" s="13" t="str">
        <f t="shared" si="0"/>
        <v>SR 818/Griffin Rd (@  I-75)</v>
      </c>
      <c r="J29" s="13" t="s">
        <v>347</v>
      </c>
      <c r="K29" s="13" t="str">
        <f>VLOOKUP(J29,'Data-ProjectTypes'!A$3:B$13,2,FALSE)</f>
        <v>Project</v>
      </c>
      <c r="L29" s="21" t="s">
        <v>77</v>
      </c>
      <c r="M29" s="75" t="s">
        <v>2835</v>
      </c>
      <c r="N29" s="13" t="s">
        <v>31</v>
      </c>
      <c r="O29" s="13" t="s">
        <v>365</v>
      </c>
      <c r="P29" s="13" t="s">
        <v>365</v>
      </c>
      <c r="Q29" s="22"/>
      <c r="R29" s="23">
        <v>718159.31568382459</v>
      </c>
      <c r="S29" s="12"/>
      <c r="T29" s="12"/>
      <c r="U29" s="12"/>
      <c r="V29" s="12"/>
      <c r="W29" s="12"/>
      <c r="X29" s="12"/>
      <c r="Y29" s="12"/>
      <c r="Z29" s="18">
        <f>ROUND(R29*'Data-CostAssumptions'!$C$8,-3)</f>
        <v>718000</v>
      </c>
      <c r="AA29" s="11">
        <f t="shared" si="2"/>
        <v>0</v>
      </c>
      <c r="AB29" s="11">
        <v>2041</v>
      </c>
      <c r="AC29" s="11">
        <v>2041</v>
      </c>
      <c r="AD29" s="11">
        <v>2041</v>
      </c>
      <c r="AE29" s="19">
        <f>ROUND((Z29*'Data-CostAssumptions'!$G$5)*(1+'Data-CostAssumptions'!$G$3)^(AB29-'Data-CostAssumptions'!$G$4),-3)</f>
        <v>405000</v>
      </c>
      <c r="AF29" s="19">
        <f>ROUND((Z29)*(1+'Data-CostAssumptions'!$G$3)^(AD29-'Data-CostAssumptions'!$G$4),-3)</f>
        <v>1841000</v>
      </c>
      <c r="AG29" s="170" t="str">
        <f t="shared" si="1"/>
        <v>No</v>
      </c>
    </row>
    <row r="30" spans="2:33" ht="15" customHeight="1" x14ac:dyDescent="0.2">
      <c r="B30" s="11" t="s">
        <v>1211</v>
      </c>
      <c r="C30" s="13">
        <v>10109</v>
      </c>
      <c r="D30" s="13" t="s">
        <v>420</v>
      </c>
      <c r="E30" s="20" t="s">
        <v>298</v>
      </c>
      <c r="F30" s="20">
        <v>146</v>
      </c>
      <c r="G30" s="20">
        <v>997</v>
      </c>
      <c r="H30" s="13" t="s">
        <v>2784</v>
      </c>
      <c r="I30" s="13" t="str">
        <f t="shared" si="0"/>
        <v>SR 818/Griffin Rd (@  Flamingo Rd)</v>
      </c>
      <c r="J30" s="13" t="s">
        <v>347</v>
      </c>
      <c r="K30" s="13" t="str">
        <f>VLOOKUP(J30,'Data-ProjectTypes'!A$3:B$13,2,FALSE)</f>
        <v>Project</v>
      </c>
      <c r="L30" s="21" t="s">
        <v>77</v>
      </c>
      <c r="M30" s="75" t="s">
        <v>2835</v>
      </c>
      <c r="N30" s="13" t="s">
        <v>159</v>
      </c>
      <c r="O30" s="13" t="s">
        <v>365</v>
      </c>
      <c r="P30" s="13" t="s">
        <v>365</v>
      </c>
      <c r="Q30" s="22"/>
      <c r="R30" s="23">
        <v>718159.31568382459</v>
      </c>
      <c r="S30" s="12"/>
      <c r="T30" s="12"/>
      <c r="U30" s="12"/>
      <c r="V30" s="12"/>
      <c r="W30" s="12"/>
      <c r="X30" s="12"/>
      <c r="Y30" s="12"/>
      <c r="Z30" s="18">
        <f>ROUND(R30*'Data-CostAssumptions'!$C$8,-3)</f>
        <v>718000</v>
      </c>
      <c r="AA30" s="11">
        <f t="shared" si="2"/>
        <v>0</v>
      </c>
      <c r="AB30" s="11">
        <v>2041</v>
      </c>
      <c r="AC30" s="11">
        <v>2041</v>
      </c>
      <c r="AD30" s="11">
        <v>2041</v>
      </c>
      <c r="AE30" s="19">
        <f>ROUND((Z30*'Data-CostAssumptions'!$G$5)*(1+'Data-CostAssumptions'!$G$3)^(AB30-'Data-CostAssumptions'!$G$4),-3)</f>
        <v>405000</v>
      </c>
      <c r="AF30" s="19">
        <f>ROUND((Z30)*(1+'Data-CostAssumptions'!$G$3)^(AD30-'Data-CostAssumptions'!$G$4),-3)</f>
        <v>1841000</v>
      </c>
      <c r="AG30" s="170" t="str">
        <f t="shared" si="1"/>
        <v>No</v>
      </c>
    </row>
    <row r="31" spans="2:33" ht="15" customHeight="1" x14ac:dyDescent="0.2">
      <c r="B31" s="11" t="s">
        <v>1211</v>
      </c>
      <c r="C31" s="13">
        <v>10090</v>
      </c>
      <c r="D31" s="13" t="s">
        <v>420</v>
      </c>
      <c r="E31" s="20" t="s">
        <v>298</v>
      </c>
      <c r="F31" s="20">
        <v>145</v>
      </c>
      <c r="G31" s="20">
        <v>1003</v>
      </c>
      <c r="H31" s="13" t="s">
        <v>2718</v>
      </c>
      <c r="I31" s="13" t="str">
        <f t="shared" si="0"/>
        <v>SR 820/Pines Bl &amp; Douglas Rd (@  Douglas Rd)</v>
      </c>
      <c r="J31" s="13" t="s">
        <v>347</v>
      </c>
      <c r="K31" s="13" t="str">
        <f>VLOOKUP(J31,'Data-ProjectTypes'!A$3:B$13,2,FALSE)</f>
        <v>Project</v>
      </c>
      <c r="L31" s="21" t="s">
        <v>77</v>
      </c>
      <c r="M31" s="13" t="s">
        <v>2835</v>
      </c>
      <c r="N31" s="13" t="s">
        <v>2425</v>
      </c>
      <c r="O31" s="13" t="s">
        <v>365</v>
      </c>
      <c r="P31" s="13" t="s">
        <v>365</v>
      </c>
      <c r="Q31" s="22"/>
      <c r="R31" s="23">
        <v>718159.31568382459</v>
      </c>
      <c r="S31" s="12"/>
      <c r="T31" s="12"/>
      <c r="U31" s="12"/>
      <c r="V31" s="12"/>
      <c r="W31" s="12"/>
      <c r="X31" s="12"/>
      <c r="Y31" s="12"/>
      <c r="Z31" s="18">
        <f>ROUND(R31*'Data-CostAssumptions'!$C$8,-3)</f>
        <v>718000</v>
      </c>
      <c r="AA31" s="11">
        <f t="shared" si="2"/>
        <v>0</v>
      </c>
      <c r="AB31" s="11">
        <v>2041</v>
      </c>
      <c r="AC31" s="11">
        <v>2041</v>
      </c>
      <c r="AD31" s="11">
        <v>2041</v>
      </c>
      <c r="AE31" s="19">
        <f>ROUND((Z31*'Data-CostAssumptions'!$G$5)*(1+'Data-CostAssumptions'!$G$3)^(AB31-'Data-CostAssumptions'!$G$4),-3)</f>
        <v>405000</v>
      </c>
      <c r="AF31" s="19">
        <f>ROUND((Z31)*(1+'Data-CostAssumptions'!$G$3)^(AD31-'Data-CostAssumptions'!$G$4),-3)</f>
        <v>1841000</v>
      </c>
      <c r="AG31" s="170" t="str">
        <f t="shared" si="1"/>
        <v>No</v>
      </c>
    </row>
    <row r="32" spans="2:33" ht="15" customHeight="1" x14ac:dyDescent="0.2">
      <c r="B32" s="11" t="s">
        <v>1211</v>
      </c>
      <c r="C32" s="13">
        <v>10101</v>
      </c>
      <c r="D32" s="13" t="s">
        <v>420</v>
      </c>
      <c r="E32" s="20" t="s">
        <v>298</v>
      </c>
      <c r="F32" s="20">
        <v>146</v>
      </c>
      <c r="G32" s="20">
        <v>1004</v>
      </c>
      <c r="H32" s="13" t="s">
        <v>2719</v>
      </c>
      <c r="I32" s="13" t="str">
        <f t="shared" si="0"/>
        <v>SR 820/Pines Bl &amp; Dykes Rd (@  Dykes Rd)</v>
      </c>
      <c r="J32" s="13" t="s">
        <v>347</v>
      </c>
      <c r="K32" s="13" t="str">
        <f>VLOOKUP(J32,'Data-ProjectTypes'!A$3:B$13,2,FALSE)</f>
        <v>Project</v>
      </c>
      <c r="L32" s="21" t="s">
        <v>77</v>
      </c>
      <c r="M32" s="13" t="s">
        <v>2835</v>
      </c>
      <c r="N32" s="13" t="s">
        <v>1846</v>
      </c>
      <c r="O32" s="13" t="s">
        <v>365</v>
      </c>
      <c r="P32" s="13" t="s">
        <v>365</v>
      </c>
      <c r="Q32" s="22"/>
      <c r="R32" s="23">
        <v>718159.31568382459</v>
      </c>
      <c r="S32" s="12"/>
      <c r="T32" s="12"/>
      <c r="U32" s="12"/>
      <c r="V32" s="12"/>
      <c r="W32" s="12"/>
      <c r="X32" s="12"/>
      <c r="Y32" s="12"/>
      <c r="Z32" s="18">
        <f>ROUND(R32*'Data-CostAssumptions'!$C$8,-3)</f>
        <v>718000</v>
      </c>
      <c r="AA32" s="11">
        <f t="shared" si="2"/>
        <v>0</v>
      </c>
      <c r="AB32" s="11">
        <v>2041</v>
      </c>
      <c r="AC32" s="11">
        <v>2041</v>
      </c>
      <c r="AD32" s="11">
        <v>2041</v>
      </c>
      <c r="AE32" s="19">
        <f>ROUND((Z32*'Data-CostAssumptions'!$G$5)*(1+'Data-CostAssumptions'!$G$3)^(AB32-'Data-CostAssumptions'!$G$4),-3)</f>
        <v>405000</v>
      </c>
      <c r="AF32" s="19">
        <f>ROUND((Z32)*(1+'Data-CostAssumptions'!$G$3)^(AD32-'Data-CostAssumptions'!$G$4),-3)</f>
        <v>1841000</v>
      </c>
      <c r="AG32" s="170" t="str">
        <f t="shared" si="1"/>
        <v>No</v>
      </c>
    </row>
    <row r="33" spans="2:33" ht="15" customHeight="1" x14ac:dyDescent="0.2">
      <c r="B33" s="11" t="s">
        <v>1211</v>
      </c>
      <c r="C33" s="13">
        <v>10077</v>
      </c>
      <c r="D33" s="13" t="s">
        <v>420</v>
      </c>
      <c r="E33" s="20" t="s">
        <v>298</v>
      </c>
      <c r="F33" s="20">
        <v>144</v>
      </c>
      <c r="G33" s="20">
        <v>1005</v>
      </c>
      <c r="H33" s="13" t="s">
        <v>2720</v>
      </c>
      <c r="I33" s="13" t="str">
        <f t="shared" si="0"/>
        <v>SR 820/Pines Bl &amp; Palm Av (@  Palm Av)</v>
      </c>
      <c r="J33" s="13" t="s">
        <v>347</v>
      </c>
      <c r="K33" s="13" t="str">
        <f>VLOOKUP(J33,'Data-ProjectTypes'!A$3:B$13,2,FALSE)</f>
        <v>Project</v>
      </c>
      <c r="L33" s="21" t="s">
        <v>77</v>
      </c>
      <c r="M33" s="13" t="s">
        <v>2835</v>
      </c>
      <c r="N33" s="13" t="s">
        <v>2083</v>
      </c>
      <c r="O33" s="13" t="s">
        <v>365</v>
      </c>
      <c r="P33" s="13" t="s">
        <v>365</v>
      </c>
      <c r="Q33" s="22"/>
      <c r="R33" s="23">
        <v>718159.31568382459</v>
      </c>
      <c r="S33" s="12"/>
      <c r="T33" s="12"/>
      <c r="U33" s="12"/>
      <c r="V33" s="12"/>
      <c r="W33" s="12"/>
      <c r="X33" s="12"/>
      <c r="Y33" s="12"/>
      <c r="Z33" s="18">
        <f>ROUND(R33*'Data-CostAssumptions'!$C$8,-3)</f>
        <v>718000</v>
      </c>
      <c r="AA33" s="11">
        <f t="shared" si="2"/>
        <v>0</v>
      </c>
      <c r="AB33" s="11">
        <v>2041</v>
      </c>
      <c r="AC33" s="11">
        <v>2041</v>
      </c>
      <c r="AD33" s="11">
        <v>2041</v>
      </c>
      <c r="AE33" s="19">
        <f>ROUND((Z33*'Data-CostAssumptions'!$G$5)*(1+'Data-CostAssumptions'!$G$3)^(AB33-'Data-CostAssumptions'!$G$4),-3)</f>
        <v>405000</v>
      </c>
      <c r="AF33" s="19">
        <f>ROUND((Z33)*(1+'Data-CostAssumptions'!$G$3)^(AD33-'Data-CostAssumptions'!$G$4),-3)</f>
        <v>1841000</v>
      </c>
      <c r="AG33" s="170" t="str">
        <f t="shared" si="1"/>
        <v>No</v>
      </c>
    </row>
    <row r="34" spans="2:33" ht="15" customHeight="1" x14ac:dyDescent="0.2">
      <c r="B34" s="11" t="s">
        <v>1211</v>
      </c>
      <c r="C34" s="13">
        <v>10082</v>
      </c>
      <c r="D34" s="13" t="s">
        <v>420</v>
      </c>
      <c r="E34" s="20" t="s">
        <v>298</v>
      </c>
      <c r="F34" s="20">
        <v>145</v>
      </c>
      <c r="G34" s="20">
        <v>1006</v>
      </c>
      <c r="H34" s="13" t="s">
        <v>2721</v>
      </c>
      <c r="I34" s="13" t="str">
        <f t="shared" ref="I34:I65" si="3">IF(M34="@",H34&amp;" ("&amp;M34&amp;"  "&amp;N34&amp;")",H34&amp;" ("&amp;M34&amp;" to "&amp;N34&amp;")")</f>
        <v>SR 820/Pines Bl &amp; University Dr (@  University Dr)</v>
      </c>
      <c r="J34" s="13" t="s">
        <v>347</v>
      </c>
      <c r="K34" s="13" t="str">
        <f>VLOOKUP(J34,'Data-ProjectTypes'!A$3:B$13,2,FALSE)</f>
        <v>Project</v>
      </c>
      <c r="L34" s="21" t="s">
        <v>77</v>
      </c>
      <c r="M34" s="13" t="s">
        <v>2835</v>
      </c>
      <c r="N34" s="13" t="s">
        <v>1804</v>
      </c>
      <c r="O34" s="13" t="s">
        <v>365</v>
      </c>
      <c r="P34" s="13" t="s">
        <v>365</v>
      </c>
      <c r="Q34" s="22"/>
      <c r="R34" s="23">
        <v>718159.31568382459</v>
      </c>
      <c r="S34" s="12"/>
      <c r="T34" s="12"/>
      <c r="U34" s="12"/>
      <c r="V34" s="12"/>
      <c r="W34" s="12"/>
      <c r="X34" s="12"/>
      <c r="Y34" s="12"/>
      <c r="Z34" s="18">
        <f>ROUND(R34*'Data-CostAssumptions'!$C$8,-3)</f>
        <v>718000</v>
      </c>
      <c r="AA34" s="11">
        <f t="shared" si="2"/>
        <v>0</v>
      </c>
      <c r="AB34" s="11">
        <v>2041</v>
      </c>
      <c r="AC34" s="11">
        <v>2041</v>
      </c>
      <c r="AD34" s="11">
        <v>2041</v>
      </c>
      <c r="AE34" s="19">
        <f>ROUND((Z34*'Data-CostAssumptions'!$G$5)*(1+'Data-CostAssumptions'!$G$3)^(AB34-'Data-CostAssumptions'!$G$4),-3)</f>
        <v>405000</v>
      </c>
      <c r="AF34" s="19">
        <f>ROUND((Z34)*(1+'Data-CostAssumptions'!$G$3)^(AD34-'Data-CostAssumptions'!$G$4),-3)</f>
        <v>1841000</v>
      </c>
      <c r="AG34" s="170" t="str">
        <f t="shared" si="1"/>
        <v>No</v>
      </c>
    </row>
    <row r="35" spans="2:33" ht="15" customHeight="1" x14ac:dyDescent="0.2">
      <c r="B35" s="11" t="s">
        <v>1211</v>
      </c>
      <c r="C35" s="13">
        <v>10102</v>
      </c>
      <c r="D35" s="13" t="s">
        <v>420</v>
      </c>
      <c r="E35" s="20" t="s">
        <v>298</v>
      </c>
      <c r="F35" s="20">
        <v>146</v>
      </c>
      <c r="G35" s="20">
        <v>1010</v>
      </c>
      <c r="H35" s="13" t="s">
        <v>2788</v>
      </c>
      <c r="I35" s="13" t="str">
        <f t="shared" si="3"/>
        <v>SR 822/Sheridan St &amp; SR 7 (@  SR 7/US 441)</v>
      </c>
      <c r="J35" s="13" t="s">
        <v>347</v>
      </c>
      <c r="K35" s="13" t="str">
        <f>VLOOKUP(J35,'Data-ProjectTypes'!A$3:B$13,2,FALSE)</f>
        <v>Project</v>
      </c>
      <c r="L35" s="21" t="s">
        <v>77</v>
      </c>
      <c r="M35" s="13" t="s">
        <v>2835</v>
      </c>
      <c r="N35" s="13" t="s">
        <v>57</v>
      </c>
      <c r="O35" s="13" t="s">
        <v>365</v>
      </c>
      <c r="P35" s="13" t="s">
        <v>365</v>
      </c>
      <c r="Q35" s="22"/>
      <c r="R35" s="23">
        <v>718159.31568382459</v>
      </c>
      <c r="S35" s="12"/>
      <c r="T35" s="12"/>
      <c r="U35" s="12"/>
      <c r="V35" s="12"/>
      <c r="W35" s="12"/>
      <c r="X35" s="12"/>
      <c r="Y35" s="12"/>
      <c r="Z35" s="18">
        <f>ROUND(R35*'Data-CostAssumptions'!$C$8,-3)</f>
        <v>718000</v>
      </c>
      <c r="AA35" s="11">
        <f t="shared" si="2"/>
        <v>0</v>
      </c>
      <c r="AB35" s="11">
        <v>2041</v>
      </c>
      <c r="AC35" s="11">
        <v>2041</v>
      </c>
      <c r="AD35" s="11">
        <v>2041</v>
      </c>
      <c r="AE35" s="19">
        <f>ROUND((Z35*'Data-CostAssumptions'!$G$5)*(1+'Data-CostAssumptions'!$G$3)^(AB35-'Data-CostAssumptions'!$G$4),-3)</f>
        <v>405000</v>
      </c>
      <c r="AF35" s="19">
        <f>ROUND((Z35)*(1+'Data-CostAssumptions'!$G$3)^(AD35-'Data-CostAssumptions'!$G$4),-3)</f>
        <v>1841000</v>
      </c>
      <c r="AG35" s="170" t="str">
        <f t="shared" si="1"/>
        <v>No</v>
      </c>
    </row>
    <row r="36" spans="2:33" ht="15" customHeight="1" x14ac:dyDescent="0.2">
      <c r="B36" s="11" t="s">
        <v>1211</v>
      </c>
      <c r="C36" s="13">
        <v>10103</v>
      </c>
      <c r="D36" s="13" t="s">
        <v>420</v>
      </c>
      <c r="E36" s="20" t="s">
        <v>298</v>
      </c>
      <c r="F36" s="20">
        <v>146</v>
      </c>
      <c r="G36" s="20">
        <v>1011</v>
      </c>
      <c r="H36" s="13" t="s">
        <v>2789</v>
      </c>
      <c r="I36" s="13" t="str">
        <f t="shared" si="3"/>
        <v>SR 822/Sheridan St &amp; University Dr (@  University Dr)</v>
      </c>
      <c r="J36" s="13" t="s">
        <v>347</v>
      </c>
      <c r="K36" s="13" t="str">
        <f>VLOOKUP(J36,'Data-ProjectTypes'!A$3:B$13,2,FALSE)</f>
        <v>Project</v>
      </c>
      <c r="L36" s="21" t="s">
        <v>77</v>
      </c>
      <c r="M36" s="13" t="s">
        <v>2835</v>
      </c>
      <c r="N36" s="13" t="s">
        <v>1804</v>
      </c>
      <c r="O36" s="13" t="s">
        <v>365</v>
      </c>
      <c r="P36" s="13" t="s">
        <v>365</v>
      </c>
      <c r="Q36" s="22"/>
      <c r="R36" s="23">
        <v>718159.31568382459</v>
      </c>
      <c r="S36" s="12"/>
      <c r="T36" s="12"/>
      <c r="U36" s="12"/>
      <c r="V36" s="12"/>
      <c r="W36" s="12"/>
      <c r="X36" s="12"/>
      <c r="Y36" s="12"/>
      <c r="Z36" s="18">
        <f>ROUND(R36*'Data-CostAssumptions'!$C$8,-3)</f>
        <v>718000</v>
      </c>
      <c r="AA36" s="11">
        <f t="shared" si="2"/>
        <v>0</v>
      </c>
      <c r="AB36" s="11">
        <v>2041</v>
      </c>
      <c r="AC36" s="11">
        <v>2041</v>
      </c>
      <c r="AD36" s="11">
        <v>2041</v>
      </c>
      <c r="AE36" s="19">
        <f>ROUND((Z36*'Data-CostAssumptions'!$G$5)*(1+'Data-CostAssumptions'!$G$3)^(AB36-'Data-CostAssumptions'!$G$4),-3)</f>
        <v>405000</v>
      </c>
      <c r="AF36" s="19">
        <f>ROUND((Z36)*(1+'Data-CostAssumptions'!$G$3)^(AD36-'Data-CostAssumptions'!$G$4),-3)</f>
        <v>1841000</v>
      </c>
      <c r="AG36" s="170" t="str">
        <f t="shared" si="1"/>
        <v>No</v>
      </c>
    </row>
    <row r="37" spans="2:33" ht="15" customHeight="1" x14ac:dyDescent="0.2">
      <c r="B37" s="11" t="s">
        <v>1211</v>
      </c>
      <c r="C37" s="13">
        <v>10043</v>
      </c>
      <c r="D37" s="13" t="s">
        <v>420</v>
      </c>
      <c r="E37" s="20" t="s">
        <v>298</v>
      </c>
      <c r="F37" s="20">
        <v>142</v>
      </c>
      <c r="G37" s="20">
        <v>1012</v>
      </c>
      <c r="H37" s="13" t="s">
        <v>2715</v>
      </c>
      <c r="I37" s="13" t="str">
        <f t="shared" si="3"/>
        <v>SR 824/Pembroke Rd &amp; SR 7/US 441 (@  SR 7/US 441)</v>
      </c>
      <c r="J37" s="13" t="s">
        <v>347</v>
      </c>
      <c r="K37" s="13" t="str">
        <f>VLOOKUP(J37,'Data-ProjectTypes'!A$3:B$13,2,FALSE)</f>
        <v>Project</v>
      </c>
      <c r="L37" s="21" t="s">
        <v>77</v>
      </c>
      <c r="M37" s="13" t="s">
        <v>2835</v>
      </c>
      <c r="N37" s="13" t="s">
        <v>57</v>
      </c>
      <c r="O37" s="13" t="s">
        <v>365</v>
      </c>
      <c r="P37" s="13" t="s">
        <v>365</v>
      </c>
      <c r="Q37" s="22"/>
      <c r="R37" s="23">
        <v>718159.31568382459</v>
      </c>
      <c r="S37" s="12"/>
      <c r="T37" s="12"/>
      <c r="U37" s="12"/>
      <c r="V37" s="12"/>
      <c r="W37" s="12"/>
      <c r="X37" s="12"/>
      <c r="Y37" s="12"/>
      <c r="Z37" s="18">
        <f>ROUND(R37*'Data-CostAssumptions'!$C$8,-3)</f>
        <v>718000</v>
      </c>
      <c r="AA37" s="11">
        <f t="shared" si="2"/>
        <v>0</v>
      </c>
      <c r="AB37" s="11">
        <v>2041</v>
      </c>
      <c r="AC37" s="11">
        <v>2041</v>
      </c>
      <c r="AD37" s="11">
        <v>2041</v>
      </c>
      <c r="AE37" s="19">
        <f>ROUND((Z37*'Data-CostAssumptions'!$G$5)*(1+'Data-CostAssumptions'!$G$3)^(AB37-'Data-CostAssumptions'!$G$4),-3)</f>
        <v>405000</v>
      </c>
      <c r="AF37" s="19">
        <f>ROUND((Z37)*(1+'Data-CostAssumptions'!$G$3)^(AD37-'Data-CostAssumptions'!$G$4),-3)</f>
        <v>1841000</v>
      </c>
      <c r="AG37" s="170" t="str">
        <f t="shared" si="1"/>
        <v>No</v>
      </c>
    </row>
    <row r="38" spans="2:33" ht="15" customHeight="1" x14ac:dyDescent="0.2">
      <c r="B38" s="11" t="s">
        <v>1211</v>
      </c>
      <c r="C38" s="13">
        <v>10080</v>
      </c>
      <c r="D38" s="13" t="s">
        <v>420</v>
      </c>
      <c r="E38" s="20" t="s">
        <v>298</v>
      </c>
      <c r="F38" s="20">
        <v>145</v>
      </c>
      <c r="G38" s="20">
        <v>1013</v>
      </c>
      <c r="H38" s="13" t="s">
        <v>2716</v>
      </c>
      <c r="I38" s="13" t="str">
        <f t="shared" si="3"/>
        <v>SR 824/Pembroke Rd &amp; University Dr (@  University Dr)</v>
      </c>
      <c r="J38" s="13" t="s">
        <v>347</v>
      </c>
      <c r="K38" s="13" t="str">
        <f>VLOOKUP(J38,'Data-ProjectTypes'!A$3:B$13,2,FALSE)</f>
        <v>Project</v>
      </c>
      <c r="L38" s="21" t="s">
        <v>77</v>
      </c>
      <c r="M38" s="13" t="s">
        <v>2835</v>
      </c>
      <c r="N38" s="13" t="s">
        <v>1804</v>
      </c>
      <c r="O38" s="13" t="s">
        <v>365</v>
      </c>
      <c r="P38" s="13" t="s">
        <v>365</v>
      </c>
      <c r="Q38" s="22"/>
      <c r="R38" s="23">
        <v>718159.31568382459</v>
      </c>
      <c r="S38" s="12"/>
      <c r="T38" s="12"/>
      <c r="U38" s="12"/>
      <c r="V38" s="12"/>
      <c r="W38" s="12"/>
      <c r="X38" s="12"/>
      <c r="Y38" s="12"/>
      <c r="Z38" s="18">
        <f>ROUND(R38*'Data-CostAssumptions'!$C$8,-3)</f>
        <v>718000</v>
      </c>
      <c r="AA38" s="11">
        <f t="shared" si="2"/>
        <v>0</v>
      </c>
      <c r="AB38" s="11">
        <v>2041</v>
      </c>
      <c r="AC38" s="11">
        <v>2041</v>
      </c>
      <c r="AD38" s="11">
        <v>2041</v>
      </c>
      <c r="AE38" s="19">
        <f>ROUND((Z38*'Data-CostAssumptions'!$G$5)*(1+'Data-CostAssumptions'!$G$3)^(AB38-'Data-CostAssumptions'!$G$4),-3)</f>
        <v>405000</v>
      </c>
      <c r="AF38" s="19">
        <f>ROUND((Z38)*(1+'Data-CostAssumptions'!$G$3)^(AD38-'Data-CostAssumptions'!$G$4),-3)</f>
        <v>1841000</v>
      </c>
      <c r="AG38" s="170" t="str">
        <f t="shared" si="1"/>
        <v>No</v>
      </c>
    </row>
    <row r="39" spans="2:33" ht="15" customHeight="1" x14ac:dyDescent="0.2">
      <c r="B39" s="11" t="s">
        <v>1211</v>
      </c>
      <c r="C39" s="13">
        <v>10033</v>
      </c>
      <c r="D39" s="13" t="s">
        <v>420</v>
      </c>
      <c r="E39" s="20" t="s">
        <v>298</v>
      </c>
      <c r="F39" s="20">
        <v>141</v>
      </c>
      <c r="G39" s="20">
        <v>1014</v>
      </c>
      <c r="H39" s="13" t="s">
        <v>2791</v>
      </c>
      <c r="I39" s="13" t="str">
        <f t="shared" si="3"/>
        <v>SR 824/Pembroke Rd &amp; US 1 (@  SR 5/US 1)</v>
      </c>
      <c r="J39" s="13" t="s">
        <v>347</v>
      </c>
      <c r="K39" s="13" t="str">
        <f>VLOOKUP(J39,'Data-ProjectTypes'!A$3:B$13,2,FALSE)</f>
        <v>Project</v>
      </c>
      <c r="L39" s="21" t="s">
        <v>77</v>
      </c>
      <c r="M39" s="13" t="s">
        <v>2835</v>
      </c>
      <c r="N39" s="13" t="s">
        <v>1424</v>
      </c>
      <c r="O39" s="13" t="s">
        <v>365</v>
      </c>
      <c r="P39" s="13" t="s">
        <v>365</v>
      </c>
      <c r="Q39" s="22"/>
      <c r="R39" s="23">
        <v>718159.31568382459</v>
      </c>
      <c r="S39" s="12"/>
      <c r="T39" s="12"/>
      <c r="U39" s="12"/>
      <c r="V39" s="12"/>
      <c r="W39" s="12"/>
      <c r="X39" s="12"/>
      <c r="Y39" s="12" t="s">
        <v>2211</v>
      </c>
      <c r="Z39" s="71">
        <f>ROUND(R39*'Data-CostAssumptions'!$C$8,-3)</f>
        <v>718000</v>
      </c>
      <c r="AA39" s="11">
        <f t="shared" si="2"/>
        <v>0</v>
      </c>
      <c r="AB39" s="11">
        <v>2041</v>
      </c>
      <c r="AC39" s="11">
        <v>2041</v>
      </c>
      <c r="AD39" s="11">
        <v>2041</v>
      </c>
      <c r="AE39" s="19">
        <f>ROUND((Z39*'Data-CostAssumptions'!$G$5)*(1+'Data-CostAssumptions'!$G$3)^(AB39-'Data-CostAssumptions'!$G$4),-3)</f>
        <v>405000</v>
      </c>
      <c r="AF39" s="19">
        <f>ROUND((Z39)*(1+'Data-CostAssumptions'!$G$3)^(AD39-'Data-CostAssumptions'!$G$4),-3)</f>
        <v>1841000</v>
      </c>
      <c r="AG39" s="170" t="str">
        <f t="shared" si="1"/>
        <v>No</v>
      </c>
    </row>
    <row r="40" spans="2:33" ht="15" customHeight="1" x14ac:dyDescent="0.2">
      <c r="B40" s="11" t="s">
        <v>1211</v>
      </c>
      <c r="C40" s="13">
        <v>10095</v>
      </c>
      <c r="D40" s="13" t="s">
        <v>420</v>
      </c>
      <c r="E40" s="20" t="s">
        <v>298</v>
      </c>
      <c r="F40" s="20">
        <v>146</v>
      </c>
      <c r="G40" s="20">
        <v>1019</v>
      </c>
      <c r="H40" s="13" t="s">
        <v>2794</v>
      </c>
      <c r="I40" s="13" t="str">
        <f t="shared" si="3"/>
        <v>SR 834/Sample Rd &amp; Coral Ridge Dr (@  Coral Ridge Dr)</v>
      </c>
      <c r="J40" s="13" t="s">
        <v>347</v>
      </c>
      <c r="K40" s="13" t="str">
        <f>VLOOKUP(J40,'Data-ProjectTypes'!A$3:B$13,2,FALSE)</f>
        <v>Project</v>
      </c>
      <c r="L40" s="21" t="s">
        <v>77</v>
      </c>
      <c r="M40" s="13" t="s">
        <v>2835</v>
      </c>
      <c r="N40" s="13" t="s">
        <v>1786</v>
      </c>
      <c r="O40" s="13" t="s">
        <v>365</v>
      </c>
      <c r="P40" s="13" t="s">
        <v>365</v>
      </c>
      <c r="Q40" s="22"/>
      <c r="R40" s="23">
        <v>718159.31568382459</v>
      </c>
      <c r="S40" s="12"/>
      <c r="T40" s="12"/>
      <c r="U40" s="12"/>
      <c r="V40" s="12"/>
      <c r="W40" s="12"/>
      <c r="X40" s="12"/>
      <c r="Y40" s="12"/>
      <c r="Z40" s="18">
        <f>ROUND(R40*'Data-CostAssumptions'!$C$8,-3)</f>
        <v>718000</v>
      </c>
      <c r="AA40" s="11">
        <f t="shared" si="2"/>
        <v>0</v>
      </c>
      <c r="AB40" s="11">
        <v>2041</v>
      </c>
      <c r="AC40" s="11">
        <v>2041</v>
      </c>
      <c r="AD40" s="11">
        <v>2041</v>
      </c>
      <c r="AE40" s="19">
        <f>ROUND((Z40*'Data-CostAssumptions'!$G$5)*(1+'Data-CostAssumptions'!$G$3)^(AB40-'Data-CostAssumptions'!$G$4),-3)</f>
        <v>405000</v>
      </c>
      <c r="AF40" s="19">
        <f>ROUND((Z40)*(1+'Data-CostAssumptions'!$G$3)^(AD40-'Data-CostAssumptions'!$G$4),-3)</f>
        <v>1841000</v>
      </c>
      <c r="AG40" s="170" t="str">
        <f t="shared" si="1"/>
        <v>No</v>
      </c>
    </row>
    <row r="41" spans="2:33" ht="15" customHeight="1" x14ac:dyDescent="0.2">
      <c r="B41" s="11" t="s">
        <v>1211</v>
      </c>
      <c r="C41" s="13">
        <v>10044</v>
      </c>
      <c r="D41" s="13" t="s">
        <v>420</v>
      </c>
      <c r="E41" s="20" t="s">
        <v>298</v>
      </c>
      <c r="F41" s="20">
        <v>142</v>
      </c>
      <c r="G41" s="20">
        <v>1020</v>
      </c>
      <c r="H41" s="13" t="s">
        <v>2795</v>
      </c>
      <c r="I41" s="13" t="str">
        <f t="shared" si="3"/>
        <v>SR 834/Sample Rd &amp; Lyons Rd (@  Lyons Rd)</v>
      </c>
      <c r="J41" s="13" t="s">
        <v>347</v>
      </c>
      <c r="K41" s="13" t="str">
        <f>VLOOKUP(J41,'Data-ProjectTypes'!A$3:B$13,2,FALSE)</f>
        <v>Project</v>
      </c>
      <c r="L41" s="21" t="s">
        <v>77</v>
      </c>
      <c r="M41" s="13" t="s">
        <v>2835</v>
      </c>
      <c r="N41" s="13" t="s">
        <v>1754</v>
      </c>
      <c r="O41" s="13" t="s">
        <v>365</v>
      </c>
      <c r="P41" s="13" t="s">
        <v>365</v>
      </c>
      <c r="Q41" s="22"/>
      <c r="R41" s="23">
        <v>718159.31568382459</v>
      </c>
      <c r="S41" s="12"/>
      <c r="T41" s="12"/>
      <c r="U41" s="12"/>
      <c r="V41" s="12"/>
      <c r="W41" s="12"/>
      <c r="X41" s="12"/>
      <c r="Y41" s="12"/>
      <c r="Z41" s="18">
        <f>ROUND(R41*'Data-CostAssumptions'!$C$8,-3)</f>
        <v>718000</v>
      </c>
      <c r="AA41" s="11">
        <f t="shared" si="2"/>
        <v>0</v>
      </c>
      <c r="AB41" s="11">
        <v>2041</v>
      </c>
      <c r="AC41" s="11">
        <v>2041</v>
      </c>
      <c r="AD41" s="11">
        <v>2041</v>
      </c>
      <c r="AE41" s="19">
        <f>ROUND((Z41*'Data-CostAssumptions'!$G$5)*(1+'Data-CostAssumptions'!$G$3)^(AB41-'Data-CostAssumptions'!$G$4),-3)</f>
        <v>405000</v>
      </c>
      <c r="AF41" s="19">
        <f>ROUND((Z41)*(1+'Data-CostAssumptions'!$G$3)^(AD41-'Data-CostAssumptions'!$G$4),-3)</f>
        <v>1841000</v>
      </c>
      <c r="AG41" s="170" t="str">
        <f t="shared" si="1"/>
        <v>No</v>
      </c>
    </row>
    <row r="42" spans="2:33" ht="15" customHeight="1" x14ac:dyDescent="0.2">
      <c r="B42" s="11" t="s">
        <v>1211</v>
      </c>
      <c r="C42" s="13">
        <v>10108</v>
      </c>
      <c r="D42" s="13" t="s">
        <v>420</v>
      </c>
      <c r="E42" s="20" t="s">
        <v>298</v>
      </c>
      <c r="F42" s="20">
        <v>146</v>
      </c>
      <c r="G42" s="20">
        <v>1021</v>
      </c>
      <c r="H42" s="13" t="s">
        <v>2796</v>
      </c>
      <c r="I42" s="13" t="str">
        <f t="shared" si="3"/>
        <v>SR 834/Sample Rd &amp; Sportsplex Dr (@  Sportsplex Dr)</v>
      </c>
      <c r="J42" s="13" t="s">
        <v>347</v>
      </c>
      <c r="K42" s="13" t="str">
        <f>VLOOKUP(J42,'Data-ProjectTypes'!A$3:B$13,2,FALSE)</f>
        <v>Project</v>
      </c>
      <c r="L42" s="21" t="s">
        <v>77</v>
      </c>
      <c r="M42" s="13" t="s">
        <v>2835</v>
      </c>
      <c r="N42" s="13" t="s">
        <v>1802</v>
      </c>
      <c r="O42" s="13" t="s">
        <v>365</v>
      </c>
      <c r="P42" s="13" t="s">
        <v>365</v>
      </c>
      <c r="Q42" s="22"/>
      <c r="R42" s="23">
        <v>718159.31568382459</v>
      </c>
      <c r="S42" s="12"/>
      <c r="T42" s="12"/>
      <c r="U42" s="12"/>
      <c r="V42" s="12"/>
      <c r="W42" s="12"/>
      <c r="X42" s="34"/>
      <c r="Y42" s="12"/>
      <c r="Z42" s="18">
        <f>ROUND(R42*'Data-CostAssumptions'!$C$8,-3)</f>
        <v>718000</v>
      </c>
      <c r="AA42" s="11">
        <f t="shared" si="2"/>
        <v>0</v>
      </c>
      <c r="AB42" s="11">
        <v>2041</v>
      </c>
      <c r="AC42" s="11">
        <v>2041</v>
      </c>
      <c r="AD42" s="11">
        <v>2041</v>
      </c>
      <c r="AE42" s="19">
        <f>ROUND((Z42*'Data-CostAssumptions'!$G$5)*(1+'Data-CostAssumptions'!$G$3)^(AB42-'Data-CostAssumptions'!$G$4),-3)</f>
        <v>405000</v>
      </c>
      <c r="AF42" s="19">
        <f>ROUND((Z42)*(1+'Data-CostAssumptions'!$G$3)^(AD42-'Data-CostAssumptions'!$G$4),-3)</f>
        <v>1841000</v>
      </c>
      <c r="AG42" s="170" t="str">
        <f t="shared" si="1"/>
        <v>No</v>
      </c>
    </row>
    <row r="43" spans="2:33" ht="15" customHeight="1" x14ac:dyDescent="0.2">
      <c r="B43" s="11" t="s">
        <v>1211</v>
      </c>
      <c r="C43" s="13">
        <v>10079</v>
      </c>
      <c r="D43" s="13" t="s">
        <v>420</v>
      </c>
      <c r="E43" s="20" t="s">
        <v>298</v>
      </c>
      <c r="F43" s="20">
        <v>144</v>
      </c>
      <c r="G43" s="20">
        <v>1022</v>
      </c>
      <c r="H43" s="13" t="s">
        <v>2797</v>
      </c>
      <c r="I43" s="13" t="str">
        <f t="shared" si="3"/>
        <v>SR 834/Sample Rd &amp; US 1 (@  SR 5/US 1)</v>
      </c>
      <c r="J43" s="13" t="s">
        <v>347</v>
      </c>
      <c r="K43" s="13" t="str">
        <f>VLOOKUP(J43,'Data-ProjectTypes'!A$3:B$13,2,FALSE)</f>
        <v>Project</v>
      </c>
      <c r="L43" s="21" t="s">
        <v>77</v>
      </c>
      <c r="M43" s="13" t="s">
        <v>2835</v>
      </c>
      <c r="N43" s="13" t="s">
        <v>1424</v>
      </c>
      <c r="O43" s="13" t="s">
        <v>365</v>
      </c>
      <c r="P43" s="13" t="s">
        <v>365</v>
      </c>
      <c r="Q43" s="22"/>
      <c r="R43" s="23">
        <v>718159.31568382459</v>
      </c>
      <c r="S43" s="12"/>
      <c r="T43" s="12"/>
      <c r="U43" s="12"/>
      <c r="V43" s="12"/>
      <c r="W43" s="12"/>
      <c r="X43" s="12"/>
      <c r="Y43" s="12"/>
      <c r="Z43" s="18">
        <f>ROUND(R43*'Data-CostAssumptions'!$C$8,-3)</f>
        <v>718000</v>
      </c>
      <c r="AA43" s="11">
        <f t="shared" si="2"/>
        <v>0</v>
      </c>
      <c r="AB43" s="11">
        <v>2041</v>
      </c>
      <c r="AC43" s="11">
        <v>2041</v>
      </c>
      <c r="AD43" s="11">
        <v>2041</v>
      </c>
      <c r="AE43" s="19">
        <f>ROUND((Z43*'Data-CostAssumptions'!$G$5)*(1+'Data-CostAssumptions'!$G$3)^(AB43-'Data-CostAssumptions'!$G$4),-3)</f>
        <v>405000</v>
      </c>
      <c r="AF43" s="19">
        <f>ROUND((Z43)*(1+'Data-CostAssumptions'!$G$3)^(AD43-'Data-CostAssumptions'!$G$4),-3)</f>
        <v>1841000</v>
      </c>
      <c r="AG43" s="170" t="str">
        <f t="shared" si="1"/>
        <v>No</v>
      </c>
    </row>
    <row r="44" spans="2:33" ht="15" customHeight="1" x14ac:dyDescent="0.2">
      <c r="B44" s="11" t="s">
        <v>1211</v>
      </c>
      <c r="C44" s="13">
        <v>10105</v>
      </c>
      <c r="D44" s="13" t="s">
        <v>420</v>
      </c>
      <c r="E44" s="20" t="s">
        <v>298</v>
      </c>
      <c r="F44" s="20">
        <v>146</v>
      </c>
      <c r="G44" s="20">
        <v>1026</v>
      </c>
      <c r="H44" s="13" t="s">
        <v>2728</v>
      </c>
      <c r="I44" s="13" t="str">
        <f t="shared" si="3"/>
        <v>SR 838/Sunrise Bl (@  Nob Hill Rd)</v>
      </c>
      <c r="J44" s="13" t="s">
        <v>347</v>
      </c>
      <c r="K44" s="13" t="str">
        <f>VLOOKUP(J44,'Data-ProjectTypes'!A$3:B$13,2,FALSE)</f>
        <v>Project</v>
      </c>
      <c r="L44" s="21" t="s">
        <v>77</v>
      </c>
      <c r="M44" s="13" t="s">
        <v>2835</v>
      </c>
      <c r="N44" s="13" t="s">
        <v>1755</v>
      </c>
      <c r="O44" s="13" t="s">
        <v>365</v>
      </c>
      <c r="P44" s="13" t="s">
        <v>365</v>
      </c>
      <c r="Q44" s="22"/>
      <c r="R44" s="23">
        <v>718159.31568382459</v>
      </c>
      <c r="S44" s="12"/>
      <c r="T44" s="12"/>
      <c r="U44" s="12"/>
      <c r="V44" s="12"/>
      <c r="W44" s="12"/>
      <c r="X44" s="12"/>
      <c r="Y44" s="12"/>
      <c r="Z44" s="18">
        <f>ROUND(R44*'Data-CostAssumptions'!$C$8,-3)</f>
        <v>718000</v>
      </c>
      <c r="AA44" s="11">
        <f t="shared" si="2"/>
        <v>0</v>
      </c>
      <c r="AB44" s="11">
        <v>2041</v>
      </c>
      <c r="AC44" s="11">
        <v>2041</v>
      </c>
      <c r="AD44" s="11">
        <v>2041</v>
      </c>
      <c r="AE44" s="19">
        <f>ROUND((Z44*'Data-CostAssumptions'!$G$5)*(1+'Data-CostAssumptions'!$G$3)^(AB44-'Data-CostAssumptions'!$G$4),-3)</f>
        <v>405000</v>
      </c>
      <c r="AF44" s="19">
        <f>ROUND((Z44)*(1+'Data-CostAssumptions'!$G$3)^(AD44-'Data-CostAssumptions'!$G$4),-3)</f>
        <v>1841000</v>
      </c>
      <c r="AG44" s="170" t="str">
        <f t="shared" si="1"/>
        <v>No</v>
      </c>
    </row>
    <row r="45" spans="2:33" ht="15" customHeight="1" x14ac:dyDescent="0.2">
      <c r="B45" s="11" t="s">
        <v>1211</v>
      </c>
      <c r="C45" s="13">
        <v>10045</v>
      </c>
      <c r="D45" s="13" t="s">
        <v>420</v>
      </c>
      <c r="E45" s="20" t="s">
        <v>298</v>
      </c>
      <c r="F45" s="20">
        <v>142</v>
      </c>
      <c r="G45" s="20">
        <v>1027</v>
      </c>
      <c r="H45" s="13" t="s">
        <v>2728</v>
      </c>
      <c r="I45" s="13" t="str">
        <f t="shared" si="3"/>
        <v>SR 838/Sunrise Bl (@  NW 31st Av)</v>
      </c>
      <c r="J45" s="13" t="s">
        <v>347</v>
      </c>
      <c r="K45" s="13" t="str">
        <f>VLOOKUP(J45,'Data-ProjectTypes'!A$3:B$13,2,FALSE)</f>
        <v>Project</v>
      </c>
      <c r="L45" s="21" t="s">
        <v>77</v>
      </c>
      <c r="M45" s="13" t="s">
        <v>2835</v>
      </c>
      <c r="N45" s="13" t="s">
        <v>2062</v>
      </c>
      <c r="O45" s="13" t="s">
        <v>365</v>
      </c>
      <c r="P45" s="13" t="s">
        <v>365</v>
      </c>
      <c r="Q45" s="22"/>
      <c r="R45" s="23">
        <v>718159.31568382459</v>
      </c>
      <c r="S45" s="12"/>
      <c r="T45" s="12"/>
      <c r="U45" s="12"/>
      <c r="V45" s="12"/>
      <c r="W45" s="12"/>
      <c r="X45" s="12"/>
      <c r="Y45" s="12"/>
      <c r="Z45" s="18">
        <f>ROUND(R45*'Data-CostAssumptions'!$C$8,-3)</f>
        <v>718000</v>
      </c>
      <c r="AA45" s="11">
        <f t="shared" si="2"/>
        <v>0</v>
      </c>
      <c r="AB45" s="11">
        <v>2041</v>
      </c>
      <c r="AC45" s="11">
        <v>2041</v>
      </c>
      <c r="AD45" s="11">
        <v>2041</v>
      </c>
      <c r="AE45" s="19">
        <f>ROUND((Z45*'Data-CostAssumptions'!$G$5)*(1+'Data-CostAssumptions'!$G$3)^(AB45-'Data-CostAssumptions'!$G$4),-3)</f>
        <v>405000</v>
      </c>
      <c r="AF45" s="19">
        <f>ROUND((Z45)*(1+'Data-CostAssumptions'!$G$3)^(AD45-'Data-CostAssumptions'!$G$4),-3)</f>
        <v>1841000</v>
      </c>
      <c r="AG45" s="170" t="str">
        <f t="shared" si="1"/>
        <v>No</v>
      </c>
    </row>
    <row r="46" spans="2:33" ht="15" customHeight="1" x14ac:dyDescent="0.2">
      <c r="B46" s="11" t="s">
        <v>1211</v>
      </c>
      <c r="C46" s="13">
        <v>10092</v>
      </c>
      <c r="D46" s="13" t="s">
        <v>420</v>
      </c>
      <c r="E46" s="20" t="s">
        <v>298</v>
      </c>
      <c r="F46" s="20">
        <v>145</v>
      </c>
      <c r="G46" s="20">
        <v>1028</v>
      </c>
      <c r="H46" s="13" t="s">
        <v>2728</v>
      </c>
      <c r="I46" s="13" t="str">
        <f t="shared" si="3"/>
        <v>SR 838/Sunrise Bl (@  SR A1A)</v>
      </c>
      <c r="J46" s="13" t="s">
        <v>347</v>
      </c>
      <c r="K46" s="13" t="str">
        <f>VLOOKUP(J46,'Data-ProjectTypes'!A$3:B$13,2,FALSE)</f>
        <v>Project</v>
      </c>
      <c r="L46" s="21" t="s">
        <v>77</v>
      </c>
      <c r="M46" s="13" t="s">
        <v>2835</v>
      </c>
      <c r="N46" s="13" t="s">
        <v>110</v>
      </c>
      <c r="O46" s="13" t="s">
        <v>365</v>
      </c>
      <c r="P46" s="13" t="s">
        <v>365</v>
      </c>
      <c r="Q46" s="22"/>
      <c r="R46" s="23">
        <v>718159.31568382459</v>
      </c>
      <c r="S46" s="12"/>
      <c r="T46" s="12"/>
      <c r="U46" s="12"/>
      <c r="V46" s="12"/>
      <c r="W46" s="12"/>
      <c r="X46" s="12"/>
      <c r="Y46" s="12"/>
      <c r="Z46" s="18">
        <f>ROUND(R46*'Data-CostAssumptions'!$C$8,-3)</f>
        <v>718000</v>
      </c>
      <c r="AA46" s="11">
        <f t="shared" si="2"/>
        <v>0</v>
      </c>
      <c r="AB46" s="11">
        <v>2041</v>
      </c>
      <c r="AC46" s="11">
        <v>2041</v>
      </c>
      <c r="AD46" s="11">
        <v>2041</v>
      </c>
      <c r="AE46" s="19">
        <f>ROUND((Z46*'Data-CostAssumptions'!$G$5)*(1+'Data-CostAssumptions'!$G$3)^(AB46-'Data-CostAssumptions'!$G$4),-3)</f>
        <v>405000</v>
      </c>
      <c r="AF46" s="19">
        <f>ROUND((Z46)*(1+'Data-CostAssumptions'!$G$3)^(AD46-'Data-CostAssumptions'!$G$4),-3)</f>
        <v>1841000</v>
      </c>
      <c r="AG46" s="170" t="str">
        <f t="shared" si="1"/>
        <v>No</v>
      </c>
    </row>
    <row r="47" spans="2:33" ht="15" customHeight="1" x14ac:dyDescent="0.2">
      <c r="B47" s="11" t="s">
        <v>1211</v>
      </c>
      <c r="C47" s="13">
        <v>10003</v>
      </c>
      <c r="D47" s="13" t="s">
        <v>420</v>
      </c>
      <c r="E47" s="20" t="s">
        <v>298</v>
      </c>
      <c r="F47" s="20">
        <v>140</v>
      </c>
      <c r="G47" s="20">
        <v>1035</v>
      </c>
      <c r="H47" s="13" t="s">
        <v>2798</v>
      </c>
      <c r="I47" s="13" t="str">
        <f t="shared" si="3"/>
        <v>SR 842/Broward Bl (@  SR 7/US 441)</v>
      </c>
      <c r="J47" s="13" t="s">
        <v>347</v>
      </c>
      <c r="K47" s="13" t="str">
        <f>VLOOKUP(J47,'Data-ProjectTypes'!A$3:B$13,2,FALSE)</f>
        <v>Project</v>
      </c>
      <c r="L47" s="21" t="s">
        <v>77</v>
      </c>
      <c r="M47" s="13" t="s">
        <v>2835</v>
      </c>
      <c r="N47" s="13" t="s">
        <v>57</v>
      </c>
      <c r="O47" s="13" t="s">
        <v>365</v>
      </c>
      <c r="P47" s="13" t="s">
        <v>365</v>
      </c>
      <c r="Q47" s="22"/>
      <c r="R47" s="23">
        <v>628347.34414954216</v>
      </c>
      <c r="V47" s="85" t="s">
        <v>534</v>
      </c>
      <c r="Y47" s="12"/>
      <c r="Z47" s="18">
        <f>ROUND(R47*'Data-CostAssumptions'!$C$9,-3)</f>
        <v>628000</v>
      </c>
      <c r="AA47" s="11">
        <f t="shared" si="2"/>
        <v>1</v>
      </c>
      <c r="AB47" s="11">
        <v>2041</v>
      </c>
      <c r="AC47" s="11">
        <v>2041</v>
      </c>
      <c r="AD47" s="11">
        <v>2041</v>
      </c>
      <c r="AE47" s="19">
        <f>ROUND((Z47*'Data-CostAssumptions'!$G$5)*(1+'Data-CostAssumptions'!$G$3)^(AB47-'Data-CostAssumptions'!$G$4),-3)</f>
        <v>354000</v>
      </c>
      <c r="AF47" s="19">
        <f>ROUND((Z47)*(1+'Data-CostAssumptions'!$G$3)^(AD47-'Data-CostAssumptions'!$G$4),-3)</f>
        <v>1610000</v>
      </c>
      <c r="AG47" s="170" t="str">
        <f t="shared" si="1"/>
        <v>No</v>
      </c>
    </row>
    <row r="48" spans="2:33" ht="15" customHeight="1" x14ac:dyDescent="0.2">
      <c r="B48" s="11" t="s">
        <v>1211</v>
      </c>
      <c r="C48" s="13">
        <v>10104</v>
      </c>
      <c r="D48" s="13" t="s">
        <v>420</v>
      </c>
      <c r="E48" s="20" t="s">
        <v>298</v>
      </c>
      <c r="F48" s="20">
        <v>146</v>
      </c>
      <c r="G48" s="20">
        <v>1036</v>
      </c>
      <c r="H48" s="13" t="s">
        <v>2727</v>
      </c>
      <c r="I48" s="13" t="str">
        <f t="shared" si="3"/>
        <v>SR 848/Stirling Rd (@  SR 817/University Dr)</v>
      </c>
      <c r="J48" s="13" t="s">
        <v>347</v>
      </c>
      <c r="K48" s="13" t="str">
        <f>VLOOKUP(J48,'Data-ProjectTypes'!A$3:B$13,2,FALSE)</f>
        <v>Project</v>
      </c>
      <c r="L48" s="21" t="s">
        <v>77</v>
      </c>
      <c r="M48" s="13" t="s">
        <v>2835</v>
      </c>
      <c r="N48" s="13" t="s">
        <v>2709</v>
      </c>
      <c r="O48" s="13" t="s">
        <v>365</v>
      </c>
      <c r="P48" s="13" t="s">
        <v>365</v>
      </c>
      <c r="Q48" s="22"/>
      <c r="R48" s="23">
        <v>718159.31568382459</v>
      </c>
      <c r="V48" s="85" t="s">
        <v>529</v>
      </c>
      <c r="X48" s="38"/>
      <c r="Y48" s="12"/>
      <c r="Z48" s="18">
        <f>ROUND(R48*'Data-CostAssumptions'!$C$9,-3)</f>
        <v>718000</v>
      </c>
      <c r="AA48" s="11">
        <f t="shared" si="2"/>
        <v>1</v>
      </c>
      <c r="AB48" s="11">
        <v>2041</v>
      </c>
      <c r="AC48" s="11">
        <v>2041</v>
      </c>
      <c r="AD48" s="11">
        <v>2041</v>
      </c>
      <c r="AE48" s="19">
        <f>ROUND((Z48*'Data-CostAssumptions'!$G$5)*(1+'Data-CostAssumptions'!$G$3)^(AB48-'Data-CostAssumptions'!$G$4),-3)</f>
        <v>405000</v>
      </c>
      <c r="AF48" s="19">
        <f>ROUND((Z48)*(1+'Data-CostAssumptions'!$G$3)^(AD48-'Data-CostAssumptions'!$G$4),-3)</f>
        <v>1841000</v>
      </c>
      <c r="AG48" s="170" t="str">
        <f t="shared" si="1"/>
        <v>No</v>
      </c>
    </row>
    <row r="49" spans="2:33" ht="15" customHeight="1" x14ac:dyDescent="0.2">
      <c r="B49" s="11" t="s">
        <v>1211</v>
      </c>
      <c r="C49" s="13">
        <v>10025</v>
      </c>
      <c r="D49" s="13" t="s">
        <v>420</v>
      </c>
      <c r="E49" s="20" t="s">
        <v>298</v>
      </c>
      <c r="F49" s="20">
        <v>141</v>
      </c>
      <c r="G49" s="20">
        <v>1038</v>
      </c>
      <c r="H49" s="13" t="s">
        <v>2800</v>
      </c>
      <c r="I49" s="13" t="str">
        <f t="shared" si="3"/>
        <v>SR 858/Hallandale Beach Bl (@  SR A1A)</v>
      </c>
      <c r="J49" s="13" t="s">
        <v>347</v>
      </c>
      <c r="K49" s="13" t="str">
        <f>VLOOKUP(J49,'Data-ProjectTypes'!A$3:B$13,2,FALSE)</f>
        <v>Project</v>
      </c>
      <c r="L49" s="21" t="s">
        <v>77</v>
      </c>
      <c r="M49" s="13" t="s">
        <v>2835</v>
      </c>
      <c r="N49" s="13" t="s">
        <v>110</v>
      </c>
      <c r="O49" s="13" t="s">
        <v>365</v>
      </c>
      <c r="P49" s="13" t="s">
        <v>365</v>
      </c>
      <c r="Q49" s="22"/>
      <c r="R49" s="23">
        <v>718159.31568382459</v>
      </c>
      <c r="V49" s="85" t="s">
        <v>531</v>
      </c>
      <c r="Y49" s="12"/>
      <c r="Z49" s="18">
        <f>ROUND(R49*'Data-CostAssumptions'!$C$9,-3)</f>
        <v>718000</v>
      </c>
      <c r="AA49" s="11">
        <f t="shared" si="2"/>
        <v>1</v>
      </c>
      <c r="AB49" s="11">
        <v>2041</v>
      </c>
      <c r="AC49" s="11">
        <v>2041</v>
      </c>
      <c r="AD49" s="11">
        <v>2041</v>
      </c>
      <c r="AE49" s="19">
        <f>ROUND((Z49*'Data-CostAssumptions'!$G$5)*(1+'Data-CostAssumptions'!$G$3)^(AB49-'Data-CostAssumptions'!$G$4),-3)</f>
        <v>405000</v>
      </c>
      <c r="AF49" s="19">
        <f>ROUND((Z49)*(1+'Data-CostAssumptions'!$G$3)^(AD49-'Data-CostAssumptions'!$G$4),-3)</f>
        <v>1841000</v>
      </c>
      <c r="AG49" s="170" t="str">
        <f t="shared" si="1"/>
        <v>No</v>
      </c>
    </row>
    <row r="50" spans="2:33" ht="15" customHeight="1" x14ac:dyDescent="0.2">
      <c r="B50" s="11" t="s">
        <v>1211</v>
      </c>
      <c r="C50" s="13">
        <v>10042</v>
      </c>
      <c r="D50" s="13" t="s">
        <v>420</v>
      </c>
      <c r="E50" s="20" t="s">
        <v>298</v>
      </c>
      <c r="F50" s="20">
        <v>142</v>
      </c>
      <c r="G50" s="20">
        <v>1039</v>
      </c>
      <c r="H50" s="13" t="s">
        <v>2800</v>
      </c>
      <c r="I50" s="13" t="str">
        <f t="shared" si="3"/>
        <v>SR 858/Hallandale Beach Bl (@  NE 14th Av)</v>
      </c>
      <c r="J50" s="13" t="s">
        <v>347</v>
      </c>
      <c r="K50" s="13" t="str">
        <f>VLOOKUP(J50,'Data-ProjectTypes'!A$3:B$13,2,FALSE)</f>
        <v>Project</v>
      </c>
      <c r="L50" s="21" t="s">
        <v>77</v>
      </c>
      <c r="M50" s="13" t="s">
        <v>2835</v>
      </c>
      <c r="N50" s="13" t="s">
        <v>2235</v>
      </c>
      <c r="O50" s="13" t="s">
        <v>365</v>
      </c>
      <c r="P50" s="13" t="s">
        <v>365</v>
      </c>
      <c r="Q50" s="22"/>
      <c r="R50" s="23">
        <v>718159.31568382459</v>
      </c>
      <c r="S50" s="66"/>
      <c r="V50" s="87" t="s">
        <v>532</v>
      </c>
      <c r="Y50" s="89" t="s">
        <v>2930</v>
      </c>
      <c r="Z50" s="71">
        <f>ROUND(R50*'Data-CostAssumptions'!$C$9,-3)</f>
        <v>718000</v>
      </c>
      <c r="AA50" s="11">
        <f t="shared" si="2"/>
        <v>1</v>
      </c>
      <c r="AB50" s="11">
        <v>2041</v>
      </c>
      <c r="AC50" s="11">
        <v>2041</v>
      </c>
      <c r="AD50" s="11">
        <v>2041</v>
      </c>
      <c r="AE50" s="19">
        <f>ROUND((Z50*'Data-CostAssumptions'!$G$5)*(1+'Data-CostAssumptions'!$G$3)^(AB50-'Data-CostAssumptions'!$G$4),-3)</f>
        <v>405000</v>
      </c>
      <c r="AF50" s="19">
        <f>ROUND((Z50)*(1+'Data-CostAssumptions'!$G$3)^(AD50-'Data-CostAssumptions'!$G$4),-3)</f>
        <v>1841000</v>
      </c>
      <c r="AG50" s="170" t="str">
        <f t="shared" si="1"/>
        <v>No</v>
      </c>
    </row>
    <row r="51" spans="2:33" ht="15" customHeight="1" x14ac:dyDescent="0.2">
      <c r="B51" s="11" t="s">
        <v>1211</v>
      </c>
      <c r="C51" s="13">
        <v>10057</v>
      </c>
      <c r="D51" s="13" t="s">
        <v>420</v>
      </c>
      <c r="E51" s="20" t="s">
        <v>298</v>
      </c>
      <c r="F51" s="20">
        <v>143</v>
      </c>
      <c r="G51" s="20">
        <v>1040</v>
      </c>
      <c r="H51" s="13" t="s">
        <v>2963</v>
      </c>
      <c r="I51" s="13" t="str">
        <f t="shared" si="3"/>
        <v>SR 858/Miramar Pkwy (@  SR 7/US 441)</v>
      </c>
      <c r="J51" s="13" t="s">
        <v>347</v>
      </c>
      <c r="K51" s="13" t="str">
        <f>VLOOKUP(J51,'Data-ProjectTypes'!A$3:B$13,2,FALSE)</f>
        <v>Project</v>
      </c>
      <c r="L51" s="21" t="s">
        <v>77</v>
      </c>
      <c r="M51" s="13" t="s">
        <v>2835</v>
      </c>
      <c r="N51" s="13" t="s">
        <v>57</v>
      </c>
      <c r="O51" s="13" t="s">
        <v>365</v>
      </c>
      <c r="P51" s="13" t="s">
        <v>365</v>
      </c>
      <c r="Q51" s="22"/>
      <c r="R51" s="23">
        <v>718159.31568382459</v>
      </c>
      <c r="V51" s="85" t="s">
        <v>534</v>
      </c>
      <c r="Y51" s="12"/>
      <c r="Z51" s="18">
        <f>ROUND(R51*'Data-CostAssumptions'!$C$9,-3)</f>
        <v>718000</v>
      </c>
      <c r="AA51" s="11">
        <f t="shared" si="2"/>
        <v>1</v>
      </c>
      <c r="AB51" s="11">
        <v>2041</v>
      </c>
      <c r="AC51" s="11">
        <v>2041</v>
      </c>
      <c r="AD51" s="11">
        <v>2041</v>
      </c>
      <c r="AE51" s="19">
        <f>ROUND((Z51*'Data-CostAssumptions'!$G$5)*(1+'Data-CostAssumptions'!$G$3)^(AB51-'Data-CostAssumptions'!$G$4),-3)</f>
        <v>405000</v>
      </c>
      <c r="AF51" s="19">
        <f>ROUND((Z51)*(1+'Data-CostAssumptions'!$G$3)^(AD51-'Data-CostAssumptions'!$G$4),-3)</f>
        <v>1841000</v>
      </c>
      <c r="AG51" s="170" t="str">
        <f t="shared" si="1"/>
        <v>No</v>
      </c>
    </row>
    <row r="52" spans="2:33" ht="15" customHeight="1" x14ac:dyDescent="0.2">
      <c r="B52" s="11" t="s">
        <v>1211</v>
      </c>
      <c r="C52" s="13">
        <v>10055</v>
      </c>
      <c r="D52" s="13" t="s">
        <v>420</v>
      </c>
      <c r="E52" s="20" t="s">
        <v>298</v>
      </c>
      <c r="F52" s="20">
        <v>143</v>
      </c>
      <c r="G52" s="20">
        <v>1043</v>
      </c>
      <c r="H52" s="13" t="s">
        <v>2740</v>
      </c>
      <c r="I52" s="13" t="str">
        <f t="shared" si="3"/>
        <v>SR 862/I-595 (@  136th Av)</v>
      </c>
      <c r="J52" s="13" t="s">
        <v>347</v>
      </c>
      <c r="K52" s="13" t="str">
        <f>VLOOKUP(J52,'Data-ProjectTypes'!A$3:B$13,2,FALSE)</f>
        <v>Project</v>
      </c>
      <c r="L52" s="21" t="s">
        <v>77</v>
      </c>
      <c r="M52" s="13" t="s">
        <v>2835</v>
      </c>
      <c r="N52" s="13" t="s">
        <v>2914</v>
      </c>
      <c r="O52" s="13" t="s">
        <v>365</v>
      </c>
      <c r="P52" s="13" t="s">
        <v>365</v>
      </c>
      <c r="Q52" s="22"/>
      <c r="R52" s="23">
        <v>718159.31568382459</v>
      </c>
      <c r="V52" s="85" t="s">
        <v>535</v>
      </c>
      <c r="Y52" s="12"/>
      <c r="Z52" s="18">
        <f>ROUND(R52*'Data-CostAssumptions'!$C$9,-3)</f>
        <v>718000</v>
      </c>
      <c r="AA52" s="11">
        <f t="shared" si="2"/>
        <v>1</v>
      </c>
      <c r="AB52" s="11">
        <v>2041</v>
      </c>
      <c r="AC52" s="11">
        <v>2041</v>
      </c>
      <c r="AD52" s="11">
        <v>2041</v>
      </c>
      <c r="AE52" s="19">
        <f>ROUND((Z52*'Data-CostAssumptions'!$G$5)*(1+'Data-CostAssumptions'!$G$3)^(AB52-'Data-CostAssumptions'!$G$4),-3)</f>
        <v>405000</v>
      </c>
      <c r="AF52" s="19">
        <f>ROUND((Z52)*(1+'Data-CostAssumptions'!$G$3)^(AD52-'Data-CostAssumptions'!$G$4),-3)</f>
        <v>1841000</v>
      </c>
      <c r="AG52" s="170" t="str">
        <f t="shared" si="1"/>
        <v>No</v>
      </c>
    </row>
    <row r="53" spans="2:33" ht="15" customHeight="1" x14ac:dyDescent="0.2">
      <c r="B53" s="11" t="s">
        <v>1211</v>
      </c>
      <c r="C53" s="13">
        <v>10050</v>
      </c>
      <c r="D53" s="13" t="s">
        <v>420</v>
      </c>
      <c r="E53" s="20" t="s">
        <v>298</v>
      </c>
      <c r="F53" s="20">
        <v>143</v>
      </c>
      <c r="G53" s="20">
        <v>1044</v>
      </c>
      <c r="H53" s="13" t="s">
        <v>2740</v>
      </c>
      <c r="I53" s="13" t="str">
        <f t="shared" si="3"/>
        <v>SR 862/I-595 (@  College Av)</v>
      </c>
      <c r="J53" s="13" t="s">
        <v>347</v>
      </c>
      <c r="K53" s="13" t="str">
        <f>VLOOKUP(J53,'Data-ProjectTypes'!A$3:B$13,2,FALSE)</f>
        <v>Project</v>
      </c>
      <c r="L53" s="21" t="s">
        <v>77</v>
      </c>
      <c r="M53" s="13" t="s">
        <v>2835</v>
      </c>
      <c r="N53" s="13" t="s">
        <v>2016</v>
      </c>
      <c r="O53" s="13" t="s">
        <v>365</v>
      </c>
      <c r="P53" s="13" t="s">
        <v>365</v>
      </c>
      <c r="Q53" s="22"/>
      <c r="R53" s="23">
        <v>718159.31568382459</v>
      </c>
      <c r="V53" s="85" t="s">
        <v>662</v>
      </c>
      <c r="Y53" s="12"/>
      <c r="Z53" s="18">
        <f>ROUND(R53*'Data-CostAssumptions'!$C$10,-3)</f>
        <v>718000</v>
      </c>
      <c r="AA53" s="11">
        <f t="shared" si="2"/>
        <v>1</v>
      </c>
      <c r="AB53" s="11">
        <v>2041</v>
      </c>
      <c r="AC53" s="11">
        <v>2041</v>
      </c>
      <c r="AD53" s="11">
        <v>2041</v>
      </c>
      <c r="AE53" s="19">
        <f>ROUND((Z53*'Data-CostAssumptions'!$G$5)*(1+'Data-CostAssumptions'!$G$3)^(AB53-'Data-CostAssumptions'!$G$4),-3)</f>
        <v>405000</v>
      </c>
      <c r="AF53" s="19">
        <f>ROUND((Z53)*(1+'Data-CostAssumptions'!$G$3)^(AD53-'Data-CostAssumptions'!$G$4),-3)</f>
        <v>1841000</v>
      </c>
      <c r="AG53" s="170" t="str">
        <f t="shared" si="1"/>
        <v>No</v>
      </c>
    </row>
    <row r="54" spans="2:33" ht="15" customHeight="1" x14ac:dyDescent="0.2">
      <c r="B54" s="11" t="s">
        <v>1211</v>
      </c>
      <c r="C54" s="13">
        <v>10086</v>
      </c>
      <c r="D54" s="13" t="s">
        <v>420</v>
      </c>
      <c r="E54" s="20" t="s">
        <v>298</v>
      </c>
      <c r="F54" s="20">
        <v>145</v>
      </c>
      <c r="G54" s="20">
        <v>1045</v>
      </c>
      <c r="H54" s="13" t="s">
        <v>2740</v>
      </c>
      <c r="I54" s="13" t="str">
        <f t="shared" si="3"/>
        <v>SR 862/I-595 (@  Hiatus Rd)</v>
      </c>
      <c r="J54" s="13" t="s">
        <v>347</v>
      </c>
      <c r="K54" s="13" t="str">
        <f>VLOOKUP(J54,'Data-ProjectTypes'!A$3:B$13,2,FALSE)</f>
        <v>Project</v>
      </c>
      <c r="L54" s="21" t="s">
        <v>77</v>
      </c>
      <c r="M54" s="13" t="s">
        <v>2835</v>
      </c>
      <c r="N54" s="13" t="s">
        <v>1752</v>
      </c>
      <c r="O54" s="13" t="s">
        <v>365</v>
      </c>
      <c r="P54" s="13" t="s">
        <v>365</v>
      </c>
      <c r="Q54" s="22"/>
      <c r="R54" s="23">
        <v>718159.31568382459</v>
      </c>
      <c r="V54" s="85" t="s">
        <v>662</v>
      </c>
      <c r="Y54" s="12"/>
      <c r="Z54" s="18">
        <f>ROUND(R54*'Data-CostAssumptions'!$C$10,-3)</f>
        <v>718000</v>
      </c>
      <c r="AA54" s="11">
        <f t="shared" si="2"/>
        <v>1</v>
      </c>
      <c r="AB54" s="11">
        <v>2041</v>
      </c>
      <c r="AC54" s="11">
        <v>2041</v>
      </c>
      <c r="AD54" s="11">
        <v>2041</v>
      </c>
      <c r="AE54" s="19">
        <f>ROUND((Z54*'Data-CostAssumptions'!$G$5)*(1+'Data-CostAssumptions'!$G$3)^(AB54-'Data-CostAssumptions'!$G$4),-3)</f>
        <v>405000</v>
      </c>
      <c r="AF54" s="19">
        <f>ROUND((Z54)*(1+'Data-CostAssumptions'!$G$3)^(AD54-'Data-CostAssumptions'!$G$4),-3)</f>
        <v>1841000</v>
      </c>
      <c r="AG54" s="170" t="str">
        <f t="shared" si="1"/>
        <v>No</v>
      </c>
    </row>
    <row r="55" spans="2:33" ht="15" customHeight="1" x14ac:dyDescent="0.2">
      <c r="B55" s="11" t="s">
        <v>1211</v>
      </c>
      <c r="C55" s="13">
        <v>10065</v>
      </c>
      <c r="D55" s="13" t="s">
        <v>420</v>
      </c>
      <c r="E55" s="20" t="s">
        <v>298</v>
      </c>
      <c r="F55" s="20">
        <v>144</v>
      </c>
      <c r="G55" s="20">
        <v>1046</v>
      </c>
      <c r="H55" s="13" t="s">
        <v>2740</v>
      </c>
      <c r="I55" s="13" t="str">
        <f t="shared" si="3"/>
        <v>SR 862/I-595 (@  I-75)</v>
      </c>
      <c r="J55" s="13" t="s">
        <v>347</v>
      </c>
      <c r="K55" s="13" t="str">
        <f>VLOOKUP(J55,'Data-ProjectTypes'!A$3:B$13,2,FALSE)</f>
        <v>Project</v>
      </c>
      <c r="L55" s="21" t="s">
        <v>77</v>
      </c>
      <c r="M55" s="13" t="s">
        <v>2835</v>
      </c>
      <c r="N55" s="13" t="s">
        <v>31</v>
      </c>
      <c r="O55" s="13" t="s">
        <v>365</v>
      </c>
      <c r="P55" s="13" t="s">
        <v>365</v>
      </c>
      <c r="Q55" s="22"/>
      <c r="R55" s="23">
        <v>718159.31568382459</v>
      </c>
      <c r="V55" s="85" t="s">
        <v>662</v>
      </c>
      <c r="Y55" s="12"/>
      <c r="Z55" s="18">
        <f>ROUND(R55*'Data-CostAssumptions'!$C$10,-3)</f>
        <v>718000</v>
      </c>
      <c r="AA55" s="11">
        <f t="shared" si="2"/>
        <v>1</v>
      </c>
      <c r="AB55" s="11">
        <v>2041</v>
      </c>
      <c r="AC55" s="11">
        <v>2041</v>
      </c>
      <c r="AD55" s="11">
        <v>2041</v>
      </c>
      <c r="AE55" s="19">
        <f>ROUND((Z55*'Data-CostAssumptions'!$G$5)*(1+'Data-CostAssumptions'!$G$3)^(AB55-'Data-CostAssumptions'!$G$4),-3)</f>
        <v>405000</v>
      </c>
      <c r="AF55" s="19">
        <f>ROUND((Z55)*(1+'Data-CostAssumptions'!$G$3)^(AD55-'Data-CostAssumptions'!$G$4),-3)</f>
        <v>1841000</v>
      </c>
      <c r="AG55" s="170" t="str">
        <f t="shared" si="1"/>
        <v>No</v>
      </c>
    </row>
    <row r="56" spans="2:33" ht="15" customHeight="1" x14ac:dyDescent="0.2">
      <c r="B56" s="11" t="s">
        <v>1211</v>
      </c>
      <c r="C56" s="13">
        <v>10026</v>
      </c>
      <c r="D56" s="13" t="s">
        <v>420</v>
      </c>
      <c r="E56" s="20" t="s">
        <v>298</v>
      </c>
      <c r="F56" s="20">
        <v>141</v>
      </c>
      <c r="G56" s="20">
        <v>1047</v>
      </c>
      <c r="H56" s="13" t="s">
        <v>2740</v>
      </c>
      <c r="I56" s="13" t="str">
        <f t="shared" si="3"/>
        <v>SR 862/I-595 (@  SR 817/University Dr)</v>
      </c>
      <c r="J56" s="13" t="s">
        <v>347</v>
      </c>
      <c r="K56" s="13" t="str">
        <f>VLOOKUP(J56,'Data-ProjectTypes'!A$3:B$13,2,FALSE)</f>
        <v>Project</v>
      </c>
      <c r="L56" s="21" t="s">
        <v>77</v>
      </c>
      <c r="M56" s="13" t="s">
        <v>2835</v>
      </c>
      <c r="N56" s="13" t="s">
        <v>2709</v>
      </c>
      <c r="O56" s="13" t="s">
        <v>365</v>
      </c>
      <c r="P56" s="13" t="s">
        <v>365</v>
      </c>
      <c r="Q56" s="22"/>
      <c r="R56" s="23">
        <v>718159.31568382459</v>
      </c>
      <c r="V56" s="85" t="s">
        <v>662</v>
      </c>
      <c r="Y56" s="12"/>
      <c r="Z56" s="18">
        <f>ROUND(R56*'Data-CostAssumptions'!$C$10,-3)</f>
        <v>718000</v>
      </c>
      <c r="AA56" s="11">
        <f t="shared" si="2"/>
        <v>1</v>
      </c>
      <c r="AB56" s="11">
        <v>2041</v>
      </c>
      <c r="AC56" s="11">
        <v>2041</v>
      </c>
      <c r="AD56" s="11">
        <v>2041</v>
      </c>
      <c r="AE56" s="19">
        <f>ROUND((Z56*'Data-CostAssumptions'!$G$5)*(1+'Data-CostAssumptions'!$G$3)^(AB56-'Data-CostAssumptions'!$G$4),-3)</f>
        <v>405000</v>
      </c>
      <c r="AF56" s="19">
        <f>ROUND((Z56)*(1+'Data-CostAssumptions'!$G$3)^(AD56-'Data-CostAssumptions'!$G$4),-3)</f>
        <v>1841000</v>
      </c>
      <c r="AG56" s="170" t="str">
        <f t="shared" si="1"/>
        <v>No</v>
      </c>
    </row>
    <row r="57" spans="2:33" ht="15" customHeight="1" x14ac:dyDescent="0.2">
      <c r="B57" s="11" t="s">
        <v>1211</v>
      </c>
      <c r="C57" s="13">
        <v>10084</v>
      </c>
      <c r="D57" s="13" t="s">
        <v>420</v>
      </c>
      <c r="E57" s="20" t="s">
        <v>298</v>
      </c>
      <c r="F57" s="20">
        <v>145</v>
      </c>
      <c r="G57" s="20">
        <v>1049</v>
      </c>
      <c r="H57" s="13" t="s">
        <v>2803</v>
      </c>
      <c r="I57" s="13" t="str">
        <f t="shared" si="3"/>
        <v>SR 870/Commercial Bl (@  SR A1A)</v>
      </c>
      <c r="J57" s="13" t="s">
        <v>347</v>
      </c>
      <c r="K57" s="13" t="str">
        <f>VLOOKUP(J57,'Data-ProjectTypes'!A$3:B$13,2,FALSE)</f>
        <v>Project</v>
      </c>
      <c r="L57" s="21" t="s">
        <v>77</v>
      </c>
      <c r="M57" s="13" t="s">
        <v>2835</v>
      </c>
      <c r="N57" s="13" t="s">
        <v>110</v>
      </c>
      <c r="O57" s="13" t="s">
        <v>365</v>
      </c>
      <c r="P57" s="13" t="s">
        <v>365</v>
      </c>
      <c r="Q57" s="22"/>
      <c r="R57" s="23">
        <v>718159.31568382459</v>
      </c>
      <c r="V57" s="85" t="s">
        <v>662</v>
      </c>
      <c r="Y57" s="12"/>
      <c r="Z57" s="18">
        <f>ROUND(R57*'Data-CostAssumptions'!$C$10,-3)</f>
        <v>718000</v>
      </c>
      <c r="AA57" s="11">
        <f t="shared" si="2"/>
        <v>1</v>
      </c>
      <c r="AB57" s="11">
        <v>2041</v>
      </c>
      <c r="AC57" s="11">
        <v>2041</v>
      </c>
      <c r="AD57" s="11">
        <v>2041</v>
      </c>
      <c r="AE57" s="19">
        <f>ROUND((Z57*'Data-CostAssumptions'!$G$5)*(1+'Data-CostAssumptions'!$G$3)^(AB57-'Data-CostAssumptions'!$G$4),-3)</f>
        <v>405000</v>
      </c>
      <c r="AF57" s="19">
        <f>ROUND((Z57)*(1+'Data-CostAssumptions'!$G$3)^(AD57-'Data-CostAssumptions'!$G$4),-3)</f>
        <v>1841000</v>
      </c>
      <c r="AG57" s="170" t="str">
        <f t="shared" si="1"/>
        <v>No</v>
      </c>
    </row>
    <row r="58" spans="2:33" ht="15" customHeight="1" x14ac:dyDescent="0.2">
      <c r="B58" s="11" t="s">
        <v>1211</v>
      </c>
      <c r="C58" s="13">
        <v>10052</v>
      </c>
      <c r="D58" s="13" t="s">
        <v>420</v>
      </c>
      <c r="E58" s="20" t="s">
        <v>298</v>
      </c>
      <c r="F58" s="20">
        <v>143</v>
      </c>
      <c r="G58" s="20">
        <v>1050</v>
      </c>
      <c r="H58" s="13" t="s">
        <v>2803</v>
      </c>
      <c r="I58" s="13" t="str">
        <f t="shared" si="3"/>
        <v>SR 870/Commercial Bl (@  Andrews Av)</v>
      </c>
      <c r="J58" s="13" t="s">
        <v>347</v>
      </c>
      <c r="K58" s="13" t="str">
        <f>VLOOKUP(J58,'Data-ProjectTypes'!A$3:B$13,2,FALSE)</f>
        <v>Project</v>
      </c>
      <c r="L58" s="21" t="s">
        <v>77</v>
      </c>
      <c r="M58" s="13" t="s">
        <v>2835</v>
      </c>
      <c r="N58" s="13" t="s">
        <v>2014</v>
      </c>
      <c r="O58" s="13" t="s">
        <v>365</v>
      </c>
      <c r="P58" s="13" t="s">
        <v>365</v>
      </c>
      <c r="Q58" s="22"/>
      <c r="R58" s="23">
        <v>718159.31568382459</v>
      </c>
      <c r="V58" s="85" t="s">
        <v>662</v>
      </c>
      <c r="Y58" s="12"/>
      <c r="Z58" s="18">
        <f>ROUND(R58*'Data-CostAssumptions'!$C$10,-3)</f>
        <v>718000</v>
      </c>
      <c r="AA58" s="11">
        <f t="shared" si="2"/>
        <v>1</v>
      </c>
      <c r="AB58" s="11">
        <v>2041</v>
      </c>
      <c r="AC58" s="11">
        <v>2041</v>
      </c>
      <c r="AD58" s="11">
        <v>2041</v>
      </c>
      <c r="AE58" s="19">
        <f>ROUND((Z58*'Data-CostAssumptions'!$G$5)*(1+'Data-CostAssumptions'!$G$3)^(AB58-'Data-CostAssumptions'!$G$4),-3)</f>
        <v>405000</v>
      </c>
      <c r="AF58" s="19">
        <f>ROUND((Z58)*(1+'Data-CostAssumptions'!$G$3)^(AD58-'Data-CostAssumptions'!$G$4),-3)</f>
        <v>1841000</v>
      </c>
      <c r="AG58" s="170" t="str">
        <f t="shared" si="1"/>
        <v>No</v>
      </c>
    </row>
    <row r="59" spans="2:33" ht="15" customHeight="1" x14ac:dyDescent="0.2">
      <c r="B59" s="11" t="s">
        <v>1211</v>
      </c>
      <c r="C59" s="13">
        <v>10049</v>
      </c>
      <c r="D59" s="13" t="s">
        <v>420</v>
      </c>
      <c r="E59" s="20" t="s">
        <v>298</v>
      </c>
      <c r="F59" s="20">
        <v>142</v>
      </c>
      <c r="G59" s="20">
        <v>1051</v>
      </c>
      <c r="H59" s="13" t="s">
        <v>2803</v>
      </c>
      <c r="I59" s="13" t="str">
        <f t="shared" si="3"/>
        <v>SR 870/Commercial Bl (@  Dixie Hwy)</v>
      </c>
      <c r="J59" s="13" t="s">
        <v>347</v>
      </c>
      <c r="K59" s="13" t="str">
        <f>VLOOKUP(J59,'Data-ProjectTypes'!A$3:B$13,2,FALSE)</f>
        <v>Project</v>
      </c>
      <c r="L59" s="21" t="s">
        <v>77</v>
      </c>
      <c r="M59" s="13" t="s">
        <v>2835</v>
      </c>
      <c r="N59" s="13" t="s">
        <v>728</v>
      </c>
      <c r="O59" s="13" t="s">
        <v>365</v>
      </c>
      <c r="P59" s="13" t="s">
        <v>365</v>
      </c>
      <c r="Q59" s="22"/>
      <c r="R59" s="23">
        <v>718159.31568382459</v>
      </c>
      <c r="V59" s="85" t="s">
        <v>662</v>
      </c>
      <c r="Y59" s="12"/>
      <c r="Z59" s="18">
        <f>ROUND(R59*'Data-CostAssumptions'!$C$10,-3)</f>
        <v>718000</v>
      </c>
      <c r="AA59" s="11">
        <f t="shared" si="2"/>
        <v>1</v>
      </c>
      <c r="AB59" s="11">
        <v>2041</v>
      </c>
      <c r="AC59" s="11">
        <v>2041</v>
      </c>
      <c r="AD59" s="11">
        <v>2041</v>
      </c>
      <c r="AE59" s="19">
        <f>ROUND((Z59*'Data-CostAssumptions'!$G$5)*(1+'Data-CostAssumptions'!$G$3)^(AB59-'Data-CostAssumptions'!$G$4),-3)</f>
        <v>405000</v>
      </c>
      <c r="AF59" s="19">
        <f>ROUND((Z59)*(1+'Data-CostAssumptions'!$G$3)^(AD59-'Data-CostAssumptions'!$G$4),-3)</f>
        <v>1841000</v>
      </c>
      <c r="AG59" s="170" t="str">
        <f t="shared" si="1"/>
        <v>No</v>
      </c>
    </row>
    <row r="60" spans="2:33" ht="15" customHeight="1" x14ac:dyDescent="0.2">
      <c r="B60" s="11" t="s">
        <v>1211</v>
      </c>
      <c r="C60" s="13">
        <v>10096</v>
      </c>
      <c r="D60" s="13" t="s">
        <v>420</v>
      </c>
      <c r="E60" s="20" t="s">
        <v>298</v>
      </c>
      <c r="F60" s="20">
        <v>146</v>
      </c>
      <c r="G60" s="20">
        <v>1052</v>
      </c>
      <c r="H60" s="13" t="s">
        <v>2803</v>
      </c>
      <c r="I60" s="13" t="str">
        <f t="shared" si="3"/>
        <v>SR 870/Commercial Bl (@  SR 817/University Dr)</v>
      </c>
      <c r="J60" s="13" t="s">
        <v>347</v>
      </c>
      <c r="K60" s="13" t="str">
        <f>VLOOKUP(J60,'Data-ProjectTypes'!A$3:B$13,2,FALSE)</f>
        <v>Project</v>
      </c>
      <c r="L60" s="21" t="s">
        <v>77</v>
      </c>
      <c r="M60" s="13" t="s">
        <v>2835</v>
      </c>
      <c r="N60" s="13" t="s">
        <v>2709</v>
      </c>
      <c r="O60" s="13" t="s">
        <v>365</v>
      </c>
      <c r="P60" s="13" t="s">
        <v>365</v>
      </c>
      <c r="Q60" s="22"/>
      <c r="R60" s="23">
        <v>718159.31568382459</v>
      </c>
      <c r="V60" s="85" t="s">
        <v>662</v>
      </c>
      <c r="Y60" s="12"/>
      <c r="Z60" s="18">
        <f>ROUND(R60*'Data-CostAssumptions'!$C$10,-3)</f>
        <v>718000</v>
      </c>
      <c r="AA60" s="11">
        <f t="shared" si="2"/>
        <v>1</v>
      </c>
      <c r="AB60" s="11">
        <v>2041</v>
      </c>
      <c r="AC60" s="11">
        <v>2041</v>
      </c>
      <c r="AD60" s="11">
        <v>2041</v>
      </c>
      <c r="AE60" s="19">
        <f>ROUND((Z60*'Data-CostAssumptions'!$G$5)*(1+'Data-CostAssumptions'!$G$3)^(AB60-'Data-CostAssumptions'!$G$4),-3)</f>
        <v>405000</v>
      </c>
      <c r="AF60" s="19">
        <f>ROUND((Z60)*(1+'Data-CostAssumptions'!$G$3)^(AD60-'Data-CostAssumptions'!$G$4),-3)</f>
        <v>1841000</v>
      </c>
      <c r="AG60" s="170" t="str">
        <f t="shared" si="1"/>
        <v>No</v>
      </c>
    </row>
    <row r="61" spans="2:33" ht="15" customHeight="1" x14ac:dyDescent="0.2">
      <c r="B61" s="11" t="s">
        <v>1211</v>
      </c>
      <c r="C61" s="13">
        <v>10093</v>
      </c>
      <c r="D61" s="13" t="s">
        <v>420</v>
      </c>
      <c r="E61" s="20" t="s">
        <v>298</v>
      </c>
      <c r="F61" s="20">
        <v>145</v>
      </c>
      <c r="G61" s="20">
        <v>1053</v>
      </c>
      <c r="H61" s="13" t="s">
        <v>1954</v>
      </c>
      <c r="I61" s="13" t="str">
        <f t="shared" si="3"/>
        <v>SW 10th St (@  Dixie Hwy)</v>
      </c>
      <c r="J61" s="13" t="s">
        <v>347</v>
      </c>
      <c r="K61" s="13" t="str">
        <f>VLOOKUP(J61,'Data-ProjectTypes'!A$3:B$13,2,FALSE)</f>
        <v>Project</v>
      </c>
      <c r="L61" s="21" t="s">
        <v>77</v>
      </c>
      <c r="M61" s="13" t="s">
        <v>2835</v>
      </c>
      <c r="N61" s="13" t="s">
        <v>728</v>
      </c>
      <c r="O61" s="13" t="s">
        <v>365</v>
      </c>
      <c r="P61" s="13" t="s">
        <v>365</v>
      </c>
      <c r="Q61" s="22"/>
      <c r="R61" s="23">
        <v>718159.31568382459</v>
      </c>
      <c r="V61" s="85" t="s">
        <v>662</v>
      </c>
      <c r="Y61" s="12"/>
      <c r="Z61" s="18">
        <f>ROUND(R61*'Data-CostAssumptions'!$C$10,-3)</f>
        <v>718000</v>
      </c>
      <c r="AA61" s="11">
        <f t="shared" si="2"/>
        <v>1</v>
      </c>
      <c r="AB61" s="11">
        <v>2041</v>
      </c>
      <c r="AC61" s="11">
        <v>2041</v>
      </c>
      <c r="AD61" s="11">
        <v>2041</v>
      </c>
      <c r="AE61" s="19">
        <f>ROUND((Z61*'Data-CostAssumptions'!$G$5)*(1+'Data-CostAssumptions'!$G$3)^(AB61-'Data-CostAssumptions'!$G$4),-3)</f>
        <v>405000</v>
      </c>
      <c r="AF61" s="19">
        <f>ROUND((Z61)*(1+'Data-CostAssumptions'!$G$3)^(AD61-'Data-CostAssumptions'!$G$4),-3)</f>
        <v>1841000</v>
      </c>
      <c r="AG61" s="170" t="str">
        <f t="shared" si="1"/>
        <v>No</v>
      </c>
    </row>
    <row r="62" spans="2:33" ht="15" customHeight="1" x14ac:dyDescent="0.2">
      <c r="B62" s="11" t="s">
        <v>1211</v>
      </c>
      <c r="C62" s="13">
        <v>10034</v>
      </c>
      <c r="D62" s="13" t="s">
        <v>420</v>
      </c>
      <c r="E62" s="20" t="s">
        <v>298</v>
      </c>
      <c r="F62" s="20">
        <v>141</v>
      </c>
      <c r="G62" s="20">
        <v>1063</v>
      </c>
      <c r="H62" s="13" t="s">
        <v>1780</v>
      </c>
      <c r="I62" s="13" t="str">
        <f t="shared" si="3"/>
        <v>Wiles Rd (@  SR 7/US 441)</v>
      </c>
      <c r="J62" s="13" t="s">
        <v>347</v>
      </c>
      <c r="K62" s="13" t="str">
        <f>VLOOKUP(J62,'Data-ProjectTypes'!A$3:B$13,2,FALSE)</f>
        <v>Project</v>
      </c>
      <c r="L62" s="21" t="s">
        <v>77</v>
      </c>
      <c r="M62" s="13" t="s">
        <v>2835</v>
      </c>
      <c r="N62" s="13" t="s">
        <v>57</v>
      </c>
      <c r="O62" s="13" t="s">
        <v>365</v>
      </c>
      <c r="P62" s="13" t="s">
        <v>365</v>
      </c>
      <c r="Q62" s="22"/>
      <c r="R62" s="23">
        <v>718159.31568382459</v>
      </c>
      <c r="S62" s="66"/>
      <c r="V62" s="87" t="s">
        <v>662</v>
      </c>
      <c r="Y62" s="12"/>
      <c r="Z62" s="71">
        <f>ROUND(R62*'Data-CostAssumptions'!$C$10,-3)</f>
        <v>718000</v>
      </c>
      <c r="AA62" s="11">
        <f t="shared" si="2"/>
        <v>1</v>
      </c>
      <c r="AB62" s="11">
        <v>2041</v>
      </c>
      <c r="AC62" s="11">
        <v>2041</v>
      </c>
      <c r="AD62" s="11">
        <v>2041</v>
      </c>
      <c r="AE62" s="19">
        <f>ROUND((Z62*'Data-CostAssumptions'!$G$5)*(1+'Data-CostAssumptions'!$G$3)^(AB62-'Data-CostAssumptions'!$G$4),-3)</f>
        <v>405000</v>
      </c>
      <c r="AF62" s="19">
        <f>ROUND((Z62)*(1+'Data-CostAssumptions'!$G$3)^(AD62-'Data-CostAssumptions'!$G$4),-3)</f>
        <v>1841000</v>
      </c>
      <c r="AG62" s="170" t="str">
        <f t="shared" si="1"/>
        <v>No</v>
      </c>
    </row>
    <row r="63" spans="2:33" ht="15" customHeight="1" x14ac:dyDescent="0.2">
      <c r="B63" s="11" t="s">
        <v>1211</v>
      </c>
      <c r="C63" s="13">
        <v>10078</v>
      </c>
      <c r="D63" s="13" t="s">
        <v>420</v>
      </c>
      <c r="E63" s="20" t="s">
        <v>298</v>
      </c>
      <c r="F63" s="20">
        <v>144</v>
      </c>
      <c r="G63" s="20">
        <v>1064</v>
      </c>
      <c r="H63" s="13" t="s">
        <v>1780</v>
      </c>
      <c r="I63" s="13" t="str">
        <f t="shared" si="3"/>
        <v>Wiles Rd (@  SR 817/University Dr)</v>
      </c>
      <c r="J63" s="13" t="s">
        <v>347</v>
      </c>
      <c r="K63" s="13" t="str">
        <f>VLOOKUP(J63,'Data-ProjectTypes'!A$3:B$13,2,FALSE)</f>
        <v>Project</v>
      </c>
      <c r="L63" s="21" t="s">
        <v>77</v>
      </c>
      <c r="M63" s="13" t="s">
        <v>2835</v>
      </c>
      <c r="N63" s="13" t="s">
        <v>2709</v>
      </c>
      <c r="O63" s="13" t="s">
        <v>365</v>
      </c>
      <c r="P63" s="13" t="s">
        <v>365</v>
      </c>
      <c r="Q63" s="22"/>
      <c r="R63" s="23">
        <v>718159.31568382459</v>
      </c>
      <c r="S63" s="66"/>
      <c r="V63" s="87" t="s">
        <v>662</v>
      </c>
      <c r="Y63" s="12"/>
      <c r="Z63" s="71">
        <f>ROUND(R63*'Data-CostAssumptions'!$C$10,-3)</f>
        <v>718000</v>
      </c>
      <c r="AA63" s="11">
        <f t="shared" si="2"/>
        <v>1</v>
      </c>
      <c r="AB63" s="11">
        <v>2041</v>
      </c>
      <c r="AC63" s="11">
        <v>2041</v>
      </c>
      <c r="AD63" s="11">
        <v>2041</v>
      </c>
      <c r="AE63" s="19">
        <f>ROUND((Z63*'Data-CostAssumptions'!$G$5)*(1+'Data-CostAssumptions'!$G$3)^(AB63-'Data-CostAssumptions'!$G$4),-3)</f>
        <v>405000</v>
      </c>
      <c r="AF63" s="19">
        <f>ROUND((Z63)*(1+'Data-CostAssumptions'!$G$3)^(AD63-'Data-CostAssumptions'!$G$4),-3)</f>
        <v>1841000</v>
      </c>
      <c r="AG63" s="170" t="str">
        <f t="shared" si="1"/>
        <v>No</v>
      </c>
    </row>
    <row r="64" spans="2:33" ht="15" customHeight="1" x14ac:dyDescent="0.2">
      <c r="B64" s="11" t="s">
        <v>1211</v>
      </c>
      <c r="C64" s="13">
        <v>10094</v>
      </c>
      <c r="D64" s="13" t="s">
        <v>420</v>
      </c>
      <c r="E64" s="20" t="s">
        <v>298</v>
      </c>
      <c r="F64" s="20">
        <v>145</v>
      </c>
      <c r="G64" s="20">
        <v>1065</v>
      </c>
      <c r="H64" s="13" t="s">
        <v>2965</v>
      </c>
      <c r="I64" s="13" t="str">
        <f t="shared" si="3"/>
        <v>Wiles Rd/NE 49 St (@  SR 5/US 1)</v>
      </c>
      <c r="J64" s="13" t="s">
        <v>347</v>
      </c>
      <c r="K64" s="13" t="str">
        <f>VLOOKUP(J64,'Data-ProjectTypes'!A$3:B$13,2,FALSE)</f>
        <v>Project</v>
      </c>
      <c r="L64" s="21" t="s">
        <v>77</v>
      </c>
      <c r="M64" s="13" t="s">
        <v>2835</v>
      </c>
      <c r="N64" s="13" t="s">
        <v>1424</v>
      </c>
      <c r="O64" s="13" t="s">
        <v>365</v>
      </c>
      <c r="P64" s="13" t="s">
        <v>365</v>
      </c>
      <c r="Q64" s="22"/>
      <c r="R64" s="23">
        <v>718159.31568382459</v>
      </c>
      <c r="S64" s="66"/>
      <c r="V64" s="87" t="s">
        <v>662</v>
      </c>
      <c r="Y64" s="12"/>
      <c r="Z64" s="71">
        <f>ROUND(R64*'Data-CostAssumptions'!$C$10,-3)</f>
        <v>718000</v>
      </c>
      <c r="AA64" s="11">
        <f t="shared" si="2"/>
        <v>1</v>
      </c>
      <c r="AB64" s="11">
        <v>2041</v>
      </c>
      <c r="AC64" s="11">
        <v>2041</v>
      </c>
      <c r="AD64" s="11">
        <v>2041</v>
      </c>
      <c r="AE64" s="19">
        <f>ROUND((Z64*'Data-CostAssumptions'!$G$5)*(1+'Data-CostAssumptions'!$G$3)^(AB64-'Data-CostAssumptions'!$G$4),-3)</f>
        <v>405000</v>
      </c>
      <c r="AF64" s="19">
        <f>ROUND((Z64)*(1+'Data-CostAssumptions'!$G$3)^(AD64-'Data-CostAssumptions'!$G$4),-3)</f>
        <v>1841000</v>
      </c>
      <c r="AG64" s="170" t="str">
        <f t="shared" si="1"/>
        <v>No</v>
      </c>
    </row>
    <row r="65" spans="1:33" ht="15" customHeight="1" x14ac:dyDescent="0.2">
      <c r="A65" s="12"/>
      <c r="B65" s="11" t="s">
        <v>1211</v>
      </c>
      <c r="C65" s="12"/>
      <c r="D65" s="84" t="s">
        <v>276</v>
      </c>
      <c r="E65" s="104">
        <v>407</v>
      </c>
      <c r="F65" s="104"/>
      <c r="G65" s="20">
        <v>1675</v>
      </c>
      <c r="H65" s="13" t="s">
        <v>2014</v>
      </c>
      <c r="I65" s="13" t="str">
        <f t="shared" si="3"/>
        <v>Andrews Av (@  NE 4TH ST)</v>
      </c>
      <c r="J65" s="12" t="s">
        <v>347</v>
      </c>
      <c r="K65" s="13" t="str">
        <f>VLOOKUP(J65,'Data-ProjectTypes'!A$3:B$13,2,FALSE)</f>
        <v>Project</v>
      </c>
      <c r="L65" s="21" t="s">
        <v>77</v>
      </c>
      <c r="M65" s="121" t="s">
        <v>2835</v>
      </c>
      <c r="N65" s="12" t="s">
        <v>1229</v>
      </c>
      <c r="O65" s="12"/>
      <c r="P65" s="12"/>
      <c r="Q65" s="72"/>
      <c r="R65" s="23">
        <v>718159.31568382459</v>
      </c>
      <c r="S65" s="16"/>
      <c r="V65" s="24" t="s">
        <v>759</v>
      </c>
      <c r="Y65" s="12" t="s">
        <v>2205</v>
      </c>
      <c r="Z65" s="18">
        <f>ROUND(R65*'Data-CostAssumptions'!$C$15,-3)</f>
        <v>718000</v>
      </c>
      <c r="AA65" s="11">
        <f t="shared" si="2"/>
        <v>1</v>
      </c>
      <c r="AB65" s="11">
        <v>2041</v>
      </c>
      <c r="AC65" s="11">
        <v>2041</v>
      </c>
      <c r="AD65" s="11">
        <v>2041</v>
      </c>
      <c r="AE65" s="19">
        <f>ROUND((Z65*'Data-CostAssumptions'!$G$5)*(1+'Data-CostAssumptions'!$G$3)^(AB65-'Data-CostAssumptions'!$G$4),-3)</f>
        <v>405000</v>
      </c>
      <c r="AF65" s="19">
        <f>ROUND((Z65)*(1+'Data-CostAssumptions'!$G$3)^(AD65-'Data-CostAssumptions'!$G$4),-3)</f>
        <v>1841000</v>
      </c>
      <c r="AG65" s="170" t="str">
        <f t="shared" si="1"/>
        <v>No</v>
      </c>
    </row>
    <row r="66" spans="1:33" ht="15" customHeight="1" x14ac:dyDescent="0.2">
      <c r="A66" s="12"/>
      <c r="B66" s="11" t="s">
        <v>1211</v>
      </c>
      <c r="C66" s="12"/>
      <c r="D66" s="84" t="s">
        <v>276</v>
      </c>
      <c r="E66" s="104">
        <v>402</v>
      </c>
      <c r="F66" s="104"/>
      <c r="G66" s="20">
        <v>1676</v>
      </c>
      <c r="H66" s="13" t="s">
        <v>2014</v>
      </c>
      <c r="I66" s="13" t="str">
        <f t="shared" ref="I66:I96" si="4">IF(M66="@",H66&amp;" ("&amp;M66&amp;"  "&amp;N66&amp;")",H66&amp;" ("&amp;M66&amp;" to "&amp;N66&amp;")")</f>
        <v>Andrews Av (@  SW 6TH ST)</v>
      </c>
      <c r="J66" s="12" t="s">
        <v>347</v>
      </c>
      <c r="K66" s="13" t="str">
        <f>VLOOKUP(J66,'Data-ProjectTypes'!A$3:B$13,2,FALSE)</f>
        <v>Project</v>
      </c>
      <c r="L66" s="21" t="s">
        <v>77</v>
      </c>
      <c r="M66" s="121" t="s">
        <v>2835</v>
      </c>
      <c r="N66" s="12" t="s">
        <v>1614</v>
      </c>
      <c r="O66" s="12"/>
      <c r="P66" s="12"/>
      <c r="Q66" s="72"/>
      <c r="R66" s="23">
        <v>718159.31568382459</v>
      </c>
      <c r="S66" s="16"/>
      <c r="V66" s="24" t="s">
        <v>760</v>
      </c>
      <c r="Y66" s="12" t="s">
        <v>2205</v>
      </c>
      <c r="Z66" s="18">
        <f>ROUND(R66*'Data-CostAssumptions'!$C$15,-3)</f>
        <v>718000</v>
      </c>
      <c r="AA66" s="11">
        <f t="shared" si="2"/>
        <v>1</v>
      </c>
      <c r="AB66" s="11">
        <v>2041</v>
      </c>
      <c r="AC66" s="11">
        <v>2041</v>
      </c>
      <c r="AD66" s="11">
        <v>2041</v>
      </c>
      <c r="AE66" s="19">
        <f>ROUND((Z66*'Data-CostAssumptions'!$G$5)*(1+'Data-CostAssumptions'!$G$3)^(AB66-'Data-CostAssumptions'!$G$4),-3)</f>
        <v>405000</v>
      </c>
      <c r="AF66" s="19">
        <f>ROUND((Z66)*(1+'Data-CostAssumptions'!$G$3)^(AD66-'Data-CostAssumptions'!$G$4),-3)</f>
        <v>1841000</v>
      </c>
      <c r="AG66" s="170" t="str">
        <f t="shared" si="1"/>
        <v>No</v>
      </c>
    </row>
    <row r="67" spans="1:33" ht="15" customHeight="1" x14ac:dyDescent="0.2">
      <c r="A67" s="12"/>
      <c r="B67" s="11" t="s">
        <v>1211</v>
      </c>
      <c r="C67" s="12"/>
      <c r="D67" s="84" t="s">
        <v>276</v>
      </c>
      <c r="E67" s="104">
        <v>403</v>
      </c>
      <c r="F67" s="104"/>
      <c r="G67" s="20">
        <v>1677</v>
      </c>
      <c r="H67" s="13" t="s">
        <v>2014</v>
      </c>
      <c r="I67" s="13" t="str">
        <f t="shared" si="4"/>
        <v>Andrews Av (@  SW 7TH ST)</v>
      </c>
      <c r="J67" s="12" t="s">
        <v>347</v>
      </c>
      <c r="K67" s="13" t="str">
        <f>VLOOKUP(J67,'Data-ProjectTypes'!A$3:B$13,2,FALSE)</f>
        <v>Project</v>
      </c>
      <c r="L67" s="21" t="s">
        <v>77</v>
      </c>
      <c r="M67" s="121" t="s">
        <v>2835</v>
      </c>
      <c r="N67" s="12" t="s">
        <v>1251</v>
      </c>
      <c r="O67" s="12"/>
      <c r="P67" s="12"/>
      <c r="Q67" s="72"/>
      <c r="R67" s="23">
        <v>718159.31568382459</v>
      </c>
      <c r="S67" s="16"/>
      <c r="V67" s="24" t="s">
        <v>761</v>
      </c>
      <c r="Y67" s="12" t="s">
        <v>2205</v>
      </c>
      <c r="Z67" s="18">
        <f>ROUND(R67*'Data-CostAssumptions'!$C$15,-3)</f>
        <v>718000</v>
      </c>
      <c r="AA67" s="11">
        <f t="shared" si="2"/>
        <v>1</v>
      </c>
      <c r="AB67" s="11">
        <v>2041</v>
      </c>
      <c r="AC67" s="11">
        <v>2041</v>
      </c>
      <c r="AD67" s="11">
        <v>2041</v>
      </c>
      <c r="AE67" s="19">
        <f>ROUND((Z67*'Data-CostAssumptions'!$G$5)*(1+'Data-CostAssumptions'!$G$3)^(AB67-'Data-CostAssumptions'!$G$4),-3)</f>
        <v>405000</v>
      </c>
      <c r="AF67" s="19">
        <f>ROUND((Z67)*(1+'Data-CostAssumptions'!$G$3)^(AD67-'Data-CostAssumptions'!$G$4),-3)</f>
        <v>1841000</v>
      </c>
      <c r="AG67" s="170" t="str">
        <f t="shared" ref="AG67:AG99" si="5">IF(MIN(AC67:AD67)&lt;2041,"Yes","No")</f>
        <v>No</v>
      </c>
    </row>
    <row r="68" spans="1:33" ht="15" customHeight="1" x14ac:dyDescent="0.2">
      <c r="A68" s="12"/>
      <c r="B68" s="11" t="s">
        <v>1211</v>
      </c>
      <c r="C68" s="12"/>
      <c r="D68" s="84" t="s">
        <v>276</v>
      </c>
      <c r="E68" s="104">
        <v>413</v>
      </c>
      <c r="F68" s="104"/>
      <c r="G68" s="20">
        <v>1679</v>
      </c>
      <c r="H68" s="13" t="s">
        <v>1842</v>
      </c>
      <c r="I68" s="13" t="str">
        <f t="shared" si="4"/>
        <v>Cypress Creek Rd (@  NW 21ST Av)</v>
      </c>
      <c r="J68" s="12" t="s">
        <v>347</v>
      </c>
      <c r="K68" s="13" t="str">
        <f>VLOOKUP(J68,'Data-ProjectTypes'!A$3:B$13,2,FALSE)</f>
        <v>Project</v>
      </c>
      <c r="L68" s="21" t="s">
        <v>77</v>
      </c>
      <c r="M68" s="121" t="s">
        <v>2835</v>
      </c>
      <c r="N68" s="12" t="s">
        <v>2164</v>
      </c>
      <c r="O68" s="12"/>
      <c r="P68" s="12"/>
      <c r="Q68" s="72"/>
      <c r="R68" s="23">
        <v>718159.31568382459</v>
      </c>
      <c r="V68" s="24" t="s">
        <v>763</v>
      </c>
      <c r="Y68" s="12" t="s">
        <v>2206</v>
      </c>
      <c r="Z68" s="18">
        <f>ROUND(R68*'Data-CostAssumptions'!$C$16,-3)</f>
        <v>718000</v>
      </c>
      <c r="AA68" s="11">
        <f t="shared" si="2"/>
        <v>1</v>
      </c>
      <c r="AB68" s="11">
        <v>2041</v>
      </c>
      <c r="AC68" s="11">
        <v>2041</v>
      </c>
      <c r="AD68" s="11">
        <v>2041</v>
      </c>
      <c r="AE68" s="19">
        <f>ROUND((Z68*'Data-CostAssumptions'!$G$5)*(1+'Data-CostAssumptions'!$G$3)^(AB68-'Data-CostAssumptions'!$G$4),-3)</f>
        <v>405000</v>
      </c>
      <c r="AF68" s="19">
        <f>ROUND((Z68)*(1+'Data-CostAssumptions'!$G$3)^(AD68-'Data-CostAssumptions'!$G$4),-3)</f>
        <v>1841000</v>
      </c>
      <c r="AG68" s="170" t="str">
        <f t="shared" si="5"/>
        <v>No</v>
      </c>
    </row>
    <row r="69" spans="1:33" ht="15" customHeight="1" x14ac:dyDescent="0.2">
      <c r="A69" s="12"/>
      <c r="B69" s="11" t="s">
        <v>1211</v>
      </c>
      <c r="C69" s="12"/>
      <c r="D69" s="84" t="s">
        <v>276</v>
      </c>
      <c r="E69" s="104">
        <v>414</v>
      </c>
      <c r="F69" s="104"/>
      <c r="G69" s="20">
        <v>1680</v>
      </c>
      <c r="H69" s="13" t="s">
        <v>1842</v>
      </c>
      <c r="I69" s="13" t="str">
        <f t="shared" si="4"/>
        <v>Cypress Creek Rd (@  NW 31ST Av)</v>
      </c>
      <c r="J69" s="12" t="s">
        <v>347</v>
      </c>
      <c r="K69" s="13" t="str">
        <f>VLOOKUP(J69,'Data-ProjectTypes'!A$3:B$13,2,FALSE)</f>
        <v>Project</v>
      </c>
      <c r="L69" s="21" t="s">
        <v>77</v>
      </c>
      <c r="M69" s="121" t="s">
        <v>2835</v>
      </c>
      <c r="N69" s="12" t="s">
        <v>2167</v>
      </c>
      <c r="O69" s="12"/>
      <c r="P69" s="12"/>
      <c r="Q69" s="72"/>
      <c r="R69" s="23">
        <v>718159.31568382459</v>
      </c>
      <c r="V69" s="24" t="s">
        <v>763</v>
      </c>
      <c r="Y69" s="12" t="s">
        <v>2206</v>
      </c>
      <c r="Z69" s="18">
        <f>ROUND(R69*'Data-CostAssumptions'!$C$16,-3)</f>
        <v>718000</v>
      </c>
      <c r="AA69" s="11">
        <f t="shared" ref="AA69:AA99" si="6">IF(V69="",IF(W69="",0,1),1)</f>
        <v>1</v>
      </c>
      <c r="AB69" s="11">
        <v>2041</v>
      </c>
      <c r="AC69" s="11">
        <v>2041</v>
      </c>
      <c r="AD69" s="11">
        <v>2041</v>
      </c>
      <c r="AE69" s="19">
        <f>ROUND((Z69*'Data-CostAssumptions'!$G$5)*(1+'Data-CostAssumptions'!$G$3)^(AB69-'Data-CostAssumptions'!$G$4),-3)</f>
        <v>405000</v>
      </c>
      <c r="AF69" s="19">
        <f>ROUND((Z69)*(1+'Data-CostAssumptions'!$G$3)^(AD69-'Data-CostAssumptions'!$G$4),-3)</f>
        <v>1841000</v>
      </c>
      <c r="AG69" s="170" t="str">
        <f t="shared" si="5"/>
        <v>No</v>
      </c>
    </row>
    <row r="70" spans="1:33" ht="15" customHeight="1" x14ac:dyDescent="0.2">
      <c r="A70" s="12"/>
      <c r="B70" s="11" t="s">
        <v>1211</v>
      </c>
      <c r="C70" s="12"/>
      <c r="D70" s="84" t="s">
        <v>276</v>
      </c>
      <c r="E70" s="104">
        <v>404</v>
      </c>
      <c r="F70" s="104"/>
      <c r="G70" s="20">
        <v>1681</v>
      </c>
      <c r="H70" s="13" t="s">
        <v>1823</v>
      </c>
      <c r="I70" s="13" t="str">
        <f t="shared" si="4"/>
        <v>Las Olas Bl (@  SE 3RD Av)</v>
      </c>
      <c r="J70" s="12" t="s">
        <v>347</v>
      </c>
      <c r="K70" s="13" t="str">
        <f>VLOOKUP(J70,'Data-ProjectTypes'!A$3:B$13,2,FALSE)</f>
        <v>Project</v>
      </c>
      <c r="L70" s="21" t="s">
        <v>77</v>
      </c>
      <c r="M70" s="121" t="s">
        <v>2835</v>
      </c>
      <c r="N70" s="12" t="s">
        <v>2179</v>
      </c>
      <c r="O70" s="12"/>
      <c r="P70" s="12"/>
      <c r="Q70" s="72"/>
      <c r="R70" s="23">
        <v>718159.31568382459</v>
      </c>
      <c r="Y70" s="12"/>
      <c r="Z70" s="18">
        <f>ROUND(R70*'Data-CostAssumptions'!$C$8,-3)</f>
        <v>718000</v>
      </c>
      <c r="AA70" s="11">
        <f t="shared" si="6"/>
        <v>0</v>
      </c>
      <c r="AB70" s="11">
        <v>2041</v>
      </c>
      <c r="AC70" s="11">
        <v>2041</v>
      </c>
      <c r="AD70" s="11">
        <v>2041</v>
      </c>
      <c r="AE70" s="19">
        <f>ROUND((Z70*'Data-CostAssumptions'!$G$5)*(1+'Data-CostAssumptions'!$G$3)^(AB70-'Data-CostAssumptions'!$G$4),-3)</f>
        <v>405000</v>
      </c>
      <c r="AF70" s="19">
        <f>ROUND((Z70)*(1+'Data-CostAssumptions'!$G$3)^(AD70-'Data-CostAssumptions'!$G$4),-3)</f>
        <v>1841000</v>
      </c>
      <c r="AG70" s="170" t="str">
        <f t="shared" si="5"/>
        <v>No</v>
      </c>
    </row>
    <row r="71" spans="1:33" ht="15" customHeight="1" x14ac:dyDescent="0.2">
      <c r="A71" s="12"/>
      <c r="B71" s="11" t="s">
        <v>1211</v>
      </c>
      <c r="C71" s="12"/>
      <c r="D71" s="84" t="s">
        <v>276</v>
      </c>
      <c r="E71" s="104">
        <v>408</v>
      </c>
      <c r="F71" s="104"/>
      <c r="G71" s="20">
        <v>1682</v>
      </c>
      <c r="H71" s="13" t="s">
        <v>1584</v>
      </c>
      <c r="I71" s="13" t="str">
        <f t="shared" si="4"/>
        <v>NE 3RD ST (@  NE 3RD Av)</v>
      </c>
      <c r="J71" s="12" t="s">
        <v>347</v>
      </c>
      <c r="K71" s="13" t="str">
        <f>VLOOKUP(J71,'Data-ProjectTypes'!A$3:B$13,2,FALSE)</f>
        <v>Project</v>
      </c>
      <c r="L71" s="21" t="s">
        <v>77</v>
      </c>
      <c r="M71" s="121" t="s">
        <v>2835</v>
      </c>
      <c r="N71" s="12" t="s">
        <v>2152</v>
      </c>
      <c r="O71" s="12"/>
      <c r="P71" s="12"/>
      <c r="Q71" s="72"/>
      <c r="R71" s="23">
        <v>718159.31568382459</v>
      </c>
      <c r="Y71" s="12"/>
      <c r="Z71" s="18">
        <f>ROUND(R71*'Data-CostAssumptions'!$C$3,-3)</f>
        <v>994000</v>
      </c>
      <c r="AA71" s="11">
        <f t="shared" si="6"/>
        <v>0</v>
      </c>
      <c r="AB71" s="11">
        <v>2041</v>
      </c>
      <c r="AC71" s="11">
        <v>2041</v>
      </c>
      <c r="AD71" s="11">
        <v>2041</v>
      </c>
      <c r="AE71" s="19">
        <f>ROUND((Z71*'Data-CostAssumptions'!$G$5)*(1+'Data-CostAssumptions'!$G$3)^(AB71-'Data-CostAssumptions'!$G$4),-3)</f>
        <v>561000</v>
      </c>
      <c r="AF71" s="19">
        <f>ROUND((Z71)*(1+'Data-CostAssumptions'!$G$3)^(AD71-'Data-CostAssumptions'!$G$4),-3)</f>
        <v>2549000</v>
      </c>
      <c r="AG71" s="170" t="str">
        <f t="shared" si="5"/>
        <v>No</v>
      </c>
    </row>
    <row r="72" spans="1:33" ht="15" customHeight="1" x14ac:dyDescent="0.2">
      <c r="A72" s="12"/>
      <c r="B72" s="11" t="s">
        <v>1211</v>
      </c>
      <c r="C72" s="12"/>
      <c r="D72" s="84" t="s">
        <v>276</v>
      </c>
      <c r="E72" s="104">
        <v>423</v>
      </c>
      <c r="F72" s="104"/>
      <c r="G72" s="20">
        <v>1684</v>
      </c>
      <c r="H72" s="13" t="s">
        <v>1245</v>
      </c>
      <c r="I72" s="13" t="str">
        <f t="shared" si="4"/>
        <v>SE 17TH ST (@  CONVENTION CENTER)</v>
      </c>
      <c r="J72" s="12" t="s">
        <v>347</v>
      </c>
      <c r="K72" s="13" t="str">
        <f>VLOOKUP(J72,'Data-ProjectTypes'!A$3:B$13,2,FALSE)</f>
        <v>Project</v>
      </c>
      <c r="L72" s="21" t="s">
        <v>77</v>
      </c>
      <c r="M72" s="121" t="s">
        <v>2835</v>
      </c>
      <c r="N72" s="12" t="s">
        <v>1682</v>
      </c>
      <c r="O72" s="12"/>
      <c r="P72" s="12"/>
      <c r="Q72" s="72"/>
      <c r="R72" s="23">
        <v>718159.31568382459</v>
      </c>
      <c r="V72" s="85" t="s">
        <v>886</v>
      </c>
      <c r="Y72" s="12"/>
      <c r="Z72" s="71">
        <f>ROUND(R72*'Data-CostAssumptions'!$C$8,-3)</f>
        <v>718000</v>
      </c>
      <c r="AA72" s="11">
        <f t="shared" si="6"/>
        <v>1</v>
      </c>
      <c r="AB72" s="11">
        <v>2041</v>
      </c>
      <c r="AC72" s="11">
        <v>2041</v>
      </c>
      <c r="AD72" s="11">
        <v>2041</v>
      </c>
      <c r="AE72" s="19">
        <f>ROUND((Z72*'Data-CostAssumptions'!$G$5)*(1+'Data-CostAssumptions'!$G$3)^(AB72-'Data-CostAssumptions'!$G$4),-3)</f>
        <v>405000</v>
      </c>
      <c r="AF72" s="19">
        <f>ROUND((Z72)*(1+'Data-CostAssumptions'!$G$3)^(AD72-'Data-CostAssumptions'!$G$4),-3)</f>
        <v>1841000</v>
      </c>
      <c r="AG72" s="170" t="str">
        <f t="shared" si="5"/>
        <v>No</v>
      </c>
    </row>
    <row r="73" spans="1:33" ht="15" customHeight="1" x14ac:dyDescent="0.2">
      <c r="A73" s="12"/>
      <c r="B73" s="11" t="s">
        <v>1211</v>
      </c>
      <c r="C73" s="12"/>
      <c r="D73" s="84" t="s">
        <v>276</v>
      </c>
      <c r="E73" s="104">
        <v>424</v>
      </c>
      <c r="F73" s="104"/>
      <c r="G73" s="20">
        <v>1685</v>
      </c>
      <c r="H73" s="13" t="s">
        <v>1245</v>
      </c>
      <c r="I73" s="13" t="str">
        <f t="shared" si="4"/>
        <v>SE 17TH ST (@  CORDOVA DR )</v>
      </c>
      <c r="J73" s="12" t="s">
        <v>347</v>
      </c>
      <c r="K73" s="13" t="str">
        <f>VLOOKUP(J73,'Data-ProjectTypes'!A$3:B$13,2,FALSE)</f>
        <v>Project</v>
      </c>
      <c r="L73" s="21" t="s">
        <v>77</v>
      </c>
      <c r="M73" s="121" t="s">
        <v>2835</v>
      </c>
      <c r="N73" s="12" t="s">
        <v>1683</v>
      </c>
      <c r="O73" s="12"/>
      <c r="P73" s="12"/>
      <c r="Q73" s="72"/>
      <c r="R73" s="23">
        <v>718159.31568382459</v>
      </c>
      <c r="V73" s="85" t="s">
        <v>888</v>
      </c>
      <c r="Y73" s="12"/>
      <c r="Z73" s="71">
        <f>ROUND(R73*'Data-CostAssumptions'!$C$8,-3)</f>
        <v>718000</v>
      </c>
      <c r="AA73" s="11">
        <f t="shared" si="6"/>
        <v>1</v>
      </c>
      <c r="AB73" s="11">
        <v>2041</v>
      </c>
      <c r="AC73" s="11">
        <v>2041</v>
      </c>
      <c r="AD73" s="11">
        <v>2041</v>
      </c>
      <c r="AE73" s="19">
        <f>ROUND((Z73*'Data-CostAssumptions'!$G$5)*(1+'Data-CostAssumptions'!$G$3)^(AB73-'Data-CostAssumptions'!$G$4),-3)</f>
        <v>405000</v>
      </c>
      <c r="AF73" s="19">
        <f>ROUND((Z73)*(1+'Data-CostAssumptions'!$G$3)^(AD73-'Data-CostAssumptions'!$G$4),-3)</f>
        <v>1841000</v>
      </c>
      <c r="AG73" s="170" t="str">
        <f t="shared" si="5"/>
        <v>No</v>
      </c>
    </row>
    <row r="74" spans="1:33" ht="15" customHeight="1" x14ac:dyDescent="0.2">
      <c r="A74" s="12"/>
      <c r="B74" s="11" t="s">
        <v>1211</v>
      </c>
      <c r="C74" s="12"/>
      <c r="D74" s="84" t="s">
        <v>276</v>
      </c>
      <c r="E74" s="104">
        <v>427</v>
      </c>
      <c r="F74" s="104"/>
      <c r="G74" s="20">
        <v>1686</v>
      </c>
      <c r="H74" s="13" t="s">
        <v>1245</v>
      </c>
      <c r="I74" s="13" t="str">
        <f t="shared" si="4"/>
        <v>SE 17TH ST (@  HARBOR DR)</v>
      </c>
      <c r="J74" s="12" t="s">
        <v>347</v>
      </c>
      <c r="K74" s="13" t="str">
        <f>VLOOKUP(J74,'Data-ProjectTypes'!A$3:B$13,2,FALSE)</f>
        <v>Project</v>
      </c>
      <c r="L74" s="21" t="s">
        <v>77</v>
      </c>
      <c r="M74" s="121" t="s">
        <v>2835</v>
      </c>
      <c r="N74" s="12" t="s">
        <v>1684</v>
      </c>
      <c r="O74" s="12"/>
      <c r="P74" s="12"/>
      <c r="Q74" s="72"/>
      <c r="R74" s="23">
        <v>718159.31568382459</v>
      </c>
      <c r="V74" s="85" t="s">
        <v>886</v>
      </c>
      <c r="Y74" s="12"/>
      <c r="Z74" s="71">
        <f>ROUND(R74*'Data-CostAssumptions'!$C$8,-3)</f>
        <v>718000</v>
      </c>
      <c r="AA74" s="11">
        <f t="shared" si="6"/>
        <v>1</v>
      </c>
      <c r="AB74" s="11">
        <v>2041</v>
      </c>
      <c r="AC74" s="11">
        <v>2041</v>
      </c>
      <c r="AD74" s="11">
        <v>2041</v>
      </c>
      <c r="AE74" s="19">
        <f>ROUND((Z74*'Data-CostAssumptions'!$G$5)*(1+'Data-CostAssumptions'!$G$3)^(AB74-'Data-CostAssumptions'!$G$4),-3)</f>
        <v>405000</v>
      </c>
      <c r="AF74" s="19">
        <f>ROUND((Z74)*(1+'Data-CostAssumptions'!$G$3)^(AD74-'Data-CostAssumptions'!$G$4),-3)</f>
        <v>1841000</v>
      </c>
      <c r="AG74" s="170" t="str">
        <f t="shared" si="5"/>
        <v>No</v>
      </c>
    </row>
    <row r="75" spans="1:33" ht="15" customHeight="1" x14ac:dyDescent="0.2">
      <c r="A75" s="12"/>
      <c r="B75" s="11" t="s">
        <v>1211</v>
      </c>
      <c r="C75" s="12"/>
      <c r="D75" s="84" t="s">
        <v>276</v>
      </c>
      <c r="E75" s="104">
        <v>425</v>
      </c>
      <c r="F75" s="104"/>
      <c r="G75" s="20">
        <v>1687</v>
      </c>
      <c r="H75" s="13" t="s">
        <v>1245</v>
      </c>
      <c r="I75" s="13" t="str">
        <f t="shared" si="4"/>
        <v>SE 17TH ST (@  SE 15TH Av)</v>
      </c>
      <c r="J75" s="12" t="s">
        <v>347</v>
      </c>
      <c r="K75" s="13" t="str">
        <f>VLOOKUP(J75,'Data-ProjectTypes'!A$3:B$13,2,FALSE)</f>
        <v>Project</v>
      </c>
      <c r="L75" s="21" t="s">
        <v>77</v>
      </c>
      <c r="M75" s="121" t="s">
        <v>2835</v>
      </c>
      <c r="N75" s="12" t="s">
        <v>2607</v>
      </c>
      <c r="O75" s="12"/>
      <c r="P75" s="12"/>
      <c r="Q75" s="72"/>
      <c r="R75" s="23">
        <v>718159.31568382459</v>
      </c>
      <c r="V75" s="24" t="s">
        <v>802</v>
      </c>
      <c r="Y75" s="12" t="s">
        <v>2205</v>
      </c>
      <c r="Z75" s="18">
        <f>ROUND(R75*'Data-CostAssumptions'!$C$17,-3)</f>
        <v>718000</v>
      </c>
      <c r="AA75" s="11">
        <f t="shared" si="6"/>
        <v>1</v>
      </c>
      <c r="AB75" s="11">
        <v>2041</v>
      </c>
      <c r="AC75" s="11">
        <v>2041</v>
      </c>
      <c r="AD75" s="11">
        <v>2041</v>
      </c>
      <c r="AE75" s="19">
        <f>ROUND((Z75*'Data-CostAssumptions'!$G$5)*(1+'Data-CostAssumptions'!$G$3)^(AB75-'Data-CostAssumptions'!$G$4),-3)</f>
        <v>405000</v>
      </c>
      <c r="AF75" s="19">
        <f>ROUND((Z75)*(1+'Data-CostAssumptions'!$G$3)^(AD75-'Data-CostAssumptions'!$G$4),-3)</f>
        <v>1841000</v>
      </c>
      <c r="AG75" s="170" t="str">
        <f t="shared" si="5"/>
        <v>No</v>
      </c>
    </row>
    <row r="76" spans="1:33" ht="15" customHeight="1" x14ac:dyDescent="0.2">
      <c r="A76" s="12"/>
      <c r="B76" s="11" t="s">
        <v>1211</v>
      </c>
      <c r="C76" s="12"/>
      <c r="D76" s="84" t="s">
        <v>276</v>
      </c>
      <c r="E76" s="104">
        <v>426</v>
      </c>
      <c r="F76" s="104"/>
      <c r="G76" s="20">
        <v>1688</v>
      </c>
      <c r="H76" s="13" t="s">
        <v>1245</v>
      </c>
      <c r="I76" s="13" t="str">
        <f t="shared" si="4"/>
        <v>SE 17TH ST (@  SE 23RD Av)</v>
      </c>
      <c r="J76" s="12" t="s">
        <v>347</v>
      </c>
      <c r="K76" s="13" t="str">
        <f>VLOOKUP(J76,'Data-ProjectTypes'!A$3:B$13,2,FALSE)</f>
        <v>Project</v>
      </c>
      <c r="L76" s="21" t="s">
        <v>77</v>
      </c>
      <c r="M76" s="121" t="s">
        <v>2835</v>
      </c>
      <c r="N76" s="12" t="s">
        <v>2627</v>
      </c>
      <c r="O76" s="12"/>
      <c r="P76" s="12"/>
      <c r="Q76" s="72"/>
      <c r="R76" s="23">
        <v>718159.31568382459</v>
      </c>
      <c r="V76" s="24" t="s">
        <v>803</v>
      </c>
      <c r="Y76" s="12" t="s">
        <v>2205</v>
      </c>
      <c r="Z76" s="18">
        <f>ROUND(R76*'Data-CostAssumptions'!$C$17,-3)</f>
        <v>718000</v>
      </c>
      <c r="AA76" s="11">
        <f t="shared" si="6"/>
        <v>1</v>
      </c>
      <c r="AB76" s="11">
        <v>2041</v>
      </c>
      <c r="AC76" s="11">
        <v>2041</v>
      </c>
      <c r="AD76" s="11">
        <v>2041</v>
      </c>
      <c r="AE76" s="19">
        <f>ROUND((Z76*'Data-CostAssumptions'!$G$5)*(1+'Data-CostAssumptions'!$G$3)^(AB76-'Data-CostAssumptions'!$G$4),-3)</f>
        <v>405000</v>
      </c>
      <c r="AF76" s="19">
        <f>ROUND((Z76)*(1+'Data-CostAssumptions'!$G$3)^(AD76-'Data-CostAssumptions'!$G$4),-3)</f>
        <v>1841000</v>
      </c>
      <c r="AG76" s="170" t="str">
        <f t="shared" si="5"/>
        <v>No</v>
      </c>
    </row>
    <row r="77" spans="1:33" ht="15" customHeight="1" x14ac:dyDescent="0.2">
      <c r="A77" s="12"/>
      <c r="B77" s="11" t="s">
        <v>1211</v>
      </c>
      <c r="C77" s="12"/>
      <c r="D77" s="84" t="s">
        <v>276</v>
      </c>
      <c r="E77" s="104">
        <v>406</v>
      </c>
      <c r="F77" s="104"/>
      <c r="G77" s="20">
        <v>1689</v>
      </c>
      <c r="H77" s="13" t="s">
        <v>2178</v>
      </c>
      <c r="I77" s="13" t="str">
        <f t="shared" si="4"/>
        <v>SE 2ND Av (@  SE 2ND ST)</v>
      </c>
      <c r="J77" s="12" t="s">
        <v>347</v>
      </c>
      <c r="K77" s="13" t="str">
        <f>VLOOKUP(J77,'Data-ProjectTypes'!A$3:B$13,2,FALSE)</f>
        <v>Project</v>
      </c>
      <c r="L77" s="21" t="s">
        <v>77</v>
      </c>
      <c r="M77" s="121" t="s">
        <v>2835</v>
      </c>
      <c r="N77" s="12" t="s">
        <v>1681</v>
      </c>
      <c r="O77" s="12"/>
      <c r="P77" s="12"/>
      <c r="Q77" s="72"/>
      <c r="R77" s="23">
        <v>718159.31568382459</v>
      </c>
      <c r="V77" s="151" t="s">
        <v>804</v>
      </c>
      <c r="Y77" s="17" t="s">
        <v>805</v>
      </c>
      <c r="Z77" s="18">
        <f>ROUND(R77*'Data-CostAssumptions'!$C$17,-3)</f>
        <v>718000</v>
      </c>
      <c r="AA77" s="11">
        <f t="shared" si="6"/>
        <v>1</v>
      </c>
      <c r="AB77" s="11">
        <v>2041</v>
      </c>
      <c r="AC77" s="11">
        <v>2041</v>
      </c>
      <c r="AD77" s="11">
        <v>2041</v>
      </c>
      <c r="AE77" s="19">
        <f>ROUND((Z77*'Data-CostAssumptions'!$G$5)*(1+'Data-CostAssumptions'!$G$3)^(AB77-'Data-CostAssumptions'!$G$4),-3)</f>
        <v>405000</v>
      </c>
      <c r="AF77" s="19">
        <f>ROUND((Z77)*(1+'Data-CostAssumptions'!$G$3)^(AD77-'Data-CostAssumptions'!$G$4),-3)</f>
        <v>1841000</v>
      </c>
      <c r="AG77" s="170" t="str">
        <f t="shared" si="5"/>
        <v>No</v>
      </c>
    </row>
    <row r="78" spans="1:33" ht="15" customHeight="1" x14ac:dyDescent="0.2">
      <c r="A78" s="12"/>
      <c r="B78" s="11" t="s">
        <v>1211</v>
      </c>
      <c r="C78" s="12"/>
      <c r="D78" s="84" t="s">
        <v>276</v>
      </c>
      <c r="E78" s="104">
        <v>400</v>
      </c>
      <c r="F78" s="104"/>
      <c r="G78" s="20">
        <v>1690</v>
      </c>
      <c r="H78" s="13" t="s">
        <v>1828</v>
      </c>
      <c r="I78" s="13" t="str">
        <f t="shared" si="4"/>
        <v>Sistrunk Bl (@  NE 3RD Av)</v>
      </c>
      <c r="J78" s="12" t="s">
        <v>347</v>
      </c>
      <c r="K78" s="13" t="str">
        <f>VLOOKUP(J78,'Data-ProjectTypes'!A$3:B$13,2,FALSE)</f>
        <v>Project</v>
      </c>
      <c r="L78" s="21" t="s">
        <v>77</v>
      </c>
      <c r="M78" s="121" t="s">
        <v>2835</v>
      </c>
      <c r="N78" s="12" t="s">
        <v>2152</v>
      </c>
      <c r="O78" s="12"/>
      <c r="P78" s="12"/>
      <c r="Q78" s="72"/>
      <c r="R78" s="23">
        <v>718159.31568382459</v>
      </c>
      <c r="V78" s="85" t="s">
        <v>816</v>
      </c>
      <c r="Y78" s="12"/>
      <c r="Z78" s="18">
        <f>ROUND(R78*'Data-CostAssumptions'!$C$18,-3)</f>
        <v>718000</v>
      </c>
      <c r="AA78" s="11">
        <f t="shared" si="6"/>
        <v>1</v>
      </c>
      <c r="AB78" s="11">
        <v>2041</v>
      </c>
      <c r="AC78" s="11">
        <v>2041</v>
      </c>
      <c r="AD78" s="11">
        <v>2041</v>
      </c>
      <c r="AE78" s="19">
        <f>ROUND((Z78*'Data-CostAssumptions'!$G$5)*(1+'Data-CostAssumptions'!$G$3)^(AB78-'Data-CostAssumptions'!$G$4),-3)</f>
        <v>405000</v>
      </c>
      <c r="AF78" s="19">
        <f>ROUND((Z78)*(1+'Data-CostAssumptions'!$G$3)^(AD78-'Data-CostAssumptions'!$G$4),-3)</f>
        <v>1841000</v>
      </c>
      <c r="AG78" s="170" t="str">
        <f t="shared" si="5"/>
        <v>No</v>
      </c>
    </row>
    <row r="79" spans="1:33" ht="15" customHeight="1" x14ac:dyDescent="0.2">
      <c r="A79" s="12"/>
      <c r="B79" s="11" t="s">
        <v>1211</v>
      </c>
      <c r="C79" s="12"/>
      <c r="D79" s="84" t="s">
        <v>276</v>
      </c>
      <c r="E79" s="104">
        <v>420</v>
      </c>
      <c r="F79" s="104"/>
      <c r="G79" s="20">
        <v>1691</v>
      </c>
      <c r="H79" s="13" t="s">
        <v>1828</v>
      </c>
      <c r="I79" s="13" t="str">
        <f t="shared" si="4"/>
        <v>Sistrunk Bl (@  NW 15TH Av)</v>
      </c>
      <c r="J79" s="12" t="s">
        <v>347</v>
      </c>
      <c r="K79" s="13" t="str">
        <f>VLOOKUP(J79,'Data-ProjectTypes'!A$3:B$13,2,FALSE)</f>
        <v>Project</v>
      </c>
      <c r="L79" s="21" t="s">
        <v>77</v>
      </c>
      <c r="M79" s="121" t="s">
        <v>2835</v>
      </c>
      <c r="N79" s="12" t="s">
        <v>2160</v>
      </c>
      <c r="O79" s="12"/>
      <c r="P79" s="12"/>
      <c r="Q79" s="72"/>
      <c r="R79" s="23">
        <v>718159.31568382459</v>
      </c>
      <c r="V79" s="85" t="s">
        <v>816</v>
      </c>
      <c r="Y79" s="12"/>
      <c r="Z79" s="18">
        <f>ROUND(R79*'Data-CostAssumptions'!$C$18,-3)</f>
        <v>718000</v>
      </c>
      <c r="AA79" s="11">
        <f t="shared" si="6"/>
        <v>1</v>
      </c>
      <c r="AB79" s="11">
        <v>2041</v>
      </c>
      <c r="AC79" s="11">
        <v>2041</v>
      </c>
      <c r="AD79" s="11">
        <v>2041</v>
      </c>
      <c r="AE79" s="19">
        <f>ROUND((Z79*'Data-CostAssumptions'!$G$5)*(1+'Data-CostAssumptions'!$G$3)^(AB79-'Data-CostAssumptions'!$G$4),-3)</f>
        <v>405000</v>
      </c>
      <c r="AF79" s="19">
        <f>ROUND((Z79)*(1+'Data-CostAssumptions'!$G$3)^(AD79-'Data-CostAssumptions'!$G$4),-3)</f>
        <v>1841000</v>
      </c>
      <c r="AG79" s="170" t="str">
        <f t="shared" si="5"/>
        <v>No</v>
      </c>
    </row>
    <row r="80" spans="1:33" ht="15" customHeight="1" x14ac:dyDescent="0.2">
      <c r="A80" s="12"/>
      <c r="B80" s="11" t="s">
        <v>1211</v>
      </c>
      <c r="C80" s="12"/>
      <c r="D80" s="84" t="s">
        <v>276</v>
      </c>
      <c r="E80" s="104">
        <v>418</v>
      </c>
      <c r="F80" s="104"/>
      <c r="G80" s="20">
        <v>1692</v>
      </c>
      <c r="H80" s="13" t="s">
        <v>1828</v>
      </c>
      <c r="I80" s="13" t="str">
        <f t="shared" si="4"/>
        <v>Sistrunk Bl (@  NW 19TH Av/LINCOLN PARK)</v>
      </c>
      <c r="J80" s="12" t="s">
        <v>347</v>
      </c>
      <c r="K80" s="13" t="str">
        <f>VLOOKUP(J80,'Data-ProjectTypes'!A$3:B$13,2,FALSE)</f>
        <v>Project</v>
      </c>
      <c r="L80" s="21" t="s">
        <v>77</v>
      </c>
      <c r="M80" s="121" t="s">
        <v>2835</v>
      </c>
      <c r="N80" s="12" t="s">
        <v>2629</v>
      </c>
      <c r="O80" s="12"/>
      <c r="P80" s="12"/>
      <c r="Q80" s="72"/>
      <c r="R80" s="23">
        <v>718159.31568382459</v>
      </c>
      <c r="V80" s="85" t="s">
        <v>816</v>
      </c>
      <c r="Y80" s="12"/>
      <c r="Z80" s="18">
        <f>ROUND(R80*'Data-CostAssumptions'!$C$18,-3)</f>
        <v>718000</v>
      </c>
      <c r="AA80" s="11">
        <f t="shared" si="6"/>
        <v>1</v>
      </c>
      <c r="AB80" s="11">
        <v>2041</v>
      </c>
      <c r="AC80" s="11">
        <v>2041</v>
      </c>
      <c r="AD80" s="11">
        <v>2041</v>
      </c>
      <c r="AE80" s="19">
        <f>ROUND((Z80*'Data-CostAssumptions'!$G$5)*(1+'Data-CostAssumptions'!$G$3)^(AB80-'Data-CostAssumptions'!$G$4),-3)</f>
        <v>405000</v>
      </c>
      <c r="AF80" s="19">
        <f>ROUND((Z80)*(1+'Data-CostAssumptions'!$G$3)^(AD80-'Data-CostAssumptions'!$G$4),-3)</f>
        <v>1841000</v>
      </c>
      <c r="AG80" s="170" t="str">
        <f t="shared" si="5"/>
        <v>No</v>
      </c>
    </row>
    <row r="81" spans="1:33" ht="15" customHeight="1" x14ac:dyDescent="0.2">
      <c r="A81" s="12"/>
      <c r="B81" s="11" t="s">
        <v>1211</v>
      </c>
      <c r="C81" s="12"/>
      <c r="D81" s="84" t="s">
        <v>276</v>
      </c>
      <c r="E81" s="104">
        <v>419</v>
      </c>
      <c r="F81" s="104"/>
      <c r="G81" s="20">
        <v>1693</v>
      </c>
      <c r="H81" s="13" t="s">
        <v>1828</v>
      </c>
      <c r="I81" s="13" t="str">
        <f t="shared" si="4"/>
        <v>Sistrunk Bl (@  NW 27TH Av)</v>
      </c>
      <c r="J81" s="12" t="s">
        <v>347</v>
      </c>
      <c r="K81" s="13" t="str">
        <f>VLOOKUP(J81,'Data-ProjectTypes'!A$3:B$13,2,FALSE)</f>
        <v>Project</v>
      </c>
      <c r="L81" s="21" t="s">
        <v>77</v>
      </c>
      <c r="M81" s="121" t="s">
        <v>2835</v>
      </c>
      <c r="N81" s="12" t="s">
        <v>2605</v>
      </c>
      <c r="O81" s="12"/>
      <c r="P81" s="12"/>
      <c r="Q81" s="72"/>
      <c r="R81" s="23">
        <v>718159.31568382459</v>
      </c>
      <c r="V81" s="85" t="s">
        <v>816</v>
      </c>
      <c r="Y81" s="12"/>
      <c r="Z81" s="18">
        <f>ROUND(R81*'Data-CostAssumptions'!$C$18,-3)</f>
        <v>718000</v>
      </c>
      <c r="AA81" s="11">
        <f t="shared" si="6"/>
        <v>1</v>
      </c>
      <c r="AB81" s="11">
        <v>2041</v>
      </c>
      <c r="AC81" s="11">
        <v>2041</v>
      </c>
      <c r="AD81" s="11">
        <v>2041</v>
      </c>
      <c r="AE81" s="19">
        <f>ROUND((Z81*'Data-CostAssumptions'!$G$5)*(1+'Data-CostAssumptions'!$G$3)^(AB81-'Data-CostAssumptions'!$G$4),-3)</f>
        <v>405000</v>
      </c>
      <c r="AF81" s="19">
        <f>ROUND((Z81)*(1+'Data-CostAssumptions'!$G$3)^(AD81-'Data-CostAssumptions'!$G$4),-3)</f>
        <v>1841000</v>
      </c>
      <c r="AG81" s="170" t="str">
        <f t="shared" si="5"/>
        <v>No</v>
      </c>
    </row>
    <row r="82" spans="1:33" ht="15" customHeight="1" x14ac:dyDescent="0.2">
      <c r="A82" s="12"/>
      <c r="B82" s="11" t="s">
        <v>1211</v>
      </c>
      <c r="C82" s="12"/>
      <c r="D82" s="84" t="s">
        <v>276</v>
      </c>
      <c r="E82" s="104">
        <v>417</v>
      </c>
      <c r="F82" s="104"/>
      <c r="G82" s="20">
        <v>1694</v>
      </c>
      <c r="H82" s="13" t="s">
        <v>1828</v>
      </c>
      <c r="I82" s="13" t="str">
        <f t="shared" si="4"/>
        <v>Sistrunk Bl (@  NW 7TH Av)</v>
      </c>
      <c r="J82" s="12" t="s">
        <v>347</v>
      </c>
      <c r="K82" s="13" t="str">
        <f>VLOOKUP(J82,'Data-ProjectTypes'!A$3:B$13,2,FALSE)</f>
        <v>Project</v>
      </c>
      <c r="L82" s="21" t="s">
        <v>77</v>
      </c>
      <c r="M82" s="121" t="s">
        <v>2835</v>
      </c>
      <c r="N82" s="12" t="s">
        <v>2601</v>
      </c>
      <c r="O82" s="12"/>
      <c r="P82" s="12"/>
      <c r="Q82" s="72"/>
      <c r="R82" s="23">
        <v>718159.31568382459</v>
      </c>
      <c r="V82" s="85" t="s">
        <v>816</v>
      </c>
      <c r="Y82" s="12"/>
      <c r="Z82" s="18">
        <f>ROUND(R82*'Data-CostAssumptions'!$C$18,-3)</f>
        <v>718000</v>
      </c>
      <c r="AA82" s="11">
        <f t="shared" si="6"/>
        <v>1</v>
      </c>
      <c r="AB82" s="11">
        <v>2041</v>
      </c>
      <c r="AC82" s="11">
        <v>2041</v>
      </c>
      <c r="AD82" s="11">
        <v>2041</v>
      </c>
      <c r="AE82" s="19">
        <f>ROUND((Z82*'Data-CostAssumptions'!$G$5)*(1+'Data-CostAssumptions'!$G$3)^(AB82-'Data-CostAssumptions'!$G$4),-3)</f>
        <v>405000</v>
      </c>
      <c r="AF82" s="19">
        <f>ROUND((Z82)*(1+'Data-CostAssumptions'!$G$3)^(AD82-'Data-CostAssumptions'!$G$4),-3)</f>
        <v>1841000</v>
      </c>
      <c r="AG82" s="170" t="str">
        <f t="shared" si="5"/>
        <v>No</v>
      </c>
    </row>
    <row r="83" spans="1:33" ht="15" customHeight="1" x14ac:dyDescent="0.2">
      <c r="A83" s="12"/>
      <c r="B83" s="11" t="s">
        <v>1211</v>
      </c>
      <c r="C83" s="12"/>
      <c r="D83" s="84" t="s">
        <v>276</v>
      </c>
      <c r="E83" s="104">
        <v>412</v>
      </c>
      <c r="F83" s="104"/>
      <c r="G83" s="20">
        <v>1698</v>
      </c>
      <c r="H83" s="13" t="s">
        <v>2710</v>
      </c>
      <c r="I83" s="13" t="str">
        <f t="shared" si="4"/>
        <v>SR 816/Oakland Park Bl (@  Bayview Dr)</v>
      </c>
      <c r="J83" s="12" t="s">
        <v>347</v>
      </c>
      <c r="K83" s="13" t="str">
        <f>VLOOKUP(J83,'Data-ProjectTypes'!A$3:B$13,2,FALSE)</f>
        <v>Project</v>
      </c>
      <c r="L83" s="21" t="s">
        <v>77</v>
      </c>
      <c r="M83" s="121" t="s">
        <v>2835</v>
      </c>
      <c r="N83" s="12" t="s">
        <v>1781</v>
      </c>
      <c r="O83" s="12"/>
      <c r="P83" s="12"/>
      <c r="Q83" s="72"/>
      <c r="R83" s="23">
        <v>718159.31568382459</v>
      </c>
      <c r="V83" s="85" t="s">
        <v>827</v>
      </c>
      <c r="Y83" s="12" t="s">
        <v>2204</v>
      </c>
      <c r="Z83" s="18">
        <f>ROUND(R83*'Data-CostAssumptions'!$C$18,-3)</f>
        <v>718000</v>
      </c>
      <c r="AA83" s="11">
        <f t="shared" si="6"/>
        <v>1</v>
      </c>
      <c r="AB83" s="11">
        <v>2041</v>
      </c>
      <c r="AC83" s="11">
        <v>2041</v>
      </c>
      <c r="AD83" s="11">
        <v>2041</v>
      </c>
      <c r="AE83" s="19">
        <f>ROUND((Z83*'Data-CostAssumptions'!$G$5)*(1+'Data-CostAssumptions'!$G$3)^(AB83-'Data-CostAssumptions'!$G$4),-3)</f>
        <v>405000</v>
      </c>
      <c r="AF83" s="19">
        <f>ROUND((Z83)*(1+'Data-CostAssumptions'!$G$3)^(AD83-'Data-CostAssumptions'!$G$4),-3)</f>
        <v>1841000</v>
      </c>
      <c r="AG83" s="170" t="str">
        <f t="shared" si="5"/>
        <v>No</v>
      </c>
    </row>
    <row r="84" spans="1:33" ht="15" customHeight="1" x14ac:dyDescent="0.2">
      <c r="A84" s="12"/>
      <c r="B84" s="11" t="s">
        <v>1211</v>
      </c>
      <c r="C84" s="12"/>
      <c r="D84" s="84" t="s">
        <v>276</v>
      </c>
      <c r="E84" s="104">
        <v>409</v>
      </c>
      <c r="F84" s="104"/>
      <c r="G84" s="20">
        <v>1701</v>
      </c>
      <c r="H84" s="13" t="s">
        <v>2728</v>
      </c>
      <c r="I84" s="13" t="str">
        <f t="shared" si="4"/>
        <v>SR 838/Sunrise Bl (@  Bayview Dr/Galleria)</v>
      </c>
      <c r="J84" s="12" t="s">
        <v>347</v>
      </c>
      <c r="K84" s="13" t="str">
        <f>VLOOKUP(J84,'Data-ProjectTypes'!A$3:B$13,2,FALSE)</f>
        <v>Project</v>
      </c>
      <c r="L84" s="21" t="s">
        <v>77</v>
      </c>
      <c r="M84" s="121" t="s">
        <v>2835</v>
      </c>
      <c r="N84" s="12" t="s">
        <v>2915</v>
      </c>
      <c r="O84" s="12"/>
      <c r="P84" s="12"/>
      <c r="Q84" s="72"/>
      <c r="R84" s="23">
        <v>718159.31568382459</v>
      </c>
      <c r="V84" s="24" t="s">
        <v>1183</v>
      </c>
      <c r="Y84" s="12"/>
      <c r="Z84" s="18">
        <f>ROUND(R84*'Data-CostAssumptions'!$C$18,-3)</f>
        <v>718000</v>
      </c>
      <c r="AA84" s="11">
        <f t="shared" si="6"/>
        <v>1</v>
      </c>
      <c r="AB84" s="11">
        <v>2041</v>
      </c>
      <c r="AC84" s="11">
        <v>2041</v>
      </c>
      <c r="AD84" s="11">
        <v>2041</v>
      </c>
      <c r="AE84" s="19">
        <f>ROUND((Z84*'Data-CostAssumptions'!$G$5)*(1+'Data-CostAssumptions'!$G$3)^(AB84-'Data-CostAssumptions'!$G$4),-3)</f>
        <v>405000</v>
      </c>
      <c r="AF84" s="19">
        <f>ROUND((Z84)*(1+'Data-CostAssumptions'!$G$3)^(AD84-'Data-CostAssumptions'!$G$4),-3)</f>
        <v>1841000</v>
      </c>
      <c r="AG84" s="170" t="str">
        <f t="shared" si="5"/>
        <v>No</v>
      </c>
    </row>
    <row r="85" spans="1:33" ht="15" customHeight="1" x14ac:dyDescent="0.2">
      <c r="A85" s="12"/>
      <c r="B85" s="11" t="s">
        <v>1211</v>
      </c>
      <c r="C85" s="12"/>
      <c r="D85" s="84" t="s">
        <v>276</v>
      </c>
      <c r="E85" s="104">
        <v>410</v>
      </c>
      <c r="F85" s="104"/>
      <c r="G85" s="20">
        <v>1702</v>
      </c>
      <c r="H85" s="13" t="s">
        <v>2728</v>
      </c>
      <c r="I85" s="13" t="str">
        <f t="shared" si="4"/>
        <v>SR 838/Sunrise Bl (@  Gateway)</v>
      </c>
      <c r="J85" s="12" t="s">
        <v>347</v>
      </c>
      <c r="K85" s="13" t="str">
        <f>VLOOKUP(J85,'Data-ProjectTypes'!A$3:B$13,2,FALSE)</f>
        <v>Project</v>
      </c>
      <c r="L85" s="21" t="s">
        <v>77</v>
      </c>
      <c r="M85" s="121" t="s">
        <v>2835</v>
      </c>
      <c r="N85" s="12" t="s">
        <v>2916</v>
      </c>
      <c r="O85" s="12"/>
      <c r="P85" s="12"/>
      <c r="Q85" s="72"/>
      <c r="R85" s="23">
        <v>718159.31568382459</v>
      </c>
      <c r="V85" s="24" t="s">
        <v>1183</v>
      </c>
      <c r="Y85" s="12"/>
      <c r="Z85" s="18">
        <f>ROUND(R85*'Data-CostAssumptions'!$C$18,-3)</f>
        <v>718000</v>
      </c>
      <c r="AA85" s="11">
        <f t="shared" si="6"/>
        <v>1</v>
      </c>
      <c r="AB85" s="11">
        <v>2041</v>
      </c>
      <c r="AC85" s="11">
        <v>2041</v>
      </c>
      <c r="AD85" s="11">
        <v>2041</v>
      </c>
      <c r="AE85" s="19">
        <f>ROUND((Z85*'Data-CostAssumptions'!$G$5)*(1+'Data-CostAssumptions'!$G$3)^(AB85-'Data-CostAssumptions'!$G$4),-3)</f>
        <v>405000</v>
      </c>
      <c r="AF85" s="19">
        <f>ROUND((Z85)*(1+'Data-CostAssumptions'!$G$3)^(AD85-'Data-CostAssumptions'!$G$4),-3)</f>
        <v>1841000</v>
      </c>
      <c r="AG85" s="170" t="str">
        <f t="shared" si="5"/>
        <v>No</v>
      </c>
    </row>
    <row r="86" spans="1:33" ht="15" customHeight="1" x14ac:dyDescent="0.2">
      <c r="A86" s="12"/>
      <c r="B86" s="11" t="s">
        <v>1211</v>
      </c>
      <c r="C86" s="12"/>
      <c r="D86" s="84" t="s">
        <v>276</v>
      </c>
      <c r="E86" s="104">
        <v>411</v>
      </c>
      <c r="F86" s="104"/>
      <c r="G86" s="20">
        <v>1703</v>
      </c>
      <c r="H86" s="13" t="s">
        <v>2728</v>
      </c>
      <c r="I86" s="13" t="str">
        <f t="shared" si="4"/>
        <v>SR 838/Sunrise Bl (@  NE 15th Av)</v>
      </c>
      <c r="J86" s="12" t="s">
        <v>347</v>
      </c>
      <c r="K86" s="13" t="str">
        <f>VLOOKUP(J86,'Data-ProjectTypes'!A$3:B$13,2,FALSE)</f>
        <v>Project</v>
      </c>
      <c r="L86" s="21" t="s">
        <v>77</v>
      </c>
      <c r="M86" s="121" t="s">
        <v>2835</v>
      </c>
      <c r="N86" s="12" t="s">
        <v>2024</v>
      </c>
      <c r="O86" s="12"/>
      <c r="P86" s="12"/>
      <c r="Q86" s="72"/>
      <c r="R86" s="23">
        <v>718159.31568382459</v>
      </c>
      <c r="V86" s="24" t="s">
        <v>1179</v>
      </c>
      <c r="Y86" s="12"/>
      <c r="Z86" s="18">
        <f>ROUND(R86*'Data-CostAssumptions'!$C$18,-3)</f>
        <v>718000</v>
      </c>
      <c r="AA86" s="11">
        <f t="shared" si="6"/>
        <v>1</v>
      </c>
      <c r="AB86" s="11">
        <v>2041</v>
      </c>
      <c r="AC86" s="11">
        <v>2041</v>
      </c>
      <c r="AD86" s="11">
        <v>2041</v>
      </c>
      <c r="AE86" s="19">
        <f>ROUND((Z86*'Data-CostAssumptions'!$G$5)*(1+'Data-CostAssumptions'!$G$3)^(AB86-'Data-CostAssumptions'!$G$4),-3)</f>
        <v>405000</v>
      </c>
      <c r="AF86" s="19">
        <f>ROUND((Z86)*(1+'Data-CostAssumptions'!$G$3)^(AD86-'Data-CostAssumptions'!$G$4),-3)</f>
        <v>1841000</v>
      </c>
      <c r="AG86" s="170" t="str">
        <f t="shared" si="5"/>
        <v>No</v>
      </c>
    </row>
    <row r="87" spans="1:33" ht="15" customHeight="1" x14ac:dyDescent="0.2">
      <c r="A87" s="12"/>
      <c r="B87" s="11" t="s">
        <v>1211</v>
      </c>
      <c r="C87" s="12"/>
      <c r="D87" s="84" t="s">
        <v>276</v>
      </c>
      <c r="E87" s="104">
        <v>429</v>
      </c>
      <c r="F87" s="104"/>
      <c r="G87" s="20">
        <v>1707</v>
      </c>
      <c r="H87" s="13" t="s">
        <v>2798</v>
      </c>
      <c r="I87" s="13" t="str">
        <f t="shared" si="4"/>
        <v>SR 842/Broward Bl (@  NW 15TH Av)</v>
      </c>
      <c r="J87" s="12" t="s">
        <v>347</v>
      </c>
      <c r="K87" s="13" t="str">
        <f>VLOOKUP(J87,'Data-ProjectTypes'!A$3:B$13,2,FALSE)</f>
        <v>Project</v>
      </c>
      <c r="L87" s="21" t="s">
        <v>77</v>
      </c>
      <c r="M87" s="121" t="s">
        <v>2835</v>
      </c>
      <c r="N87" s="12" t="s">
        <v>2160</v>
      </c>
      <c r="O87" s="12"/>
      <c r="P87" s="12"/>
      <c r="Q87" s="72"/>
      <c r="R87" s="23">
        <v>718159.31568382459</v>
      </c>
      <c r="V87" s="24" t="s">
        <v>1180</v>
      </c>
      <c r="Y87" s="12"/>
      <c r="Z87" s="18">
        <f>ROUND(R87*'Data-CostAssumptions'!$C$18,-3)</f>
        <v>718000</v>
      </c>
      <c r="AA87" s="11">
        <f t="shared" si="6"/>
        <v>1</v>
      </c>
      <c r="AB87" s="11">
        <v>2041</v>
      </c>
      <c r="AC87" s="11">
        <v>2041</v>
      </c>
      <c r="AD87" s="11">
        <v>2041</v>
      </c>
      <c r="AE87" s="19">
        <f>ROUND((Z87*'Data-CostAssumptions'!$G$5)*(1+'Data-CostAssumptions'!$G$3)^(AB87-'Data-CostAssumptions'!$G$4),-3)</f>
        <v>405000</v>
      </c>
      <c r="AF87" s="19">
        <f>ROUND((Z87)*(1+'Data-CostAssumptions'!$G$3)^(AD87-'Data-CostAssumptions'!$G$4),-3)</f>
        <v>1841000</v>
      </c>
      <c r="AG87" s="170" t="str">
        <f t="shared" si="5"/>
        <v>No</v>
      </c>
    </row>
    <row r="88" spans="1:33" ht="15" customHeight="1" x14ac:dyDescent="0.2">
      <c r="A88" s="12"/>
      <c r="B88" s="11" t="s">
        <v>1211</v>
      </c>
      <c r="C88" s="12"/>
      <c r="D88" s="84" t="s">
        <v>276</v>
      </c>
      <c r="E88" s="104">
        <v>430</v>
      </c>
      <c r="F88" s="104"/>
      <c r="G88" s="20">
        <v>1708</v>
      </c>
      <c r="H88" s="13" t="s">
        <v>2798</v>
      </c>
      <c r="I88" s="13" t="str">
        <f t="shared" si="4"/>
        <v>SR 842/Broward Bl (@  NW 27TH Av)</v>
      </c>
      <c r="J88" s="12" t="s">
        <v>347</v>
      </c>
      <c r="K88" s="13" t="str">
        <f>VLOOKUP(J88,'Data-ProjectTypes'!A$3:B$13,2,FALSE)</f>
        <v>Project</v>
      </c>
      <c r="L88" s="21" t="s">
        <v>77</v>
      </c>
      <c r="M88" s="121" t="s">
        <v>2835</v>
      </c>
      <c r="N88" s="12" t="s">
        <v>2605</v>
      </c>
      <c r="O88" s="12"/>
      <c r="P88" s="12"/>
      <c r="Q88" s="72"/>
      <c r="R88" s="23">
        <v>718159.31568382459</v>
      </c>
      <c r="V88" s="85" t="s">
        <v>830</v>
      </c>
      <c r="Y88" s="12" t="s">
        <v>2961</v>
      </c>
      <c r="Z88" s="18">
        <f>ROUND(R88*'Data-CostAssumptions'!$C$18,-3)</f>
        <v>718000</v>
      </c>
      <c r="AA88" s="11">
        <f t="shared" si="6"/>
        <v>1</v>
      </c>
      <c r="AB88" s="11">
        <v>2041</v>
      </c>
      <c r="AC88" s="11">
        <v>2041</v>
      </c>
      <c r="AD88" s="11">
        <v>2041</v>
      </c>
      <c r="AE88" s="19">
        <f>ROUND((Z88*'Data-CostAssumptions'!$G$5)*(1+'Data-CostAssumptions'!$G$3)^(AB88-'Data-CostAssumptions'!$G$4),-3)</f>
        <v>405000</v>
      </c>
      <c r="AF88" s="19">
        <f>ROUND((Z88)*(1+'Data-CostAssumptions'!$G$3)^(AD88-'Data-CostAssumptions'!$G$4),-3)</f>
        <v>1841000</v>
      </c>
      <c r="AG88" s="170" t="str">
        <f t="shared" si="5"/>
        <v>No</v>
      </c>
    </row>
    <row r="89" spans="1:33" ht="15" customHeight="1" x14ac:dyDescent="0.2">
      <c r="A89" s="12"/>
      <c r="B89" s="11" t="s">
        <v>1211</v>
      </c>
      <c r="C89" s="12"/>
      <c r="D89" s="84" t="s">
        <v>276</v>
      </c>
      <c r="E89" s="104">
        <v>431</v>
      </c>
      <c r="F89" s="104"/>
      <c r="G89" s="20">
        <v>1709</v>
      </c>
      <c r="H89" s="13" t="s">
        <v>2798</v>
      </c>
      <c r="I89" s="13" t="str">
        <f t="shared" si="4"/>
        <v>SR 842/Broward Bl (@  NW 31ST Av)</v>
      </c>
      <c r="J89" s="12" t="s">
        <v>347</v>
      </c>
      <c r="K89" s="13" t="str">
        <f>VLOOKUP(J89,'Data-ProjectTypes'!A$3:B$13,2,FALSE)</f>
        <v>Project</v>
      </c>
      <c r="L89" s="21" t="s">
        <v>77</v>
      </c>
      <c r="M89" s="121" t="s">
        <v>2835</v>
      </c>
      <c r="N89" s="12" t="s">
        <v>2167</v>
      </c>
      <c r="O89" s="12"/>
      <c r="P89" s="12"/>
      <c r="Q89" s="72"/>
      <c r="R89" s="23">
        <v>718159.31568382459</v>
      </c>
      <c r="V89" s="85" t="s">
        <v>829</v>
      </c>
      <c r="Y89" s="12" t="s">
        <v>2203</v>
      </c>
      <c r="Z89" s="18">
        <f>ROUND(R89*'Data-CostAssumptions'!$C$18,-3)</f>
        <v>718000</v>
      </c>
      <c r="AA89" s="11">
        <f t="shared" si="6"/>
        <v>1</v>
      </c>
      <c r="AB89" s="11">
        <v>2041</v>
      </c>
      <c r="AC89" s="11">
        <v>2041</v>
      </c>
      <c r="AD89" s="11">
        <v>2041</v>
      </c>
      <c r="AE89" s="19">
        <f>ROUND((Z89*'Data-CostAssumptions'!$G$5)*(1+'Data-CostAssumptions'!$G$3)^(AB89-'Data-CostAssumptions'!$G$4),-3)</f>
        <v>405000</v>
      </c>
      <c r="AF89" s="19">
        <f>ROUND((Z89)*(1+'Data-CostAssumptions'!$G$3)^(AD89-'Data-CostAssumptions'!$G$4),-3)</f>
        <v>1841000</v>
      </c>
      <c r="AG89" s="170" t="str">
        <f t="shared" si="5"/>
        <v>No</v>
      </c>
    </row>
    <row r="90" spans="1:33" ht="15" customHeight="1" x14ac:dyDescent="0.2">
      <c r="A90" s="12"/>
      <c r="B90" s="11" t="s">
        <v>1211</v>
      </c>
      <c r="C90" s="12"/>
      <c r="D90" s="84" t="s">
        <v>276</v>
      </c>
      <c r="E90" s="104">
        <v>428</v>
      </c>
      <c r="F90" s="104"/>
      <c r="G90" s="20">
        <v>1710</v>
      </c>
      <c r="H90" s="13" t="s">
        <v>2798</v>
      </c>
      <c r="I90" s="13" t="str">
        <f t="shared" si="4"/>
        <v>SR 842/Broward Bl (@  NW 7TH Av)</v>
      </c>
      <c r="J90" s="12" t="s">
        <v>347</v>
      </c>
      <c r="K90" s="13" t="str">
        <f>VLOOKUP(J90,'Data-ProjectTypes'!A$3:B$13,2,FALSE)</f>
        <v>Project</v>
      </c>
      <c r="L90" s="21" t="s">
        <v>77</v>
      </c>
      <c r="M90" s="121" t="s">
        <v>2835</v>
      </c>
      <c r="N90" s="12" t="s">
        <v>2601</v>
      </c>
      <c r="O90" s="12"/>
      <c r="P90" s="12"/>
      <c r="Q90" s="72"/>
      <c r="R90" s="23">
        <v>718159.31568382459</v>
      </c>
      <c r="V90" s="85" t="s">
        <v>828</v>
      </c>
      <c r="Y90" s="12" t="s">
        <v>2203</v>
      </c>
      <c r="Z90" s="18">
        <f>ROUND(R90*'Data-CostAssumptions'!$C$18,-3)</f>
        <v>718000</v>
      </c>
      <c r="AA90" s="11">
        <f t="shared" si="6"/>
        <v>1</v>
      </c>
      <c r="AB90" s="11">
        <v>2041</v>
      </c>
      <c r="AC90" s="11">
        <v>2041</v>
      </c>
      <c r="AD90" s="11">
        <v>2041</v>
      </c>
      <c r="AE90" s="19">
        <f>ROUND((Z90*'Data-CostAssumptions'!$G$5)*(1+'Data-CostAssumptions'!$G$3)^(AB90-'Data-CostAssumptions'!$G$4),-3)</f>
        <v>405000</v>
      </c>
      <c r="AF90" s="19">
        <f>ROUND((Z90)*(1+'Data-CostAssumptions'!$G$3)^(AD90-'Data-CostAssumptions'!$G$4),-3)</f>
        <v>1841000</v>
      </c>
      <c r="AG90" s="170" t="str">
        <f t="shared" si="5"/>
        <v>No</v>
      </c>
    </row>
    <row r="91" spans="1:33" ht="15" customHeight="1" x14ac:dyDescent="0.2">
      <c r="A91" s="12"/>
      <c r="B91" s="11" t="s">
        <v>1211</v>
      </c>
      <c r="C91" s="12"/>
      <c r="D91" s="84" t="s">
        <v>276</v>
      </c>
      <c r="E91" s="104">
        <v>415</v>
      </c>
      <c r="F91" s="104"/>
      <c r="G91" s="20">
        <v>1711</v>
      </c>
      <c r="H91" s="13" t="s">
        <v>2803</v>
      </c>
      <c r="I91" s="13" t="str">
        <f t="shared" si="4"/>
        <v>SR 870/Commercial Bl (@  NW 31st Av)</v>
      </c>
      <c r="J91" s="12" t="s">
        <v>347</v>
      </c>
      <c r="K91" s="13" t="str">
        <f>VLOOKUP(J91,'Data-ProjectTypes'!A$3:B$13,2,FALSE)</f>
        <v>Project</v>
      </c>
      <c r="L91" s="21" t="s">
        <v>77</v>
      </c>
      <c r="M91" s="121" t="s">
        <v>2835</v>
      </c>
      <c r="N91" s="12" t="s">
        <v>2062</v>
      </c>
      <c r="O91" s="12"/>
      <c r="P91" s="12"/>
      <c r="Q91" s="72"/>
      <c r="R91" s="23">
        <v>718159.31568382459</v>
      </c>
      <c r="V91" s="85" t="s">
        <v>1138</v>
      </c>
      <c r="Y91" s="12" t="s">
        <v>2202</v>
      </c>
      <c r="Z91" s="18">
        <f>ROUND(R91*'Data-CostAssumptions'!$C$19,-3)</f>
        <v>718000</v>
      </c>
      <c r="AA91" s="11">
        <f t="shared" si="6"/>
        <v>1</v>
      </c>
      <c r="AB91" s="11">
        <v>2041</v>
      </c>
      <c r="AC91" s="11">
        <v>2041</v>
      </c>
      <c r="AD91" s="11">
        <v>2041</v>
      </c>
      <c r="AE91" s="19">
        <f>ROUND((Z91*'Data-CostAssumptions'!$G$5)*(1+'Data-CostAssumptions'!$G$3)^(AB91-'Data-CostAssumptions'!$G$4),-3)</f>
        <v>405000</v>
      </c>
      <c r="AF91" s="19">
        <f>ROUND((Z91)*(1+'Data-CostAssumptions'!$G$3)^(AD91-'Data-CostAssumptions'!$G$4),-3)</f>
        <v>1841000</v>
      </c>
      <c r="AG91" s="170" t="str">
        <f t="shared" si="5"/>
        <v>No</v>
      </c>
    </row>
    <row r="92" spans="1:33" ht="15" customHeight="1" x14ac:dyDescent="0.2">
      <c r="A92" s="12"/>
      <c r="B92" s="11" t="s">
        <v>1211</v>
      </c>
      <c r="C92" s="12"/>
      <c r="D92" s="84" t="s">
        <v>276</v>
      </c>
      <c r="E92" s="104">
        <v>422</v>
      </c>
      <c r="F92" s="104"/>
      <c r="G92" s="20">
        <v>1712</v>
      </c>
      <c r="H92" s="13" t="s">
        <v>110</v>
      </c>
      <c r="I92" s="13" t="str">
        <f t="shared" si="4"/>
        <v>SR A1A (@  Alhambra Dr)</v>
      </c>
      <c r="J92" s="12" t="s">
        <v>347</v>
      </c>
      <c r="K92" s="13" t="str">
        <f>VLOOKUP(J92,'Data-ProjectTypes'!A$3:B$13,2,FALSE)</f>
        <v>Project</v>
      </c>
      <c r="L92" s="21" t="s">
        <v>77</v>
      </c>
      <c r="M92" s="121" t="s">
        <v>2835</v>
      </c>
      <c r="N92" s="12" t="s">
        <v>2917</v>
      </c>
      <c r="O92" s="12"/>
      <c r="P92" s="12"/>
      <c r="Q92" s="72"/>
      <c r="R92" s="23">
        <v>718159.31568382459</v>
      </c>
      <c r="V92" s="85" t="s">
        <v>1137</v>
      </c>
      <c r="Y92" s="12" t="s">
        <v>2202</v>
      </c>
      <c r="Z92" s="18">
        <f>ROUND(R92*'Data-CostAssumptions'!$C$19,-3)</f>
        <v>718000</v>
      </c>
      <c r="AA92" s="11">
        <f t="shared" si="6"/>
        <v>1</v>
      </c>
      <c r="AB92" s="11">
        <v>2041</v>
      </c>
      <c r="AC92" s="11">
        <v>2041</v>
      </c>
      <c r="AD92" s="11">
        <v>2041</v>
      </c>
      <c r="AE92" s="19">
        <f>ROUND((Z92*'Data-CostAssumptions'!$G$5)*(1+'Data-CostAssumptions'!$G$3)^(AB92-'Data-CostAssumptions'!$G$4),-3)</f>
        <v>405000</v>
      </c>
      <c r="AF92" s="19">
        <f>ROUND((Z92)*(1+'Data-CostAssumptions'!$G$3)^(AD92-'Data-CostAssumptions'!$G$4),-3)</f>
        <v>1841000</v>
      </c>
      <c r="AG92" s="170" t="str">
        <f t="shared" si="5"/>
        <v>No</v>
      </c>
    </row>
    <row r="93" spans="1:33" ht="15" customHeight="1" x14ac:dyDescent="0.2">
      <c r="A93" s="12"/>
      <c r="B93" s="11" t="s">
        <v>1211</v>
      </c>
      <c r="C93" s="12"/>
      <c r="D93" s="84" t="s">
        <v>276</v>
      </c>
      <c r="E93" s="104">
        <v>405</v>
      </c>
      <c r="F93" s="104"/>
      <c r="G93" s="20">
        <v>1714</v>
      </c>
      <c r="H93" s="13" t="s">
        <v>2964</v>
      </c>
      <c r="I93" s="13" t="str">
        <f t="shared" si="4"/>
        <v>SW 1st Av (@  SE 2nd St)</v>
      </c>
      <c r="J93" s="12" t="s">
        <v>347</v>
      </c>
      <c r="K93" s="13" t="str">
        <f>VLOOKUP(J93,'Data-ProjectTypes'!A$3:B$13,2,FALSE)</f>
        <v>Project</v>
      </c>
      <c r="L93" s="21" t="s">
        <v>77</v>
      </c>
      <c r="M93" s="121" t="s">
        <v>2835</v>
      </c>
      <c r="N93" s="12" t="s">
        <v>1943</v>
      </c>
      <c r="O93" s="12"/>
      <c r="P93" s="12"/>
      <c r="Q93" s="72"/>
      <c r="R93" s="23">
        <v>718159.31568382459</v>
      </c>
      <c r="V93" s="85" t="s">
        <v>1140</v>
      </c>
      <c r="Y93" s="12" t="s">
        <v>2202</v>
      </c>
      <c r="Z93" s="18">
        <f>ROUND(R93*'Data-CostAssumptions'!$C$19,-3)</f>
        <v>718000</v>
      </c>
      <c r="AA93" s="11">
        <f t="shared" si="6"/>
        <v>1</v>
      </c>
      <c r="AB93" s="11">
        <v>2041</v>
      </c>
      <c r="AC93" s="11">
        <v>2041</v>
      </c>
      <c r="AD93" s="11">
        <v>2041</v>
      </c>
      <c r="AE93" s="19">
        <f>ROUND((Z93*'Data-CostAssumptions'!$G$5)*(1+'Data-CostAssumptions'!$G$3)^(AB93-'Data-CostAssumptions'!$G$4),-3)</f>
        <v>405000</v>
      </c>
      <c r="AF93" s="19">
        <f>ROUND((Z93)*(1+'Data-CostAssumptions'!$G$3)^(AD93-'Data-CostAssumptions'!$G$4),-3)</f>
        <v>1841000</v>
      </c>
      <c r="AG93" s="170" t="str">
        <f t="shared" si="5"/>
        <v>No</v>
      </c>
    </row>
    <row r="94" spans="1:33" ht="15" customHeight="1" x14ac:dyDescent="0.2">
      <c r="A94" s="12"/>
      <c r="B94" s="11" t="s">
        <v>1211</v>
      </c>
      <c r="C94" s="12"/>
      <c r="D94" s="84" t="s">
        <v>276</v>
      </c>
      <c r="E94" s="104">
        <v>401</v>
      </c>
      <c r="F94" s="104"/>
      <c r="G94" s="20">
        <v>1715</v>
      </c>
      <c r="H94" s="13" t="s">
        <v>2123</v>
      </c>
      <c r="I94" s="13" t="str">
        <f t="shared" si="4"/>
        <v>SW 3rd Av (@  SW 6th St)</v>
      </c>
      <c r="J94" s="12" t="s">
        <v>347</v>
      </c>
      <c r="K94" s="13" t="str">
        <f>VLOOKUP(J94,'Data-ProjectTypes'!A$3:B$13,2,FALSE)</f>
        <v>Project</v>
      </c>
      <c r="L94" s="21" t="s">
        <v>77</v>
      </c>
      <c r="M94" s="121" t="s">
        <v>2835</v>
      </c>
      <c r="N94" s="12" t="s">
        <v>1965</v>
      </c>
      <c r="O94" s="12"/>
      <c r="P94" s="12"/>
      <c r="Q94" s="72"/>
      <c r="R94" s="23">
        <v>718159.31568382459</v>
      </c>
      <c r="V94" s="85" t="s">
        <v>1141</v>
      </c>
      <c r="Y94" s="12" t="s">
        <v>2202</v>
      </c>
      <c r="Z94" s="18">
        <f>ROUND(R94*'Data-CostAssumptions'!$C$19,-3)</f>
        <v>718000</v>
      </c>
      <c r="AA94" s="11">
        <f t="shared" si="6"/>
        <v>1</v>
      </c>
      <c r="AB94" s="11">
        <v>2041</v>
      </c>
      <c r="AC94" s="11">
        <v>2041</v>
      </c>
      <c r="AD94" s="11">
        <v>2041</v>
      </c>
      <c r="AE94" s="19">
        <f>ROUND((Z94*'Data-CostAssumptions'!$G$5)*(1+'Data-CostAssumptions'!$G$3)^(AB94-'Data-CostAssumptions'!$G$4),-3)</f>
        <v>405000</v>
      </c>
      <c r="AF94" s="19">
        <f>ROUND((Z94)*(1+'Data-CostAssumptions'!$G$3)^(AD94-'Data-CostAssumptions'!$G$4),-3)</f>
        <v>1841000</v>
      </c>
      <c r="AG94" s="170" t="str">
        <f t="shared" si="5"/>
        <v>No</v>
      </c>
    </row>
    <row r="95" spans="1:33" ht="15" customHeight="1" x14ac:dyDescent="0.2">
      <c r="B95" s="11" t="s">
        <v>1211</v>
      </c>
      <c r="C95" s="11">
        <v>12023</v>
      </c>
      <c r="D95" s="84" t="s">
        <v>292</v>
      </c>
      <c r="E95" s="14"/>
      <c r="F95" s="14"/>
      <c r="G95" s="20">
        <v>1106</v>
      </c>
      <c r="H95" s="13" t="s">
        <v>424</v>
      </c>
      <c r="I95" s="13" t="str">
        <f t="shared" si="4"/>
        <v>Neighborhood Transit Center (Sample Rd to University Dr )</v>
      </c>
      <c r="J95" s="11" t="s">
        <v>347</v>
      </c>
      <c r="K95" s="13" t="str">
        <f>VLOOKUP(J95,'Data-ProjectTypes'!A$3:B$13,2,FALSE)</f>
        <v>Project</v>
      </c>
      <c r="L95" s="21" t="s">
        <v>77</v>
      </c>
      <c r="M95" s="11" t="s">
        <v>1864</v>
      </c>
      <c r="N95" s="11" t="s">
        <v>2648</v>
      </c>
      <c r="Q95" s="15"/>
      <c r="R95" s="16">
        <v>1100000</v>
      </c>
      <c r="S95" s="76"/>
      <c r="T95" s="76"/>
      <c r="U95" s="76"/>
      <c r="V95" s="142" t="s">
        <v>433</v>
      </c>
      <c r="W95" s="76"/>
      <c r="X95" s="145"/>
      <c r="Y95" s="83"/>
      <c r="Z95" s="146">
        <f>ROUND(R95*'Data-CostAssumptions'!$C$10,-3)</f>
        <v>1100000</v>
      </c>
      <c r="AA95" s="11">
        <f t="shared" si="6"/>
        <v>1</v>
      </c>
      <c r="AB95" s="11">
        <v>2041</v>
      </c>
      <c r="AC95" s="11">
        <v>2041</v>
      </c>
      <c r="AD95" s="11">
        <v>2041</v>
      </c>
      <c r="AE95" s="19">
        <f>ROUND((Z95*'Data-CostAssumptions'!$G$5)*(1+'Data-CostAssumptions'!$G$3)^(AB95-'Data-CostAssumptions'!$G$4),-3)</f>
        <v>620000</v>
      </c>
      <c r="AF95" s="19">
        <f>ROUND((Z95)*(1+'Data-CostAssumptions'!$G$3)^(AD95-'Data-CostAssumptions'!$G$4),-3)</f>
        <v>2820000</v>
      </c>
      <c r="AG95" s="170" t="str">
        <f t="shared" si="5"/>
        <v>No</v>
      </c>
    </row>
    <row r="96" spans="1:33" ht="15" customHeight="1" x14ac:dyDescent="0.2">
      <c r="B96" s="11" t="s">
        <v>1211</v>
      </c>
      <c r="C96" s="11">
        <v>14504</v>
      </c>
      <c r="D96" s="84" t="s">
        <v>286</v>
      </c>
      <c r="E96" s="14"/>
      <c r="F96" s="14"/>
      <c r="G96" s="20">
        <v>1120</v>
      </c>
      <c r="H96" s="13" t="s">
        <v>1142</v>
      </c>
      <c r="I96" s="13" t="str">
        <f t="shared" si="4"/>
        <v>Multi-modal Station (SW Park St to NW 1st)</v>
      </c>
      <c r="J96" s="11" t="s">
        <v>347</v>
      </c>
      <c r="K96" s="13" t="str">
        <f>VLOOKUP(J96,'Data-ProjectTypes'!A$3:B$13,2,FALSE)</f>
        <v>Project</v>
      </c>
      <c r="L96" s="31" t="s">
        <v>1148</v>
      </c>
      <c r="M96" s="11" t="s">
        <v>2501</v>
      </c>
      <c r="N96" s="11" t="s">
        <v>1158</v>
      </c>
      <c r="Q96" s="15">
        <v>0.19</v>
      </c>
      <c r="R96" s="16">
        <v>875000</v>
      </c>
      <c r="V96" s="85" t="s">
        <v>662</v>
      </c>
      <c r="Y96" s="12"/>
      <c r="Z96" s="18">
        <f>ROUND(R96*'Data-CostAssumptions'!$C$10,-3)</f>
        <v>875000</v>
      </c>
      <c r="AA96" s="11">
        <f t="shared" si="6"/>
        <v>1</v>
      </c>
      <c r="AB96" s="11">
        <v>2041</v>
      </c>
      <c r="AC96" s="11">
        <v>2041</v>
      </c>
      <c r="AD96" s="11">
        <v>2041</v>
      </c>
      <c r="AE96" s="19">
        <f>ROUND((Z96*'Data-CostAssumptions'!$G$5)*(1+'Data-CostAssumptions'!$G$3)^(AB96-'Data-CostAssumptions'!$G$4),-3)</f>
        <v>494000</v>
      </c>
      <c r="AF96" s="19">
        <f>ROUND((Z96)*(1+'Data-CostAssumptions'!$G$3)^(AD96-'Data-CostAssumptions'!$G$4),-3)</f>
        <v>2243000</v>
      </c>
      <c r="AG96" s="170" t="str">
        <f t="shared" si="5"/>
        <v>No</v>
      </c>
    </row>
    <row r="97" spans="1:33" ht="15" customHeight="1" x14ac:dyDescent="0.2">
      <c r="A97" s="117"/>
      <c r="B97" s="11" t="s">
        <v>1211</v>
      </c>
      <c r="C97" s="117"/>
      <c r="D97" s="129" t="s">
        <v>276</v>
      </c>
      <c r="E97" s="110"/>
      <c r="F97" s="130">
        <v>432</v>
      </c>
      <c r="G97" s="20">
        <v>1723</v>
      </c>
      <c r="H97" s="131" t="s">
        <v>3038</v>
      </c>
      <c r="I97" s="131" t="s">
        <v>3040</v>
      </c>
      <c r="J97" s="132" t="s">
        <v>347</v>
      </c>
      <c r="K97" s="109" t="s">
        <v>1208</v>
      </c>
      <c r="L97" s="131" t="s">
        <v>3042</v>
      </c>
      <c r="M97" s="131" t="s">
        <v>3040</v>
      </c>
      <c r="N97" s="117"/>
      <c r="O97" s="12"/>
      <c r="P97" s="12"/>
      <c r="Q97" s="133"/>
      <c r="R97" s="134">
        <v>56948</v>
      </c>
      <c r="S97" s="117"/>
      <c r="T97" s="12"/>
      <c r="U97" s="12"/>
      <c r="V97" s="12"/>
      <c r="W97" s="12"/>
      <c r="X97" s="12"/>
      <c r="Y97" s="117"/>
      <c r="Z97" s="135">
        <f>ROUND(R97*'Data-CostAssumptions'!$C$8,-3)</f>
        <v>57000</v>
      </c>
      <c r="AA97" s="11">
        <f t="shared" si="6"/>
        <v>0</v>
      </c>
      <c r="AB97" s="11">
        <v>2041</v>
      </c>
      <c r="AC97" s="11">
        <v>2041</v>
      </c>
      <c r="AD97" s="11">
        <v>2041</v>
      </c>
      <c r="AE97" s="19">
        <f>ROUND((Z97*'Data-CostAssumptions'!$G$5)*(1+'Data-CostAssumptions'!$G$3)^(AB97-'Data-CostAssumptions'!$G$4),-3)</f>
        <v>32000</v>
      </c>
      <c r="AF97" s="19">
        <f>ROUND((Z97)*(1+'Data-CostAssumptions'!$G$3)^(AD97-'Data-CostAssumptions'!$G$4),-3)</f>
        <v>146000</v>
      </c>
      <c r="AG97" s="170" t="str">
        <f t="shared" si="5"/>
        <v>No</v>
      </c>
    </row>
    <row r="98" spans="1:33" ht="15" customHeight="1" x14ac:dyDescent="0.2">
      <c r="A98" s="117"/>
      <c r="B98" s="11" t="s">
        <v>1211</v>
      </c>
      <c r="C98" s="117"/>
      <c r="D98" s="129" t="s">
        <v>276</v>
      </c>
      <c r="E98" s="110"/>
      <c r="F98" s="130">
        <v>434</v>
      </c>
      <c r="G98" s="20">
        <v>1725</v>
      </c>
      <c r="H98" s="131" t="s">
        <v>3038</v>
      </c>
      <c r="I98" s="131" t="s">
        <v>3041</v>
      </c>
      <c r="J98" s="132" t="s">
        <v>347</v>
      </c>
      <c r="K98" s="109" t="s">
        <v>1208</v>
      </c>
      <c r="L98" s="131" t="s">
        <v>3042</v>
      </c>
      <c r="M98" s="131" t="s">
        <v>3041</v>
      </c>
      <c r="N98" s="117"/>
      <c r="O98" s="12"/>
      <c r="P98" s="12"/>
      <c r="Q98" s="133"/>
      <c r="R98" s="134">
        <v>56948</v>
      </c>
      <c r="S98" s="27"/>
      <c r="T98" s="12"/>
      <c r="U98" s="12"/>
      <c r="V98" s="12"/>
      <c r="W98" s="12"/>
      <c r="X98" s="12"/>
      <c r="Y98" s="27"/>
      <c r="Z98" s="135">
        <f>ROUND(R98*'Data-CostAssumptions'!$C$8,-3)</f>
        <v>57000</v>
      </c>
      <c r="AA98" s="11">
        <f t="shared" si="6"/>
        <v>0</v>
      </c>
      <c r="AB98" s="11">
        <v>2041</v>
      </c>
      <c r="AC98" s="11">
        <v>2041</v>
      </c>
      <c r="AD98" s="11">
        <v>2041</v>
      </c>
      <c r="AE98" s="19">
        <f>ROUND((Z98*'Data-CostAssumptions'!$G$5)*(1+'Data-CostAssumptions'!$G$3)^(AB98-'Data-CostAssumptions'!$G$4),-3)</f>
        <v>32000</v>
      </c>
      <c r="AF98" s="19">
        <f>ROUND((Z98)*(1+'Data-CostAssumptions'!$G$3)^(AD98-'Data-CostAssumptions'!$G$4),-3)</f>
        <v>146000</v>
      </c>
      <c r="AG98" s="170" t="str">
        <f t="shared" si="5"/>
        <v>No</v>
      </c>
    </row>
    <row r="99" spans="1:33" ht="15" customHeight="1" x14ac:dyDescent="0.2">
      <c r="A99" s="12"/>
      <c r="B99" s="11" t="s">
        <v>1211</v>
      </c>
      <c r="C99" s="12"/>
      <c r="D99" s="84" t="s">
        <v>276</v>
      </c>
      <c r="E99" s="104" t="s">
        <v>1460</v>
      </c>
      <c r="F99" s="104"/>
      <c r="G99" s="20">
        <v>1673</v>
      </c>
      <c r="H99" s="13" t="s">
        <v>1563</v>
      </c>
      <c r="I99" s="13" t="str">
        <f>IF(M99="@",H99&amp;" ("&amp;M99&amp;"  "&amp;N99&amp;")",H99&amp;" ("&amp;M99&amp;" to "&amp;N99&amp;")")</f>
        <v>ADA TROLLEY STOPS (CITY-WIDE to CITY-WIDE)</v>
      </c>
      <c r="J99" s="12" t="s">
        <v>347</v>
      </c>
      <c r="K99" s="13" t="str">
        <f>VLOOKUP(J99,'Data-ProjectTypes'!A$3:B$13,2,FALSE)</f>
        <v>Project</v>
      </c>
      <c r="L99" s="12" t="s">
        <v>1621</v>
      </c>
      <c r="M99" s="105" t="s">
        <v>1668</v>
      </c>
      <c r="N99" s="12" t="s">
        <v>1668</v>
      </c>
      <c r="O99" s="12"/>
      <c r="P99" s="12"/>
      <c r="Q99" s="72"/>
      <c r="R99" s="23">
        <v>550000</v>
      </c>
      <c r="V99" s="85" t="s">
        <v>733</v>
      </c>
      <c r="X99" s="38"/>
      <c r="Y99" s="12"/>
      <c r="Z99" s="18">
        <f>ROUND(R99*'Data-CostAssumptions'!$C$14,-3)</f>
        <v>550000</v>
      </c>
      <c r="AA99" s="11">
        <f t="shared" si="6"/>
        <v>1</v>
      </c>
      <c r="AB99" s="11">
        <v>2041</v>
      </c>
      <c r="AC99" s="11">
        <v>2041</v>
      </c>
      <c r="AD99" s="11">
        <v>2041</v>
      </c>
      <c r="AE99" s="19">
        <f>ROUND((Z99*'Data-CostAssumptions'!$G$5)*(1+'Data-CostAssumptions'!$G$3)^(AB99-'Data-CostAssumptions'!$G$4),-3)</f>
        <v>310000</v>
      </c>
      <c r="AF99" s="19">
        <f>ROUND((Z99)*(1+'Data-CostAssumptions'!$G$3)^(AD99-'Data-CostAssumptions'!$G$4),-3)</f>
        <v>1410000</v>
      </c>
      <c r="AG99" s="170" t="str">
        <f t="shared" si="5"/>
        <v>No</v>
      </c>
    </row>
    <row r="100" spans="1:33" ht="15" customHeight="1" x14ac:dyDescent="0.2">
      <c r="Z100" s="19">
        <f>SUM(Z2:Z99)</f>
        <v>69181000</v>
      </c>
    </row>
  </sheetData>
  <conditionalFormatting sqref="H2:I94">
    <cfRule type="expression" dxfId="99" priority="9">
      <formula>B2="KILL"</formula>
    </cfRule>
  </conditionalFormatting>
  <conditionalFormatting sqref="H95:I95">
    <cfRule type="expression" dxfId="98" priority="8">
      <formula>B95="KILL"</formula>
    </cfRule>
  </conditionalFormatting>
  <conditionalFormatting sqref="M95:N95">
    <cfRule type="expression" dxfId="97" priority="7">
      <formula>H95="KILL"</formula>
    </cfRule>
  </conditionalFormatting>
  <conditionalFormatting sqref="H96:I96">
    <cfRule type="expression" dxfId="96" priority="6">
      <formula>B96="KILL"</formula>
    </cfRule>
  </conditionalFormatting>
  <conditionalFormatting sqref="H97:I98">
    <cfRule type="expression" dxfId="95" priority="5">
      <formula>B97="KILL"</formula>
    </cfRule>
  </conditionalFormatting>
  <conditionalFormatting sqref="M97:N98">
    <cfRule type="expression" dxfId="94" priority="4">
      <formula>H97="KILL"</formula>
    </cfRule>
  </conditionalFormatting>
  <conditionalFormatting sqref="H99:I99">
    <cfRule type="expression" dxfId="93" priority="3">
      <formula>B99="KILL"</formula>
    </cfRule>
  </conditionalFormatting>
  <conditionalFormatting sqref="AB2:AD99">
    <cfRule type="cellIs" dxfId="92" priority="2" operator="lessThan">
      <formula>2041</formula>
    </cfRule>
  </conditionalFormatting>
  <conditionalFormatting sqref="AG2:AG99">
    <cfRule type="cellIs" dxfId="91" priority="1" operator="equal">
      <formula>"Yes"</formula>
    </cfRule>
  </conditionalFormatting>
  <pageMargins left="0.25" right="0.25" top="0.75" bottom="0.75" header="0.3" footer="0.3"/>
  <pageSetup scale="3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DDC"/>
    <pageSetUpPr fitToPage="1"/>
  </sheetPr>
  <dimension ref="A1:AM120"/>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7.5703125" style="11" bestFit="1" customWidth="1"/>
    <col min="5" max="5" width="9.5703125" style="11" bestFit="1" customWidth="1"/>
    <col min="6" max="6" width="8.140625" style="11" bestFit="1" customWidth="1"/>
    <col min="7" max="7" width="8" style="11" bestFit="1" customWidth="1"/>
    <col min="8" max="8" width="49.5703125" style="11" bestFit="1" customWidth="1"/>
    <col min="9" max="9" width="73.5703125" style="11" bestFit="1" customWidth="1"/>
    <col min="10" max="10" width="9.28515625" style="11" bestFit="1" customWidth="1"/>
    <col min="11" max="11" width="14" style="11" bestFit="1" customWidth="1"/>
    <col min="12" max="12" width="255.7109375" style="11" bestFit="1" customWidth="1"/>
    <col min="13" max="13" width="34.7109375" style="11" bestFit="1" customWidth="1"/>
    <col min="14" max="14" width="39.85546875" style="11" bestFit="1" customWidth="1"/>
    <col min="15" max="16" width="20.140625" style="11" bestFit="1" customWidth="1"/>
    <col min="17" max="17" width="6" style="11" bestFit="1" customWidth="1"/>
    <col min="18" max="18" width="13.42578125" style="19" bestFit="1" customWidth="1"/>
    <col min="19" max="19" width="11.140625" style="11" bestFit="1" customWidth="1"/>
    <col min="20" max="20" width="78.140625" style="11" bestFit="1" customWidth="1"/>
    <col min="21" max="21" width="77.42578125" style="11" bestFit="1" customWidth="1"/>
    <col min="22" max="22" width="17.5703125" style="11" bestFit="1" customWidth="1"/>
    <col min="23" max="23" width="154.42578125" style="11" bestFit="1" customWidth="1"/>
    <col min="24" max="24" width="27.28515625" style="11" bestFit="1" customWidth="1"/>
    <col min="25" max="25" width="21.425781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bestFit="1" customWidth="1"/>
    <col min="34" max="36" width="12.140625" style="11" bestFit="1" customWidth="1"/>
    <col min="37" max="37" width="13.42578125" style="11" bestFit="1" customWidth="1"/>
    <col min="38" max="38" width="15" style="11" bestFit="1" customWidth="1"/>
    <col min="39" max="40" width="9.140625" style="11" customWidth="1"/>
    <col min="41" max="16384" width="9.140625" style="11"/>
  </cols>
  <sheetData>
    <row r="1" spans="1:39" s="160" customFormat="1" ht="15" customHeight="1" x14ac:dyDescent="0.2">
      <c r="A1" s="335" t="s">
        <v>1192</v>
      </c>
      <c r="B1" s="335" t="s">
        <v>1211</v>
      </c>
      <c r="C1" s="335" t="s">
        <v>1193</v>
      </c>
      <c r="D1" s="335" t="s">
        <v>419</v>
      </c>
      <c r="E1" s="336" t="s">
        <v>1217</v>
      </c>
      <c r="F1" s="336" t="s">
        <v>1218</v>
      </c>
      <c r="G1" s="336" t="s">
        <v>3105</v>
      </c>
      <c r="H1" s="335" t="s">
        <v>1</v>
      </c>
      <c r="I1" s="335" t="s">
        <v>1739</v>
      </c>
      <c r="J1" s="335" t="s">
        <v>299</v>
      </c>
      <c r="K1" s="337" t="s">
        <v>1209</v>
      </c>
      <c r="L1" s="335" t="s">
        <v>2</v>
      </c>
      <c r="M1" s="338" t="s">
        <v>1191</v>
      </c>
      <c r="N1" s="335" t="s">
        <v>1198</v>
      </c>
      <c r="O1" s="335" t="s">
        <v>1196</v>
      </c>
      <c r="P1" s="335" t="s">
        <v>1197</v>
      </c>
      <c r="Q1" s="339" t="s">
        <v>3126</v>
      </c>
      <c r="R1" s="340" t="s">
        <v>1195</v>
      </c>
      <c r="S1" s="335" t="s">
        <v>2705</v>
      </c>
      <c r="T1" s="341" t="s">
        <v>349</v>
      </c>
      <c r="U1" s="341" t="s">
        <v>358</v>
      </c>
      <c r="V1" s="341" t="s">
        <v>434</v>
      </c>
      <c r="W1" s="341" t="s">
        <v>3251</v>
      </c>
      <c r="X1" s="341" t="s">
        <v>360</v>
      </c>
      <c r="Y1" s="335" t="s">
        <v>2703</v>
      </c>
      <c r="Z1" s="342" t="s">
        <v>3045</v>
      </c>
      <c r="AA1" s="343" t="s">
        <v>3107</v>
      </c>
      <c r="AB1" s="344" t="s">
        <v>3167</v>
      </c>
      <c r="AC1" s="344" t="s">
        <v>3117</v>
      </c>
      <c r="AD1" s="344" t="s">
        <v>3118</v>
      </c>
      <c r="AE1" s="345" t="s">
        <v>3168</v>
      </c>
      <c r="AF1" s="345" t="s">
        <v>3125</v>
      </c>
      <c r="AG1" s="346" t="s">
        <v>3155</v>
      </c>
      <c r="AH1" s="347" t="s">
        <v>3169</v>
      </c>
      <c r="AI1" s="347" t="s">
        <v>3170</v>
      </c>
      <c r="AJ1" s="347" t="s">
        <v>3171</v>
      </c>
      <c r="AK1" s="347" t="s">
        <v>3172</v>
      </c>
      <c r="AL1" s="345" t="s">
        <v>3173</v>
      </c>
    </row>
    <row r="2" spans="1:39" ht="15" customHeight="1" x14ac:dyDescent="0.2">
      <c r="B2" s="11" t="s">
        <v>1211</v>
      </c>
      <c r="C2" s="13">
        <v>960</v>
      </c>
      <c r="D2" s="13" t="s">
        <v>420</v>
      </c>
      <c r="E2" s="20">
        <v>34</v>
      </c>
      <c r="F2" s="20">
        <v>196</v>
      </c>
      <c r="G2" s="20">
        <v>843</v>
      </c>
      <c r="H2" s="13" t="s">
        <v>57</v>
      </c>
      <c r="I2" s="13" t="str">
        <f t="shared" ref="I2:I33" si="0">IF(M2="@",H2&amp;" ("&amp;M2&amp;"  "&amp;N2&amp;")",H2&amp;" ("&amp;M2&amp;" to "&amp;N2&amp;")")</f>
        <v>SR 7/US 441 (Stirling Rd to North of Fillmore St)</v>
      </c>
      <c r="J2" s="13" t="s">
        <v>300</v>
      </c>
      <c r="K2" s="13" t="str">
        <f>VLOOKUP(J2,'Data-ProjectTypes'!A$3:B$13,2,FALSE)</f>
        <v>Project</v>
      </c>
      <c r="L2" s="21" t="s">
        <v>179</v>
      </c>
      <c r="M2" s="13" t="s">
        <v>177</v>
      </c>
      <c r="N2" s="13" t="s">
        <v>178</v>
      </c>
      <c r="O2" s="13" t="s">
        <v>270</v>
      </c>
      <c r="P2" s="13" t="s">
        <v>270</v>
      </c>
      <c r="Q2" s="22">
        <v>2.4</v>
      </c>
      <c r="R2" s="234">
        <v>159335870.80949265</v>
      </c>
      <c r="Y2" s="12"/>
      <c r="Z2" s="18">
        <f>ROUND(R2*'Data-CostAssumptions'!$C$8,-3)</f>
        <v>159336000</v>
      </c>
      <c r="AA2" s="11">
        <f t="shared" ref="AA2:AA33" si="1">IF(V2="",IF(W2="",0,1),1)</f>
        <v>0</v>
      </c>
      <c r="AB2" s="11">
        <v>2041</v>
      </c>
      <c r="AC2" s="11">
        <v>2041</v>
      </c>
      <c r="AD2" s="11">
        <f t="shared" ref="AD2:AD33" si="2">+AC2</f>
        <v>2041</v>
      </c>
      <c r="AE2" s="19">
        <f>ROUND((Z2*'Data-CostAssumptions'!$G$5)*(1+'Data-CostAssumptions'!$G$3)^(AB2-'Data-CostAssumptions'!$G$4),-3)</f>
        <v>89876000</v>
      </c>
      <c r="AF2" s="19">
        <f>ROUND((Z2)*(1+'Data-CostAssumptions'!$G$3)^(AD2-'Data-CostAssumptions'!$G$4),-3)</f>
        <v>408529000</v>
      </c>
      <c r="AG2" s="170" t="str">
        <f t="shared" ref="AG2:AG33" si="3">IF(MIN(AC2:AD2)&lt;2041,"Yes","No")</f>
        <v>No</v>
      </c>
      <c r="AH2" s="19">
        <f t="shared" ref="AH2:AH33" si="4">IF(AB2&gt;2018,IF(AB2&lt;2021,AE2,0),0)+IF(AC2&gt;2018,IF(AC2&lt;2021,AF2,0),0)</f>
        <v>0</v>
      </c>
      <c r="AI2" s="19">
        <f t="shared" ref="AI2:AI33" si="5">IF(AB2&gt;2020,IF(AB2&lt;2026,AE2,0),0)+IF(AC2&gt;2020,IF(AC2&lt;2026,AF2,0),0)</f>
        <v>0</v>
      </c>
      <c r="AJ2" s="19">
        <f t="shared" ref="AJ2:AJ33" si="6">IF(AB2&gt;2025,IF(AB2&lt;2031,AE2,0),0)+IF(AC2&gt;2025,IF(AC2&lt;2031,AF2,0),0)</f>
        <v>0</v>
      </c>
      <c r="AK2" s="19">
        <f t="shared" ref="AK2:AK33" si="7">IF(AB2&gt;2030,IF(AB2&lt;2041,AE2,0),0)+IF(AC2&gt;2030,IF(AC2&lt;2041,AF2,0),0)</f>
        <v>0</v>
      </c>
      <c r="AL2" s="19">
        <f>IF(AB2&gt;2040,Z2+Z2*'Data-CostAssumptions'!$G$5,0)</f>
        <v>194389920</v>
      </c>
    </row>
    <row r="3" spans="1:39" ht="15" customHeight="1" x14ac:dyDescent="0.2">
      <c r="B3" s="11" t="s">
        <v>1211</v>
      </c>
      <c r="C3" s="13">
        <v>970</v>
      </c>
      <c r="D3" s="13" t="s">
        <v>420</v>
      </c>
      <c r="E3" s="20">
        <v>40</v>
      </c>
      <c r="F3" s="20">
        <v>196</v>
      </c>
      <c r="G3" s="20">
        <v>852</v>
      </c>
      <c r="H3" s="13" t="s">
        <v>1954</v>
      </c>
      <c r="I3" s="13" t="str">
        <f t="shared" si="0"/>
        <v>SW 10th St (Military Trail to Powerline Rd)</v>
      </c>
      <c r="J3" s="13" t="s">
        <v>300</v>
      </c>
      <c r="K3" s="13" t="str">
        <f>VLOOKUP(J3,'Data-ProjectTypes'!A$3:B$13,2,FALSE)</f>
        <v>Project</v>
      </c>
      <c r="L3" s="21" t="s">
        <v>179</v>
      </c>
      <c r="M3" s="13" t="s">
        <v>113</v>
      </c>
      <c r="N3" s="13" t="s">
        <v>1858</v>
      </c>
      <c r="O3" s="13" t="s">
        <v>270</v>
      </c>
      <c r="P3" s="13" t="s">
        <v>270</v>
      </c>
      <c r="Q3" s="22">
        <v>1.4</v>
      </c>
      <c r="R3" s="234">
        <v>64014608.891715527</v>
      </c>
      <c r="S3" s="12"/>
      <c r="T3" s="12"/>
      <c r="U3" s="12"/>
      <c r="V3" s="12"/>
      <c r="W3" s="12"/>
      <c r="X3" s="12"/>
      <c r="Y3" s="12"/>
      <c r="Z3" s="18">
        <f>ROUND(R3*'Data-CostAssumptions'!$C$8,-3)</f>
        <v>64015000</v>
      </c>
      <c r="AA3" s="11">
        <f t="shared" si="1"/>
        <v>0</v>
      </c>
      <c r="AB3" s="11">
        <v>2041</v>
      </c>
      <c r="AC3" s="11">
        <v>2041</v>
      </c>
      <c r="AD3" s="11">
        <f t="shared" si="2"/>
        <v>2041</v>
      </c>
      <c r="AE3" s="19">
        <f>ROUND((Z3*'Data-CostAssumptions'!$G$5)*(1+'Data-CostAssumptions'!$G$3)^(AB3-'Data-CostAssumptions'!$G$4),-3)</f>
        <v>36109000</v>
      </c>
      <c r="AF3" s="19">
        <f>ROUND((Z3)*(1+'Data-CostAssumptions'!$G$3)^(AD3-'Data-CostAssumptions'!$G$4),-3)</f>
        <v>164131000</v>
      </c>
      <c r="AG3" s="170" t="str">
        <f t="shared" si="3"/>
        <v>No</v>
      </c>
      <c r="AH3" s="19">
        <f t="shared" si="4"/>
        <v>0</v>
      </c>
      <c r="AI3" s="19">
        <f t="shared" si="5"/>
        <v>0</v>
      </c>
      <c r="AJ3" s="19">
        <f t="shared" si="6"/>
        <v>0</v>
      </c>
      <c r="AK3" s="19">
        <f t="shared" si="7"/>
        <v>0</v>
      </c>
      <c r="AL3" s="19">
        <f>IF(AB3&gt;2040,Z3+Z3*'Data-CostAssumptions'!$G$5,0)</f>
        <v>78098300</v>
      </c>
    </row>
    <row r="4" spans="1:39" ht="15" customHeight="1" x14ac:dyDescent="0.2">
      <c r="B4" s="11" t="s">
        <v>1211</v>
      </c>
      <c r="C4" s="13">
        <v>995</v>
      </c>
      <c r="D4" s="13" t="s">
        <v>420</v>
      </c>
      <c r="E4" s="20">
        <v>7</v>
      </c>
      <c r="F4" s="20">
        <v>198</v>
      </c>
      <c r="G4" s="20">
        <v>875</v>
      </c>
      <c r="H4" s="13" t="s">
        <v>1839</v>
      </c>
      <c r="I4" s="13" t="str">
        <f t="shared" si="0"/>
        <v>County Line Rd (Hillsboro Bl Extension to University Dr)</v>
      </c>
      <c r="J4" s="13" t="s">
        <v>300</v>
      </c>
      <c r="K4" s="13" t="str">
        <f>VLOOKUP(J4,'Data-ProjectTypes'!A$3:B$13,2,FALSE)</f>
        <v>Project</v>
      </c>
      <c r="L4" s="21" t="s">
        <v>308</v>
      </c>
      <c r="M4" s="13" t="s">
        <v>2327</v>
      </c>
      <c r="N4" s="13" t="s">
        <v>1804</v>
      </c>
      <c r="O4" s="13" t="s">
        <v>273</v>
      </c>
      <c r="P4" s="13" t="s">
        <v>273</v>
      </c>
      <c r="Q4" s="22">
        <v>2.75</v>
      </c>
      <c r="R4" s="234">
        <v>60165406.194427706</v>
      </c>
      <c r="S4" s="12"/>
      <c r="T4" s="12"/>
      <c r="U4" s="12"/>
      <c r="V4" s="12"/>
      <c r="W4" s="12"/>
      <c r="X4" s="12"/>
      <c r="Y4" s="12"/>
      <c r="Z4" s="18">
        <f>ROUND(R4*'Data-CostAssumptions'!$C$8,-3)</f>
        <v>60165000</v>
      </c>
      <c r="AA4" s="11">
        <f t="shared" si="1"/>
        <v>0</v>
      </c>
      <c r="AB4" s="11">
        <v>2041</v>
      </c>
      <c r="AC4" s="11">
        <v>2041</v>
      </c>
      <c r="AD4" s="11">
        <f t="shared" si="2"/>
        <v>2041</v>
      </c>
      <c r="AE4" s="19">
        <f>ROUND((Z4*'Data-CostAssumptions'!$G$5)*(1+'Data-CostAssumptions'!$G$3)^(AB4-'Data-CostAssumptions'!$G$4),-3)</f>
        <v>33937000</v>
      </c>
      <c r="AF4" s="19">
        <f>ROUND((Z4)*(1+'Data-CostAssumptions'!$G$3)^(AD4-'Data-CostAssumptions'!$G$4),-3)</f>
        <v>154260000</v>
      </c>
      <c r="AG4" s="170" t="str">
        <f t="shared" si="3"/>
        <v>No</v>
      </c>
      <c r="AH4" s="19">
        <f t="shared" si="4"/>
        <v>0</v>
      </c>
      <c r="AI4" s="19">
        <f t="shared" si="5"/>
        <v>0</v>
      </c>
      <c r="AJ4" s="19">
        <f t="shared" si="6"/>
        <v>0</v>
      </c>
      <c r="AK4" s="19">
        <f t="shared" si="7"/>
        <v>0</v>
      </c>
      <c r="AL4" s="19">
        <f>IF(AB4&gt;2040,Z4+Z4*'Data-CostAssumptions'!$G$5,0)</f>
        <v>73401300</v>
      </c>
    </row>
    <row r="5" spans="1:39" ht="15" customHeight="1" x14ac:dyDescent="0.2">
      <c r="B5" s="11" t="s">
        <v>1211</v>
      </c>
      <c r="C5" s="13">
        <v>986</v>
      </c>
      <c r="D5" s="13" t="s">
        <v>420</v>
      </c>
      <c r="E5" s="20">
        <v>1</v>
      </c>
      <c r="F5" s="20">
        <v>198</v>
      </c>
      <c r="G5" s="20">
        <v>868</v>
      </c>
      <c r="H5" s="13" t="s">
        <v>2014</v>
      </c>
      <c r="I5" s="13" t="str">
        <f t="shared" si="0"/>
        <v>Andrews Av (Atlantic Bl to Pompano Pkwy/ SW 3rd St/Race Track Rd)</v>
      </c>
      <c r="J5" s="13" t="s">
        <v>300</v>
      </c>
      <c r="K5" s="13" t="str">
        <f>VLOOKUP(J5,'Data-ProjectTypes'!A$3:B$13,2,FALSE)</f>
        <v>Project</v>
      </c>
      <c r="L5" s="21" t="s">
        <v>115</v>
      </c>
      <c r="M5" s="13" t="s">
        <v>1809</v>
      </c>
      <c r="N5" s="13" t="s">
        <v>3113</v>
      </c>
      <c r="O5" s="13" t="s">
        <v>270</v>
      </c>
      <c r="P5" s="13" t="s">
        <v>270</v>
      </c>
      <c r="Q5" s="22">
        <v>0.4</v>
      </c>
      <c r="R5" s="234">
        <v>44898000</v>
      </c>
      <c r="S5" s="12"/>
      <c r="T5" s="12"/>
      <c r="U5" s="12"/>
      <c r="V5" s="12"/>
      <c r="W5" s="12"/>
      <c r="X5" s="12"/>
      <c r="Y5" s="12"/>
      <c r="Z5" s="18">
        <f>ROUND(R5*'Data-CostAssumptions'!$C$8,-3)</f>
        <v>44898000</v>
      </c>
      <c r="AA5" s="11">
        <f t="shared" si="1"/>
        <v>0</v>
      </c>
      <c r="AB5" s="11">
        <v>2041</v>
      </c>
      <c r="AC5" s="11">
        <v>2041</v>
      </c>
      <c r="AD5" s="11">
        <f t="shared" si="2"/>
        <v>2041</v>
      </c>
      <c r="AE5" s="19">
        <f>ROUND((Z5*'Data-CostAssumptions'!$G$5)*(1+'Data-CostAssumptions'!$G$3)^(AB5-'Data-CostAssumptions'!$G$4),-3)</f>
        <v>25326000</v>
      </c>
      <c r="AF5" s="19">
        <f>ROUND((Z5)*(1+'Data-CostAssumptions'!$G$3)^(AD5-'Data-CostAssumptions'!$G$4),-3)</f>
        <v>115116000</v>
      </c>
      <c r="AG5" s="170" t="str">
        <f t="shared" si="3"/>
        <v>No</v>
      </c>
      <c r="AH5" s="19">
        <f t="shared" si="4"/>
        <v>0</v>
      </c>
      <c r="AI5" s="19">
        <f t="shared" si="5"/>
        <v>0</v>
      </c>
      <c r="AJ5" s="19">
        <f t="shared" si="6"/>
        <v>0</v>
      </c>
      <c r="AK5" s="19">
        <f t="shared" si="7"/>
        <v>0</v>
      </c>
      <c r="AL5" s="19">
        <f>IF(AB5&gt;2040,Z5+Z5*'Data-CostAssumptions'!$G$5,0)</f>
        <v>54775560</v>
      </c>
    </row>
    <row r="6" spans="1:39" ht="15" customHeight="1" x14ac:dyDescent="0.2">
      <c r="B6" s="11" t="s">
        <v>1211</v>
      </c>
      <c r="C6" s="13">
        <v>981</v>
      </c>
      <c r="D6" s="13" t="s">
        <v>420</v>
      </c>
      <c r="E6" s="20">
        <v>32</v>
      </c>
      <c r="F6" s="20">
        <v>197</v>
      </c>
      <c r="G6" s="20">
        <v>863</v>
      </c>
      <c r="H6" s="13" t="s">
        <v>1951</v>
      </c>
      <c r="I6" s="13" t="str">
        <f t="shared" si="0"/>
        <v>Sheridan St (Douglas Rd to SW 148th Av)</v>
      </c>
      <c r="J6" s="13" t="s">
        <v>300</v>
      </c>
      <c r="K6" s="13" t="str">
        <f>VLOOKUP(J6,'Data-ProjectTypes'!A$3:B$13,2,FALSE)</f>
        <v>Project</v>
      </c>
      <c r="L6" s="21" t="s">
        <v>179</v>
      </c>
      <c r="M6" s="13" t="s">
        <v>2425</v>
      </c>
      <c r="N6" s="13" t="s">
        <v>2104</v>
      </c>
      <c r="O6" s="13" t="s">
        <v>272</v>
      </c>
      <c r="P6" s="13" t="s">
        <v>272</v>
      </c>
      <c r="Q6" s="22">
        <v>5</v>
      </c>
      <c r="R6" s="234">
        <v>42345000</v>
      </c>
      <c r="S6" s="12"/>
      <c r="T6" s="12"/>
      <c r="U6" s="12"/>
      <c r="V6" s="12"/>
      <c r="W6" s="12"/>
      <c r="X6" s="12"/>
      <c r="Y6" s="12"/>
      <c r="Z6" s="18">
        <f>ROUND(R6*'Data-CostAssumptions'!$C$8,-3)</f>
        <v>42345000</v>
      </c>
      <c r="AA6" s="11">
        <f t="shared" si="1"/>
        <v>0</v>
      </c>
      <c r="AB6" s="11">
        <v>2041</v>
      </c>
      <c r="AC6" s="11">
        <v>2041</v>
      </c>
      <c r="AD6" s="11">
        <f t="shared" si="2"/>
        <v>2041</v>
      </c>
      <c r="AE6" s="19">
        <f>ROUND((Z6*'Data-CostAssumptions'!$G$5)*(1+'Data-CostAssumptions'!$G$3)^(AB6-'Data-CostAssumptions'!$G$4),-3)</f>
        <v>23885000</v>
      </c>
      <c r="AF6" s="19">
        <f>ROUND((Z6)*(1+'Data-CostAssumptions'!$G$3)^(AD6-'Data-CostAssumptions'!$G$4),-3)</f>
        <v>108570000</v>
      </c>
      <c r="AG6" s="170" t="str">
        <f t="shared" si="3"/>
        <v>No</v>
      </c>
      <c r="AH6" s="19">
        <f t="shared" si="4"/>
        <v>0</v>
      </c>
      <c r="AI6" s="19">
        <f t="shared" si="5"/>
        <v>0</v>
      </c>
      <c r="AJ6" s="19">
        <f t="shared" si="6"/>
        <v>0</v>
      </c>
      <c r="AK6" s="19">
        <f t="shared" si="7"/>
        <v>0</v>
      </c>
      <c r="AL6" s="19">
        <f>IF(AB6&gt;2040,Z6+Z6*'Data-CostAssumptions'!$G$5,0)</f>
        <v>51660900</v>
      </c>
    </row>
    <row r="7" spans="1:39" ht="15" customHeight="1" x14ac:dyDescent="0.2">
      <c r="B7" s="11" t="s">
        <v>1211</v>
      </c>
      <c r="C7" s="13">
        <v>999</v>
      </c>
      <c r="D7" s="13" t="s">
        <v>420</v>
      </c>
      <c r="E7" s="20">
        <v>19</v>
      </c>
      <c r="F7" s="20">
        <v>199</v>
      </c>
      <c r="G7" s="20">
        <v>878</v>
      </c>
      <c r="H7" s="13" t="s">
        <v>1856</v>
      </c>
      <c r="I7" s="13" t="str">
        <f t="shared" si="0"/>
        <v>Oakes Rd (State Rd 7/US 441 to Davie Rd)</v>
      </c>
      <c r="J7" s="13" t="s">
        <v>300</v>
      </c>
      <c r="K7" s="13" t="str">
        <f>VLOOKUP(J7,'Data-ProjectTypes'!A$3:B$13,2,FALSE)</f>
        <v>Project</v>
      </c>
      <c r="L7" s="21" t="s">
        <v>310</v>
      </c>
      <c r="M7" s="13" t="s">
        <v>1773</v>
      </c>
      <c r="N7" s="13" t="s">
        <v>1845</v>
      </c>
      <c r="O7" s="13" t="s">
        <v>270</v>
      </c>
      <c r="P7" s="13" t="s">
        <v>270</v>
      </c>
      <c r="Q7" s="22">
        <v>1.7</v>
      </c>
      <c r="R7" s="234">
        <v>40805000</v>
      </c>
      <c r="S7" s="12"/>
      <c r="T7" s="12"/>
      <c r="U7" s="12"/>
      <c r="V7" s="12"/>
      <c r="W7" s="12"/>
      <c r="X7" s="12"/>
      <c r="Y7" s="12"/>
      <c r="Z7" s="18">
        <f>ROUND(R7*'Data-CostAssumptions'!$C$8,-3)</f>
        <v>40805000</v>
      </c>
      <c r="AA7" s="11">
        <f t="shared" si="1"/>
        <v>0</v>
      </c>
      <c r="AB7" s="11">
        <v>2041</v>
      </c>
      <c r="AC7" s="11">
        <v>2041</v>
      </c>
      <c r="AD7" s="11">
        <f t="shared" si="2"/>
        <v>2041</v>
      </c>
      <c r="AE7" s="19">
        <f>ROUND((Z7*'Data-CostAssumptions'!$G$5)*(1+'Data-CostAssumptions'!$G$3)^(AB7-'Data-CostAssumptions'!$G$4),-3)</f>
        <v>23017000</v>
      </c>
      <c r="AF7" s="19">
        <f>ROUND((Z7)*(1+'Data-CostAssumptions'!$G$3)^(AD7-'Data-CostAssumptions'!$G$4),-3)</f>
        <v>104622000</v>
      </c>
      <c r="AG7" s="170" t="str">
        <f t="shared" si="3"/>
        <v>No</v>
      </c>
      <c r="AH7" s="19">
        <f t="shared" si="4"/>
        <v>0</v>
      </c>
      <c r="AI7" s="19">
        <f t="shared" si="5"/>
        <v>0</v>
      </c>
      <c r="AJ7" s="19">
        <f t="shared" si="6"/>
        <v>0</v>
      </c>
      <c r="AK7" s="19">
        <f t="shared" si="7"/>
        <v>0</v>
      </c>
      <c r="AL7" s="19">
        <f>IF(AB7&gt;2040,Z7+Z7*'Data-CostAssumptions'!$G$5,0)</f>
        <v>49782100</v>
      </c>
    </row>
    <row r="8" spans="1:39" ht="15" customHeight="1" x14ac:dyDescent="0.2">
      <c r="B8" s="11" t="s">
        <v>1211</v>
      </c>
      <c r="C8" s="13">
        <v>990</v>
      </c>
      <c r="D8" s="13" t="s">
        <v>420</v>
      </c>
      <c r="E8" s="20">
        <v>42</v>
      </c>
      <c r="F8" s="20">
        <v>198</v>
      </c>
      <c r="G8" s="20">
        <v>870</v>
      </c>
      <c r="H8" s="13" t="s">
        <v>2111</v>
      </c>
      <c r="I8" s="13" t="str">
        <f t="shared" si="0"/>
        <v>SW 184th Av (Miramar Parkway to Sheridan St)</v>
      </c>
      <c r="J8" s="13" t="s">
        <v>300</v>
      </c>
      <c r="K8" s="13" t="str">
        <f>VLOOKUP(J8,'Data-ProjectTypes'!A$3:B$13,2,FALSE)</f>
        <v>Project</v>
      </c>
      <c r="L8" s="21" t="s">
        <v>304</v>
      </c>
      <c r="M8" s="13" t="s">
        <v>39</v>
      </c>
      <c r="N8" s="13" t="s">
        <v>1951</v>
      </c>
      <c r="O8" s="13" t="s">
        <v>272</v>
      </c>
      <c r="P8" s="13" t="s">
        <v>272</v>
      </c>
      <c r="Q8" s="22">
        <v>3.5</v>
      </c>
      <c r="R8" s="234">
        <v>35205127.687963195</v>
      </c>
      <c r="S8" s="12"/>
      <c r="T8" s="12"/>
      <c r="U8" s="12"/>
      <c r="V8" s="12"/>
      <c r="W8" s="12"/>
      <c r="X8" s="12"/>
      <c r="Y8" s="12"/>
      <c r="Z8" s="18">
        <f>ROUND(R8*'Data-CostAssumptions'!$C$8,-3)</f>
        <v>35205000</v>
      </c>
      <c r="AA8" s="11">
        <f t="shared" si="1"/>
        <v>0</v>
      </c>
      <c r="AB8" s="11">
        <v>2041</v>
      </c>
      <c r="AC8" s="11">
        <v>2041</v>
      </c>
      <c r="AD8" s="11">
        <f t="shared" si="2"/>
        <v>2041</v>
      </c>
      <c r="AE8" s="19">
        <f>ROUND((Z8*'Data-CostAssumptions'!$G$5)*(1+'Data-CostAssumptions'!$G$3)^(AB8-'Data-CostAssumptions'!$G$4),-3)</f>
        <v>19858000</v>
      </c>
      <c r="AF8" s="19">
        <f>ROUND((Z8)*(1+'Data-CostAssumptions'!$G$3)^(AD8-'Data-CostAssumptions'!$G$4),-3)</f>
        <v>90264000</v>
      </c>
      <c r="AG8" s="170" t="str">
        <f t="shared" si="3"/>
        <v>No</v>
      </c>
      <c r="AH8" s="19">
        <f t="shared" si="4"/>
        <v>0</v>
      </c>
      <c r="AI8" s="19">
        <f t="shared" si="5"/>
        <v>0</v>
      </c>
      <c r="AJ8" s="19">
        <f t="shared" si="6"/>
        <v>0</v>
      </c>
      <c r="AK8" s="19">
        <f t="shared" si="7"/>
        <v>0</v>
      </c>
      <c r="AL8" s="19">
        <f>IF(AB8&gt;2040,Z8+Z8*'Data-CostAssumptions'!$G$5,0)</f>
        <v>42950100</v>
      </c>
    </row>
    <row r="9" spans="1:39" s="81" customFormat="1" ht="15" customHeight="1" x14ac:dyDescent="0.2">
      <c r="B9" s="81" t="s">
        <v>1211</v>
      </c>
      <c r="C9" s="78">
        <v>958</v>
      </c>
      <c r="D9" s="78" t="s">
        <v>420</v>
      </c>
      <c r="E9" s="235">
        <v>31</v>
      </c>
      <c r="F9" s="235">
        <v>196</v>
      </c>
      <c r="G9" s="235">
        <v>841</v>
      </c>
      <c r="H9" s="78" t="s">
        <v>2787</v>
      </c>
      <c r="I9" s="78" t="str">
        <f t="shared" si="0"/>
        <v>SR 822/Sheridan St (US 1 to Dixie Hwy)</v>
      </c>
      <c r="J9" s="78" t="s">
        <v>300</v>
      </c>
      <c r="K9" s="78" t="str">
        <f>VLOOKUP(J9,'Data-ProjectTypes'!A$3:B$13,2,FALSE)</f>
        <v>Project</v>
      </c>
      <c r="L9" s="78" t="s">
        <v>179</v>
      </c>
      <c r="M9" s="78" t="s">
        <v>98</v>
      </c>
      <c r="N9" s="78" t="s">
        <v>728</v>
      </c>
      <c r="O9" s="78" t="s">
        <v>270</v>
      </c>
      <c r="P9" s="78" t="s">
        <v>270</v>
      </c>
      <c r="Q9" s="236">
        <v>0.4</v>
      </c>
      <c r="R9" s="237">
        <v>32392983.920483727</v>
      </c>
      <c r="S9" s="27"/>
      <c r="T9" s="27"/>
      <c r="U9" s="27"/>
      <c r="V9" s="27"/>
      <c r="W9" s="27"/>
      <c r="X9" s="117"/>
      <c r="Y9" s="27"/>
      <c r="Z9" s="135">
        <f>ROUND(R9*'Data-CostAssumptions'!$C$8,-3)</f>
        <v>32393000</v>
      </c>
      <c r="AA9" s="81">
        <f t="shared" si="1"/>
        <v>0</v>
      </c>
      <c r="AB9" s="81">
        <v>2041</v>
      </c>
      <c r="AC9" s="81">
        <v>2041</v>
      </c>
      <c r="AD9" s="81">
        <f t="shared" si="2"/>
        <v>2041</v>
      </c>
      <c r="AE9" s="199">
        <f>ROUND((Z9*'Data-CostAssumptions'!$G$5)*(1+'Data-CostAssumptions'!$G$3)^(AB9-'Data-CostAssumptions'!$G$4),-3)</f>
        <v>18272000</v>
      </c>
      <c r="AF9" s="199">
        <f>ROUND((Z9)*(1+'Data-CostAssumptions'!$G$3)^(AD9-'Data-CostAssumptions'!$G$4),-3)</f>
        <v>83054000</v>
      </c>
      <c r="AG9" s="202" t="str">
        <f t="shared" si="3"/>
        <v>No</v>
      </c>
      <c r="AH9" s="199">
        <f t="shared" si="4"/>
        <v>0</v>
      </c>
      <c r="AI9" s="199">
        <f t="shared" si="5"/>
        <v>0</v>
      </c>
      <c r="AJ9" s="199">
        <f t="shared" si="6"/>
        <v>0</v>
      </c>
      <c r="AK9" s="199">
        <f t="shared" si="7"/>
        <v>0</v>
      </c>
      <c r="AL9" s="199">
        <f>IF(AB9&gt;2040,Z9+Z9*'Data-CostAssumptions'!$G$5,0)</f>
        <v>39519460</v>
      </c>
    </row>
    <row r="10" spans="1:39" ht="15" customHeight="1" x14ac:dyDescent="0.2">
      <c r="B10" s="11" t="s">
        <v>1211</v>
      </c>
      <c r="C10" s="13">
        <v>971</v>
      </c>
      <c r="D10" s="13" t="s">
        <v>420</v>
      </c>
      <c r="E10" s="20">
        <v>17</v>
      </c>
      <c r="F10" s="20">
        <v>197</v>
      </c>
      <c r="G10" s="20">
        <v>853</v>
      </c>
      <c r="H10" s="13" t="s">
        <v>221</v>
      </c>
      <c r="I10" s="13" t="str">
        <f t="shared" si="0"/>
        <v>NW 7th/9th Connector (NW 6th Court to South of Sunrise Bl)</v>
      </c>
      <c r="J10" s="13" t="s">
        <v>300</v>
      </c>
      <c r="K10" s="13" t="str">
        <f>VLOOKUP(J10,'Data-ProjectTypes'!A$3:B$13,2,FALSE)</f>
        <v>Project</v>
      </c>
      <c r="L10" s="21" t="s">
        <v>304</v>
      </c>
      <c r="M10" s="13" t="s">
        <v>172</v>
      </c>
      <c r="N10" s="13" t="s">
        <v>2279</v>
      </c>
      <c r="O10" s="13" t="s">
        <v>276</v>
      </c>
      <c r="P10" s="13" t="s">
        <v>276</v>
      </c>
      <c r="Q10" s="22">
        <v>0.5</v>
      </c>
      <c r="R10" s="234">
        <v>29813010.183955085</v>
      </c>
      <c r="S10" s="12"/>
      <c r="T10" s="12"/>
      <c r="U10" s="12"/>
      <c r="V10" s="12"/>
      <c r="W10" s="12"/>
      <c r="X10" s="34"/>
      <c r="Y10" s="12"/>
      <c r="Z10" s="18">
        <f>ROUND(R10*'Data-CostAssumptions'!$C$8,-3)</f>
        <v>29813000</v>
      </c>
      <c r="AA10" s="11">
        <f t="shared" si="1"/>
        <v>0</v>
      </c>
      <c r="AB10" s="11">
        <v>2041</v>
      </c>
      <c r="AC10" s="11">
        <v>2041</v>
      </c>
      <c r="AD10" s="11">
        <f t="shared" si="2"/>
        <v>2041</v>
      </c>
      <c r="AE10" s="19">
        <f>ROUND((Z10*'Data-CostAssumptions'!$G$5)*(1+'Data-CostAssumptions'!$G$3)^(AB10-'Data-CostAssumptions'!$G$4),-3)</f>
        <v>16817000</v>
      </c>
      <c r="AF10" s="19">
        <f>ROUND((Z10)*(1+'Data-CostAssumptions'!$G$3)^(AD10-'Data-CostAssumptions'!$G$4),-3)</f>
        <v>76439000</v>
      </c>
      <c r="AG10" s="170" t="str">
        <f t="shared" si="3"/>
        <v>No</v>
      </c>
      <c r="AH10" s="19">
        <f t="shared" si="4"/>
        <v>0</v>
      </c>
      <c r="AI10" s="19">
        <f t="shared" si="5"/>
        <v>0</v>
      </c>
      <c r="AJ10" s="19">
        <f t="shared" si="6"/>
        <v>0</v>
      </c>
      <c r="AK10" s="19">
        <f t="shared" si="7"/>
        <v>0</v>
      </c>
      <c r="AL10" s="19">
        <f>IF(AB10&gt;2040,Z10+Z10*'Data-CostAssumptions'!$G$5,0)</f>
        <v>36371860</v>
      </c>
    </row>
    <row r="11" spans="1:39" ht="15" customHeight="1" x14ac:dyDescent="0.2">
      <c r="B11" s="11" t="s">
        <v>1211</v>
      </c>
      <c r="C11" s="13">
        <v>1000</v>
      </c>
      <c r="D11" s="13" t="s">
        <v>420</v>
      </c>
      <c r="E11" s="20">
        <v>43</v>
      </c>
      <c r="F11" s="20">
        <v>199</v>
      </c>
      <c r="G11" s="20">
        <v>879</v>
      </c>
      <c r="H11" s="13" t="s">
        <v>2111</v>
      </c>
      <c r="I11" s="13" t="str">
        <f t="shared" si="0"/>
        <v>SW 184th Av (Griffin Rd to Sheridan St)</v>
      </c>
      <c r="J11" s="13" t="s">
        <v>300</v>
      </c>
      <c r="K11" s="13" t="str">
        <f>VLOOKUP(J11,'Data-ProjectTypes'!A$3:B$13,2,FALSE)</f>
        <v>Project</v>
      </c>
      <c r="L11" s="21" t="s">
        <v>311</v>
      </c>
      <c r="M11" s="13" t="s">
        <v>1750</v>
      </c>
      <c r="N11" s="13" t="s">
        <v>1951</v>
      </c>
      <c r="O11" s="13" t="s">
        <v>272</v>
      </c>
      <c r="P11" s="13" t="s">
        <v>272</v>
      </c>
      <c r="Q11" s="22">
        <v>2.2000000000000002</v>
      </c>
      <c r="R11" s="234">
        <v>28129000</v>
      </c>
      <c r="S11" s="12"/>
      <c r="T11" s="12"/>
      <c r="U11" s="12"/>
      <c r="V11" s="12"/>
      <c r="W11" s="12"/>
      <c r="X11" s="12"/>
      <c r="Y11" s="12"/>
      <c r="Z11" s="18">
        <f>ROUND(R11*'Data-CostAssumptions'!$C$8,-3)</f>
        <v>28129000</v>
      </c>
      <c r="AA11" s="11">
        <f t="shared" si="1"/>
        <v>0</v>
      </c>
      <c r="AB11" s="11">
        <v>2035</v>
      </c>
      <c r="AC11" s="11">
        <v>2035</v>
      </c>
      <c r="AD11" s="11">
        <f t="shared" si="2"/>
        <v>2035</v>
      </c>
      <c r="AE11" s="19">
        <f>ROUND((Z11*'Data-CostAssumptions'!$G$5)*(1+'Data-CostAssumptions'!$G$3)^(AB11-'Data-CostAssumptions'!$G$4),-3)</f>
        <v>13058000</v>
      </c>
      <c r="AF11" s="19">
        <f>ROUND((Z11)*(1+'Data-CostAssumptions'!$G$3)^(AD11-'Data-CostAssumptions'!$G$4),-3)</f>
        <v>59356000</v>
      </c>
      <c r="AG11" s="170" t="str">
        <f t="shared" si="3"/>
        <v>Yes</v>
      </c>
      <c r="AH11" s="19">
        <f t="shared" si="4"/>
        <v>0</v>
      </c>
      <c r="AI11" s="19">
        <f t="shared" si="5"/>
        <v>0</v>
      </c>
      <c r="AJ11" s="19">
        <f t="shared" si="6"/>
        <v>0</v>
      </c>
      <c r="AK11" s="19">
        <f t="shared" si="7"/>
        <v>72414000</v>
      </c>
      <c r="AL11" s="19">
        <f>IF(AB11&gt;2040,Z11+Z11*'Data-CostAssumptions'!$G$5,0)</f>
        <v>0</v>
      </c>
    </row>
    <row r="12" spans="1:39" s="81" customFormat="1" ht="15" customHeight="1" x14ac:dyDescent="0.2">
      <c r="B12" s="81" t="s">
        <v>1211</v>
      </c>
      <c r="C12" s="78">
        <v>964</v>
      </c>
      <c r="D12" s="78" t="s">
        <v>420</v>
      </c>
      <c r="E12" s="235">
        <v>28</v>
      </c>
      <c r="F12" s="235">
        <v>196</v>
      </c>
      <c r="G12" s="235">
        <v>847</v>
      </c>
      <c r="H12" s="78" t="s">
        <v>2799</v>
      </c>
      <c r="I12" s="78" t="str">
        <f t="shared" si="0"/>
        <v>SR 845/Powerline Rd (Palm Beach County Line to SW 10th St)</v>
      </c>
      <c r="J12" s="78" t="s">
        <v>300</v>
      </c>
      <c r="K12" s="78" t="str">
        <f>VLOOKUP(J12,'Data-ProjectTypes'!A$3:B$13,2,FALSE)</f>
        <v>Project</v>
      </c>
      <c r="L12" s="78" t="s">
        <v>179</v>
      </c>
      <c r="M12" s="78" t="s">
        <v>43</v>
      </c>
      <c r="N12" s="78" t="s">
        <v>1954</v>
      </c>
      <c r="O12" s="78" t="s">
        <v>270</v>
      </c>
      <c r="P12" s="78" t="s">
        <v>270</v>
      </c>
      <c r="Q12" s="236">
        <v>1.6</v>
      </c>
      <c r="R12" s="237">
        <v>25196887.320105366</v>
      </c>
      <c r="Y12" s="27"/>
      <c r="Z12" s="135">
        <f>ROUND(R12*'Data-CostAssumptions'!$C$8,-3)</f>
        <v>25197000</v>
      </c>
      <c r="AA12" s="81">
        <f t="shared" si="1"/>
        <v>0</v>
      </c>
      <c r="AB12" s="81">
        <v>2041</v>
      </c>
      <c r="AC12" s="81">
        <v>2041</v>
      </c>
      <c r="AD12" s="81">
        <f t="shared" si="2"/>
        <v>2041</v>
      </c>
      <c r="AE12" s="199">
        <f>ROUND((Z12*'Data-CostAssumptions'!$G$5)*(1+'Data-CostAssumptions'!$G$3)^(AB12-'Data-CostAssumptions'!$G$4),-3)</f>
        <v>14213000</v>
      </c>
      <c r="AF12" s="199">
        <f>ROUND((Z12)*(1+'Data-CostAssumptions'!$G$3)^(AD12-'Data-CostAssumptions'!$G$4),-3)</f>
        <v>64604000</v>
      </c>
      <c r="AG12" s="202" t="str">
        <f t="shared" si="3"/>
        <v>No</v>
      </c>
      <c r="AH12" s="199">
        <f t="shared" si="4"/>
        <v>0</v>
      </c>
      <c r="AI12" s="199">
        <f t="shared" si="5"/>
        <v>0</v>
      </c>
      <c r="AJ12" s="199">
        <f t="shared" si="6"/>
        <v>0</v>
      </c>
      <c r="AK12" s="199">
        <f t="shared" si="7"/>
        <v>0</v>
      </c>
      <c r="AL12" s="199">
        <f>IF(AB12&gt;2040,Z12+Z12*'Data-CostAssumptions'!$G$5,0)</f>
        <v>30740340</v>
      </c>
    </row>
    <row r="13" spans="1:39" ht="15" customHeight="1" x14ac:dyDescent="0.2">
      <c r="B13" s="11" t="s">
        <v>1211</v>
      </c>
      <c r="C13" s="13">
        <v>976</v>
      </c>
      <c r="D13" s="13" t="s">
        <v>420</v>
      </c>
      <c r="E13" s="20">
        <v>12</v>
      </c>
      <c r="F13" s="20">
        <v>197</v>
      </c>
      <c r="G13" s="20">
        <v>858</v>
      </c>
      <c r="H13" s="13" t="s">
        <v>2784</v>
      </c>
      <c r="I13" s="13" t="str">
        <f t="shared" si="0"/>
        <v>SR 818/Griffin Rd (Flamingo Rd to I-75)</v>
      </c>
      <c r="J13" s="13" t="s">
        <v>300</v>
      </c>
      <c r="K13" s="13" t="str">
        <f>VLOOKUP(J13,'Data-ProjectTypes'!A$3:B$13,2,FALSE)</f>
        <v>Project</v>
      </c>
      <c r="L13" s="21" t="s">
        <v>179</v>
      </c>
      <c r="M13" s="13" t="s">
        <v>159</v>
      </c>
      <c r="N13" s="13" t="s">
        <v>31</v>
      </c>
      <c r="O13" s="13" t="s">
        <v>273</v>
      </c>
      <c r="P13" s="13" t="s">
        <v>273</v>
      </c>
      <c r="Q13" s="22">
        <v>2.5</v>
      </c>
      <c r="R13" s="234">
        <v>20457485.105460431</v>
      </c>
      <c r="S13" s="12"/>
      <c r="T13" s="12"/>
      <c r="U13" s="12"/>
      <c r="V13" s="12"/>
      <c r="W13" s="12"/>
      <c r="X13" s="12"/>
      <c r="Y13" s="12"/>
      <c r="Z13" s="18">
        <f>ROUND(R13*'Data-CostAssumptions'!$C$8,-3)</f>
        <v>20457000</v>
      </c>
      <c r="AA13" s="11">
        <f t="shared" si="1"/>
        <v>0</v>
      </c>
      <c r="AB13" s="11">
        <v>2041</v>
      </c>
      <c r="AC13" s="11">
        <v>2041</v>
      </c>
      <c r="AD13" s="11">
        <f t="shared" si="2"/>
        <v>2041</v>
      </c>
      <c r="AE13" s="19">
        <f>ROUND((Z13*'Data-CostAssumptions'!$G$5)*(1+'Data-CostAssumptions'!$G$3)^(AB13-'Data-CostAssumptions'!$G$4),-3)</f>
        <v>11539000</v>
      </c>
      <c r="AF13" s="19">
        <f>ROUND((Z13)*(1+'Data-CostAssumptions'!$G$3)^(AD13-'Data-CostAssumptions'!$G$4),-3)</f>
        <v>52451000</v>
      </c>
      <c r="AG13" s="170" t="str">
        <f t="shared" si="3"/>
        <v>No</v>
      </c>
      <c r="AH13" s="19">
        <f t="shared" si="4"/>
        <v>0</v>
      </c>
      <c r="AI13" s="19">
        <f t="shared" si="5"/>
        <v>0</v>
      </c>
      <c r="AJ13" s="19">
        <f t="shared" si="6"/>
        <v>0</v>
      </c>
      <c r="AK13" s="19">
        <f t="shared" si="7"/>
        <v>0</v>
      </c>
      <c r="AL13" s="19">
        <f>IF(AB13&gt;2040,Z13+Z13*'Data-CostAssumptions'!$G$5,0)</f>
        <v>24957540</v>
      </c>
    </row>
    <row r="14" spans="1:39" ht="15" customHeight="1" x14ac:dyDescent="0.2">
      <c r="B14" s="11" t="s">
        <v>1211</v>
      </c>
      <c r="C14" s="13">
        <v>993</v>
      </c>
      <c r="D14" s="13" t="s">
        <v>420</v>
      </c>
      <c r="E14" s="20">
        <v>5</v>
      </c>
      <c r="F14" s="20">
        <v>198</v>
      </c>
      <c r="G14" s="20">
        <v>873</v>
      </c>
      <c r="H14" s="13" t="s">
        <v>1833</v>
      </c>
      <c r="I14" s="13" t="str">
        <f t="shared" si="0"/>
        <v>Bass Creek Rd (SW 148th Av to SW 172nd Av)</v>
      </c>
      <c r="J14" s="13" t="s">
        <v>300</v>
      </c>
      <c r="K14" s="13" t="str">
        <f>VLOOKUP(J14,'Data-ProjectTypes'!A$3:B$13,2,FALSE)</f>
        <v>Project</v>
      </c>
      <c r="L14" s="21" t="s">
        <v>306</v>
      </c>
      <c r="M14" s="13" t="s">
        <v>2104</v>
      </c>
      <c r="N14" s="13" t="s">
        <v>2110</v>
      </c>
      <c r="O14" s="13" t="s">
        <v>274</v>
      </c>
      <c r="P14" s="13" t="s">
        <v>274</v>
      </c>
      <c r="Q14" s="22">
        <v>2.2999999999999998</v>
      </c>
      <c r="R14" s="234">
        <v>18900949.114988856</v>
      </c>
      <c r="S14" s="12"/>
      <c r="T14" s="12"/>
      <c r="U14" s="12"/>
      <c r="V14" s="12"/>
      <c r="W14" s="12"/>
      <c r="X14" s="12"/>
      <c r="Y14" s="12"/>
      <c r="Z14" s="18">
        <f>ROUND(R14*'Data-CostAssumptions'!$C$8,-3)</f>
        <v>18901000</v>
      </c>
      <c r="AA14" s="11">
        <f t="shared" si="1"/>
        <v>0</v>
      </c>
      <c r="AB14" s="11">
        <v>2041</v>
      </c>
      <c r="AC14" s="11">
        <v>2041</v>
      </c>
      <c r="AD14" s="11">
        <f t="shared" si="2"/>
        <v>2041</v>
      </c>
      <c r="AE14" s="19">
        <f>ROUND((Z14*'Data-CostAssumptions'!$G$5)*(1+'Data-CostAssumptions'!$G$3)^(AB14-'Data-CostAssumptions'!$G$4),-3)</f>
        <v>10661000</v>
      </c>
      <c r="AF14" s="19">
        <f>ROUND((Z14)*(1+'Data-CostAssumptions'!$G$3)^(AD14-'Data-CostAssumptions'!$G$4),-3)</f>
        <v>48461000</v>
      </c>
      <c r="AG14" s="170" t="str">
        <f t="shared" si="3"/>
        <v>No</v>
      </c>
      <c r="AH14" s="19">
        <f t="shared" si="4"/>
        <v>0</v>
      </c>
      <c r="AI14" s="19">
        <f t="shared" si="5"/>
        <v>0</v>
      </c>
      <c r="AJ14" s="19">
        <f t="shared" si="6"/>
        <v>0</v>
      </c>
      <c r="AK14" s="19">
        <f t="shared" si="7"/>
        <v>0</v>
      </c>
      <c r="AL14" s="19">
        <f>IF(AB14&gt;2040,Z14+Z14*'Data-CostAssumptions'!$G$5,0)</f>
        <v>23059220</v>
      </c>
    </row>
    <row r="15" spans="1:39" ht="15" customHeight="1" x14ac:dyDescent="0.2">
      <c r="B15" s="11" t="s">
        <v>1211</v>
      </c>
      <c r="C15" s="13">
        <v>985</v>
      </c>
      <c r="D15" s="13" t="s">
        <v>420</v>
      </c>
      <c r="E15" s="20">
        <v>44</v>
      </c>
      <c r="F15" s="20">
        <v>198</v>
      </c>
      <c r="G15" s="20">
        <v>867</v>
      </c>
      <c r="H15" s="13" t="s">
        <v>2114</v>
      </c>
      <c r="I15" s="13" t="str">
        <f t="shared" si="0"/>
        <v>SW 196th Av (Pines Bl to Miramar Parkway)</v>
      </c>
      <c r="J15" s="13" t="s">
        <v>300</v>
      </c>
      <c r="K15" s="13" t="str">
        <f>VLOOKUP(J15,'Data-ProjectTypes'!A$3:B$13,2,FALSE)</f>
        <v>Project</v>
      </c>
      <c r="L15" s="21" t="s">
        <v>690</v>
      </c>
      <c r="M15" s="13" t="s">
        <v>1826</v>
      </c>
      <c r="N15" s="13" t="s">
        <v>39</v>
      </c>
      <c r="O15" s="13" t="s">
        <v>272</v>
      </c>
      <c r="P15" s="13" t="s">
        <v>272</v>
      </c>
      <c r="Q15" s="22">
        <v>2</v>
      </c>
      <c r="R15" s="234">
        <v>18446000</v>
      </c>
      <c r="S15" s="12"/>
      <c r="T15" s="12"/>
      <c r="U15" s="12"/>
      <c r="V15" s="12"/>
      <c r="W15" s="12"/>
      <c r="X15" s="12"/>
      <c r="Y15" s="12"/>
      <c r="Z15" s="18">
        <f>ROUND(R15*'Data-CostAssumptions'!$C$8,-3)</f>
        <v>18446000</v>
      </c>
      <c r="AA15" s="11">
        <f t="shared" si="1"/>
        <v>0</v>
      </c>
      <c r="AB15" s="11">
        <v>2035</v>
      </c>
      <c r="AC15" s="11">
        <v>2035</v>
      </c>
      <c r="AD15" s="11">
        <f t="shared" si="2"/>
        <v>2035</v>
      </c>
      <c r="AE15" s="19">
        <f>ROUND((Z15*'Data-CostAssumptions'!$G$5)*(1+'Data-CostAssumptions'!$G$3)^(AB15-'Data-CostAssumptions'!$G$4),-3)</f>
        <v>8563000</v>
      </c>
      <c r="AF15" s="19">
        <f>ROUND((Z15)*(1+'Data-CostAssumptions'!$G$3)^(AD15-'Data-CostAssumptions'!$G$4),-3)</f>
        <v>38923000</v>
      </c>
      <c r="AG15" s="170" t="str">
        <f t="shared" si="3"/>
        <v>Yes</v>
      </c>
      <c r="AH15" s="19">
        <f t="shared" si="4"/>
        <v>0</v>
      </c>
      <c r="AI15" s="19">
        <f t="shared" si="5"/>
        <v>0</v>
      </c>
      <c r="AJ15" s="19">
        <f t="shared" si="6"/>
        <v>0</v>
      </c>
      <c r="AK15" s="19">
        <f t="shared" si="7"/>
        <v>47486000</v>
      </c>
      <c r="AL15" s="19">
        <f>IF(AB15&gt;2040,Z15+Z15*'Data-CostAssumptions'!$G$5,0)</f>
        <v>0</v>
      </c>
    </row>
    <row r="16" spans="1:39" ht="15" customHeight="1" x14ac:dyDescent="0.2">
      <c r="B16" s="11" t="s">
        <v>1211</v>
      </c>
      <c r="C16" s="13">
        <v>975</v>
      </c>
      <c r="D16" s="13" t="s">
        <v>420</v>
      </c>
      <c r="E16" s="20">
        <v>48</v>
      </c>
      <c r="F16" s="20">
        <v>197</v>
      </c>
      <c r="G16" s="20">
        <v>857</v>
      </c>
      <c r="H16" s="13" t="s">
        <v>2709</v>
      </c>
      <c r="I16" s="13" t="str">
        <f t="shared" si="0"/>
        <v>SR 817/University Dr (Sawgrass Expressway to NW 40th St (Cardinal))</v>
      </c>
      <c r="J16" s="13" t="s">
        <v>300</v>
      </c>
      <c r="K16" s="13" t="str">
        <f>VLOOKUP(J16,'Data-ProjectTypes'!A$3:B$13,2,FALSE)</f>
        <v>Project</v>
      </c>
      <c r="L16" s="21" t="s">
        <v>179</v>
      </c>
      <c r="M16" s="13" t="s">
        <v>72</v>
      </c>
      <c r="N16" s="13" t="s">
        <v>2589</v>
      </c>
      <c r="O16" s="13" t="s">
        <v>272</v>
      </c>
      <c r="P16" s="13" t="s">
        <v>272</v>
      </c>
      <c r="Q16" s="22">
        <v>1.7</v>
      </c>
      <c r="R16" s="234">
        <v>17547018.528315876</v>
      </c>
      <c r="S16" s="12"/>
      <c r="T16" s="12"/>
      <c r="U16" s="12"/>
      <c r="V16" s="12"/>
      <c r="W16" s="12"/>
      <c r="X16" s="34"/>
      <c r="Y16" s="12"/>
      <c r="Z16" s="18">
        <f>ROUND(R16*'Data-CostAssumptions'!$C$8,-3)</f>
        <v>17547000</v>
      </c>
      <c r="AA16" s="11">
        <f t="shared" si="1"/>
        <v>0</v>
      </c>
      <c r="AB16" s="11">
        <v>2019</v>
      </c>
      <c r="AC16" s="11">
        <v>2023</v>
      </c>
      <c r="AD16" s="11">
        <f t="shared" si="2"/>
        <v>2023</v>
      </c>
      <c r="AE16" s="19">
        <f>ROUND((Z16*'Data-CostAssumptions'!$G$5)*(1+'Data-CostAssumptions'!$G$3)^(AB16-'Data-CostAssumptions'!$G$4),-3)</f>
        <v>4845000</v>
      </c>
      <c r="AF16" s="19">
        <f>ROUND((Z16)*(1+'Data-CostAssumptions'!$G$3)^(AD16-'Data-CostAssumptions'!$G$4),-3)</f>
        <v>25079000</v>
      </c>
      <c r="AG16" s="170" t="str">
        <f t="shared" si="3"/>
        <v>Yes</v>
      </c>
      <c r="AH16" s="19">
        <f t="shared" si="4"/>
        <v>4845000</v>
      </c>
      <c r="AI16" s="19">
        <f t="shared" si="5"/>
        <v>25079000</v>
      </c>
      <c r="AJ16" s="19">
        <f t="shared" si="6"/>
        <v>0</v>
      </c>
      <c r="AK16" s="19">
        <f t="shared" si="7"/>
        <v>0</v>
      </c>
      <c r="AL16" s="19">
        <f>IF(AB16&gt;2040,Z16+Z16*'Data-CostAssumptions'!$G$5,0)</f>
        <v>0</v>
      </c>
      <c r="AM16" s="11" t="s">
        <v>3183</v>
      </c>
    </row>
    <row r="17" spans="2:38" ht="15" customHeight="1" x14ac:dyDescent="0.2">
      <c r="B17" s="11" t="s">
        <v>1211</v>
      </c>
      <c r="C17" s="13">
        <v>996</v>
      </c>
      <c r="D17" s="13" t="s">
        <v>420</v>
      </c>
      <c r="E17" s="20">
        <v>21</v>
      </c>
      <c r="F17" s="20">
        <v>199</v>
      </c>
      <c r="G17" s="20">
        <v>876</v>
      </c>
      <c r="H17" s="13" t="s">
        <v>2792</v>
      </c>
      <c r="I17" s="13" t="str">
        <f t="shared" si="0"/>
        <v>SR 827/Pembroke Rd (SW 184th Av to SW 160th Av)</v>
      </c>
      <c r="J17" s="13" t="s">
        <v>300</v>
      </c>
      <c r="K17" s="13" t="str">
        <f>VLOOKUP(J17,'Data-ProjectTypes'!A$3:B$13,2,FALSE)</f>
        <v>Project</v>
      </c>
      <c r="L17" s="21" t="s">
        <v>304</v>
      </c>
      <c r="M17" s="13" t="s">
        <v>2111</v>
      </c>
      <c r="N17" s="13" t="s">
        <v>2107</v>
      </c>
      <c r="O17" s="13" t="s">
        <v>271</v>
      </c>
      <c r="P17" s="13" t="s">
        <v>271</v>
      </c>
      <c r="Q17" s="22">
        <v>1.9</v>
      </c>
      <c r="R17" s="234">
        <v>16966000</v>
      </c>
      <c r="S17" s="12"/>
      <c r="T17" s="12"/>
      <c r="U17" s="12"/>
      <c r="V17" s="12"/>
      <c r="W17" s="12"/>
      <c r="X17" s="34"/>
      <c r="Y17" s="12"/>
      <c r="Z17" s="18">
        <f>ROUND(R17*'Data-CostAssumptions'!$C$8,-3)</f>
        <v>16966000</v>
      </c>
      <c r="AA17" s="11">
        <f t="shared" si="1"/>
        <v>0</v>
      </c>
      <c r="AB17" s="11">
        <v>2041</v>
      </c>
      <c r="AC17" s="11">
        <v>2041</v>
      </c>
      <c r="AD17" s="11">
        <f t="shared" si="2"/>
        <v>2041</v>
      </c>
      <c r="AE17" s="19">
        <f>ROUND((Z17*'Data-CostAssumptions'!$G$5)*(1+'Data-CostAssumptions'!$G$3)^(AB17-'Data-CostAssumptions'!$G$4),-3)</f>
        <v>9570000</v>
      </c>
      <c r="AF17" s="19">
        <f>ROUND((Z17)*(1+'Data-CostAssumptions'!$G$3)^(AD17-'Data-CostAssumptions'!$G$4),-3)</f>
        <v>43500000</v>
      </c>
      <c r="AG17" s="170" t="str">
        <f t="shared" si="3"/>
        <v>No</v>
      </c>
      <c r="AH17" s="19">
        <f t="shared" si="4"/>
        <v>0</v>
      </c>
      <c r="AI17" s="19">
        <f t="shared" si="5"/>
        <v>0</v>
      </c>
      <c r="AJ17" s="19">
        <f t="shared" si="6"/>
        <v>0</v>
      </c>
      <c r="AK17" s="19">
        <f t="shared" si="7"/>
        <v>0</v>
      </c>
      <c r="AL17" s="19">
        <f>IF(AB17&gt;2040,Z17+Z17*'Data-CostAssumptions'!$G$5,0)</f>
        <v>20698520</v>
      </c>
    </row>
    <row r="18" spans="2:38" s="81" customFormat="1" ht="15" customHeight="1" x14ac:dyDescent="0.2">
      <c r="B18" s="81" t="s">
        <v>1211</v>
      </c>
      <c r="C18" s="78">
        <v>977</v>
      </c>
      <c r="D18" s="78" t="s">
        <v>420</v>
      </c>
      <c r="E18" s="235">
        <v>18</v>
      </c>
      <c r="F18" s="235">
        <v>197</v>
      </c>
      <c r="G18" s="235">
        <v>859</v>
      </c>
      <c r="H18" s="78" t="s">
        <v>2057</v>
      </c>
      <c r="I18" s="78" t="str">
        <f t="shared" si="0"/>
        <v>NW 21st Av (Commercial Bl to Oakland Park Bl)</v>
      </c>
      <c r="J18" s="78" t="s">
        <v>300</v>
      </c>
      <c r="K18" s="78" t="str">
        <f>VLOOKUP(J18,'Data-ProjectTypes'!A$3:B$13,2,FALSE)</f>
        <v>Project</v>
      </c>
      <c r="L18" s="78" t="s">
        <v>304</v>
      </c>
      <c r="M18" s="78" t="s">
        <v>1813</v>
      </c>
      <c r="N18" s="78" t="s">
        <v>1825</v>
      </c>
      <c r="O18" s="78" t="s">
        <v>273</v>
      </c>
      <c r="P18" s="78" t="s">
        <v>273</v>
      </c>
      <c r="Q18" s="236">
        <v>1.3</v>
      </c>
      <c r="R18" s="237">
        <v>15074168.051548667</v>
      </c>
      <c r="S18" s="27"/>
      <c r="T18" s="27"/>
      <c r="U18" s="27"/>
      <c r="V18" s="27"/>
      <c r="W18" s="27"/>
      <c r="X18" s="27"/>
      <c r="Y18" s="27"/>
      <c r="Z18" s="135">
        <f>ROUND(R18*'Data-CostAssumptions'!$C$8,-3)</f>
        <v>15074000</v>
      </c>
      <c r="AA18" s="81">
        <f t="shared" si="1"/>
        <v>0</v>
      </c>
      <c r="AB18" s="81">
        <v>2019</v>
      </c>
      <c r="AC18" s="81">
        <v>2019</v>
      </c>
      <c r="AD18" s="81">
        <f t="shared" si="2"/>
        <v>2019</v>
      </c>
      <c r="AE18" s="199">
        <f>ROUND((Z18*'Data-CostAssumptions'!$G$5)*(1+'Data-CostAssumptions'!$G$3)^(AB18-'Data-CostAssumptions'!$G$4),-3)</f>
        <v>4162000</v>
      </c>
      <c r="AF18" s="199">
        <f>ROUND((Z18)*(1+'Data-CostAssumptions'!$G$3)^(AD18-'Data-CostAssumptions'!$G$4),-3)</f>
        <v>18920000</v>
      </c>
      <c r="AG18" s="202" t="str">
        <f t="shared" si="3"/>
        <v>Yes</v>
      </c>
      <c r="AH18" s="199">
        <f t="shared" si="4"/>
        <v>23082000</v>
      </c>
      <c r="AI18" s="199">
        <f t="shared" si="5"/>
        <v>0</v>
      </c>
      <c r="AJ18" s="199">
        <f t="shared" si="6"/>
        <v>0</v>
      </c>
      <c r="AK18" s="199">
        <f t="shared" si="7"/>
        <v>0</v>
      </c>
      <c r="AL18" s="199">
        <f>IF(AB18&gt;2040,Z18+Z18*'Data-CostAssumptions'!$G$5,0)</f>
        <v>0</v>
      </c>
    </row>
    <row r="19" spans="2:38" ht="15" customHeight="1" x14ac:dyDescent="0.2">
      <c r="B19" s="11" t="s">
        <v>1211</v>
      </c>
      <c r="C19" s="13">
        <v>1057</v>
      </c>
      <c r="D19" s="13" t="s">
        <v>420</v>
      </c>
      <c r="E19" s="20">
        <v>35</v>
      </c>
      <c r="F19" s="20">
        <v>206</v>
      </c>
      <c r="G19" s="20">
        <v>896</v>
      </c>
      <c r="H19" s="13" t="s">
        <v>45</v>
      </c>
      <c r="I19" s="13" t="str">
        <f t="shared" si="0"/>
        <v>SR 84 (@  I-95)</v>
      </c>
      <c r="J19" s="13" t="s">
        <v>300</v>
      </c>
      <c r="K19" s="13" t="str">
        <f>VLOOKUP(J19,'Data-ProjectTypes'!A$3:B$13,2,FALSE)</f>
        <v>Project</v>
      </c>
      <c r="L19" s="21" t="s">
        <v>341</v>
      </c>
      <c r="M19" s="13" t="s">
        <v>2835</v>
      </c>
      <c r="N19" s="13" t="s">
        <v>41</v>
      </c>
      <c r="O19" s="13" t="s">
        <v>270</v>
      </c>
      <c r="P19" s="13" t="s">
        <v>270</v>
      </c>
      <c r="Q19" s="22"/>
      <c r="R19" s="234">
        <v>15000000</v>
      </c>
      <c r="S19" s="12"/>
      <c r="T19" s="12"/>
      <c r="U19" s="12"/>
      <c r="V19" s="12"/>
      <c r="W19" s="12"/>
      <c r="X19" s="12"/>
      <c r="Y19" s="12"/>
      <c r="Z19" s="18">
        <f>ROUND(R19*'Data-CostAssumptions'!$C$8,-3)</f>
        <v>15000000</v>
      </c>
      <c r="AA19" s="11">
        <f t="shared" si="1"/>
        <v>0</v>
      </c>
      <c r="AB19" s="11">
        <v>2035</v>
      </c>
      <c r="AC19" s="11">
        <v>2035</v>
      </c>
      <c r="AD19" s="11">
        <f t="shared" si="2"/>
        <v>2035</v>
      </c>
      <c r="AE19" s="19">
        <f>ROUND((Z19*'Data-CostAssumptions'!$G$5)*(1+'Data-CostAssumptions'!$G$3)^(AB19-'Data-CostAssumptions'!$G$4),-3)</f>
        <v>6963000</v>
      </c>
      <c r="AF19" s="19">
        <f>ROUND((Z19)*(1+'Data-CostAssumptions'!$G$3)^(AD19-'Data-CostAssumptions'!$G$4),-3)</f>
        <v>31652000</v>
      </c>
      <c r="AG19" s="170" t="str">
        <f t="shared" si="3"/>
        <v>Yes</v>
      </c>
      <c r="AH19" s="19">
        <f t="shared" si="4"/>
        <v>0</v>
      </c>
      <c r="AI19" s="19">
        <f t="shared" si="5"/>
        <v>0</v>
      </c>
      <c r="AJ19" s="19">
        <f t="shared" si="6"/>
        <v>0</v>
      </c>
      <c r="AK19" s="19">
        <f t="shared" si="7"/>
        <v>38615000</v>
      </c>
      <c r="AL19" s="19">
        <f>IF(AB19&gt;2040,Z19+Z19*'Data-CostAssumptions'!$G$5,0)</f>
        <v>0</v>
      </c>
    </row>
    <row r="20" spans="2:38" ht="15" customHeight="1" x14ac:dyDescent="0.2">
      <c r="B20" s="11" t="s">
        <v>1211</v>
      </c>
      <c r="C20" s="13">
        <v>979</v>
      </c>
      <c r="D20" s="13" t="s">
        <v>420</v>
      </c>
      <c r="E20" s="20">
        <v>29</v>
      </c>
      <c r="F20" s="20">
        <v>197</v>
      </c>
      <c r="G20" s="20">
        <v>861</v>
      </c>
      <c r="H20" s="13" t="s">
        <v>1765</v>
      </c>
      <c r="I20" s="13" t="str">
        <f t="shared" si="0"/>
        <v>Ravenswood Rd (SW 42nd St to Griffin Rd)</v>
      </c>
      <c r="J20" s="13" t="s">
        <v>300</v>
      </c>
      <c r="K20" s="13" t="str">
        <f>VLOOKUP(J20,'Data-ProjectTypes'!A$3:B$13,2,FALSE)</f>
        <v>Project</v>
      </c>
      <c r="L20" s="21" t="s">
        <v>304</v>
      </c>
      <c r="M20" s="13" t="s">
        <v>2556</v>
      </c>
      <c r="N20" s="13" t="s">
        <v>1750</v>
      </c>
      <c r="O20" s="13" t="s">
        <v>273</v>
      </c>
      <c r="P20" s="13" t="s">
        <v>273</v>
      </c>
      <c r="Q20" s="22">
        <v>1</v>
      </c>
      <c r="R20" s="234">
        <v>14342124.260031871</v>
      </c>
      <c r="S20" s="12"/>
      <c r="T20" s="12"/>
      <c r="U20" s="12"/>
      <c r="V20" s="12"/>
      <c r="W20" s="12"/>
      <c r="X20" s="12"/>
      <c r="Y20" s="12"/>
      <c r="Z20" s="18">
        <f>ROUND(R20*'Data-CostAssumptions'!$C$8,-3)</f>
        <v>14342000</v>
      </c>
      <c r="AA20" s="11">
        <f t="shared" si="1"/>
        <v>0</v>
      </c>
      <c r="AB20" s="11">
        <v>2041</v>
      </c>
      <c r="AC20" s="11">
        <v>2041</v>
      </c>
      <c r="AD20" s="11">
        <f t="shared" si="2"/>
        <v>2041</v>
      </c>
      <c r="AE20" s="19">
        <f>ROUND((Z20*'Data-CostAssumptions'!$G$5)*(1+'Data-CostAssumptions'!$G$3)^(AB20-'Data-CostAssumptions'!$G$4),-3)</f>
        <v>8090000</v>
      </c>
      <c r="AF20" s="19">
        <f>ROUND((Z20)*(1+'Data-CostAssumptions'!$G$3)^(AD20-'Data-CostAssumptions'!$G$4),-3)</f>
        <v>36772000</v>
      </c>
      <c r="AG20" s="170" t="str">
        <f t="shared" si="3"/>
        <v>No</v>
      </c>
      <c r="AH20" s="19">
        <f t="shared" si="4"/>
        <v>0</v>
      </c>
      <c r="AI20" s="19">
        <f t="shared" si="5"/>
        <v>0</v>
      </c>
      <c r="AJ20" s="19">
        <f t="shared" si="6"/>
        <v>0</v>
      </c>
      <c r="AK20" s="19">
        <f t="shared" si="7"/>
        <v>0</v>
      </c>
      <c r="AL20" s="19">
        <f>IF(AB20&gt;2040,Z20+Z20*'Data-CostAssumptions'!$G$5,0)</f>
        <v>17497240</v>
      </c>
    </row>
    <row r="21" spans="2:38" ht="15" customHeight="1" x14ac:dyDescent="0.2">
      <c r="B21" s="11" t="s">
        <v>1211</v>
      </c>
      <c r="C21" s="13">
        <v>994</v>
      </c>
      <c r="D21" s="13" t="s">
        <v>420</v>
      </c>
      <c r="E21" s="20">
        <v>6</v>
      </c>
      <c r="F21" s="20">
        <v>198</v>
      </c>
      <c r="G21" s="20">
        <v>874</v>
      </c>
      <c r="H21" s="13" t="s">
        <v>1834</v>
      </c>
      <c r="I21" s="13" t="str">
        <f t="shared" si="0"/>
        <v>Blount Rd (Copans Rd to Hammondville Rd)</v>
      </c>
      <c r="J21" s="13" t="s">
        <v>300</v>
      </c>
      <c r="K21" s="13" t="str">
        <f>VLOOKUP(J21,'Data-ProjectTypes'!A$3:B$13,2,FALSE)</f>
        <v>Project</v>
      </c>
      <c r="L21" s="21" t="s">
        <v>304</v>
      </c>
      <c r="M21" s="13" t="s">
        <v>1836</v>
      </c>
      <c r="N21" s="13" t="s">
        <v>1751</v>
      </c>
      <c r="O21" s="13" t="s">
        <v>273</v>
      </c>
      <c r="P21" s="13" t="s">
        <v>273</v>
      </c>
      <c r="Q21" s="22">
        <v>1</v>
      </c>
      <c r="R21" s="234">
        <v>13842869.762897193</v>
      </c>
      <c r="S21" s="12"/>
      <c r="T21" s="12"/>
      <c r="U21" s="12"/>
      <c r="V21" s="12"/>
      <c r="W21" s="12"/>
      <c r="X21" s="12"/>
      <c r="Y21" s="12"/>
      <c r="Z21" s="18">
        <f>ROUND(R21*'Data-CostAssumptions'!$C$8,-3)</f>
        <v>13843000</v>
      </c>
      <c r="AA21" s="11">
        <f t="shared" si="1"/>
        <v>0</v>
      </c>
      <c r="AB21" s="11">
        <v>2041</v>
      </c>
      <c r="AC21" s="11">
        <v>2041</v>
      </c>
      <c r="AD21" s="11">
        <f t="shared" si="2"/>
        <v>2041</v>
      </c>
      <c r="AE21" s="19">
        <f>ROUND((Z21*'Data-CostAssumptions'!$G$5)*(1+'Data-CostAssumptions'!$G$3)^(AB21-'Data-CostAssumptions'!$G$4),-3)</f>
        <v>7808000</v>
      </c>
      <c r="AF21" s="19">
        <f>ROUND((Z21)*(1+'Data-CostAssumptions'!$G$3)^(AD21-'Data-CostAssumptions'!$G$4),-3)</f>
        <v>35493000</v>
      </c>
      <c r="AG21" s="170" t="str">
        <f t="shared" si="3"/>
        <v>No</v>
      </c>
      <c r="AH21" s="19">
        <f t="shared" si="4"/>
        <v>0</v>
      </c>
      <c r="AI21" s="19">
        <f t="shared" si="5"/>
        <v>0</v>
      </c>
      <c r="AJ21" s="19">
        <f t="shared" si="6"/>
        <v>0</v>
      </c>
      <c r="AK21" s="19">
        <f t="shared" si="7"/>
        <v>0</v>
      </c>
      <c r="AL21" s="19">
        <f>IF(AB21&gt;2040,Z21+Z21*'Data-CostAssumptions'!$G$5,0)</f>
        <v>16888460</v>
      </c>
    </row>
    <row r="22" spans="2:38" s="81" customFormat="1" ht="15" customHeight="1" x14ac:dyDescent="0.2">
      <c r="B22" s="81" t="s">
        <v>1211</v>
      </c>
      <c r="C22" s="78">
        <v>982</v>
      </c>
      <c r="D22" s="78" t="s">
        <v>420</v>
      </c>
      <c r="E22" s="235">
        <v>47</v>
      </c>
      <c r="F22" s="235">
        <v>197</v>
      </c>
      <c r="G22" s="235">
        <v>864</v>
      </c>
      <c r="H22" s="78" t="s">
        <v>2709</v>
      </c>
      <c r="I22" s="78" t="str">
        <f t="shared" si="0"/>
        <v>SR 817/University Dr (County Line Rd to Holmberg Rd)</v>
      </c>
      <c r="J22" s="78" t="s">
        <v>300</v>
      </c>
      <c r="K22" s="78" t="str">
        <f>VLOOKUP(J22,'Data-ProjectTypes'!A$3:B$13,2,FALSE)</f>
        <v>Project</v>
      </c>
      <c r="L22" s="78" t="s">
        <v>304</v>
      </c>
      <c r="M22" s="78" t="s">
        <v>1839</v>
      </c>
      <c r="N22" s="78" t="s">
        <v>2404</v>
      </c>
      <c r="O22" s="78" t="s">
        <v>272</v>
      </c>
      <c r="P22" s="78" t="s">
        <v>272</v>
      </c>
      <c r="Q22" s="236">
        <v>1.5</v>
      </c>
      <c r="R22" s="237">
        <v>13746000</v>
      </c>
      <c r="S22" s="27"/>
      <c r="T22" s="27"/>
      <c r="U22" s="27"/>
      <c r="V22" s="27"/>
      <c r="W22" s="27"/>
      <c r="X22" s="27"/>
      <c r="Y22" s="27"/>
      <c r="Z22" s="135">
        <f>ROUND(R22*'Data-CostAssumptions'!$C$8,-3)</f>
        <v>13746000</v>
      </c>
      <c r="AA22" s="81">
        <f t="shared" si="1"/>
        <v>0</v>
      </c>
      <c r="AB22" s="81">
        <v>2028</v>
      </c>
      <c r="AC22" s="81">
        <v>2035</v>
      </c>
      <c r="AD22" s="81">
        <f t="shared" si="2"/>
        <v>2035</v>
      </c>
      <c r="AE22" s="199">
        <f>ROUND((Z22*'Data-CostAssumptions'!$G$5)*(1+'Data-CostAssumptions'!$G$3)^(AB22-'Data-CostAssumptions'!$G$4),-3)</f>
        <v>5084000</v>
      </c>
      <c r="AF22" s="199">
        <f>ROUND((Z22)*(1+'Data-CostAssumptions'!$G$3)^(AD22-'Data-CostAssumptions'!$G$4),-3)</f>
        <v>29006000</v>
      </c>
      <c r="AG22" s="202" t="str">
        <f t="shared" si="3"/>
        <v>Yes</v>
      </c>
      <c r="AH22" s="199">
        <f t="shared" si="4"/>
        <v>0</v>
      </c>
      <c r="AI22" s="199">
        <f t="shared" si="5"/>
        <v>0</v>
      </c>
      <c r="AJ22" s="199">
        <f t="shared" si="6"/>
        <v>5084000</v>
      </c>
      <c r="AK22" s="199">
        <f t="shared" si="7"/>
        <v>29006000</v>
      </c>
      <c r="AL22" s="199">
        <f>IF(AB22&gt;2040,Z22+Z22*'Data-CostAssumptions'!$G$5,0)</f>
        <v>0</v>
      </c>
    </row>
    <row r="23" spans="2:38" ht="15" customHeight="1" x14ac:dyDescent="0.2">
      <c r="B23" s="11" t="s">
        <v>1211</v>
      </c>
      <c r="C23" s="13">
        <v>962</v>
      </c>
      <c r="D23" s="13" t="s">
        <v>420</v>
      </c>
      <c r="E23" s="20">
        <v>49</v>
      </c>
      <c r="F23" s="20">
        <v>196</v>
      </c>
      <c r="G23" s="20">
        <v>845</v>
      </c>
      <c r="H23" s="13" t="s">
        <v>1780</v>
      </c>
      <c r="I23" s="13" t="str">
        <f t="shared" si="0"/>
        <v>Wiles Rd (State Rd 7/US 441 to Rock Island Rd)</v>
      </c>
      <c r="J23" s="13" t="s">
        <v>300</v>
      </c>
      <c r="K23" s="13" t="str">
        <f>VLOOKUP(J23,'Data-ProjectTypes'!A$3:B$13,2,FALSE)</f>
        <v>Project</v>
      </c>
      <c r="L23" s="21" t="s">
        <v>179</v>
      </c>
      <c r="M23" s="13" t="s">
        <v>1773</v>
      </c>
      <c r="N23" s="13" t="s">
        <v>1768</v>
      </c>
      <c r="O23" s="13" t="s">
        <v>273</v>
      </c>
      <c r="P23" s="13" t="s">
        <v>273</v>
      </c>
      <c r="Q23" s="22">
        <v>1.3</v>
      </c>
      <c r="R23" s="234">
        <v>12715845.117665131</v>
      </c>
      <c r="S23" s="12"/>
      <c r="T23" s="12"/>
      <c r="U23" s="12"/>
      <c r="V23" s="12"/>
      <c r="W23" s="12"/>
      <c r="X23" s="12"/>
      <c r="Y23" s="12"/>
      <c r="Z23" s="18">
        <f>ROUND(R23*'Data-CostAssumptions'!$C$8,-3)</f>
        <v>12716000</v>
      </c>
      <c r="AA23" s="11">
        <f t="shared" si="1"/>
        <v>0</v>
      </c>
      <c r="AB23" s="11">
        <v>2041</v>
      </c>
      <c r="AC23" s="11">
        <v>2041</v>
      </c>
      <c r="AD23" s="11">
        <f t="shared" si="2"/>
        <v>2041</v>
      </c>
      <c r="AE23" s="19">
        <f>ROUND((Z23*'Data-CostAssumptions'!$G$5)*(1+'Data-CostAssumptions'!$G$3)^(AB23-'Data-CostAssumptions'!$G$4),-3)</f>
        <v>7173000</v>
      </c>
      <c r="AF23" s="19">
        <f>ROUND((Z23)*(1+'Data-CostAssumptions'!$G$3)^(AD23-'Data-CostAssumptions'!$G$4),-3)</f>
        <v>32603000</v>
      </c>
      <c r="AG23" s="170" t="str">
        <f t="shared" si="3"/>
        <v>No</v>
      </c>
      <c r="AH23" s="19">
        <f t="shared" si="4"/>
        <v>0</v>
      </c>
      <c r="AI23" s="19">
        <f t="shared" si="5"/>
        <v>0</v>
      </c>
      <c r="AJ23" s="19">
        <f t="shared" si="6"/>
        <v>0</v>
      </c>
      <c r="AK23" s="19">
        <f t="shared" si="7"/>
        <v>0</v>
      </c>
      <c r="AL23" s="19">
        <f>IF(AB23&gt;2040,Z23+Z23*'Data-CostAssumptions'!$G$5,0)</f>
        <v>15513520</v>
      </c>
    </row>
    <row r="24" spans="2:38" ht="15" customHeight="1" x14ac:dyDescent="0.2">
      <c r="B24" s="11" t="s">
        <v>1211</v>
      </c>
      <c r="C24" s="13">
        <v>992</v>
      </c>
      <c r="D24" s="13" t="s">
        <v>420</v>
      </c>
      <c r="E24" s="20">
        <v>4</v>
      </c>
      <c r="F24" s="20">
        <v>198</v>
      </c>
      <c r="G24" s="20">
        <v>872</v>
      </c>
      <c r="H24" s="13" t="s">
        <v>1833</v>
      </c>
      <c r="I24" s="13" t="str">
        <f t="shared" si="0"/>
        <v>Bass Creek Rd (SW 172nd Av to SW 184th Av)</v>
      </c>
      <c r="J24" s="13" t="s">
        <v>300</v>
      </c>
      <c r="K24" s="13" t="str">
        <f>VLOOKUP(J24,'Data-ProjectTypes'!A$3:B$13,2,FALSE)</f>
        <v>Project</v>
      </c>
      <c r="L24" s="21" t="s">
        <v>692</v>
      </c>
      <c r="M24" s="13" t="s">
        <v>2110</v>
      </c>
      <c r="N24" s="13" t="s">
        <v>2111</v>
      </c>
      <c r="O24" s="13" t="s">
        <v>274</v>
      </c>
      <c r="P24" s="13" t="s">
        <v>274</v>
      </c>
      <c r="Q24" s="22">
        <v>1</v>
      </c>
      <c r="R24" s="234">
        <v>12655211.247017963</v>
      </c>
      <c r="S24" s="12"/>
      <c r="T24" s="12"/>
      <c r="U24" s="12"/>
      <c r="V24" s="12"/>
      <c r="W24" s="12"/>
      <c r="X24" s="12"/>
      <c r="Y24" s="12"/>
      <c r="Z24" s="18">
        <f>ROUND(R24*'Data-CostAssumptions'!$C$8,-3)</f>
        <v>12655000</v>
      </c>
      <c r="AA24" s="11">
        <f t="shared" si="1"/>
        <v>0</v>
      </c>
      <c r="AB24" s="11">
        <v>2041</v>
      </c>
      <c r="AC24" s="11">
        <v>2041</v>
      </c>
      <c r="AD24" s="11">
        <f t="shared" si="2"/>
        <v>2041</v>
      </c>
      <c r="AE24" s="19">
        <f>ROUND((Z24*'Data-CostAssumptions'!$G$5)*(1+'Data-CostAssumptions'!$G$3)^(AB24-'Data-CostAssumptions'!$G$4),-3)</f>
        <v>7138000</v>
      </c>
      <c r="AF24" s="19">
        <f>ROUND((Z24)*(1+'Data-CostAssumptions'!$G$3)^(AD24-'Data-CostAssumptions'!$G$4),-3)</f>
        <v>32447000</v>
      </c>
      <c r="AG24" s="170" t="str">
        <f t="shared" si="3"/>
        <v>No</v>
      </c>
      <c r="AH24" s="19">
        <f t="shared" si="4"/>
        <v>0</v>
      </c>
      <c r="AI24" s="19">
        <f t="shared" si="5"/>
        <v>0</v>
      </c>
      <c r="AJ24" s="19">
        <f t="shared" si="6"/>
        <v>0</v>
      </c>
      <c r="AK24" s="19">
        <f t="shared" si="7"/>
        <v>0</v>
      </c>
      <c r="AL24" s="19">
        <f>IF(AB24&gt;2040,Z24+Z24*'Data-CostAssumptions'!$G$5,0)</f>
        <v>15439100</v>
      </c>
    </row>
    <row r="25" spans="2:38" ht="15" customHeight="1" x14ac:dyDescent="0.2">
      <c r="B25" s="11" t="s">
        <v>1211</v>
      </c>
      <c r="C25" s="13">
        <v>998</v>
      </c>
      <c r="D25" s="13" t="s">
        <v>420</v>
      </c>
      <c r="E25" s="20">
        <v>13</v>
      </c>
      <c r="F25" s="20">
        <v>199</v>
      </c>
      <c r="G25" s="20">
        <v>877</v>
      </c>
      <c r="H25" s="13" t="s">
        <v>1752</v>
      </c>
      <c r="I25" s="13" t="str">
        <f t="shared" si="0"/>
        <v>Hiatus Rd (Stirling Rd to Sheridan Rd)</v>
      </c>
      <c r="J25" s="13" t="s">
        <v>300</v>
      </c>
      <c r="K25" s="13" t="str">
        <f>VLOOKUP(J25,'Data-ProjectTypes'!A$3:B$13,2,FALSE)</f>
        <v>Project</v>
      </c>
      <c r="L25" s="21" t="s">
        <v>304</v>
      </c>
      <c r="M25" s="13" t="s">
        <v>177</v>
      </c>
      <c r="N25" s="13" t="s">
        <v>2415</v>
      </c>
      <c r="O25" s="13" t="s">
        <v>272</v>
      </c>
      <c r="P25" s="13" t="s">
        <v>272</v>
      </c>
      <c r="Q25" s="22">
        <v>1</v>
      </c>
      <c r="R25" s="234">
        <v>12449000</v>
      </c>
      <c r="S25" s="12"/>
      <c r="T25" s="12"/>
      <c r="U25" s="12"/>
      <c r="V25" s="12"/>
      <c r="W25" s="12"/>
      <c r="X25" s="12"/>
      <c r="Y25" s="12"/>
      <c r="Z25" s="18">
        <f>ROUND(R25*'Data-CostAssumptions'!$C$8,-3)</f>
        <v>12449000</v>
      </c>
      <c r="AA25" s="11">
        <f t="shared" si="1"/>
        <v>0</v>
      </c>
      <c r="AB25" s="11">
        <v>2041</v>
      </c>
      <c r="AC25" s="11">
        <v>2041</v>
      </c>
      <c r="AD25" s="11">
        <f t="shared" si="2"/>
        <v>2041</v>
      </c>
      <c r="AE25" s="19">
        <f>ROUND((Z25*'Data-CostAssumptions'!$G$5)*(1+'Data-CostAssumptions'!$G$3)^(AB25-'Data-CostAssumptions'!$G$4),-3)</f>
        <v>7022000</v>
      </c>
      <c r="AF25" s="19">
        <f>ROUND((Z25)*(1+'Data-CostAssumptions'!$G$3)^(AD25-'Data-CostAssumptions'!$G$4),-3)</f>
        <v>31919000</v>
      </c>
      <c r="AG25" s="170" t="str">
        <f t="shared" si="3"/>
        <v>No</v>
      </c>
      <c r="AH25" s="19">
        <f t="shared" si="4"/>
        <v>0</v>
      </c>
      <c r="AI25" s="19">
        <f t="shared" si="5"/>
        <v>0</v>
      </c>
      <c r="AJ25" s="19">
        <f t="shared" si="6"/>
        <v>0</v>
      </c>
      <c r="AK25" s="19">
        <f t="shared" si="7"/>
        <v>0</v>
      </c>
      <c r="AL25" s="19">
        <f>IF(AB25&gt;2040,Z25+Z25*'Data-CostAssumptions'!$G$5,0)</f>
        <v>15187780</v>
      </c>
    </row>
    <row r="26" spans="2:38" ht="15" customHeight="1" x14ac:dyDescent="0.2">
      <c r="B26" s="11" t="s">
        <v>1211</v>
      </c>
      <c r="C26" s="13">
        <v>974</v>
      </c>
      <c r="D26" s="13" t="s">
        <v>420</v>
      </c>
      <c r="E26" s="20">
        <v>33</v>
      </c>
      <c r="F26" s="20">
        <v>197</v>
      </c>
      <c r="G26" s="20">
        <v>856</v>
      </c>
      <c r="H26" s="13" t="s">
        <v>110</v>
      </c>
      <c r="I26" s="13" t="str">
        <f t="shared" si="0"/>
        <v>SR A1A (Flamingo Dr to Oakland Park Bl)</v>
      </c>
      <c r="J26" s="13" t="s">
        <v>300</v>
      </c>
      <c r="K26" s="13" t="str">
        <f>VLOOKUP(J26,'Data-ProjectTypes'!A$3:B$13,2,FALSE)</f>
        <v>Project</v>
      </c>
      <c r="L26" s="21" t="s">
        <v>305</v>
      </c>
      <c r="M26" s="13" t="s">
        <v>2680</v>
      </c>
      <c r="N26" s="13" t="s">
        <v>1825</v>
      </c>
      <c r="O26" s="13" t="s">
        <v>272</v>
      </c>
      <c r="P26" s="13" t="s">
        <v>272</v>
      </c>
      <c r="Q26" s="22">
        <v>1.1000000000000001</v>
      </c>
      <c r="R26" s="234">
        <v>12300000</v>
      </c>
      <c r="S26" s="12"/>
      <c r="T26" s="12"/>
      <c r="U26" s="12"/>
      <c r="V26" s="12"/>
      <c r="W26" s="12"/>
      <c r="X26" s="34"/>
      <c r="Y26" s="12"/>
      <c r="Z26" s="18">
        <f>ROUND(R26*'Data-CostAssumptions'!$C$8,-3)</f>
        <v>12300000</v>
      </c>
      <c r="AA26" s="11">
        <f t="shared" si="1"/>
        <v>0</v>
      </c>
      <c r="AB26" s="11">
        <v>2041</v>
      </c>
      <c r="AC26" s="11">
        <v>2041</v>
      </c>
      <c r="AD26" s="11">
        <f t="shared" si="2"/>
        <v>2041</v>
      </c>
      <c r="AE26" s="19">
        <f>ROUND((Z26*'Data-CostAssumptions'!$G$5)*(1+'Data-CostAssumptions'!$G$3)^(AB26-'Data-CostAssumptions'!$G$4),-3)</f>
        <v>6938000</v>
      </c>
      <c r="AF26" s="19">
        <f>ROUND((Z26)*(1+'Data-CostAssumptions'!$G$3)^(AD26-'Data-CostAssumptions'!$G$4),-3)</f>
        <v>31537000</v>
      </c>
      <c r="AG26" s="170" t="str">
        <f t="shared" si="3"/>
        <v>No</v>
      </c>
      <c r="AH26" s="19">
        <f t="shared" si="4"/>
        <v>0</v>
      </c>
      <c r="AI26" s="19">
        <f t="shared" si="5"/>
        <v>0</v>
      </c>
      <c r="AJ26" s="19">
        <f t="shared" si="6"/>
        <v>0</v>
      </c>
      <c r="AK26" s="19">
        <f t="shared" si="7"/>
        <v>0</v>
      </c>
      <c r="AL26" s="19">
        <f>IF(AB26&gt;2040,Z26+Z26*'Data-CostAssumptions'!$G$5,0)</f>
        <v>15006000</v>
      </c>
    </row>
    <row r="27" spans="2:38" s="81" customFormat="1" ht="15" customHeight="1" x14ac:dyDescent="0.2">
      <c r="B27" s="81" t="s">
        <v>1211</v>
      </c>
      <c r="C27" s="78">
        <v>989</v>
      </c>
      <c r="D27" s="78" t="s">
        <v>420</v>
      </c>
      <c r="E27" s="235">
        <v>41</v>
      </c>
      <c r="F27" s="235">
        <v>198</v>
      </c>
      <c r="G27" s="235">
        <v>869</v>
      </c>
      <c r="H27" s="78" t="s">
        <v>2104</v>
      </c>
      <c r="I27" s="78" t="str">
        <f t="shared" si="0"/>
        <v>SW 148th Av (Miramar Parkway to Bass Creek Rd)</v>
      </c>
      <c r="J27" s="78" t="s">
        <v>300</v>
      </c>
      <c r="K27" s="78" t="str">
        <f>VLOOKUP(J27,'Data-ProjectTypes'!A$3:B$13,2,FALSE)</f>
        <v>Project</v>
      </c>
      <c r="L27" s="78" t="s">
        <v>304</v>
      </c>
      <c r="M27" s="78" t="s">
        <v>39</v>
      </c>
      <c r="N27" s="78" t="s">
        <v>1833</v>
      </c>
      <c r="O27" s="78" t="s">
        <v>274</v>
      </c>
      <c r="P27" s="78" t="s">
        <v>274</v>
      </c>
      <c r="Q27" s="236">
        <v>1</v>
      </c>
      <c r="R27" s="237">
        <v>11012000</v>
      </c>
      <c r="S27" s="27"/>
      <c r="T27" s="27"/>
      <c r="U27" s="27"/>
      <c r="V27" s="27"/>
      <c r="W27" s="27"/>
      <c r="X27" s="117"/>
      <c r="Y27" s="27"/>
      <c r="Z27" s="135">
        <f>ROUND(R27*'Data-CostAssumptions'!$C$8,-3)</f>
        <v>11012000</v>
      </c>
      <c r="AA27" s="81">
        <f t="shared" si="1"/>
        <v>0</v>
      </c>
      <c r="AB27" s="81">
        <v>2028</v>
      </c>
      <c r="AC27" s="81">
        <v>2035</v>
      </c>
      <c r="AD27" s="81">
        <f t="shared" si="2"/>
        <v>2035</v>
      </c>
      <c r="AE27" s="199">
        <f>ROUND((Z27*'Data-CostAssumptions'!$G$5)*(1+'Data-CostAssumptions'!$G$3)^(AB27-'Data-CostAssumptions'!$G$4),-3)</f>
        <v>4073000</v>
      </c>
      <c r="AF27" s="199">
        <f>ROUND((Z27)*(1+'Data-CostAssumptions'!$G$3)^(AD27-'Data-CostAssumptions'!$G$4),-3)</f>
        <v>23237000</v>
      </c>
      <c r="AG27" s="202" t="str">
        <f t="shared" si="3"/>
        <v>Yes</v>
      </c>
      <c r="AH27" s="199">
        <f t="shared" si="4"/>
        <v>0</v>
      </c>
      <c r="AI27" s="199">
        <f t="shared" si="5"/>
        <v>0</v>
      </c>
      <c r="AJ27" s="199">
        <f t="shared" si="6"/>
        <v>4073000</v>
      </c>
      <c r="AK27" s="199">
        <f t="shared" si="7"/>
        <v>23237000</v>
      </c>
      <c r="AL27" s="199">
        <f>IF(AB27&gt;2040,Z27+Z27*'Data-CostAssumptions'!$G$5,0)</f>
        <v>0</v>
      </c>
    </row>
    <row r="28" spans="2:38" s="81" customFormat="1" ht="15" customHeight="1" x14ac:dyDescent="0.2">
      <c r="B28" s="81" t="s">
        <v>1211</v>
      </c>
      <c r="C28" s="78">
        <v>972</v>
      </c>
      <c r="D28" s="78" t="s">
        <v>420</v>
      </c>
      <c r="E28" s="235">
        <v>24</v>
      </c>
      <c r="F28" s="235">
        <v>197</v>
      </c>
      <c r="G28" s="235">
        <v>854</v>
      </c>
      <c r="H28" s="78" t="s">
        <v>2792</v>
      </c>
      <c r="I28" s="78" t="str">
        <f t="shared" si="0"/>
        <v>SR 827/Pembroke Rd (Douglas Rd to University Dr)</v>
      </c>
      <c r="J28" s="78" t="s">
        <v>300</v>
      </c>
      <c r="K28" s="78" t="str">
        <f>VLOOKUP(J28,'Data-ProjectTypes'!A$3:B$13,2,FALSE)</f>
        <v>Project</v>
      </c>
      <c r="L28" s="78" t="s">
        <v>179</v>
      </c>
      <c r="M28" s="78" t="s">
        <v>2425</v>
      </c>
      <c r="N28" s="78" t="s">
        <v>1804</v>
      </c>
      <c r="O28" s="78" t="s">
        <v>272</v>
      </c>
      <c r="P28" s="78" t="s">
        <v>272</v>
      </c>
      <c r="Q28" s="236">
        <v>1</v>
      </c>
      <c r="R28" s="237">
        <v>9813000</v>
      </c>
      <c r="S28" s="27"/>
      <c r="T28" s="27"/>
      <c r="U28" s="27"/>
      <c r="V28" s="27"/>
      <c r="W28" s="27"/>
      <c r="X28" s="117"/>
      <c r="Y28" s="27"/>
      <c r="Z28" s="135">
        <f>ROUND(R28*'Data-CostAssumptions'!$C$8,-3)</f>
        <v>9813000</v>
      </c>
      <c r="AA28" s="81">
        <f t="shared" si="1"/>
        <v>0</v>
      </c>
      <c r="AB28" s="81">
        <v>2035</v>
      </c>
      <c r="AC28" s="81">
        <v>2035</v>
      </c>
      <c r="AD28" s="81">
        <f t="shared" si="2"/>
        <v>2035</v>
      </c>
      <c r="AE28" s="199">
        <f>ROUND((Z28*'Data-CostAssumptions'!$G$5)*(1+'Data-CostAssumptions'!$G$3)^(AB28-'Data-CostAssumptions'!$G$4),-3)</f>
        <v>4555000</v>
      </c>
      <c r="AF28" s="199">
        <f>ROUND((Z28)*(1+'Data-CostAssumptions'!$G$3)^(AD28-'Data-CostAssumptions'!$G$4),-3)</f>
        <v>20707000</v>
      </c>
      <c r="AG28" s="202" t="str">
        <f t="shared" si="3"/>
        <v>Yes</v>
      </c>
      <c r="AH28" s="199">
        <f t="shared" si="4"/>
        <v>0</v>
      </c>
      <c r="AI28" s="199">
        <f t="shared" si="5"/>
        <v>0</v>
      </c>
      <c r="AJ28" s="199">
        <f t="shared" si="6"/>
        <v>0</v>
      </c>
      <c r="AK28" s="199">
        <f t="shared" si="7"/>
        <v>25262000</v>
      </c>
      <c r="AL28" s="199">
        <f>IF(AB28&gt;2040,Z28+Z28*'Data-CostAssumptions'!$G$5,0)</f>
        <v>0</v>
      </c>
    </row>
    <row r="29" spans="2:38" ht="15" customHeight="1" x14ac:dyDescent="0.2">
      <c r="B29" s="11" t="s">
        <v>1211</v>
      </c>
      <c r="C29" s="13">
        <v>959</v>
      </c>
      <c r="D29" s="13" t="s">
        <v>420</v>
      </c>
      <c r="E29" s="20">
        <v>20</v>
      </c>
      <c r="F29" s="20">
        <v>196</v>
      </c>
      <c r="G29" s="20">
        <v>842</v>
      </c>
      <c r="H29" s="13" t="s">
        <v>2710</v>
      </c>
      <c r="I29" s="13" t="str">
        <f t="shared" si="0"/>
        <v>SR 816/Oakland Park Bl (Powerline Rd to I-95)</v>
      </c>
      <c r="J29" s="13" t="s">
        <v>300</v>
      </c>
      <c r="K29" s="13" t="str">
        <f>VLOOKUP(J29,'Data-ProjectTypes'!A$3:B$13,2,FALSE)</f>
        <v>Project</v>
      </c>
      <c r="L29" s="21" t="s">
        <v>301</v>
      </c>
      <c r="M29" s="13" t="s">
        <v>1858</v>
      </c>
      <c r="N29" s="13" t="s">
        <v>41</v>
      </c>
      <c r="O29" s="13" t="s">
        <v>287</v>
      </c>
      <c r="P29" s="13" t="s">
        <v>287</v>
      </c>
      <c r="Q29" s="22">
        <v>0</v>
      </c>
      <c r="R29" s="234">
        <v>9446379.063187765</v>
      </c>
      <c r="S29" s="12"/>
      <c r="T29" s="12"/>
      <c r="U29" s="12"/>
      <c r="V29" s="12"/>
      <c r="W29" s="12"/>
      <c r="X29" s="12"/>
      <c r="Y29" s="12"/>
      <c r="Z29" s="18">
        <f>ROUND(R29*'Data-CostAssumptions'!$C$8,-3)</f>
        <v>9446000</v>
      </c>
      <c r="AA29" s="11">
        <f t="shared" si="1"/>
        <v>0</v>
      </c>
      <c r="AB29" s="11">
        <v>2019</v>
      </c>
      <c r="AC29" s="11">
        <v>2019</v>
      </c>
      <c r="AD29" s="11">
        <f t="shared" si="2"/>
        <v>2019</v>
      </c>
      <c r="AE29" s="19">
        <f>ROUND((Z29*'Data-CostAssumptions'!$G$5)*(1+'Data-CostAssumptions'!$G$3)^(AB29-'Data-CostAssumptions'!$G$4),-3)</f>
        <v>2608000</v>
      </c>
      <c r="AF29" s="19">
        <f>ROUND((Z29)*(1+'Data-CostAssumptions'!$G$3)^(AD29-'Data-CostAssumptions'!$G$4),-3)</f>
        <v>11856000</v>
      </c>
      <c r="AG29" s="170" t="str">
        <f t="shared" si="3"/>
        <v>Yes</v>
      </c>
      <c r="AH29" s="19">
        <f t="shared" si="4"/>
        <v>14464000</v>
      </c>
      <c r="AI29" s="19">
        <f t="shared" si="5"/>
        <v>0</v>
      </c>
      <c r="AJ29" s="19">
        <f t="shared" si="6"/>
        <v>0</v>
      </c>
      <c r="AK29" s="19">
        <f t="shared" si="7"/>
        <v>0</v>
      </c>
      <c r="AL29" s="19">
        <f>IF(AB29&gt;2040,Z29+Z29*'Data-CostAssumptions'!$G$5,0)</f>
        <v>0</v>
      </c>
    </row>
    <row r="30" spans="2:38" ht="15" customHeight="1" x14ac:dyDescent="0.2">
      <c r="B30" s="11" t="s">
        <v>1211</v>
      </c>
      <c r="C30" s="13">
        <v>1001</v>
      </c>
      <c r="D30" s="13" t="s">
        <v>420</v>
      </c>
      <c r="E30" s="20">
        <v>46</v>
      </c>
      <c r="F30" s="20">
        <v>199</v>
      </c>
      <c r="G30" s="20">
        <v>880</v>
      </c>
      <c r="H30" s="13" t="s">
        <v>1867</v>
      </c>
      <c r="I30" s="13" t="str">
        <f t="shared" si="0"/>
        <v>Trails End Rd (County Line Rd to University Dr)</v>
      </c>
      <c r="J30" s="13" t="s">
        <v>300</v>
      </c>
      <c r="K30" s="13" t="str">
        <f>VLOOKUP(J30,'Data-ProjectTypes'!A$3:B$13,2,FALSE)</f>
        <v>Project</v>
      </c>
      <c r="L30" s="21" t="s">
        <v>311</v>
      </c>
      <c r="M30" s="13" t="s">
        <v>1839</v>
      </c>
      <c r="N30" s="13" t="s">
        <v>1804</v>
      </c>
      <c r="O30" s="13" t="s">
        <v>272</v>
      </c>
      <c r="P30" s="13" t="s">
        <v>272</v>
      </c>
      <c r="Q30" s="22">
        <v>0.7</v>
      </c>
      <c r="R30" s="234">
        <v>9389000</v>
      </c>
      <c r="S30" s="12"/>
      <c r="T30" s="12"/>
      <c r="U30" s="12"/>
      <c r="V30" s="12"/>
      <c r="W30" s="12"/>
      <c r="X30" s="12"/>
      <c r="Y30" s="12"/>
      <c r="Z30" s="18">
        <f>ROUND(R30*'Data-CostAssumptions'!$C$8,-3)</f>
        <v>9389000</v>
      </c>
      <c r="AA30" s="11">
        <f t="shared" si="1"/>
        <v>0</v>
      </c>
      <c r="AB30" s="11">
        <v>2041</v>
      </c>
      <c r="AC30" s="11">
        <v>2041</v>
      </c>
      <c r="AD30" s="11">
        <f t="shared" si="2"/>
        <v>2041</v>
      </c>
      <c r="AE30" s="19">
        <f>ROUND((Z30*'Data-CostAssumptions'!$G$5)*(1+'Data-CostAssumptions'!$G$3)^(AB30-'Data-CostAssumptions'!$G$4),-3)</f>
        <v>5296000</v>
      </c>
      <c r="AF30" s="19">
        <f>ROUND((Z30)*(1+'Data-CostAssumptions'!$G$3)^(AD30-'Data-CostAssumptions'!$G$4),-3)</f>
        <v>24073000</v>
      </c>
      <c r="AG30" s="170" t="str">
        <f t="shared" si="3"/>
        <v>No</v>
      </c>
      <c r="AH30" s="19">
        <f t="shared" si="4"/>
        <v>0</v>
      </c>
      <c r="AI30" s="19">
        <f t="shared" si="5"/>
        <v>0</v>
      </c>
      <c r="AJ30" s="19">
        <f t="shared" si="6"/>
        <v>0</v>
      </c>
      <c r="AK30" s="19">
        <f t="shared" si="7"/>
        <v>0</v>
      </c>
      <c r="AL30" s="19">
        <f>IF(AB30&gt;2040,Z30+Z30*'Data-CostAssumptions'!$G$5,0)</f>
        <v>11454580</v>
      </c>
    </row>
    <row r="31" spans="2:38" s="76" customFormat="1" ht="15" customHeight="1" x14ac:dyDescent="0.2">
      <c r="B31" s="76" t="s">
        <v>1213</v>
      </c>
      <c r="C31" s="47">
        <v>980</v>
      </c>
      <c r="D31" s="47" t="s">
        <v>420</v>
      </c>
      <c r="E31" s="238">
        <v>11</v>
      </c>
      <c r="F31" s="238">
        <v>197</v>
      </c>
      <c r="G31" s="238">
        <v>862</v>
      </c>
      <c r="H31" s="47" t="s">
        <v>2838</v>
      </c>
      <c r="I31" s="47" t="str">
        <f t="shared" si="0"/>
        <v>Davie Rd Ext. (SW 72nd Av to East of University Dr)</v>
      </c>
      <c r="J31" s="47" t="s">
        <v>300</v>
      </c>
      <c r="K31" s="47" t="str">
        <f>VLOOKUP(J31,'Data-ProjectTypes'!A$3:B$13,2,FALSE)</f>
        <v>Project</v>
      </c>
      <c r="L31" s="47" t="s">
        <v>303</v>
      </c>
      <c r="M31" s="47" t="s">
        <v>2133</v>
      </c>
      <c r="N31" s="47" t="s">
        <v>2651</v>
      </c>
      <c r="O31" s="47" t="s">
        <v>273</v>
      </c>
      <c r="P31" s="47" t="s">
        <v>273</v>
      </c>
      <c r="Q31" s="239">
        <v>0.9</v>
      </c>
      <c r="R31" s="240">
        <v>8396490.7308588903</v>
      </c>
      <c r="S31" s="83"/>
      <c r="T31" s="83"/>
      <c r="U31" s="83"/>
      <c r="V31" s="83"/>
      <c r="W31" s="83"/>
      <c r="X31" s="83"/>
      <c r="Y31" s="83" t="s">
        <v>3184</v>
      </c>
      <c r="Z31" s="146">
        <f>ROUND(R31*'Data-CostAssumptions'!$C$8,-3)</f>
        <v>8396000</v>
      </c>
      <c r="AA31" s="76">
        <f t="shared" si="1"/>
        <v>0</v>
      </c>
      <c r="AB31" s="76">
        <v>2041</v>
      </c>
      <c r="AC31" s="76">
        <v>2041</v>
      </c>
      <c r="AD31" s="76">
        <f t="shared" si="2"/>
        <v>2041</v>
      </c>
      <c r="AE31" s="241">
        <f>ROUND((Z31*'Data-CostAssumptions'!$G$5)*(1+'Data-CostAssumptions'!$G$3)^(AB31-'Data-CostAssumptions'!$G$4),-3)</f>
        <v>4736000</v>
      </c>
      <c r="AF31" s="241">
        <f>ROUND((Z31)*(1+'Data-CostAssumptions'!$G$3)^(AD31-'Data-CostAssumptions'!$G$4),-3)</f>
        <v>21527000</v>
      </c>
      <c r="AG31" s="242" t="str">
        <f t="shared" si="3"/>
        <v>No</v>
      </c>
      <c r="AH31" s="241">
        <f t="shared" si="4"/>
        <v>0</v>
      </c>
      <c r="AI31" s="241">
        <f t="shared" si="5"/>
        <v>0</v>
      </c>
      <c r="AJ31" s="241">
        <f t="shared" si="6"/>
        <v>0</v>
      </c>
      <c r="AK31" s="241">
        <f t="shared" si="7"/>
        <v>0</v>
      </c>
      <c r="AL31" s="241">
        <f>IF(AB31&gt;2040,Z31+Z31*'Data-CostAssumptions'!$G$5,0)</f>
        <v>10243120</v>
      </c>
    </row>
    <row r="32" spans="2:38" s="76" customFormat="1" ht="15" customHeight="1" x14ac:dyDescent="0.2">
      <c r="B32" s="76" t="s">
        <v>1213</v>
      </c>
      <c r="C32" s="47">
        <v>983</v>
      </c>
      <c r="D32" s="47" t="s">
        <v>420</v>
      </c>
      <c r="E32" s="238">
        <v>9</v>
      </c>
      <c r="F32" s="238">
        <v>198</v>
      </c>
      <c r="G32" s="238">
        <v>865</v>
      </c>
      <c r="H32" s="47" t="s">
        <v>1845</v>
      </c>
      <c r="I32" s="47" t="str">
        <f t="shared" si="0"/>
        <v>Davie Rd (I-595 to Nova Dr)</v>
      </c>
      <c r="J32" s="47" t="s">
        <v>300</v>
      </c>
      <c r="K32" s="47" t="str">
        <f>VLOOKUP(J32,'Data-ProjectTypes'!A$3:B$13,2,FALSE)</f>
        <v>Project</v>
      </c>
      <c r="L32" s="47" t="s">
        <v>179</v>
      </c>
      <c r="M32" s="47" t="s">
        <v>34</v>
      </c>
      <c r="N32" s="47" t="s">
        <v>487</v>
      </c>
      <c r="O32" s="47" t="s">
        <v>270</v>
      </c>
      <c r="P32" s="47" t="s">
        <v>270</v>
      </c>
      <c r="Q32" s="239">
        <v>0.5</v>
      </c>
      <c r="R32" s="240">
        <v>5541000</v>
      </c>
      <c r="S32" s="83"/>
      <c r="T32" s="83"/>
      <c r="U32" s="83"/>
      <c r="V32" s="83"/>
      <c r="W32" s="83"/>
      <c r="X32" s="83"/>
      <c r="Y32" s="83" t="s">
        <v>3184</v>
      </c>
      <c r="Z32" s="146">
        <f>ROUND(R32*'Data-CostAssumptions'!$C$8,-3)</f>
        <v>5541000</v>
      </c>
      <c r="AA32" s="76">
        <f t="shared" si="1"/>
        <v>0</v>
      </c>
      <c r="AB32" s="76">
        <v>2041</v>
      </c>
      <c r="AC32" s="76">
        <v>2041</v>
      </c>
      <c r="AD32" s="76">
        <f t="shared" si="2"/>
        <v>2041</v>
      </c>
      <c r="AE32" s="241">
        <f>ROUND((Z32*'Data-CostAssumptions'!$G$5)*(1+'Data-CostAssumptions'!$G$3)^(AB32-'Data-CostAssumptions'!$G$4),-3)</f>
        <v>3126000</v>
      </c>
      <c r="AF32" s="241">
        <f>ROUND((Z32)*(1+'Data-CostAssumptions'!$G$3)^(AD32-'Data-CostAssumptions'!$G$4),-3)</f>
        <v>14207000</v>
      </c>
      <c r="AG32" s="242" t="str">
        <f t="shared" si="3"/>
        <v>No</v>
      </c>
      <c r="AH32" s="241">
        <f t="shared" si="4"/>
        <v>0</v>
      </c>
      <c r="AI32" s="241">
        <f t="shared" si="5"/>
        <v>0</v>
      </c>
      <c r="AJ32" s="241">
        <f t="shared" si="6"/>
        <v>0</v>
      </c>
      <c r="AK32" s="241">
        <f t="shared" si="7"/>
        <v>0</v>
      </c>
      <c r="AL32" s="241">
        <f>IF(AB32&gt;2040,Z32+Z32*'Data-CostAssumptions'!$G$5,0)</f>
        <v>6760020</v>
      </c>
    </row>
    <row r="33" spans="2:38" ht="15" customHeight="1" x14ac:dyDescent="0.2">
      <c r="B33" s="11" t="s">
        <v>1211</v>
      </c>
      <c r="C33" s="13">
        <v>991</v>
      </c>
      <c r="D33" s="13" t="s">
        <v>420</v>
      </c>
      <c r="E33" s="20">
        <v>45</v>
      </c>
      <c r="F33" s="20">
        <v>198</v>
      </c>
      <c r="G33" s="20">
        <v>871</v>
      </c>
      <c r="H33" s="13" t="s">
        <v>2119</v>
      </c>
      <c r="I33" s="13" t="str">
        <f t="shared" si="0"/>
        <v>SW 30th Av (SW 45th St to Griffin Rd)</v>
      </c>
      <c r="J33" s="13" t="s">
        <v>300</v>
      </c>
      <c r="K33" s="13" t="str">
        <f>VLOOKUP(J33,'Data-ProjectTypes'!A$3:B$13,2,FALSE)</f>
        <v>Project</v>
      </c>
      <c r="L33" s="21" t="s">
        <v>304</v>
      </c>
      <c r="M33" s="13" t="s">
        <v>1963</v>
      </c>
      <c r="N33" s="13" t="s">
        <v>1750</v>
      </c>
      <c r="O33" s="13" t="s">
        <v>273</v>
      </c>
      <c r="P33" s="13" t="s">
        <v>273</v>
      </c>
      <c r="Q33" s="22">
        <v>0.3</v>
      </c>
      <c r="R33" s="234">
        <v>5132042.0516022639</v>
      </c>
      <c r="S33" s="12"/>
      <c r="T33" s="12"/>
      <c r="U33" s="12"/>
      <c r="V33" s="12"/>
      <c r="W33" s="12"/>
      <c r="X33" s="12"/>
      <c r="Y33" s="12"/>
      <c r="Z33" s="18">
        <f>ROUND(R33*'Data-CostAssumptions'!$C$8,-3)</f>
        <v>5132000</v>
      </c>
      <c r="AA33" s="11">
        <f t="shared" si="1"/>
        <v>0</v>
      </c>
      <c r="AB33" s="11">
        <v>2041</v>
      </c>
      <c r="AC33" s="11">
        <v>2041</v>
      </c>
      <c r="AD33" s="11">
        <f t="shared" si="2"/>
        <v>2041</v>
      </c>
      <c r="AE33" s="19">
        <f>ROUND((Z33*'Data-CostAssumptions'!$G$5)*(1+'Data-CostAssumptions'!$G$3)^(AB33-'Data-CostAssumptions'!$G$4),-3)</f>
        <v>2895000</v>
      </c>
      <c r="AF33" s="19">
        <f>ROUND((Z33)*(1+'Data-CostAssumptions'!$G$3)^(AD33-'Data-CostAssumptions'!$G$4),-3)</f>
        <v>13158000</v>
      </c>
      <c r="AG33" s="170" t="str">
        <f t="shared" si="3"/>
        <v>No</v>
      </c>
      <c r="AH33" s="19">
        <f t="shared" si="4"/>
        <v>0</v>
      </c>
      <c r="AI33" s="19">
        <f t="shared" si="5"/>
        <v>0</v>
      </c>
      <c r="AJ33" s="19">
        <f t="shared" si="6"/>
        <v>0</v>
      </c>
      <c r="AK33" s="19">
        <f t="shared" si="7"/>
        <v>0</v>
      </c>
      <c r="AL33" s="19">
        <f>IF(AB33&gt;2040,Z33+Z33*'Data-CostAssumptions'!$G$5,0)</f>
        <v>6261040</v>
      </c>
    </row>
    <row r="34" spans="2:38" s="81" customFormat="1" ht="15" customHeight="1" x14ac:dyDescent="0.2">
      <c r="B34" s="81" t="s">
        <v>1211</v>
      </c>
      <c r="C34" s="78">
        <v>978</v>
      </c>
      <c r="D34" s="78" t="s">
        <v>420</v>
      </c>
      <c r="E34" s="235">
        <v>23</v>
      </c>
      <c r="F34" s="235">
        <v>197</v>
      </c>
      <c r="G34" s="235">
        <v>860</v>
      </c>
      <c r="H34" s="78" t="s">
        <v>2792</v>
      </c>
      <c r="I34" s="78" t="str">
        <f t="shared" ref="I34:I65" si="8">IF(M34="@",H34&amp;" ("&amp;M34&amp;"  "&amp;N34&amp;")",H34&amp;" ("&amp;M34&amp;" to "&amp;N34&amp;")")</f>
        <v>SR 827/Pembroke Rd (State Rd 7/US 441 to West of Florida's Turnpike)</v>
      </c>
      <c r="J34" s="78" t="s">
        <v>300</v>
      </c>
      <c r="K34" s="78" t="str">
        <f>VLOOKUP(J34,'Data-ProjectTypes'!A$3:B$13,2,FALSE)</f>
        <v>Project</v>
      </c>
      <c r="L34" s="78" t="s">
        <v>302</v>
      </c>
      <c r="M34" s="78" t="s">
        <v>1773</v>
      </c>
      <c r="N34" s="78" t="s">
        <v>40</v>
      </c>
      <c r="O34" s="78" t="s">
        <v>270</v>
      </c>
      <c r="P34" s="78" t="s">
        <v>270</v>
      </c>
      <c r="Q34" s="236">
        <v>1.4</v>
      </c>
      <c r="R34" s="237">
        <v>5098334.2584478483</v>
      </c>
      <c r="S34" s="27"/>
      <c r="T34" s="27"/>
      <c r="U34" s="27"/>
      <c r="V34" s="27"/>
      <c r="W34" s="27"/>
      <c r="X34" s="27"/>
      <c r="Y34" s="27"/>
      <c r="Z34" s="135">
        <f>ROUND(R34*'Data-CostAssumptions'!$C$8,-3)</f>
        <v>5098000</v>
      </c>
      <c r="AA34" s="81">
        <f t="shared" ref="AA34:AA65" si="9">IF(V34="",IF(W34="",0,1),1)</f>
        <v>0</v>
      </c>
      <c r="AB34" s="81">
        <v>2035</v>
      </c>
      <c r="AC34" s="81">
        <v>2035</v>
      </c>
      <c r="AD34" s="81">
        <f t="shared" ref="AD34:AD65" si="10">+AC34</f>
        <v>2035</v>
      </c>
      <c r="AE34" s="199">
        <f>ROUND((Z34*'Data-CostAssumptions'!$G$5)*(1+'Data-CostAssumptions'!$G$3)^(AB34-'Data-CostAssumptions'!$G$4),-3)</f>
        <v>2367000</v>
      </c>
      <c r="AF34" s="199">
        <f>ROUND((Z34)*(1+'Data-CostAssumptions'!$G$3)^(AD34-'Data-CostAssumptions'!$G$4),-3)</f>
        <v>10757000</v>
      </c>
      <c r="AG34" s="202" t="str">
        <f t="shared" ref="AG34:AG65" si="11">IF(MIN(AC34:AD34)&lt;2041,"Yes","No")</f>
        <v>Yes</v>
      </c>
      <c r="AH34" s="199">
        <f t="shared" ref="AH34:AH65" si="12">IF(AB34&gt;2018,IF(AB34&lt;2021,AE34,0),0)+IF(AC34&gt;2018,IF(AC34&lt;2021,AF34,0),0)</f>
        <v>0</v>
      </c>
      <c r="AI34" s="199">
        <f t="shared" ref="AI34:AI65" si="13">IF(AB34&gt;2020,IF(AB34&lt;2026,AE34,0),0)+IF(AC34&gt;2020,IF(AC34&lt;2026,AF34,0),0)</f>
        <v>0</v>
      </c>
      <c r="AJ34" s="199">
        <f t="shared" ref="AJ34:AJ65" si="14">IF(AB34&gt;2025,IF(AB34&lt;2031,AE34,0),0)+IF(AC34&gt;2025,IF(AC34&lt;2031,AF34,0),0)</f>
        <v>0</v>
      </c>
      <c r="AK34" s="199">
        <f t="shared" ref="AK34:AK65" si="15">IF(AB34&gt;2030,IF(AB34&lt;2041,AE34,0),0)+IF(AC34&gt;2030,IF(AC34&lt;2041,AF34,0),0)</f>
        <v>13124000</v>
      </c>
      <c r="AL34" s="199">
        <f>IF(AB34&gt;2040,Z34+Z34*'Data-CostAssumptions'!$G$5,0)</f>
        <v>0</v>
      </c>
    </row>
    <row r="35" spans="2:38" ht="15" customHeight="1" x14ac:dyDescent="0.2">
      <c r="B35" s="11" t="s">
        <v>1211</v>
      </c>
      <c r="C35" s="13">
        <v>1002</v>
      </c>
      <c r="D35" s="13" t="s">
        <v>420</v>
      </c>
      <c r="E35" s="20">
        <v>22</v>
      </c>
      <c r="F35" s="20">
        <v>199</v>
      </c>
      <c r="G35" s="20">
        <v>881</v>
      </c>
      <c r="H35" s="13" t="s">
        <v>2792</v>
      </c>
      <c r="I35" s="13" t="str">
        <f t="shared" si="8"/>
        <v>SR 827/Pembroke Rd (SW 200th Av to SW 184th Av)</v>
      </c>
      <c r="J35" s="13" t="s">
        <v>300</v>
      </c>
      <c r="K35" s="13" t="str">
        <f>VLOOKUP(J35,'Data-ProjectTypes'!A$3:B$13,2,FALSE)</f>
        <v>Project</v>
      </c>
      <c r="L35" s="21" t="s">
        <v>311</v>
      </c>
      <c r="M35" s="13" t="s">
        <v>2371</v>
      </c>
      <c r="N35" s="13" t="s">
        <v>2111</v>
      </c>
      <c r="O35" s="13" t="s">
        <v>271</v>
      </c>
      <c r="P35" s="13" t="s">
        <v>271</v>
      </c>
      <c r="Q35" s="22">
        <v>1</v>
      </c>
      <c r="R35" s="234">
        <v>4443783.1552675245</v>
      </c>
      <c r="S35" s="12"/>
      <c r="T35" s="12"/>
      <c r="U35" s="12"/>
      <c r="V35" s="12"/>
      <c r="W35" s="12"/>
      <c r="X35" s="12"/>
      <c r="Y35" s="12"/>
      <c r="Z35" s="18">
        <f>ROUND(R35*'Data-CostAssumptions'!$C$8,-3)</f>
        <v>4444000</v>
      </c>
      <c r="AA35" s="11">
        <f t="shared" si="9"/>
        <v>0</v>
      </c>
      <c r="AB35" s="11">
        <v>2041</v>
      </c>
      <c r="AC35" s="11">
        <v>2041</v>
      </c>
      <c r="AD35" s="11">
        <f t="shared" si="10"/>
        <v>2041</v>
      </c>
      <c r="AE35" s="19">
        <f>ROUND((Z35*'Data-CostAssumptions'!$G$5)*(1+'Data-CostAssumptions'!$G$3)^(AB35-'Data-CostAssumptions'!$G$4),-3)</f>
        <v>2507000</v>
      </c>
      <c r="AF35" s="19">
        <f>ROUND((Z35)*(1+'Data-CostAssumptions'!$G$3)^(AD35-'Data-CostAssumptions'!$G$4),-3)</f>
        <v>11394000</v>
      </c>
      <c r="AG35" s="170" t="str">
        <f t="shared" si="11"/>
        <v>No</v>
      </c>
      <c r="AH35" s="19">
        <f t="shared" si="12"/>
        <v>0</v>
      </c>
      <c r="AI35" s="19">
        <f t="shared" si="13"/>
        <v>0</v>
      </c>
      <c r="AJ35" s="19">
        <f t="shared" si="14"/>
        <v>0</v>
      </c>
      <c r="AK35" s="19">
        <f t="shared" si="15"/>
        <v>0</v>
      </c>
      <c r="AL35" s="19">
        <f>IF(AB35&gt;2040,Z35+Z35*'Data-CostAssumptions'!$G$5,0)</f>
        <v>5421680</v>
      </c>
    </row>
    <row r="36" spans="2:38" ht="15" customHeight="1" x14ac:dyDescent="0.2">
      <c r="B36" s="11" t="s">
        <v>1211</v>
      </c>
      <c r="C36" s="13">
        <v>1036</v>
      </c>
      <c r="D36" s="13" t="s">
        <v>420</v>
      </c>
      <c r="E36" s="20">
        <v>11</v>
      </c>
      <c r="F36" s="20">
        <v>204</v>
      </c>
      <c r="G36" s="20">
        <v>886</v>
      </c>
      <c r="H36" s="13" t="s">
        <v>1791</v>
      </c>
      <c r="I36" s="13" t="str">
        <f t="shared" si="8"/>
        <v>Eller Dr/ICTF ( to 7th Av)</v>
      </c>
      <c r="J36" s="13" t="s">
        <v>300</v>
      </c>
      <c r="K36" s="13" t="str">
        <f>VLOOKUP(J36,'Data-ProjectTypes'!A$3:B$13,2,FALSE)</f>
        <v>Project</v>
      </c>
      <c r="L36" s="21" t="s">
        <v>327</v>
      </c>
      <c r="M36" s="13"/>
      <c r="N36" s="13" t="s">
        <v>2219</v>
      </c>
      <c r="O36" s="13" t="s">
        <v>270</v>
      </c>
      <c r="P36" s="13" t="s">
        <v>270</v>
      </c>
      <c r="Q36" s="22"/>
      <c r="R36" s="234">
        <v>3336209.802258647</v>
      </c>
      <c r="S36" s="12"/>
      <c r="T36" s="12"/>
      <c r="U36" s="12"/>
      <c r="V36" s="12"/>
      <c r="W36" s="12"/>
      <c r="X36" s="12"/>
      <c r="Y36" s="12"/>
      <c r="Z36" s="18">
        <f>ROUND(R36*'Data-CostAssumptions'!$C$8,-3)</f>
        <v>3336000</v>
      </c>
      <c r="AA36" s="11">
        <f t="shared" si="9"/>
        <v>0</v>
      </c>
      <c r="AB36" s="11">
        <v>2041</v>
      </c>
      <c r="AC36" s="11">
        <v>2041</v>
      </c>
      <c r="AD36" s="11">
        <f t="shared" si="10"/>
        <v>2041</v>
      </c>
      <c r="AE36" s="19">
        <f>ROUND((Z36*'Data-CostAssumptions'!$G$5)*(1+'Data-CostAssumptions'!$G$3)^(AB36-'Data-CostAssumptions'!$G$4),-3)</f>
        <v>1882000</v>
      </c>
      <c r="AF36" s="19">
        <f>ROUND((Z36)*(1+'Data-CostAssumptions'!$G$3)^(AD36-'Data-CostAssumptions'!$G$4),-3)</f>
        <v>8553000</v>
      </c>
      <c r="AG36" s="170" t="str">
        <f t="shared" si="11"/>
        <v>No</v>
      </c>
      <c r="AH36" s="19">
        <f t="shared" si="12"/>
        <v>0</v>
      </c>
      <c r="AI36" s="19">
        <f t="shared" si="13"/>
        <v>0</v>
      </c>
      <c r="AJ36" s="19">
        <f t="shared" si="14"/>
        <v>0</v>
      </c>
      <c r="AK36" s="19">
        <f t="shared" si="15"/>
        <v>0</v>
      </c>
      <c r="AL36" s="19">
        <f>IF(AB36&gt;2040,Z36+Z36*'Data-CostAssumptions'!$G$5,0)</f>
        <v>4069920</v>
      </c>
    </row>
    <row r="37" spans="2:38" ht="15" customHeight="1" x14ac:dyDescent="0.2">
      <c r="B37" s="11" t="s">
        <v>1211</v>
      </c>
      <c r="C37" s="13">
        <v>984</v>
      </c>
      <c r="D37" s="13" t="s">
        <v>420</v>
      </c>
      <c r="E37" s="20">
        <v>10</v>
      </c>
      <c r="F37" s="20">
        <v>198</v>
      </c>
      <c r="G37" s="20">
        <v>866</v>
      </c>
      <c r="H37" s="13" t="s">
        <v>2838</v>
      </c>
      <c r="I37" s="13" t="str">
        <f t="shared" si="8"/>
        <v>Davie Rd Ext. (East of University Dr to University Dr)</v>
      </c>
      <c r="J37" s="13" t="s">
        <v>300</v>
      </c>
      <c r="K37" s="13" t="str">
        <f>VLOOKUP(J37,'Data-ProjectTypes'!A$3:B$13,2,FALSE)</f>
        <v>Project</v>
      </c>
      <c r="L37" s="21" t="s">
        <v>306</v>
      </c>
      <c r="M37" s="13" t="s">
        <v>2651</v>
      </c>
      <c r="N37" s="13" t="s">
        <v>1804</v>
      </c>
      <c r="O37" s="13" t="s">
        <v>273</v>
      </c>
      <c r="P37" s="13" t="s">
        <v>273</v>
      </c>
      <c r="Q37" s="22">
        <v>0.3</v>
      </c>
      <c r="R37" s="234">
        <v>3185000</v>
      </c>
      <c r="S37" s="12"/>
      <c r="T37" s="12"/>
      <c r="U37" s="12"/>
      <c r="V37" s="12"/>
      <c r="W37" s="12"/>
      <c r="X37" s="12"/>
      <c r="Y37" s="12"/>
      <c r="Z37" s="18">
        <f>ROUND(R37*'Data-CostAssumptions'!$C$8,-3)</f>
        <v>3185000</v>
      </c>
      <c r="AA37" s="11">
        <f t="shared" si="9"/>
        <v>0</v>
      </c>
      <c r="AB37" s="11">
        <v>2041</v>
      </c>
      <c r="AC37" s="11">
        <v>2041</v>
      </c>
      <c r="AD37" s="11">
        <f t="shared" si="10"/>
        <v>2041</v>
      </c>
      <c r="AE37" s="19">
        <f>ROUND((Z37*'Data-CostAssumptions'!$G$5)*(1+'Data-CostAssumptions'!$G$3)^(AB37-'Data-CostAssumptions'!$G$4),-3)</f>
        <v>1797000</v>
      </c>
      <c r="AF37" s="19">
        <f>ROUND((Z37)*(1+'Data-CostAssumptions'!$G$3)^(AD37-'Data-CostAssumptions'!$G$4),-3)</f>
        <v>8166000</v>
      </c>
      <c r="AG37" s="170" t="str">
        <f t="shared" si="11"/>
        <v>No</v>
      </c>
      <c r="AH37" s="19">
        <f t="shared" si="12"/>
        <v>0</v>
      </c>
      <c r="AI37" s="19">
        <f t="shared" si="13"/>
        <v>0</v>
      </c>
      <c r="AJ37" s="19">
        <f t="shared" si="14"/>
        <v>0</v>
      </c>
      <c r="AK37" s="19">
        <f t="shared" si="15"/>
        <v>0</v>
      </c>
      <c r="AL37" s="19">
        <f>IF(AB37&gt;2040,Z37+Z37*'Data-CostAssumptions'!$G$5,0)</f>
        <v>3885700</v>
      </c>
    </row>
    <row r="38" spans="2:38" ht="15" customHeight="1" x14ac:dyDescent="0.2">
      <c r="B38" s="11" t="s">
        <v>1211</v>
      </c>
      <c r="C38" s="13">
        <v>969</v>
      </c>
      <c r="D38" s="13" t="s">
        <v>420</v>
      </c>
      <c r="E38" s="20">
        <v>37</v>
      </c>
      <c r="F38" s="20">
        <v>196</v>
      </c>
      <c r="G38" s="20">
        <v>851</v>
      </c>
      <c r="H38" s="13" t="s">
        <v>57</v>
      </c>
      <c r="I38" s="13" t="str">
        <f t="shared" si="8"/>
        <v>SR 7/US 441 (@  Atlantic Bl)</v>
      </c>
      <c r="J38" s="13" t="s">
        <v>300</v>
      </c>
      <c r="K38" s="13" t="str">
        <f>VLOOKUP(J38,'Data-ProjectTypes'!A$3:B$13,2,FALSE)</f>
        <v>Project</v>
      </c>
      <c r="L38" s="21" t="s">
        <v>301</v>
      </c>
      <c r="M38" s="13" t="s">
        <v>2835</v>
      </c>
      <c r="N38" s="13" t="s">
        <v>1809</v>
      </c>
      <c r="O38" s="13" t="s">
        <v>270</v>
      </c>
      <c r="P38" s="13" t="s">
        <v>270</v>
      </c>
      <c r="Q38" s="22">
        <v>0</v>
      </c>
      <c r="R38" s="234">
        <v>2532000</v>
      </c>
      <c r="S38" s="12"/>
      <c r="T38" s="12"/>
      <c r="U38" s="12"/>
      <c r="V38" s="12"/>
      <c r="W38" s="12"/>
      <c r="X38" s="12"/>
      <c r="Y38" s="12"/>
      <c r="Z38" s="18">
        <f>ROUND(R38*'Data-CostAssumptions'!$C$8,-3)</f>
        <v>2532000</v>
      </c>
      <c r="AA38" s="11">
        <f t="shared" si="9"/>
        <v>0</v>
      </c>
      <c r="AB38" s="11">
        <v>2041</v>
      </c>
      <c r="AC38" s="11">
        <v>2041</v>
      </c>
      <c r="AD38" s="11">
        <f t="shared" si="10"/>
        <v>2041</v>
      </c>
      <c r="AE38" s="19">
        <f>ROUND((Z38*'Data-CostAssumptions'!$G$5)*(1+'Data-CostAssumptions'!$G$3)^(AB38-'Data-CostAssumptions'!$G$4),-3)</f>
        <v>1428000</v>
      </c>
      <c r="AF38" s="19">
        <f>ROUND((Z38)*(1+'Data-CostAssumptions'!$G$3)^(AD38-'Data-CostAssumptions'!$G$4),-3)</f>
        <v>6492000</v>
      </c>
      <c r="AG38" s="170" t="str">
        <f t="shared" si="11"/>
        <v>No</v>
      </c>
      <c r="AH38" s="19">
        <f t="shared" si="12"/>
        <v>0</v>
      </c>
      <c r="AI38" s="19">
        <f t="shared" si="13"/>
        <v>0</v>
      </c>
      <c r="AJ38" s="19">
        <f t="shared" si="14"/>
        <v>0</v>
      </c>
      <c r="AK38" s="19">
        <f t="shared" si="15"/>
        <v>0</v>
      </c>
      <c r="AL38" s="19">
        <f>IF(AB38&gt;2040,Z38+Z38*'Data-CostAssumptions'!$G$5,0)</f>
        <v>3089040</v>
      </c>
    </row>
    <row r="39" spans="2:38" ht="15" customHeight="1" x14ac:dyDescent="0.2">
      <c r="B39" s="11" t="s">
        <v>1211</v>
      </c>
      <c r="C39" s="13">
        <v>961</v>
      </c>
      <c r="D39" s="13" t="s">
        <v>420</v>
      </c>
      <c r="E39" s="20">
        <v>36</v>
      </c>
      <c r="F39" s="20">
        <v>196</v>
      </c>
      <c r="G39" s="20">
        <v>844</v>
      </c>
      <c r="H39" s="13" t="s">
        <v>57</v>
      </c>
      <c r="I39" s="13" t="str">
        <f t="shared" si="8"/>
        <v>SR 7/US 441 (@  Hollywood Bl)</v>
      </c>
      <c r="J39" s="13" t="s">
        <v>300</v>
      </c>
      <c r="K39" s="13" t="str">
        <f>VLOOKUP(J39,'Data-ProjectTypes'!A$3:B$13,2,FALSE)</f>
        <v>Project</v>
      </c>
      <c r="L39" s="21" t="s">
        <v>301</v>
      </c>
      <c r="M39" s="13" t="s">
        <v>2835</v>
      </c>
      <c r="N39" s="13" t="s">
        <v>1820</v>
      </c>
      <c r="O39" s="13" t="s">
        <v>270</v>
      </c>
      <c r="P39" s="13" t="s">
        <v>270</v>
      </c>
      <c r="Q39" s="22">
        <v>0</v>
      </c>
      <c r="R39" s="234">
        <v>2403583.3956766413</v>
      </c>
      <c r="Y39" s="12"/>
      <c r="Z39" s="18">
        <f>ROUND(R39*'Data-CostAssumptions'!$C$8,-3)</f>
        <v>2404000</v>
      </c>
      <c r="AA39" s="11">
        <f t="shared" si="9"/>
        <v>0</v>
      </c>
      <c r="AB39" s="11">
        <v>2041</v>
      </c>
      <c r="AC39" s="11">
        <v>2041</v>
      </c>
      <c r="AD39" s="11">
        <f t="shared" si="10"/>
        <v>2041</v>
      </c>
      <c r="AE39" s="19">
        <f>ROUND((Z39*'Data-CostAssumptions'!$G$5)*(1+'Data-CostAssumptions'!$G$3)^(AB39-'Data-CostAssumptions'!$G$4),-3)</f>
        <v>1356000</v>
      </c>
      <c r="AF39" s="19">
        <f>ROUND((Z39)*(1+'Data-CostAssumptions'!$G$3)^(AD39-'Data-CostAssumptions'!$G$4),-3)</f>
        <v>6164000</v>
      </c>
      <c r="AG39" s="170" t="str">
        <f t="shared" si="11"/>
        <v>No</v>
      </c>
      <c r="AH39" s="19">
        <f t="shared" si="12"/>
        <v>0</v>
      </c>
      <c r="AI39" s="19">
        <f t="shared" si="13"/>
        <v>0</v>
      </c>
      <c r="AJ39" s="19">
        <f t="shared" si="14"/>
        <v>0</v>
      </c>
      <c r="AK39" s="19">
        <f t="shared" si="15"/>
        <v>0</v>
      </c>
      <c r="AL39" s="19">
        <f>IF(AB39&gt;2040,Z39+Z39*'Data-CostAssumptions'!$G$5,0)</f>
        <v>2932880</v>
      </c>
    </row>
    <row r="40" spans="2:38" ht="15" customHeight="1" x14ac:dyDescent="0.2">
      <c r="B40" s="11" t="s">
        <v>1211</v>
      </c>
      <c r="C40" s="13">
        <v>967</v>
      </c>
      <c r="D40" s="13" t="s">
        <v>420</v>
      </c>
      <c r="E40" s="20">
        <v>16</v>
      </c>
      <c r="F40" s="20">
        <v>196</v>
      </c>
      <c r="G40" s="20">
        <v>849</v>
      </c>
      <c r="H40" s="13" t="s">
        <v>487</v>
      </c>
      <c r="I40" s="13" t="str">
        <f t="shared" si="8"/>
        <v>Nova Dr (Pine Island Rd to University Dr)</v>
      </c>
      <c r="J40" s="13" t="s">
        <v>300</v>
      </c>
      <c r="K40" s="13" t="str">
        <f>VLOOKUP(J40,'Data-ProjectTypes'!A$3:B$13,2,FALSE)</f>
        <v>Project</v>
      </c>
      <c r="L40" s="21" t="s">
        <v>303</v>
      </c>
      <c r="M40" s="13" t="s">
        <v>266</v>
      </c>
      <c r="N40" s="13" t="s">
        <v>1804</v>
      </c>
      <c r="O40" s="13" t="s">
        <v>273</v>
      </c>
      <c r="P40" s="13" t="s">
        <v>273</v>
      </c>
      <c r="Q40" s="22">
        <v>0.9</v>
      </c>
      <c r="R40" s="234">
        <v>2202204.6783047938</v>
      </c>
      <c r="S40" s="12"/>
      <c r="T40" s="12"/>
      <c r="U40" s="12"/>
      <c r="V40" s="12"/>
      <c r="W40" s="12"/>
      <c r="X40" s="12"/>
      <c r="Y40" s="12"/>
      <c r="Z40" s="18">
        <f>ROUND(R40*'Data-CostAssumptions'!$C$8,-3)</f>
        <v>2202000</v>
      </c>
      <c r="AA40" s="11">
        <f t="shared" si="9"/>
        <v>0</v>
      </c>
      <c r="AB40" s="11">
        <v>2041</v>
      </c>
      <c r="AC40" s="11">
        <v>2041</v>
      </c>
      <c r="AD40" s="11">
        <f t="shared" si="10"/>
        <v>2041</v>
      </c>
      <c r="AE40" s="19">
        <f>ROUND((Z40*'Data-CostAssumptions'!$G$5)*(1+'Data-CostAssumptions'!$G$3)^(AB40-'Data-CostAssumptions'!$G$4),-3)</f>
        <v>1242000</v>
      </c>
      <c r="AF40" s="19">
        <f>ROUND((Z40)*(1+'Data-CostAssumptions'!$G$3)^(AD40-'Data-CostAssumptions'!$G$4),-3)</f>
        <v>5646000</v>
      </c>
      <c r="AG40" s="170" t="str">
        <f t="shared" si="11"/>
        <v>No</v>
      </c>
      <c r="AH40" s="19">
        <f t="shared" si="12"/>
        <v>0</v>
      </c>
      <c r="AI40" s="19">
        <f t="shared" si="13"/>
        <v>0</v>
      </c>
      <c r="AJ40" s="19">
        <f t="shared" si="14"/>
        <v>0</v>
      </c>
      <c r="AK40" s="19">
        <f t="shared" si="15"/>
        <v>0</v>
      </c>
      <c r="AL40" s="19">
        <f>IF(AB40&gt;2040,Z40+Z40*'Data-CostAssumptions'!$G$5,0)</f>
        <v>2686440</v>
      </c>
    </row>
    <row r="41" spans="2:38" ht="15" customHeight="1" x14ac:dyDescent="0.2">
      <c r="B41" s="11" t="s">
        <v>1211</v>
      </c>
      <c r="C41" s="13">
        <v>963</v>
      </c>
      <c r="D41" s="13" t="s">
        <v>420</v>
      </c>
      <c r="E41" s="20">
        <v>27</v>
      </c>
      <c r="F41" s="20">
        <v>196</v>
      </c>
      <c r="G41" s="20">
        <v>846</v>
      </c>
      <c r="H41" s="13" t="s">
        <v>2717</v>
      </c>
      <c r="I41" s="13" t="str">
        <f t="shared" si="8"/>
        <v>SR 820/Pines Bl (@  University Dr)</v>
      </c>
      <c r="J41" s="13" t="s">
        <v>300</v>
      </c>
      <c r="K41" s="13" t="str">
        <f>VLOOKUP(J41,'Data-ProjectTypes'!A$3:B$13,2,FALSE)</f>
        <v>Project</v>
      </c>
      <c r="L41" s="21" t="s">
        <v>301</v>
      </c>
      <c r="M41" s="13" t="s">
        <v>2835</v>
      </c>
      <c r="N41" s="13" t="s">
        <v>1804</v>
      </c>
      <c r="O41" s="13" t="s">
        <v>271</v>
      </c>
      <c r="P41" s="13" t="s">
        <v>271</v>
      </c>
      <c r="Q41" s="22">
        <v>0</v>
      </c>
      <c r="R41" s="234">
        <v>1109666.7711790476</v>
      </c>
      <c r="Y41" s="12"/>
      <c r="Z41" s="18">
        <f>ROUND(R41*'Data-CostAssumptions'!$C$8,-3)</f>
        <v>1110000</v>
      </c>
      <c r="AA41" s="11">
        <f t="shared" si="9"/>
        <v>0</v>
      </c>
      <c r="AB41" s="11">
        <v>2041</v>
      </c>
      <c r="AC41" s="11">
        <v>2041</v>
      </c>
      <c r="AD41" s="11">
        <f t="shared" si="10"/>
        <v>2041</v>
      </c>
      <c r="AE41" s="19">
        <f>ROUND((Z41*'Data-CostAssumptions'!$G$5)*(1+'Data-CostAssumptions'!$G$3)^(AB41-'Data-CostAssumptions'!$G$4),-3)</f>
        <v>626000</v>
      </c>
      <c r="AF41" s="19">
        <f>ROUND((Z41)*(1+'Data-CostAssumptions'!$G$3)^(AD41-'Data-CostAssumptions'!$G$4),-3)</f>
        <v>2846000</v>
      </c>
      <c r="AG41" s="170" t="str">
        <f t="shared" si="11"/>
        <v>No</v>
      </c>
      <c r="AH41" s="19">
        <f t="shared" si="12"/>
        <v>0</v>
      </c>
      <c r="AI41" s="19">
        <f t="shared" si="13"/>
        <v>0</v>
      </c>
      <c r="AJ41" s="19">
        <f t="shared" si="14"/>
        <v>0</v>
      </c>
      <c r="AK41" s="19">
        <f t="shared" si="15"/>
        <v>0</v>
      </c>
      <c r="AL41" s="19">
        <f>IF(AB41&gt;2040,Z41+Z41*'Data-CostAssumptions'!$G$5,0)</f>
        <v>1354200</v>
      </c>
    </row>
    <row r="42" spans="2:38" ht="15" customHeight="1" x14ac:dyDescent="0.2">
      <c r="B42" s="11" t="s">
        <v>1211</v>
      </c>
      <c r="C42" s="13">
        <v>965</v>
      </c>
      <c r="D42" s="13" t="s">
        <v>420</v>
      </c>
      <c r="E42" s="20">
        <v>35</v>
      </c>
      <c r="F42" s="20">
        <v>196</v>
      </c>
      <c r="G42" s="20">
        <v>848</v>
      </c>
      <c r="H42" s="13" t="s">
        <v>57</v>
      </c>
      <c r="I42" s="13" t="str">
        <f t="shared" si="8"/>
        <v>SR 7/US 441 (@  Oakland Park Bl)</v>
      </c>
      <c r="J42" s="13" t="s">
        <v>300</v>
      </c>
      <c r="K42" s="13" t="str">
        <f>VLOOKUP(J42,'Data-ProjectTypes'!A$3:B$13,2,FALSE)</f>
        <v>Project</v>
      </c>
      <c r="L42" s="21" t="s">
        <v>301</v>
      </c>
      <c r="M42" s="13" t="s">
        <v>2835</v>
      </c>
      <c r="N42" s="13" t="s">
        <v>1825</v>
      </c>
      <c r="O42" s="13" t="s">
        <v>270</v>
      </c>
      <c r="P42" s="13" t="s">
        <v>270</v>
      </c>
      <c r="Q42" s="22">
        <v>0</v>
      </c>
      <c r="R42" s="234">
        <v>1041984.8452193954</v>
      </c>
      <c r="S42" s="12"/>
      <c r="T42" s="12"/>
      <c r="U42" s="12"/>
      <c r="V42" s="12"/>
      <c r="W42" s="12"/>
      <c r="X42" s="12"/>
      <c r="Y42" s="12"/>
      <c r="Z42" s="18">
        <f>ROUND(R42*'Data-CostAssumptions'!$C$8,-3)</f>
        <v>1042000</v>
      </c>
      <c r="AA42" s="11">
        <f t="shared" si="9"/>
        <v>0</v>
      </c>
      <c r="AB42" s="11">
        <v>2023</v>
      </c>
      <c r="AC42" s="11">
        <v>2023</v>
      </c>
      <c r="AD42" s="11">
        <f t="shared" si="10"/>
        <v>2023</v>
      </c>
      <c r="AE42" s="19">
        <f>ROUND((Z42*'Data-CostAssumptions'!$G$5)*(1+'Data-CostAssumptions'!$G$3)^(AB42-'Data-CostAssumptions'!$G$4),-3)</f>
        <v>328000</v>
      </c>
      <c r="AF42" s="19">
        <f>ROUND((Z42)*(1+'Data-CostAssumptions'!$G$3)^(AD42-'Data-CostAssumptions'!$G$4),-3)</f>
        <v>1489000</v>
      </c>
      <c r="AG42" s="170" t="str">
        <f t="shared" si="11"/>
        <v>Yes</v>
      </c>
      <c r="AH42" s="19">
        <f t="shared" si="12"/>
        <v>0</v>
      </c>
      <c r="AI42" s="19">
        <f t="shared" si="13"/>
        <v>1817000</v>
      </c>
      <c r="AJ42" s="19">
        <f t="shared" si="14"/>
        <v>0</v>
      </c>
      <c r="AK42" s="19">
        <f t="shared" si="15"/>
        <v>0</v>
      </c>
      <c r="AL42" s="19">
        <f>IF(AB42&gt;2040,Z42+Z42*'Data-CostAssumptions'!$G$5,0)</f>
        <v>0</v>
      </c>
    </row>
    <row r="43" spans="2:38" ht="15" customHeight="1" x14ac:dyDescent="0.2">
      <c r="B43" s="11" t="s">
        <v>1211</v>
      </c>
      <c r="C43" s="13">
        <v>968</v>
      </c>
      <c r="D43" s="13" t="s">
        <v>420</v>
      </c>
      <c r="E43" s="20">
        <v>26</v>
      </c>
      <c r="F43" s="20">
        <v>196</v>
      </c>
      <c r="G43" s="20">
        <v>850</v>
      </c>
      <c r="H43" s="13" t="s">
        <v>2717</v>
      </c>
      <c r="I43" s="13" t="str">
        <f t="shared" si="8"/>
        <v>SR 820/Pines Bl (@  Flamingo Rd)</v>
      </c>
      <c r="J43" s="13" t="s">
        <v>300</v>
      </c>
      <c r="K43" s="13" t="str">
        <f>VLOOKUP(J43,'Data-ProjectTypes'!A$3:B$13,2,FALSE)</f>
        <v>Project</v>
      </c>
      <c r="L43" s="21" t="s">
        <v>301</v>
      </c>
      <c r="M43" s="13" t="s">
        <v>2835</v>
      </c>
      <c r="N43" s="13" t="s">
        <v>159</v>
      </c>
      <c r="O43" s="13" t="s">
        <v>271</v>
      </c>
      <c r="P43" s="13" t="s">
        <v>271</v>
      </c>
      <c r="Q43" s="22">
        <v>0</v>
      </c>
      <c r="R43" s="234">
        <v>830000</v>
      </c>
      <c r="S43" s="12"/>
      <c r="T43" s="12"/>
      <c r="U43" s="12"/>
      <c r="V43" s="12"/>
      <c r="W43" s="12"/>
      <c r="X43" s="12"/>
      <c r="Y43" s="12"/>
      <c r="Z43" s="18">
        <f>ROUND(R43*'Data-CostAssumptions'!$C$8,-3)</f>
        <v>830000</v>
      </c>
      <c r="AA43" s="11">
        <f t="shared" si="9"/>
        <v>0</v>
      </c>
      <c r="AB43" s="11">
        <v>2023</v>
      </c>
      <c r="AC43" s="11">
        <v>2023</v>
      </c>
      <c r="AD43" s="11">
        <f t="shared" si="10"/>
        <v>2023</v>
      </c>
      <c r="AE43" s="19">
        <f>ROUND((Z43*'Data-CostAssumptions'!$G$5)*(1+'Data-CostAssumptions'!$G$3)^(AB43-'Data-CostAssumptions'!$G$4),-3)</f>
        <v>261000</v>
      </c>
      <c r="AF43" s="19">
        <f>ROUND((Z43)*(1+'Data-CostAssumptions'!$G$3)^(AD43-'Data-CostAssumptions'!$G$4),-3)</f>
        <v>1186000</v>
      </c>
      <c r="AG43" s="170" t="str">
        <f t="shared" si="11"/>
        <v>Yes</v>
      </c>
      <c r="AH43" s="19">
        <f t="shared" si="12"/>
        <v>0</v>
      </c>
      <c r="AI43" s="19">
        <f t="shared" si="13"/>
        <v>1447000</v>
      </c>
      <c r="AJ43" s="19">
        <f t="shared" si="14"/>
        <v>0</v>
      </c>
      <c r="AK43" s="19">
        <f t="shared" si="15"/>
        <v>0</v>
      </c>
      <c r="AL43" s="19">
        <f>IF(AB43&gt;2040,Z43+Z43*'Data-CostAssumptions'!$G$5,0)</f>
        <v>0</v>
      </c>
    </row>
    <row r="44" spans="2:38" ht="15" customHeight="1" x14ac:dyDescent="0.2">
      <c r="B44" s="11" t="s">
        <v>1211</v>
      </c>
      <c r="C44" s="13">
        <v>973</v>
      </c>
      <c r="D44" s="13" t="s">
        <v>420</v>
      </c>
      <c r="E44" s="20">
        <v>30</v>
      </c>
      <c r="F44" s="20">
        <v>197</v>
      </c>
      <c r="G44" s="20">
        <v>855</v>
      </c>
      <c r="H44" s="13" t="s">
        <v>2793</v>
      </c>
      <c r="I44" s="13" t="str">
        <f t="shared" si="8"/>
        <v>SR 834/Sample Rd (@  Military Trail)</v>
      </c>
      <c r="J44" s="13" t="s">
        <v>300</v>
      </c>
      <c r="K44" s="13" t="str">
        <f>VLOOKUP(J44,'Data-ProjectTypes'!A$3:B$13,2,FALSE)</f>
        <v>Project</v>
      </c>
      <c r="L44" s="21" t="s">
        <v>301</v>
      </c>
      <c r="M44" s="13" t="s">
        <v>2835</v>
      </c>
      <c r="N44" s="13" t="s">
        <v>113</v>
      </c>
      <c r="O44" s="13" t="s">
        <v>275</v>
      </c>
      <c r="P44" s="13" t="s">
        <v>275</v>
      </c>
      <c r="Q44" s="22">
        <v>0</v>
      </c>
      <c r="R44" s="234">
        <v>830000</v>
      </c>
      <c r="S44" s="12"/>
      <c r="T44" s="12"/>
      <c r="U44" s="12"/>
      <c r="V44" s="12"/>
      <c r="W44" s="12"/>
      <c r="X44" s="12"/>
      <c r="Y44" s="12"/>
      <c r="Z44" s="18">
        <f>ROUND(R44*'Data-CostAssumptions'!$C$8,-3)</f>
        <v>830000</v>
      </c>
      <c r="AA44" s="11">
        <f t="shared" si="9"/>
        <v>0</v>
      </c>
      <c r="AB44" s="11">
        <v>2023</v>
      </c>
      <c r="AC44" s="11">
        <v>2023</v>
      </c>
      <c r="AD44" s="11">
        <f t="shared" si="10"/>
        <v>2023</v>
      </c>
      <c r="AE44" s="19">
        <f>ROUND((Z44*'Data-CostAssumptions'!$G$5)*(1+'Data-CostAssumptions'!$G$3)^(AB44-'Data-CostAssumptions'!$G$4),-3)</f>
        <v>261000</v>
      </c>
      <c r="AF44" s="19">
        <f>ROUND((Z44)*(1+'Data-CostAssumptions'!$G$3)^(AD44-'Data-CostAssumptions'!$G$4),-3)</f>
        <v>1186000</v>
      </c>
      <c r="AG44" s="170" t="str">
        <f t="shared" si="11"/>
        <v>Yes</v>
      </c>
      <c r="AH44" s="19">
        <f t="shared" si="12"/>
        <v>0</v>
      </c>
      <c r="AI44" s="19">
        <f t="shared" si="13"/>
        <v>1447000</v>
      </c>
      <c r="AJ44" s="19">
        <f t="shared" si="14"/>
        <v>0</v>
      </c>
      <c r="AK44" s="19">
        <f t="shared" si="15"/>
        <v>0</v>
      </c>
      <c r="AL44" s="19">
        <f>IF(AB44&gt;2040,Z44+Z44*'Data-CostAssumptions'!$G$5,0)</f>
        <v>0</v>
      </c>
    </row>
    <row r="45" spans="2:38" ht="15" customHeight="1" x14ac:dyDescent="0.2">
      <c r="B45" s="11" t="s">
        <v>1211</v>
      </c>
      <c r="C45" s="13">
        <v>1027</v>
      </c>
      <c r="D45" s="13" t="s">
        <v>420</v>
      </c>
      <c r="E45" s="20">
        <v>2</v>
      </c>
      <c r="F45" s="20">
        <v>204</v>
      </c>
      <c r="G45" s="20">
        <v>885</v>
      </c>
      <c r="H45" s="13" t="s">
        <v>2014</v>
      </c>
      <c r="I45" s="13" t="str">
        <f t="shared" si="8"/>
        <v>Andrews Av (SE 28th St to South of SW 33rd St)</v>
      </c>
      <c r="J45" s="13" t="s">
        <v>300</v>
      </c>
      <c r="K45" s="13" t="str">
        <f>VLOOKUP(J45,'Data-ProjectTypes'!A$3:B$13,2,FALSE)</f>
        <v>Project</v>
      </c>
      <c r="L45" s="21" t="s">
        <v>322</v>
      </c>
      <c r="M45" s="13" t="s">
        <v>2476</v>
      </c>
      <c r="N45" s="13" t="s">
        <v>2475</v>
      </c>
      <c r="O45" s="13" t="s">
        <v>270</v>
      </c>
      <c r="P45" s="13" t="s">
        <v>270</v>
      </c>
      <c r="Q45" s="22">
        <v>0.5</v>
      </c>
      <c r="R45" s="234">
        <v>350000</v>
      </c>
      <c r="S45" s="12"/>
      <c r="T45" s="12"/>
      <c r="U45" s="12"/>
      <c r="V45" s="12"/>
      <c r="W45" s="12"/>
      <c r="X45" s="12"/>
      <c r="Y45" s="12"/>
      <c r="Z45" s="18">
        <f>ROUND(R45*'Data-CostAssumptions'!$C$8,-3)</f>
        <v>350000</v>
      </c>
      <c r="AA45" s="11">
        <f t="shared" si="9"/>
        <v>0</v>
      </c>
      <c r="AB45" s="11">
        <v>2041</v>
      </c>
      <c r="AC45" s="11">
        <v>2041</v>
      </c>
      <c r="AD45" s="11">
        <f t="shared" si="10"/>
        <v>2041</v>
      </c>
      <c r="AE45" s="19">
        <f>ROUND((Z45*'Data-CostAssumptions'!$G$5)*(1+'Data-CostAssumptions'!$G$3)^(AB45-'Data-CostAssumptions'!$G$4),-3)</f>
        <v>197000</v>
      </c>
      <c r="AF45" s="19">
        <f>ROUND((Z45)*(1+'Data-CostAssumptions'!$G$3)^(AD45-'Data-CostAssumptions'!$G$4),-3)</f>
        <v>897000</v>
      </c>
      <c r="AG45" s="170" t="str">
        <f t="shared" si="11"/>
        <v>No</v>
      </c>
      <c r="AH45" s="19">
        <f t="shared" si="12"/>
        <v>0</v>
      </c>
      <c r="AI45" s="19">
        <f t="shared" si="13"/>
        <v>0</v>
      </c>
      <c r="AJ45" s="19">
        <f t="shared" si="14"/>
        <v>0</v>
      </c>
      <c r="AK45" s="19">
        <f t="shared" si="15"/>
        <v>0</v>
      </c>
      <c r="AL45" s="19">
        <f>IF(AB45&gt;2040,Z45+Z45*'Data-CostAssumptions'!$G$5,0)</f>
        <v>427000</v>
      </c>
    </row>
    <row r="46" spans="2:38" ht="15" customHeight="1" x14ac:dyDescent="0.2">
      <c r="B46" s="11" t="s">
        <v>1211</v>
      </c>
      <c r="C46" s="13">
        <v>1037</v>
      </c>
      <c r="D46" s="13" t="s">
        <v>420</v>
      </c>
      <c r="E46" s="20">
        <v>12</v>
      </c>
      <c r="F46" s="20">
        <v>204</v>
      </c>
      <c r="G46" s="20">
        <v>887</v>
      </c>
      <c r="H46" s="13" t="s">
        <v>1789</v>
      </c>
      <c r="I46" s="13" t="str">
        <f t="shared" si="8"/>
        <v>Eller Dr ( to McKintosh Rd)</v>
      </c>
      <c r="J46" s="13" t="s">
        <v>300</v>
      </c>
      <c r="K46" s="13" t="str">
        <f>VLOOKUP(J46,'Data-ProjectTypes'!A$3:B$13,2,FALSE)</f>
        <v>Project</v>
      </c>
      <c r="L46" s="21" t="s">
        <v>328</v>
      </c>
      <c r="M46" s="13"/>
      <c r="N46" s="13" t="s">
        <v>2409</v>
      </c>
      <c r="O46" s="13" t="s">
        <v>270</v>
      </c>
      <c r="P46" s="13" t="s">
        <v>270</v>
      </c>
      <c r="Q46" s="22"/>
      <c r="R46" s="234">
        <v>350000</v>
      </c>
      <c r="S46" s="12"/>
      <c r="T46" s="12"/>
      <c r="U46" s="12"/>
      <c r="V46" s="12"/>
      <c r="W46" s="12"/>
      <c r="X46" s="34"/>
      <c r="Y46" s="12"/>
      <c r="Z46" s="18">
        <f>ROUND(R46*'Data-CostAssumptions'!$C$8,-3)</f>
        <v>350000</v>
      </c>
      <c r="AA46" s="11">
        <f t="shared" si="9"/>
        <v>0</v>
      </c>
      <c r="AB46" s="11">
        <v>2023</v>
      </c>
      <c r="AC46" s="11">
        <v>2023</v>
      </c>
      <c r="AD46" s="11">
        <f t="shared" si="10"/>
        <v>2023</v>
      </c>
      <c r="AE46" s="19">
        <f>ROUND((Z46*'Data-CostAssumptions'!$G$5)*(1+'Data-CostAssumptions'!$G$3)^(AB46-'Data-CostAssumptions'!$G$4),-3)</f>
        <v>110000</v>
      </c>
      <c r="AF46" s="19">
        <f>ROUND((Z46)*(1+'Data-CostAssumptions'!$G$3)^(AD46-'Data-CostAssumptions'!$G$4),-3)</f>
        <v>500000</v>
      </c>
      <c r="AG46" s="170" t="str">
        <f t="shared" si="11"/>
        <v>Yes</v>
      </c>
      <c r="AH46" s="19">
        <f t="shared" si="12"/>
        <v>0</v>
      </c>
      <c r="AI46" s="19">
        <f t="shared" si="13"/>
        <v>610000</v>
      </c>
      <c r="AJ46" s="19">
        <f t="shared" si="14"/>
        <v>0</v>
      </c>
      <c r="AK46" s="19">
        <f t="shared" si="15"/>
        <v>0</v>
      </c>
      <c r="AL46" s="19">
        <f>IF(AB46&gt;2040,Z46+Z46*'Data-CostAssumptions'!$G$5,0)</f>
        <v>0</v>
      </c>
    </row>
    <row r="47" spans="2:38" ht="15" customHeight="1" x14ac:dyDescent="0.2">
      <c r="B47" s="11" t="s">
        <v>1211</v>
      </c>
      <c r="C47" s="13">
        <v>1038</v>
      </c>
      <c r="D47" s="13" t="s">
        <v>420</v>
      </c>
      <c r="E47" s="20">
        <v>13</v>
      </c>
      <c r="F47" s="20">
        <v>205</v>
      </c>
      <c r="G47" s="20">
        <v>888</v>
      </c>
      <c r="H47" s="13" t="s">
        <v>1789</v>
      </c>
      <c r="I47" s="13" t="str">
        <f t="shared" si="8"/>
        <v>Eller Dr ( to State Rd 84/I-595 frontage)</v>
      </c>
      <c r="J47" s="13" t="s">
        <v>300</v>
      </c>
      <c r="K47" s="13" t="str">
        <f>VLOOKUP(J47,'Data-ProjectTypes'!A$3:B$13,2,FALSE)</f>
        <v>Project</v>
      </c>
      <c r="L47" s="21" t="s">
        <v>329</v>
      </c>
      <c r="M47" s="13"/>
      <c r="N47" s="13" t="s">
        <v>2410</v>
      </c>
      <c r="O47" s="13" t="s">
        <v>270</v>
      </c>
      <c r="P47" s="13" t="s">
        <v>270</v>
      </c>
      <c r="Q47" s="22"/>
      <c r="R47" s="234">
        <v>350000</v>
      </c>
      <c r="S47" s="12"/>
      <c r="T47" s="12"/>
      <c r="U47" s="12"/>
      <c r="V47" s="12"/>
      <c r="W47" s="12"/>
      <c r="X47" s="12"/>
      <c r="Y47" s="12"/>
      <c r="Z47" s="18">
        <f>ROUND(R47*'Data-CostAssumptions'!$C$8,-3)</f>
        <v>350000</v>
      </c>
      <c r="AA47" s="11">
        <f t="shared" si="9"/>
        <v>0</v>
      </c>
      <c r="AB47" s="11">
        <v>2023</v>
      </c>
      <c r="AC47" s="11">
        <v>2023</v>
      </c>
      <c r="AD47" s="11">
        <f t="shared" si="10"/>
        <v>2023</v>
      </c>
      <c r="AE47" s="19">
        <f>ROUND((Z47*'Data-CostAssumptions'!$G$5)*(1+'Data-CostAssumptions'!$G$3)^(AB47-'Data-CostAssumptions'!$G$4),-3)</f>
        <v>110000</v>
      </c>
      <c r="AF47" s="19">
        <f>ROUND((Z47)*(1+'Data-CostAssumptions'!$G$3)^(AD47-'Data-CostAssumptions'!$G$4),-3)</f>
        <v>500000</v>
      </c>
      <c r="AG47" s="170" t="str">
        <f t="shared" si="11"/>
        <v>Yes</v>
      </c>
      <c r="AH47" s="19">
        <f t="shared" si="12"/>
        <v>0</v>
      </c>
      <c r="AI47" s="19">
        <f t="shared" si="13"/>
        <v>610000</v>
      </c>
      <c r="AJ47" s="19">
        <f t="shared" si="14"/>
        <v>0</v>
      </c>
      <c r="AK47" s="19">
        <f t="shared" si="15"/>
        <v>0</v>
      </c>
      <c r="AL47" s="19">
        <f>IF(AB47&gt;2040,Z47+Z47*'Data-CostAssumptions'!$G$5,0)</f>
        <v>0</v>
      </c>
    </row>
    <row r="48" spans="2:38" ht="15" customHeight="1" x14ac:dyDescent="0.2">
      <c r="B48" s="11" t="s">
        <v>1211</v>
      </c>
      <c r="C48" s="13">
        <v>1039</v>
      </c>
      <c r="D48" s="13" t="s">
        <v>420</v>
      </c>
      <c r="E48" s="20">
        <v>14</v>
      </c>
      <c r="F48" s="20">
        <v>205</v>
      </c>
      <c r="G48" s="20">
        <v>889</v>
      </c>
      <c r="H48" s="13" t="s">
        <v>1790</v>
      </c>
      <c r="I48" s="13" t="str">
        <f t="shared" si="8"/>
        <v>Eller Dr/Eller Dr Extension ( to I-595)</v>
      </c>
      <c r="J48" s="13" t="s">
        <v>300</v>
      </c>
      <c r="K48" s="13" t="str">
        <f>VLOOKUP(J48,'Data-ProjectTypes'!A$3:B$13,2,FALSE)</f>
        <v>Project</v>
      </c>
      <c r="L48" s="21" t="s">
        <v>330</v>
      </c>
      <c r="M48" s="13"/>
      <c r="N48" s="13" t="s">
        <v>34</v>
      </c>
      <c r="O48" s="13" t="s">
        <v>270</v>
      </c>
      <c r="P48" s="13" t="s">
        <v>270</v>
      </c>
      <c r="Q48" s="22"/>
      <c r="R48" s="234">
        <v>350000</v>
      </c>
      <c r="S48" s="12"/>
      <c r="T48" s="12"/>
      <c r="U48" s="12"/>
      <c r="V48" s="12"/>
      <c r="W48" s="12"/>
      <c r="X48" s="12"/>
      <c r="Y48" s="12"/>
      <c r="Z48" s="18">
        <f>ROUND(R48*'Data-CostAssumptions'!$C$8,-3)</f>
        <v>350000</v>
      </c>
      <c r="AA48" s="11">
        <f t="shared" si="9"/>
        <v>0</v>
      </c>
      <c r="AB48" s="11">
        <v>2023</v>
      </c>
      <c r="AC48" s="11">
        <v>2023</v>
      </c>
      <c r="AD48" s="11">
        <f t="shared" si="10"/>
        <v>2023</v>
      </c>
      <c r="AE48" s="19">
        <f>ROUND((Z48*'Data-CostAssumptions'!$G$5)*(1+'Data-CostAssumptions'!$G$3)^(AB48-'Data-CostAssumptions'!$G$4),-3)</f>
        <v>110000</v>
      </c>
      <c r="AF48" s="19">
        <f>ROUND((Z48)*(1+'Data-CostAssumptions'!$G$3)^(AD48-'Data-CostAssumptions'!$G$4),-3)</f>
        <v>500000</v>
      </c>
      <c r="AG48" s="170" t="str">
        <f t="shared" si="11"/>
        <v>Yes</v>
      </c>
      <c r="AH48" s="19">
        <f t="shared" si="12"/>
        <v>0</v>
      </c>
      <c r="AI48" s="19">
        <f t="shared" si="13"/>
        <v>610000</v>
      </c>
      <c r="AJ48" s="19">
        <f t="shared" si="14"/>
        <v>0</v>
      </c>
      <c r="AK48" s="19">
        <f t="shared" si="15"/>
        <v>0</v>
      </c>
      <c r="AL48" s="19">
        <f>IF(AB48&gt;2040,Z48+Z48*'Data-CostAssumptions'!$G$5,0)</f>
        <v>0</v>
      </c>
    </row>
    <row r="49" spans="2:38" ht="15" customHeight="1" x14ac:dyDescent="0.2">
      <c r="B49" s="11" t="s">
        <v>1211</v>
      </c>
      <c r="C49" s="13">
        <v>1044</v>
      </c>
      <c r="D49" s="13" t="s">
        <v>420</v>
      </c>
      <c r="E49" s="20">
        <v>20</v>
      </c>
      <c r="F49" s="20">
        <v>205</v>
      </c>
      <c r="G49" s="20">
        <v>890</v>
      </c>
      <c r="H49" s="13" t="s">
        <v>1852</v>
      </c>
      <c r="I49" s="13" t="str">
        <f t="shared" si="8"/>
        <v>McIntosh Rd (North of SE 36th St to North of SE 46th St)</v>
      </c>
      <c r="J49" s="13" t="s">
        <v>300</v>
      </c>
      <c r="K49" s="13" t="str">
        <f>VLOOKUP(J49,'Data-ProjectTypes'!A$3:B$13,2,FALSE)</f>
        <v>Project</v>
      </c>
      <c r="L49" s="21" t="s">
        <v>333</v>
      </c>
      <c r="M49" s="13" t="s">
        <v>2500</v>
      </c>
      <c r="N49" s="13" t="s">
        <v>2499</v>
      </c>
      <c r="O49" s="13" t="s">
        <v>270</v>
      </c>
      <c r="P49" s="13" t="s">
        <v>270</v>
      </c>
      <c r="Q49" s="22">
        <v>0.75</v>
      </c>
      <c r="R49" s="234">
        <v>350000</v>
      </c>
      <c r="S49" s="12"/>
      <c r="T49" s="12"/>
      <c r="U49" s="12"/>
      <c r="V49" s="12"/>
      <c r="W49" s="12"/>
      <c r="X49" s="12"/>
      <c r="Y49" s="12"/>
      <c r="Z49" s="18">
        <f>ROUND(R49*'Data-CostAssumptions'!$C$8,-3)</f>
        <v>350000</v>
      </c>
      <c r="AA49" s="11">
        <f t="shared" si="9"/>
        <v>0</v>
      </c>
      <c r="AB49" s="11">
        <v>2041</v>
      </c>
      <c r="AC49" s="11">
        <v>2041</v>
      </c>
      <c r="AD49" s="11">
        <f t="shared" si="10"/>
        <v>2041</v>
      </c>
      <c r="AE49" s="19">
        <f>ROUND((Z49*'Data-CostAssumptions'!$G$5)*(1+'Data-CostAssumptions'!$G$3)^(AB49-'Data-CostAssumptions'!$G$4),-3)</f>
        <v>197000</v>
      </c>
      <c r="AF49" s="19">
        <f>ROUND((Z49)*(1+'Data-CostAssumptions'!$G$3)^(AD49-'Data-CostAssumptions'!$G$4),-3)</f>
        <v>897000</v>
      </c>
      <c r="AG49" s="170" t="str">
        <f t="shared" si="11"/>
        <v>No</v>
      </c>
      <c r="AH49" s="19">
        <f t="shared" si="12"/>
        <v>0</v>
      </c>
      <c r="AI49" s="19">
        <f t="shared" si="13"/>
        <v>0</v>
      </c>
      <c r="AJ49" s="19">
        <f t="shared" si="14"/>
        <v>0</v>
      </c>
      <c r="AK49" s="19">
        <f t="shared" si="15"/>
        <v>0</v>
      </c>
      <c r="AL49" s="19">
        <f>IF(AB49&gt;2040,Z49+Z49*'Data-CostAssumptions'!$G$5,0)</f>
        <v>427000</v>
      </c>
    </row>
    <row r="50" spans="2:38" ht="15" customHeight="1" x14ac:dyDescent="0.2">
      <c r="B50" s="11" t="s">
        <v>1211</v>
      </c>
      <c r="C50" s="13">
        <v>1054</v>
      </c>
      <c r="D50" s="13" t="s">
        <v>420</v>
      </c>
      <c r="E50" s="20">
        <v>32</v>
      </c>
      <c r="F50" s="20">
        <v>206</v>
      </c>
      <c r="G50" s="20">
        <v>894</v>
      </c>
      <c r="H50" s="13" t="s">
        <v>1865</v>
      </c>
      <c r="I50" s="13" t="str">
        <f t="shared" si="8"/>
        <v>Spangler Rd (Eisenhower Bl to Miami Rd)</v>
      </c>
      <c r="J50" s="13" t="s">
        <v>300</v>
      </c>
      <c r="K50" s="13" t="str">
        <f>VLOOKUP(J50,'Data-ProjectTypes'!A$3:B$13,2,FALSE)</f>
        <v>Project</v>
      </c>
      <c r="L50" s="21" t="s">
        <v>339</v>
      </c>
      <c r="M50" s="13" t="s">
        <v>1817</v>
      </c>
      <c r="N50" s="13" t="s">
        <v>2451</v>
      </c>
      <c r="O50" s="13" t="s">
        <v>270</v>
      </c>
      <c r="P50" s="13" t="s">
        <v>270</v>
      </c>
      <c r="Q50" s="22"/>
      <c r="R50" s="234">
        <v>350000</v>
      </c>
      <c r="S50" s="12"/>
      <c r="T50" s="12"/>
      <c r="U50" s="12"/>
      <c r="V50" s="12"/>
      <c r="W50" s="12"/>
      <c r="X50" s="12"/>
      <c r="Y50" s="12"/>
      <c r="Z50" s="18">
        <f>ROUND(R50*'Data-CostAssumptions'!$C$8,-3)</f>
        <v>350000</v>
      </c>
      <c r="AA50" s="11">
        <f t="shared" si="9"/>
        <v>0</v>
      </c>
      <c r="AB50" s="11">
        <v>2041</v>
      </c>
      <c r="AC50" s="11">
        <v>2041</v>
      </c>
      <c r="AD50" s="11">
        <f t="shared" si="10"/>
        <v>2041</v>
      </c>
      <c r="AE50" s="19">
        <f>ROUND((Z50*'Data-CostAssumptions'!$G$5)*(1+'Data-CostAssumptions'!$G$3)^(AB50-'Data-CostAssumptions'!$G$4),-3)</f>
        <v>197000</v>
      </c>
      <c r="AF50" s="19">
        <f>ROUND((Z50)*(1+'Data-CostAssumptions'!$G$3)^(AD50-'Data-CostAssumptions'!$G$4),-3)</f>
        <v>897000</v>
      </c>
      <c r="AG50" s="170" t="str">
        <f t="shared" si="11"/>
        <v>No</v>
      </c>
      <c r="AH50" s="19">
        <f t="shared" si="12"/>
        <v>0</v>
      </c>
      <c r="AI50" s="19">
        <f t="shared" si="13"/>
        <v>0</v>
      </c>
      <c r="AJ50" s="19">
        <f t="shared" si="14"/>
        <v>0</v>
      </c>
      <c r="AK50" s="19">
        <f t="shared" si="15"/>
        <v>0</v>
      </c>
      <c r="AL50" s="19">
        <f>IF(AB50&gt;2040,Z50+Z50*'Data-CostAssumptions'!$G$5,0)</f>
        <v>427000</v>
      </c>
    </row>
    <row r="51" spans="2:38" ht="15" customHeight="1" x14ac:dyDescent="0.2">
      <c r="B51" s="11" t="s">
        <v>1211</v>
      </c>
      <c r="C51" s="13">
        <v>1059</v>
      </c>
      <c r="D51" s="13" t="s">
        <v>420</v>
      </c>
      <c r="E51" s="20">
        <v>37</v>
      </c>
      <c r="F51" s="20">
        <v>207</v>
      </c>
      <c r="G51" s="20">
        <v>897</v>
      </c>
      <c r="H51" s="13" t="s">
        <v>45</v>
      </c>
      <c r="I51" s="13" t="str">
        <f t="shared" si="8"/>
        <v>SR 84 (@  SW 15th Av)</v>
      </c>
      <c r="J51" s="13" t="s">
        <v>300</v>
      </c>
      <c r="K51" s="13" t="str">
        <f>VLOOKUP(J51,'Data-ProjectTypes'!A$3:B$13,2,FALSE)</f>
        <v>Project</v>
      </c>
      <c r="L51" s="21" t="s">
        <v>301</v>
      </c>
      <c r="M51" s="13" t="s">
        <v>2835</v>
      </c>
      <c r="N51" s="13" t="s">
        <v>2106</v>
      </c>
      <c r="O51" s="13" t="s">
        <v>270</v>
      </c>
      <c r="P51" s="13" t="s">
        <v>270</v>
      </c>
      <c r="Q51" s="22"/>
      <c r="R51" s="234">
        <v>350000</v>
      </c>
      <c r="S51" s="12"/>
      <c r="T51" s="12"/>
      <c r="U51" s="12"/>
      <c r="V51" s="12"/>
      <c r="W51" s="12"/>
      <c r="X51" s="12"/>
      <c r="Y51" s="12"/>
      <c r="Z51" s="18">
        <f>ROUND(R51*'Data-CostAssumptions'!$C$8,-3)</f>
        <v>350000</v>
      </c>
      <c r="AA51" s="11">
        <f t="shared" si="9"/>
        <v>0</v>
      </c>
      <c r="AB51" s="11">
        <v>2023</v>
      </c>
      <c r="AC51" s="11">
        <v>2023</v>
      </c>
      <c r="AD51" s="11">
        <f t="shared" si="10"/>
        <v>2023</v>
      </c>
      <c r="AE51" s="19">
        <f>ROUND((Z51*'Data-CostAssumptions'!$G$5)*(1+'Data-CostAssumptions'!$G$3)^(AB51-'Data-CostAssumptions'!$G$4),-3)</f>
        <v>110000</v>
      </c>
      <c r="AF51" s="19">
        <f>ROUND((Z51)*(1+'Data-CostAssumptions'!$G$3)^(AD51-'Data-CostAssumptions'!$G$4),-3)</f>
        <v>500000</v>
      </c>
      <c r="AG51" s="170" t="str">
        <f t="shared" si="11"/>
        <v>Yes</v>
      </c>
      <c r="AH51" s="19">
        <f t="shared" si="12"/>
        <v>0</v>
      </c>
      <c r="AI51" s="19">
        <f t="shared" si="13"/>
        <v>610000</v>
      </c>
      <c r="AJ51" s="19">
        <f t="shared" si="14"/>
        <v>0</v>
      </c>
      <c r="AK51" s="19">
        <f t="shared" si="15"/>
        <v>0</v>
      </c>
      <c r="AL51" s="19">
        <f>IF(AB51&gt;2040,Z51+Z51*'Data-CostAssumptions'!$G$5,0)</f>
        <v>0</v>
      </c>
    </row>
    <row r="52" spans="2:38" ht="15" customHeight="1" x14ac:dyDescent="0.2">
      <c r="B52" s="11" t="s">
        <v>1211</v>
      </c>
      <c r="C52" s="11">
        <v>1045</v>
      </c>
      <c r="D52" s="13" t="s">
        <v>420</v>
      </c>
      <c r="E52" s="14"/>
      <c r="F52" s="14">
        <v>205</v>
      </c>
      <c r="G52" s="20">
        <v>891</v>
      </c>
      <c r="H52" s="13" t="s">
        <v>1853</v>
      </c>
      <c r="I52" s="13" t="str">
        <f t="shared" si="8"/>
        <v>McIntosh Rd Loop ( to )</v>
      </c>
      <c r="J52" s="13" t="s">
        <v>300</v>
      </c>
      <c r="K52" s="13" t="str">
        <f>VLOOKUP(J52,'Data-ProjectTypes'!A$3:B$13,2,FALSE)</f>
        <v>Project</v>
      </c>
      <c r="L52" s="11" t="s">
        <v>395</v>
      </c>
      <c r="O52" s="11" t="s">
        <v>270</v>
      </c>
      <c r="P52" s="11" t="s">
        <v>270</v>
      </c>
      <c r="Q52" s="15"/>
      <c r="R52" s="19">
        <v>137000</v>
      </c>
      <c r="S52" s="12"/>
      <c r="T52" s="12"/>
      <c r="U52" s="12"/>
      <c r="V52" s="12"/>
      <c r="W52" s="12"/>
      <c r="X52" s="12"/>
      <c r="Y52" s="12"/>
      <c r="Z52" s="18">
        <f>ROUND(R52*'Data-CostAssumptions'!$C$8,-3)</f>
        <v>137000</v>
      </c>
      <c r="AA52" s="11">
        <f t="shared" si="9"/>
        <v>0</v>
      </c>
      <c r="AB52" s="11">
        <v>2041</v>
      </c>
      <c r="AC52" s="11">
        <v>2041</v>
      </c>
      <c r="AD52" s="11">
        <f t="shared" si="10"/>
        <v>2041</v>
      </c>
      <c r="AE52" s="19">
        <f>ROUND((Z52*'Data-CostAssumptions'!$G$5)*(1+'Data-CostAssumptions'!$G$3)^(AB52-'Data-CostAssumptions'!$G$4),-3)</f>
        <v>77000</v>
      </c>
      <c r="AF52" s="19">
        <f>ROUND((Z52)*(1+'Data-CostAssumptions'!$G$3)^(AD52-'Data-CostAssumptions'!$G$4),-3)</f>
        <v>351000</v>
      </c>
      <c r="AG52" s="170" t="str">
        <f t="shared" si="11"/>
        <v>No</v>
      </c>
      <c r="AH52" s="19">
        <f t="shared" si="12"/>
        <v>0</v>
      </c>
      <c r="AI52" s="19">
        <f t="shared" si="13"/>
        <v>0</v>
      </c>
      <c r="AJ52" s="19">
        <f t="shared" si="14"/>
        <v>0</v>
      </c>
      <c r="AK52" s="19">
        <f t="shared" si="15"/>
        <v>0</v>
      </c>
      <c r="AL52" s="19">
        <f>IF(AB52&gt;2040,Z52+Z52*'Data-CostAssumptions'!$G$5,0)</f>
        <v>167140</v>
      </c>
    </row>
    <row r="53" spans="2:38" ht="15" customHeight="1" x14ac:dyDescent="0.2">
      <c r="B53" s="11" t="s">
        <v>1211</v>
      </c>
      <c r="C53" s="13">
        <v>1056</v>
      </c>
      <c r="D53" s="13" t="s">
        <v>420</v>
      </c>
      <c r="E53" s="20">
        <v>34</v>
      </c>
      <c r="F53" s="20">
        <v>206</v>
      </c>
      <c r="G53" s="20">
        <v>895</v>
      </c>
      <c r="H53" s="13" t="s">
        <v>45</v>
      </c>
      <c r="I53" s="13" t="str">
        <f t="shared" si="8"/>
        <v>SR 84 (@  Andrews Av)</v>
      </c>
      <c r="J53" s="13" t="s">
        <v>300</v>
      </c>
      <c r="K53" s="13" t="str">
        <f>VLOOKUP(J53,'Data-ProjectTypes'!A$3:B$13,2,FALSE)</f>
        <v>Project</v>
      </c>
      <c r="L53" s="21" t="s">
        <v>301</v>
      </c>
      <c r="M53" s="13" t="s">
        <v>2835</v>
      </c>
      <c r="N53" s="13" t="s">
        <v>2014</v>
      </c>
      <c r="O53" s="13" t="s">
        <v>270</v>
      </c>
      <c r="P53" s="13" t="s">
        <v>270</v>
      </c>
      <c r="Q53" s="22"/>
      <c r="R53" s="234">
        <v>100000</v>
      </c>
      <c r="S53" s="12"/>
      <c r="T53" s="12"/>
      <c r="U53" s="12"/>
      <c r="V53" s="12"/>
      <c r="W53" s="12"/>
      <c r="X53" s="12"/>
      <c r="Y53" s="12"/>
      <c r="Z53" s="18">
        <f>ROUND(R53*'Data-CostAssumptions'!$C$8,-3)</f>
        <v>100000</v>
      </c>
      <c r="AA53" s="11">
        <f t="shared" si="9"/>
        <v>0</v>
      </c>
      <c r="AB53" s="11">
        <v>2023</v>
      </c>
      <c r="AC53" s="11">
        <v>2023</v>
      </c>
      <c r="AD53" s="11">
        <f t="shared" si="10"/>
        <v>2023</v>
      </c>
      <c r="AE53" s="19">
        <f>ROUND((Z53*'Data-CostAssumptions'!$G$5)*(1+'Data-CostAssumptions'!$G$3)^(AB53-'Data-CostAssumptions'!$G$4),-3)</f>
        <v>31000</v>
      </c>
      <c r="AF53" s="19">
        <f>ROUND((Z53)*(1+'Data-CostAssumptions'!$G$3)^(AD53-'Data-CostAssumptions'!$G$4),-3)</f>
        <v>143000</v>
      </c>
      <c r="AG53" s="170" t="str">
        <f t="shared" si="11"/>
        <v>Yes</v>
      </c>
      <c r="AH53" s="19">
        <f t="shared" si="12"/>
        <v>0</v>
      </c>
      <c r="AI53" s="19">
        <f t="shared" si="13"/>
        <v>174000</v>
      </c>
      <c r="AJ53" s="19">
        <f t="shared" si="14"/>
        <v>0</v>
      </c>
      <c r="AK53" s="19">
        <f t="shared" si="15"/>
        <v>0</v>
      </c>
      <c r="AL53" s="19">
        <f>IF(AB53&gt;2040,Z53+Z53*'Data-CostAssumptions'!$G$5,0)</f>
        <v>0</v>
      </c>
    </row>
    <row r="54" spans="2:38" ht="15" customHeight="1" x14ac:dyDescent="0.2">
      <c r="B54" s="11" t="s">
        <v>1211</v>
      </c>
      <c r="C54" s="13">
        <v>1049</v>
      </c>
      <c r="D54" s="13" t="s">
        <v>420</v>
      </c>
      <c r="E54" s="20">
        <v>26</v>
      </c>
      <c r="F54" s="20">
        <v>206</v>
      </c>
      <c r="G54" s="20">
        <v>892</v>
      </c>
      <c r="H54" s="13" t="s">
        <v>2799</v>
      </c>
      <c r="I54" s="13" t="str">
        <f t="shared" si="8"/>
        <v>SR 845/Powerline Rd ( to NW 15th St)</v>
      </c>
      <c r="J54" s="13" t="s">
        <v>300</v>
      </c>
      <c r="K54" s="13" t="str">
        <f>VLOOKUP(J54,'Data-ProjectTypes'!A$3:B$13,2,FALSE)</f>
        <v>Project</v>
      </c>
      <c r="L54" s="21" t="s">
        <v>336</v>
      </c>
      <c r="M54" s="13"/>
      <c r="N54" s="13" t="s">
        <v>1909</v>
      </c>
      <c r="O54" s="13" t="s">
        <v>270</v>
      </c>
      <c r="P54" s="13" t="s">
        <v>270</v>
      </c>
      <c r="Q54" s="22"/>
      <c r="R54" s="234">
        <v>40000</v>
      </c>
      <c r="S54" s="12"/>
      <c r="T54" s="12"/>
      <c r="U54" s="12"/>
      <c r="V54" s="12"/>
      <c r="W54" s="12"/>
      <c r="X54" s="12"/>
      <c r="Y54" s="12"/>
      <c r="Z54" s="18">
        <f>ROUND(R54*'Data-CostAssumptions'!$C$8,-3)</f>
        <v>40000</v>
      </c>
      <c r="AA54" s="11">
        <f t="shared" si="9"/>
        <v>0</v>
      </c>
      <c r="AB54" s="11">
        <v>2041</v>
      </c>
      <c r="AC54" s="11">
        <v>2041</v>
      </c>
      <c r="AD54" s="11">
        <f t="shared" si="10"/>
        <v>2041</v>
      </c>
      <c r="AE54" s="19">
        <f>ROUND((Z54*'Data-CostAssumptions'!$G$5)*(1+'Data-CostAssumptions'!$G$3)^(AB54-'Data-CostAssumptions'!$G$4),-3)</f>
        <v>23000</v>
      </c>
      <c r="AF54" s="19">
        <f>ROUND((Z54)*(1+'Data-CostAssumptions'!$G$3)^(AD54-'Data-CostAssumptions'!$G$4),-3)</f>
        <v>103000</v>
      </c>
      <c r="AG54" s="170" t="str">
        <f t="shared" si="11"/>
        <v>No</v>
      </c>
      <c r="AH54" s="19">
        <f t="shared" si="12"/>
        <v>0</v>
      </c>
      <c r="AI54" s="19">
        <f t="shared" si="13"/>
        <v>0</v>
      </c>
      <c r="AJ54" s="19">
        <f t="shared" si="14"/>
        <v>0</v>
      </c>
      <c r="AK54" s="19">
        <f t="shared" si="15"/>
        <v>0</v>
      </c>
      <c r="AL54" s="19">
        <f>IF(AB54&gt;2040,Z54+Z54*'Data-CostAssumptions'!$G$5,0)</f>
        <v>48800</v>
      </c>
    </row>
    <row r="55" spans="2:38" ht="15" customHeight="1" x14ac:dyDescent="0.2">
      <c r="B55" s="11" t="s">
        <v>1211</v>
      </c>
      <c r="C55" s="13">
        <v>1060</v>
      </c>
      <c r="D55" s="13" t="s">
        <v>420</v>
      </c>
      <c r="E55" s="20">
        <v>38</v>
      </c>
      <c r="F55" s="20">
        <v>207</v>
      </c>
      <c r="G55" s="20">
        <v>898</v>
      </c>
      <c r="H55" s="13" t="s">
        <v>2127</v>
      </c>
      <c r="I55" s="13" t="str">
        <f t="shared" si="8"/>
        <v>SW 4th Av ( to 28th St)</v>
      </c>
      <c r="J55" s="13" t="s">
        <v>300</v>
      </c>
      <c r="K55" s="13" t="str">
        <f>VLOOKUP(J55,'Data-ProjectTypes'!A$3:B$13,2,FALSE)</f>
        <v>Project</v>
      </c>
      <c r="L55" s="21" t="s">
        <v>336</v>
      </c>
      <c r="M55" s="13"/>
      <c r="N55" s="13" t="s">
        <v>2582</v>
      </c>
      <c r="O55" s="13" t="s">
        <v>270</v>
      </c>
      <c r="P55" s="13" t="s">
        <v>270</v>
      </c>
      <c r="Q55" s="22"/>
      <c r="R55" s="234">
        <v>40000</v>
      </c>
      <c r="S55" s="12"/>
      <c r="T55" s="12"/>
      <c r="U55" s="12"/>
      <c r="V55" s="12"/>
      <c r="W55" s="12"/>
      <c r="X55" s="12"/>
      <c r="Y55" s="12"/>
      <c r="Z55" s="18">
        <f>ROUND(R55*'Data-CostAssumptions'!$C$8,-3)</f>
        <v>40000</v>
      </c>
      <c r="AA55" s="11">
        <f t="shared" si="9"/>
        <v>0</v>
      </c>
      <c r="AB55" s="11">
        <v>2041</v>
      </c>
      <c r="AC55" s="11">
        <v>2041</v>
      </c>
      <c r="AD55" s="11">
        <f t="shared" si="10"/>
        <v>2041</v>
      </c>
      <c r="AE55" s="19">
        <f>ROUND((Z55*'Data-CostAssumptions'!$G$5)*(1+'Data-CostAssumptions'!$G$3)^(AB55-'Data-CostAssumptions'!$G$4),-3)</f>
        <v>23000</v>
      </c>
      <c r="AF55" s="19">
        <f>ROUND((Z55)*(1+'Data-CostAssumptions'!$G$3)^(AD55-'Data-CostAssumptions'!$G$4),-3)</f>
        <v>103000</v>
      </c>
      <c r="AG55" s="170" t="str">
        <f t="shared" si="11"/>
        <v>No</v>
      </c>
      <c r="AH55" s="19">
        <f t="shared" si="12"/>
        <v>0</v>
      </c>
      <c r="AI55" s="19">
        <f t="shared" si="13"/>
        <v>0</v>
      </c>
      <c r="AJ55" s="19">
        <f t="shared" si="14"/>
        <v>0</v>
      </c>
      <c r="AK55" s="19">
        <f t="shared" si="15"/>
        <v>0</v>
      </c>
      <c r="AL55" s="19">
        <f>IF(AB55&gt;2040,Z55+Z55*'Data-CostAssumptions'!$G$5,0)</f>
        <v>48800</v>
      </c>
    </row>
    <row r="56" spans="2:38" ht="15" customHeight="1" x14ac:dyDescent="0.2">
      <c r="B56" s="11" t="s">
        <v>1211</v>
      </c>
      <c r="C56" s="11">
        <v>12022</v>
      </c>
      <c r="D56" s="84" t="s">
        <v>292</v>
      </c>
      <c r="E56" s="14"/>
      <c r="F56" s="14"/>
      <c r="G56" s="20">
        <v>1105</v>
      </c>
      <c r="H56" s="13" t="s">
        <v>1780</v>
      </c>
      <c r="I56" s="13" t="str">
        <f t="shared" si="8"/>
        <v>Wiles Rd (Coral Ridge Dr to Sawgrass Expressway)</v>
      </c>
      <c r="J56" s="11" t="s">
        <v>300</v>
      </c>
      <c r="K56" s="13" t="str">
        <f>VLOOKUP(J56,'Data-ProjectTypes'!A$3:B$13,2,FALSE)</f>
        <v>Project</v>
      </c>
      <c r="L56" s="11" t="s">
        <v>432</v>
      </c>
      <c r="M56" s="11" t="s">
        <v>1786</v>
      </c>
      <c r="N56" s="11" t="s">
        <v>72</v>
      </c>
      <c r="Q56" s="15">
        <v>0.84</v>
      </c>
      <c r="R56" s="19">
        <v>1709400</v>
      </c>
      <c r="S56" s="12"/>
      <c r="T56" s="12"/>
      <c r="U56" s="12"/>
      <c r="V56" s="12"/>
      <c r="W56" s="12"/>
      <c r="X56" s="12"/>
      <c r="Y56" s="12"/>
      <c r="Z56" s="18">
        <f>ROUND(R56*'Data-CostAssumptions'!$C$8,-3)</f>
        <v>1709000</v>
      </c>
      <c r="AA56" s="11">
        <f t="shared" si="9"/>
        <v>0</v>
      </c>
      <c r="AB56" s="11">
        <v>2028</v>
      </c>
      <c r="AC56" s="11">
        <v>2028</v>
      </c>
      <c r="AD56" s="11">
        <f t="shared" si="10"/>
        <v>2028</v>
      </c>
      <c r="AE56" s="19">
        <f>ROUND((Z56*'Data-CostAssumptions'!$G$5)*(1+'Data-CostAssumptions'!$G$3)^(AB56-'Data-CostAssumptions'!$G$4),-3)</f>
        <v>632000</v>
      </c>
      <c r="AF56" s="19">
        <f>ROUND((Z56)*(1+'Data-CostAssumptions'!$G$3)^(AD56-'Data-CostAssumptions'!$G$4),-3)</f>
        <v>2873000</v>
      </c>
      <c r="AG56" s="170" t="str">
        <f t="shared" si="11"/>
        <v>Yes</v>
      </c>
      <c r="AH56" s="19">
        <f t="shared" si="12"/>
        <v>0</v>
      </c>
      <c r="AI56" s="19">
        <f t="shared" si="13"/>
        <v>0</v>
      </c>
      <c r="AJ56" s="19">
        <f t="shared" si="14"/>
        <v>3505000</v>
      </c>
      <c r="AK56" s="19">
        <f t="shared" si="15"/>
        <v>0</v>
      </c>
      <c r="AL56" s="19">
        <f>IF(AB56&gt;2040,Z56+Z56*'Data-CostAssumptions'!$G$5,0)</f>
        <v>0</v>
      </c>
    </row>
    <row r="57" spans="2:38" ht="15" customHeight="1" x14ac:dyDescent="0.2">
      <c r="B57" s="11" t="s">
        <v>1211</v>
      </c>
      <c r="C57" s="11">
        <v>12020</v>
      </c>
      <c r="D57" s="84" t="s">
        <v>292</v>
      </c>
      <c r="E57" s="14"/>
      <c r="F57" s="14"/>
      <c r="G57" s="20">
        <v>1103</v>
      </c>
      <c r="H57" s="13" t="s">
        <v>1785</v>
      </c>
      <c r="I57" s="13" t="str">
        <f t="shared" si="8"/>
        <v>Coral Hills Dr (NW 29 St to Sample Rd)</v>
      </c>
      <c r="J57" s="11" t="s">
        <v>300</v>
      </c>
      <c r="K57" s="13" t="str">
        <f>VLOOKUP(J57,'Data-ProjectTypes'!A$3:B$13,2,FALSE)</f>
        <v>Project</v>
      </c>
      <c r="L57" s="269" t="s">
        <v>430</v>
      </c>
      <c r="M57" s="11" t="s">
        <v>2486</v>
      </c>
      <c r="N57" s="11" t="s">
        <v>1864</v>
      </c>
      <c r="Q57" s="15">
        <v>0.4</v>
      </c>
      <c r="R57" s="19">
        <v>814000</v>
      </c>
      <c r="S57" s="12"/>
      <c r="T57" s="12"/>
      <c r="U57" s="12"/>
      <c r="V57" s="12"/>
      <c r="W57" s="12"/>
      <c r="X57" s="12"/>
      <c r="Y57" s="12"/>
      <c r="Z57" s="18">
        <f>ROUND(R57*'Data-CostAssumptions'!$C$8,-3)</f>
        <v>814000</v>
      </c>
      <c r="AA57" s="11">
        <f t="shared" si="9"/>
        <v>0</v>
      </c>
      <c r="AB57" s="11">
        <v>2041</v>
      </c>
      <c r="AC57" s="11">
        <v>2041</v>
      </c>
      <c r="AD57" s="11">
        <f t="shared" si="10"/>
        <v>2041</v>
      </c>
      <c r="AE57" s="19">
        <f>ROUND((Z57*'Data-CostAssumptions'!$G$5)*(1+'Data-CostAssumptions'!$G$3)^(AB57-'Data-CostAssumptions'!$G$4),-3)</f>
        <v>459000</v>
      </c>
      <c r="AF57" s="19">
        <f>ROUND((Z57)*(1+'Data-CostAssumptions'!$G$3)^(AD57-'Data-CostAssumptions'!$G$4),-3)</f>
        <v>2087000</v>
      </c>
      <c r="AG57" s="170" t="str">
        <f t="shared" si="11"/>
        <v>No</v>
      </c>
      <c r="AH57" s="19">
        <f t="shared" si="12"/>
        <v>0</v>
      </c>
      <c r="AI57" s="19">
        <f t="shared" si="13"/>
        <v>0</v>
      </c>
      <c r="AJ57" s="19">
        <f t="shared" si="14"/>
        <v>0</v>
      </c>
      <c r="AK57" s="19">
        <f t="shared" si="15"/>
        <v>0</v>
      </c>
      <c r="AL57" s="19">
        <f>IF(AB57&gt;2040,Z57+Z57*'Data-CostAssumptions'!$G$5,0)</f>
        <v>993080</v>
      </c>
    </row>
    <row r="58" spans="2:38" ht="15" customHeight="1" x14ac:dyDescent="0.2">
      <c r="B58" s="11" t="s">
        <v>1211</v>
      </c>
      <c r="C58" s="11">
        <v>12021</v>
      </c>
      <c r="D58" s="84" t="s">
        <v>292</v>
      </c>
      <c r="E58" s="14"/>
      <c r="F58" s="14"/>
      <c r="G58" s="20">
        <v>1104</v>
      </c>
      <c r="H58" s="13" t="s">
        <v>1913</v>
      </c>
      <c r="I58" s="13" t="str">
        <f t="shared" si="8"/>
        <v>NW 33 St (Coral Hills Dr to NW 99 Av)</v>
      </c>
      <c r="J58" s="11" t="s">
        <v>300</v>
      </c>
      <c r="K58" s="13" t="str">
        <f>VLOOKUP(J58,'Data-ProjectTypes'!A$3:B$13,2,FALSE)</f>
        <v>Project</v>
      </c>
      <c r="L58" s="269" t="s">
        <v>431</v>
      </c>
      <c r="M58" s="11" t="s">
        <v>1785</v>
      </c>
      <c r="N58" s="11" t="s">
        <v>1984</v>
      </c>
      <c r="Q58" s="15">
        <v>0.3</v>
      </c>
      <c r="R58" s="19">
        <v>612700</v>
      </c>
      <c r="S58" s="12"/>
      <c r="T58" s="12"/>
      <c r="U58" s="12"/>
      <c r="V58" s="12"/>
      <c r="W58" s="12"/>
      <c r="X58" s="12"/>
      <c r="Y58" s="12"/>
      <c r="Z58" s="18">
        <f>ROUND(R58*'Data-CostAssumptions'!$C$8,-3)</f>
        <v>613000</v>
      </c>
      <c r="AA58" s="11">
        <f t="shared" si="9"/>
        <v>0</v>
      </c>
      <c r="AB58" s="11">
        <v>2041</v>
      </c>
      <c r="AC58" s="11">
        <v>2041</v>
      </c>
      <c r="AD58" s="11">
        <f t="shared" si="10"/>
        <v>2041</v>
      </c>
      <c r="AE58" s="19">
        <f>ROUND((Z58*'Data-CostAssumptions'!$G$5)*(1+'Data-CostAssumptions'!$G$3)^(AB58-'Data-CostAssumptions'!$G$4),-3)</f>
        <v>346000</v>
      </c>
      <c r="AF58" s="19">
        <f>ROUND((Z58)*(1+'Data-CostAssumptions'!$G$3)^(AD58-'Data-CostAssumptions'!$G$4),-3)</f>
        <v>1572000</v>
      </c>
      <c r="AG58" s="170" t="str">
        <f t="shared" si="11"/>
        <v>No</v>
      </c>
      <c r="AH58" s="19">
        <f t="shared" si="12"/>
        <v>0</v>
      </c>
      <c r="AI58" s="19">
        <f t="shared" si="13"/>
        <v>0</v>
      </c>
      <c r="AJ58" s="19">
        <f t="shared" si="14"/>
        <v>0</v>
      </c>
      <c r="AK58" s="19">
        <f t="shared" si="15"/>
        <v>0</v>
      </c>
      <c r="AL58" s="19">
        <f>IF(AB58&gt;2040,Z58+Z58*'Data-CostAssumptions'!$G$5,0)</f>
        <v>747860</v>
      </c>
    </row>
    <row r="59" spans="2:38" ht="15" customHeight="1" x14ac:dyDescent="0.2">
      <c r="B59" s="11" t="s">
        <v>1211</v>
      </c>
      <c r="C59" s="11">
        <v>14511</v>
      </c>
      <c r="D59" s="84" t="s">
        <v>286</v>
      </c>
      <c r="E59" s="14"/>
      <c r="F59" s="14"/>
      <c r="G59" s="20">
        <v>1116</v>
      </c>
      <c r="H59" s="13" t="s">
        <v>2931</v>
      </c>
      <c r="I59" s="13" t="str">
        <f t="shared" si="8"/>
        <v>SR 5/US 1 Drawbridge ( NE 2nd Place to City Limits)</v>
      </c>
      <c r="J59" s="11" t="s">
        <v>300</v>
      </c>
      <c r="K59" s="13" t="str">
        <f>VLOOKUP(J59,'Data-ProjectTypes'!A$3:B$13,2,FALSE)</f>
        <v>Project</v>
      </c>
      <c r="L59" s="31" t="s">
        <v>1154</v>
      </c>
      <c r="M59" s="11" t="s">
        <v>1161</v>
      </c>
      <c r="N59" s="11" t="s">
        <v>1156</v>
      </c>
      <c r="Q59" s="15">
        <v>0.4</v>
      </c>
      <c r="R59" s="19">
        <v>150000000</v>
      </c>
      <c r="S59" s="12"/>
      <c r="T59" s="12"/>
      <c r="U59" s="12"/>
      <c r="V59" s="12"/>
      <c r="W59" s="12"/>
      <c r="X59" s="12"/>
      <c r="Y59" s="12"/>
      <c r="Z59" s="18">
        <f>ROUND(R59*'Data-CostAssumptions'!$C$8,-3)</f>
        <v>150000000</v>
      </c>
      <c r="AA59" s="11">
        <f t="shared" si="9"/>
        <v>0</v>
      </c>
      <c r="AB59" s="11">
        <v>2041</v>
      </c>
      <c r="AC59" s="11">
        <v>2041</v>
      </c>
      <c r="AD59" s="11">
        <f t="shared" si="10"/>
        <v>2041</v>
      </c>
      <c r="AE59" s="19">
        <f>ROUND((Z59*'Data-CostAssumptions'!$G$5)*(1+'Data-CostAssumptions'!$G$3)^(AB59-'Data-CostAssumptions'!$G$4),-3)</f>
        <v>84610000</v>
      </c>
      <c r="AF59" s="19">
        <f>ROUND((Z59)*(1+'Data-CostAssumptions'!$G$3)^(AD59-'Data-CostAssumptions'!$G$4),-3)</f>
        <v>384592000</v>
      </c>
      <c r="AG59" s="170" t="str">
        <f t="shared" si="11"/>
        <v>No</v>
      </c>
      <c r="AH59" s="19">
        <f t="shared" si="12"/>
        <v>0</v>
      </c>
      <c r="AI59" s="19">
        <f t="shared" si="13"/>
        <v>0</v>
      </c>
      <c r="AJ59" s="19">
        <f t="shared" si="14"/>
        <v>0</v>
      </c>
      <c r="AK59" s="19">
        <f t="shared" si="15"/>
        <v>0</v>
      </c>
      <c r="AL59" s="19">
        <f>IF(AB59&gt;2040,Z59+Z59*'Data-CostAssumptions'!$G$5,0)</f>
        <v>183000000</v>
      </c>
    </row>
    <row r="60" spans="2:38" ht="15" customHeight="1" x14ac:dyDescent="0.2">
      <c r="B60" s="11" t="s">
        <v>1211</v>
      </c>
      <c r="C60" s="11">
        <v>14501</v>
      </c>
      <c r="D60" s="84" t="s">
        <v>286</v>
      </c>
      <c r="E60" s="14"/>
      <c r="F60" s="14"/>
      <c r="G60" s="20">
        <v>1109</v>
      </c>
      <c r="H60" s="13" t="s">
        <v>3001</v>
      </c>
      <c r="I60" s="13" t="str">
        <f t="shared" si="8"/>
        <v>Dania Beach Bl Bridge (SW 12th Av to  Bryan Rd)</v>
      </c>
      <c r="J60" s="11" t="s">
        <v>300</v>
      </c>
      <c r="K60" s="13" t="str">
        <f>VLOOKUP(J60,'Data-ProjectTypes'!A$3:B$13,2,FALSE)</f>
        <v>Project</v>
      </c>
      <c r="L60" s="31" t="s">
        <v>1147</v>
      </c>
      <c r="M60" s="11" t="s">
        <v>2390</v>
      </c>
      <c r="N60" s="11" t="s">
        <v>2468</v>
      </c>
      <c r="Q60" s="15">
        <v>0.03</v>
      </c>
      <c r="R60" s="19">
        <v>6250000</v>
      </c>
      <c r="S60" s="12"/>
      <c r="T60" s="12"/>
      <c r="U60" s="12"/>
      <c r="V60" s="12"/>
      <c r="W60" s="12"/>
      <c r="X60" s="12"/>
      <c r="Y60" s="12"/>
      <c r="Z60" s="18">
        <f>ROUND(R60*'Data-CostAssumptions'!$C$8,-3)</f>
        <v>6250000</v>
      </c>
      <c r="AA60" s="11">
        <f t="shared" si="9"/>
        <v>0</v>
      </c>
      <c r="AB60" s="11">
        <v>2041</v>
      </c>
      <c r="AC60" s="11">
        <v>2041</v>
      </c>
      <c r="AD60" s="11">
        <f t="shared" si="10"/>
        <v>2041</v>
      </c>
      <c r="AE60" s="19">
        <f>ROUND((Z60*'Data-CostAssumptions'!$G$5)*(1+'Data-CostAssumptions'!$G$3)^(AB60-'Data-CostAssumptions'!$G$4),-3)</f>
        <v>3525000</v>
      </c>
      <c r="AF60" s="19">
        <f>ROUND((Z60)*(1+'Data-CostAssumptions'!$G$3)^(AD60-'Data-CostAssumptions'!$G$4),-3)</f>
        <v>16025000</v>
      </c>
      <c r="AG60" s="170" t="str">
        <f t="shared" si="11"/>
        <v>No</v>
      </c>
      <c r="AH60" s="19">
        <f t="shared" si="12"/>
        <v>0</v>
      </c>
      <c r="AI60" s="19">
        <f t="shared" si="13"/>
        <v>0</v>
      </c>
      <c r="AJ60" s="19">
        <f t="shared" si="14"/>
        <v>0</v>
      </c>
      <c r="AK60" s="19">
        <f t="shared" si="15"/>
        <v>0</v>
      </c>
      <c r="AL60" s="19">
        <f>IF(AB60&gt;2040,Z60+Z60*'Data-CostAssumptions'!$G$5,0)</f>
        <v>7625000</v>
      </c>
    </row>
    <row r="61" spans="2:38" ht="15" customHeight="1" x14ac:dyDescent="0.2">
      <c r="B61" s="11" t="s">
        <v>1211</v>
      </c>
      <c r="C61" s="11">
        <v>14512</v>
      </c>
      <c r="D61" s="84" t="s">
        <v>286</v>
      </c>
      <c r="E61" s="14"/>
      <c r="F61" s="14"/>
      <c r="G61" s="20">
        <v>1117</v>
      </c>
      <c r="H61" s="13" t="s">
        <v>2017</v>
      </c>
      <c r="I61" s="13" t="str">
        <f t="shared" si="8"/>
        <v>Complete St Project on SE  5th Av (Dania Beach to Sheridan St)</v>
      </c>
      <c r="J61" s="11" t="s">
        <v>300</v>
      </c>
      <c r="K61" s="13" t="str">
        <f>VLOOKUP(J61,'Data-ProjectTypes'!A$3:B$13,2,FALSE)</f>
        <v>Project</v>
      </c>
      <c r="L61" s="270" t="s">
        <v>1155</v>
      </c>
      <c r="M61" s="11" t="s">
        <v>286</v>
      </c>
      <c r="N61" s="11" t="s">
        <v>1951</v>
      </c>
      <c r="Q61" s="15">
        <v>1.26</v>
      </c>
      <c r="R61" s="19">
        <v>5125000</v>
      </c>
      <c r="S61" s="12"/>
      <c r="T61" s="12"/>
      <c r="U61" s="12"/>
      <c r="V61" s="12"/>
      <c r="W61" s="12"/>
      <c r="X61" s="12"/>
      <c r="Y61" s="12"/>
      <c r="Z61" s="18">
        <f>ROUND(R61*'Data-CostAssumptions'!$C$8,-3)</f>
        <v>5125000</v>
      </c>
      <c r="AA61" s="11">
        <f t="shared" si="9"/>
        <v>0</v>
      </c>
      <c r="AB61" s="11">
        <v>2041</v>
      </c>
      <c r="AC61" s="11">
        <v>2041</v>
      </c>
      <c r="AD61" s="11">
        <f t="shared" si="10"/>
        <v>2041</v>
      </c>
      <c r="AE61" s="19">
        <f>ROUND((Z61*'Data-CostAssumptions'!$G$5)*(1+'Data-CostAssumptions'!$G$3)^(AB61-'Data-CostAssumptions'!$G$4),-3)</f>
        <v>2891000</v>
      </c>
      <c r="AF61" s="19">
        <f>ROUND((Z61)*(1+'Data-CostAssumptions'!$G$3)^(AD61-'Data-CostAssumptions'!$G$4),-3)</f>
        <v>13140000</v>
      </c>
      <c r="AG61" s="170" t="str">
        <f t="shared" si="11"/>
        <v>No</v>
      </c>
      <c r="AH61" s="19">
        <f t="shared" si="12"/>
        <v>0</v>
      </c>
      <c r="AI61" s="19">
        <f t="shared" si="13"/>
        <v>0</v>
      </c>
      <c r="AJ61" s="19">
        <f t="shared" si="14"/>
        <v>0</v>
      </c>
      <c r="AK61" s="19">
        <f t="shared" si="15"/>
        <v>0</v>
      </c>
      <c r="AL61" s="19">
        <f>IF(AB61&gt;2040,Z61+Z61*'Data-CostAssumptions'!$G$5,0)</f>
        <v>6252500</v>
      </c>
    </row>
    <row r="62" spans="2:38" ht="15" customHeight="1" x14ac:dyDescent="0.2">
      <c r="B62" s="11" t="s">
        <v>1211</v>
      </c>
      <c r="C62" s="11">
        <v>14506</v>
      </c>
      <c r="D62" s="84" t="s">
        <v>286</v>
      </c>
      <c r="E62" s="14"/>
      <c r="F62" s="14"/>
      <c r="G62" s="20">
        <v>1112</v>
      </c>
      <c r="H62" s="13" t="s">
        <v>1861</v>
      </c>
      <c r="I62" s="13" t="str">
        <f t="shared" si="8"/>
        <v>Re-alignment of Old Griffin Rd (Bryan Rd to Dixie Hwy)</v>
      </c>
      <c r="J62" s="11" t="s">
        <v>300</v>
      </c>
      <c r="K62" s="13" t="str">
        <f>VLOOKUP(J62,'Data-ProjectTypes'!A$3:B$13,2,FALSE)</f>
        <v>Project</v>
      </c>
      <c r="L62" s="31" t="s">
        <v>1150</v>
      </c>
      <c r="M62" s="11" t="s">
        <v>1746</v>
      </c>
      <c r="N62" s="11" t="s">
        <v>728</v>
      </c>
      <c r="Q62" s="15">
        <v>0.41</v>
      </c>
      <c r="R62" s="19">
        <v>4875000</v>
      </c>
      <c r="S62" s="12"/>
      <c r="T62" s="12"/>
      <c r="U62" s="12"/>
      <c r="V62" s="12"/>
      <c r="W62" s="12"/>
      <c r="X62" s="12"/>
      <c r="Y62" s="12"/>
      <c r="Z62" s="18">
        <f>ROUND(R62*'Data-CostAssumptions'!$C$8,-3)</f>
        <v>4875000</v>
      </c>
      <c r="AA62" s="11">
        <f t="shared" si="9"/>
        <v>0</v>
      </c>
      <c r="AB62" s="11">
        <v>2041</v>
      </c>
      <c r="AC62" s="11">
        <v>2041</v>
      </c>
      <c r="AD62" s="11">
        <f t="shared" si="10"/>
        <v>2041</v>
      </c>
      <c r="AE62" s="19">
        <f>ROUND((Z62*'Data-CostAssumptions'!$G$5)*(1+'Data-CostAssumptions'!$G$3)^(AB62-'Data-CostAssumptions'!$G$4),-3)</f>
        <v>2750000</v>
      </c>
      <c r="AF62" s="19">
        <f>ROUND((Z62)*(1+'Data-CostAssumptions'!$G$3)^(AD62-'Data-CostAssumptions'!$G$4),-3)</f>
        <v>12499000</v>
      </c>
      <c r="AG62" s="170" t="str">
        <f t="shared" si="11"/>
        <v>No</v>
      </c>
      <c r="AH62" s="19">
        <f t="shared" si="12"/>
        <v>0</v>
      </c>
      <c r="AI62" s="19">
        <f t="shared" si="13"/>
        <v>0</v>
      </c>
      <c r="AJ62" s="19">
        <f t="shared" si="14"/>
        <v>0</v>
      </c>
      <c r="AK62" s="19">
        <f t="shared" si="15"/>
        <v>0</v>
      </c>
      <c r="AL62" s="19">
        <f>IF(AB62&gt;2040,Z62+Z62*'Data-CostAssumptions'!$G$5,0)</f>
        <v>5947500</v>
      </c>
    </row>
    <row r="63" spans="2:38" ht="15" customHeight="1" x14ac:dyDescent="0.2">
      <c r="B63" s="11" t="s">
        <v>1211</v>
      </c>
      <c r="C63" s="11">
        <v>14507</v>
      </c>
      <c r="D63" s="84" t="s">
        <v>286</v>
      </c>
      <c r="E63" s="14"/>
      <c r="F63" s="14"/>
      <c r="G63" s="20">
        <v>1113</v>
      </c>
      <c r="H63" s="13" t="s">
        <v>1951</v>
      </c>
      <c r="I63" s="13" t="str">
        <f t="shared" si="8"/>
        <v>Sheridan St (Dixie Hwy to City Limits)</v>
      </c>
      <c r="J63" s="11" t="s">
        <v>300</v>
      </c>
      <c r="K63" s="13" t="str">
        <f>VLOOKUP(J63,'Data-ProjectTypes'!A$3:B$13,2,FALSE)</f>
        <v>Project</v>
      </c>
      <c r="L63" s="31" t="s">
        <v>1151</v>
      </c>
      <c r="M63" s="11" t="s">
        <v>728</v>
      </c>
      <c r="N63" s="11" t="s">
        <v>1156</v>
      </c>
      <c r="Q63" s="15">
        <v>0.4</v>
      </c>
      <c r="R63" s="19">
        <v>4062500</v>
      </c>
      <c r="S63" s="12"/>
      <c r="T63" s="12"/>
      <c r="U63" s="12"/>
      <c r="V63" s="12"/>
      <c r="W63" s="12"/>
      <c r="X63" s="12"/>
      <c r="Y63" s="12"/>
      <c r="Z63" s="18">
        <f>ROUND(R63*'Data-CostAssumptions'!$C$8,-3)</f>
        <v>4063000</v>
      </c>
      <c r="AA63" s="11">
        <f t="shared" si="9"/>
        <v>0</v>
      </c>
      <c r="AB63" s="11">
        <v>2041</v>
      </c>
      <c r="AC63" s="11">
        <v>2041</v>
      </c>
      <c r="AD63" s="11">
        <f t="shared" si="10"/>
        <v>2041</v>
      </c>
      <c r="AE63" s="19">
        <f>ROUND((Z63*'Data-CostAssumptions'!$G$5)*(1+'Data-CostAssumptions'!$G$3)^(AB63-'Data-CostAssumptions'!$G$4),-3)</f>
        <v>2292000</v>
      </c>
      <c r="AF63" s="19">
        <f>ROUND((Z63)*(1+'Data-CostAssumptions'!$G$3)^(AD63-'Data-CostAssumptions'!$G$4),-3)</f>
        <v>10417000</v>
      </c>
      <c r="AG63" s="170" t="str">
        <f t="shared" si="11"/>
        <v>No</v>
      </c>
      <c r="AH63" s="19">
        <f t="shared" si="12"/>
        <v>0</v>
      </c>
      <c r="AI63" s="19">
        <f t="shared" si="13"/>
        <v>0</v>
      </c>
      <c r="AJ63" s="19">
        <f t="shared" si="14"/>
        <v>0</v>
      </c>
      <c r="AK63" s="19">
        <f t="shared" si="15"/>
        <v>0</v>
      </c>
      <c r="AL63" s="19">
        <f>IF(AB63&gt;2040,Z63+Z63*'Data-CostAssumptions'!$G$5,0)</f>
        <v>4956860</v>
      </c>
    </row>
    <row r="64" spans="2:38" ht="15" customHeight="1" x14ac:dyDescent="0.2">
      <c r="B64" s="11" t="s">
        <v>1211</v>
      </c>
      <c r="C64" s="11">
        <v>14503</v>
      </c>
      <c r="D64" s="84" t="s">
        <v>286</v>
      </c>
      <c r="E64" s="14"/>
      <c r="F64" s="14"/>
      <c r="G64" s="20">
        <v>1111</v>
      </c>
      <c r="H64" s="13" t="s">
        <v>1873</v>
      </c>
      <c r="I64" s="13" t="str">
        <f t="shared" si="8"/>
        <v>Complete St Project for Griffin Rd (I-95 to SW 45th Terrace)</v>
      </c>
      <c r="J64" s="11" t="s">
        <v>300</v>
      </c>
      <c r="K64" s="13" t="str">
        <f>VLOOKUP(J64,'Data-ProjectTypes'!A$3:B$13,2,FALSE)</f>
        <v>Project</v>
      </c>
      <c r="L64" s="31" t="s">
        <v>1146</v>
      </c>
      <c r="M64" s="11" t="s">
        <v>41</v>
      </c>
      <c r="N64" s="11" t="s">
        <v>1157</v>
      </c>
      <c r="Q64" s="15">
        <v>2.6</v>
      </c>
      <c r="R64" s="19">
        <v>1437500</v>
      </c>
      <c r="S64" s="12"/>
      <c r="T64" s="12"/>
      <c r="U64" s="12"/>
      <c r="V64" s="12"/>
      <c r="W64" s="12"/>
      <c r="X64" s="34"/>
      <c r="Y64" s="12"/>
      <c r="Z64" s="18">
        <f>ROUND(R64*'Data-CostAssumptions'!$C$8,-3)</f>
        <v>1438000</v>
      </c>
      <c r="AA64" s="11">
        <f t="shared" si="9"/>
        <v>0</v>
      </c>
      <c r="AB64" s="11">
        <v>2041</v>
      </c>
      <c r="AC64" s="11">
        <v>2041</v>
      </c>
      <c r="AD64" s="11">
        <f t="shared" si="10"/>
        <v>2041</v>
      </c>
      <c r="AE64" s="19">
        <f>ROUND((Z64*'Data-CostAssumptions'!$G$5)*(1+'Data-CostAssumptions'!$G$3)^(AB64-'Data-CostAssumptions'!$G$4),-3)</f>
        <v>811000</v>
      </c>
      <c r="AF64" s="19">
        <f>ROUND((Z64)*(1+'Data-CostAssumptions'!$G$3)^(AD64-'Data-CostAssumptions'!$G$4),-3)</f>
        <v>3687000</v>
      </c>
      <c r="AG64" s="170" t="str">
        <f t="shared" si="11"/>
        <v>No</v>
      </c>
      <c r="AH64" s="19">
        <f t="shared" si="12"/>
        <v>0</v>
      </c>
      <c r="AI64" s="19">
        <f t="shared" si="13"/>
        <v>0</v>
      </c>
      <c r="AJ64" s="19">
        <f t="shared" si="14"/>
        <v>0</v>
      </c>
      <c r="AK64" s="19">
        <f t="shared" si="15"/>
        <v>0</v>
      </c>
      <c r="AL64" s="19">
        <f>IF(AB64&gt;2040,Z64+Z64*'Data-CostAssumptions'!$G$5,0)</f>
        <v>1754360</v>
      </c>
    </row>
    <row r="65" spans="1:39" ht="15" customHeight="1" x14ac:dyDescent="0.2">
      <c r="B65" s="11" t="s">
        <v>1211</v>
      </c>
      <c r="C65" s="11">
        <v>14502</v>
      </c>
      <c r="D65" s="84" t="s">
        <v>286</v>
      </c>
      <c r="E65" s="14"/>
      <c r="F65" s="14"/>
      <c r="G65" s="20">
        <v>1110</v>
      </c>
      <c r="H65" s="13" t="s">
        <v>1874</v>
      </c>
      <c r="I65" s="13" t="str">
        <f t="shared" si="8"/>
        <v>Complete St Project for Ravenswood Rd (SR 84 to Stirling Rd)</v>
      </c>
      <c r="J65" s="11" t="s">
        <v>300</v>
      </c>
      <c r="K65" s="13" t="str">
        <f>VLOOKUP(J65,'Data-ProjectTypes'!A$3:B$13,2,FALSE)</f>
        <v>Project</v>
      </c>
      <c r="L65" s="31" t="s">
        <v>1146</v>
      </c>
      <c r="M65" s="11" t="s">
        <v>45</v>
      </c>
      <c r="N65" s="11" t="s">
        <v>177</v>
      </c>
      <c r="Q65" s="15">
        <v>2.3199999999999998</v>
      </c>
      <c r="R65" s="19">
        <v>1275000</v>
      </c>
      <c r="S65" s="12"/>
      <c r="T65" s="12"/>
      <c r="U65" s="12"/>
      <c r="V65" s="12"/>
      <c r="W65" s="12"/>
      <c r="X65" s="12"/>
      <c r="Y65" s="12"/>
      <c r="Z65" s="18">
        <f>ROUND(R65*'Data-CostAssumptions'!$C$8,-3)</f>
        <v>1275000</v>
      </c>
      <c r="AA65" s="11">
        <f t="shared" si="9"/>
        <v>0</v>
      </c>
      <c r="AB65" s="11">
        <v>2041</v>
      </c>
      <c r="AC65" s="11">
        <v>2041</v>
      </c>
      <c r="AD65" s="11">
        <f t="shared" si="10"/>
        <v>2041</v>
      </c>
      <c r="AE65" s="19">
        <f>ROUND((Z65*'Data-CostAssumptions'!$G$5)*(1+'Data-CostAssumptions'!$G$3)^(AB65-'Data-CostAssumptions'!$G$4),-3)</f>
        <v>719000</v>
      </c>
      <c r="AF65" s="19">
        <f>ROUND((Z65)*(1+'Data-CostAssumptions'!$G$3)^(AD65-'Data-CostAssumptions'!$G$4),-3)</f>
        <v>3269000</v>
      </c>
      <c r="AG65" s="170" t="str">
        <f t="shared" si="11"/>
        <v>No</v>
      </c>
      <c r="AH65" s="19">
        <f t="shared" si="12"/>
        <v>0</v>
      </c>
      <c r="AI65" s="19">
        <f t="shared" si="13"/>
        <v>0</v>
      </c>
      <c r="AJ65" s="19">
        <f t="shared" si="14"/>
        <v>0</v>
      </c>
      <c r="AK65" s="19">
        <f t="shared" si="15"/>
        <v>0</v>
      </c>
      <c r="AL65" s="19">
        <f>IF(AB65&gt;2040,Z65+Z65*'Data-CostAssumptions'!$G$5,0)</f>
        <v>1555500</v>
      </c>
    </row>
    <row r="66" spans="1:39" ht="15" customHeight="1" x14ac:dyDescent="0.2">
      <c r="B66" s="11" t="s">
        <v>1211</v>
      </c>
      <c r="C66" s="11">
        <v>14500</v>
      </c>
      <c r="D66" s="84" t="s">
        <v>286</v>
      </c>
      <c r="E66" s="14"/>
      <c r="F66" s="14"/>
      <c r="G66" s="20">
        <v>1108</v>
      </c>
      <c r="H66" s="13" t="s">
        <v>1872</v>
      </c>
      <c r="I66" s="13" t="str">
        <f t="shared" ref="I66:I77" si="16">IF(M66="@",H66&amp;" ("&amp;M66&amp;"  "&amp;N66&amp;")",H66&amp;" ("&amp;M66&amp;" to "&amp;N66&amp;")")</f>
        <v>Complete St Project for Dania Beach Bl (Bryan Rd to City Limits)</v>
      </c>
      <c r="J66" s="11" t="s">
        <v>300</v>
      </c>
      <c r="K66" s="13" t="str">
        <f>VLOOKUP(J66,'Data-ProjectTypes'!A$3:B$13,2,FALSE)</f>
        <v>Project</v>
      </c>
      <c r="L66" s="31" t="s">
        <v>1146</v>
      </c>
      <c r="M66" s="11" t="s">
        <v>1746</v>
      </c>
      <c r="N66" s="11" t="s">
        <v>1156</v>
      </c>
      <c r="Q66" s="15">
        <v>1.7</v>
      </c>
      <c r="R66" s="19">
        <v>937500</v>
      </c>
      <c r="S66" s="12"/>
      <c r="T66" s="12"/>
      <c r="U66" s="12"/>
      <c r="V66" s="12"/>
      <c r="W66" s="12"/>
      <c r="X66" s="12"/>
      <c r="Y66" s="12"/>
      <c r="Z66" s="18">
        <f>ROUND(R66*'Data-CostAssumptions'!$C$8,-3)</f>
        <v>938000</v>
      </c>
      <c r="AA66" s="11">
        <f t="shared" ref="AA66:AA97" si="17">IF(V66="",IF(W66="",0,1),1)</f>
        <v>0</v>
      </c>
      <c r="AB66" s="11">
        <v>2041</v>
      </c>
      <c r="AC66" s="11">
        <v>2041</v>
      </c>
      <c r="AD66" s="11">
        <f t="shared" ref="AD66:AD97" si="18">+AC66</f>
        <v>2041</v>
      </c>
      <c r="AE66" s="19">
        <f>ROUND((Z66*'Data-CostAssumptions'!$G$5)*(1+'Data-CostAssumptions'!$G$3)^(AB66-'Data-CostAssumptions'!$G$4),-3)</f>
        <v>529000</v>
      </c>
      <c r="AF66" s="19">
        <f>ROUND((Z66)*(1+'Data-CostAssumptions'!$G$3)^(AD66-'Data-CostAssumptions'!$G$4),-3)</f>
        <v>2405000</v>
      </c>
      <c r="AG66" s="170" t="str">
        <f t="shared" ref="AG66:AG97" si="19">IF(MIN(AC66:AD66)&lt;2041,"Yes","No")</f>
        <v>No</v>
      </c>
      <c r="AH66" s="19">
        <f t="shared" ref="AH66:AH97" si="20">IF(AB66&gt;2018,IF(AB66&lt;2021,AE66,0),0)+IF(AC66&gt;2018,IF(AC66&lt;2021,AF66,0),0)</f>
        <v>0</v>
      </c>
      <c r="AI66" s="19">
        <f t="shared" ref="AI66:AI97" si="21">IF(AB66&gt;2020,IF(AB66&lt;2026,AE66,0),0)+IF(AC66&gt;2020,IF(AC66&lt;2026,AF66,0),0)</f>
        <v>0</v>
      </c>
      <c r="AJ66" s="19">
        <f t="shared" ref="AJ66:AJ97" si="22">IF(AB66&gt;2025,IF(AB66&lt;2031,AE66,0),0)+IF(AC66&gt;2025,IF(AC66&lt;2031,AF66,0),0)</f>
        <v>0</v>
      </c>
      <c r="AK66" s="19">
        <f t="shared" ref="AK66:AK97" si="23">IF(AB66&gt;2030,IF(AB66&lt;2041,AE66,0),0)+IF(AC66&gt;2030,IF(AC66&lt;2041,AF66,0),0)</f>
        <v>0</v>
      </c>
      <c r="AL66" s="19">
        <f>IF(AB66&gt;2040,Z66+Z66*'Data-CostAssumptions'!$G$5,0)</f>
        <v>1144360</v>
      </c>
    </row>
    <row r="67" spans="1:39" ht="15" customHeight="1" x14ac:dyDescent="0.2">
      <c r="B67" s="11" t="s">
        <v>1211</v>
      </c>
      <c r="C67" s="11">
        <v>14509</v>
      </c>
      <c r="D67" s="84" t="s">
        <v>286</v>
      </c>
      <c r="E67" s="14"/>
      <c r="F67" s="14"/>
      <c r="G67" s="20">
        <v>1115</v>
      </c>
      <c r="H67" s="13" t="s">
        <v>1144</v>
      </c>
      <c r="I67" s="13" t="str">
        <f t="shared" si="16"/>
        <v>Solar Lighting on all City's hurricane evacuation zones (Dixie Hwy to City limits)</v>
      </c>
      <c r="J67" s="11" t="s">
        <v>300</v>
      </c>
      <c r="K67" s="13" t="str">
        <f>VLOOKUP(J67,'Data-ProjectTypes'!A$3:B$13,2,FALSE)</f>
        <v>Project</v>
      </c>
      <c r="L67" s="31" t="s">
        <v>1152</v>
      </c>
      <c r="M67" s="11" t="s">
        <v>728</v>
      </c>
      <c r="N67" s="11" t="s">
        <v>1159</v>
      </c>
      <c r="Q67" s="15">
        <v>2.1</v>
      </c>
      <c r="R67" s="19">
        <v>562500</v>
      </c>
      <c r="S67" s="12"/>
      <c r="T67" s="12"/>
      <c r="U67" s="12"/>
      <c r="V67" s="12"/>
      <c r="W67" s="12"/>
      <c r="X67" s="12"/>
      <c r="Y67" s="12"/>
      <c r="Z67" s="18">
        <f>ROUND(R67*'Data-CostAssumptions'!$C$8,-3)</f>
        <v>563000</v>
      </c>
      <c r="AA67" s="11">
        <f t="shared" si="17"/>
        <v>0</v>
      </c>
      <c r="AB67" s="11">
        <v>2041</v>
      </c>
      <c r="AC67" s="11">
        <v>2041</v>
      </c>
      <c r="AD67" s="11">
        <f t="shared" si="18"/>
        <v>2041</v>
      </c>
      <c r="AE67" s="19">
        <f>ROUND((Z67*'Data-CostAssumptions'!$G$5)*(1+'Data-CostAssumptions'!$G$3)^(AB67-'Data-CostAssumptions'!$G$4),-3)</f>
        <v>318000</v>
      </c>
      <c r="AF67" s="19">
        <f>ROUND((Z67)*(1+'Data-CostAssumptions'!$G$3)^(AD67-'Data-CostAssumptions'!$G$4),-3)</f>
        <v>1444000</v>
      </c>
      <c r="AG67" s="170" t="str">
        <f t="shared" si="19"/>
        <v>No</v>
      </c>
      <c r="AH67" s="19">
        <f t="shared" si="20"/>
        <v>0</v>
      </c>
      <c r="AI67" s="19">
        <f t="shared" si="21"/>
        <v>0</v>
      </c>
      <c r="AJ67" s="19">
        <f t="shared" si="22"/>
        <v>0</v>
      </c>
      <c r="AK67" s="19">
        <f t="shared" si="23"/>
        <v>0</v>
      </c>
      <c r="AL67" s="19">
        <f>IF(AB67&gt;2040,Z67+Z67*'Data-CostAssumptions'!$G$5,0)</f>
        <v>686860</v>
      </c>
    </row>
    <row r="68" spans="1:39" ht="15" customHeight="1" x14ac:dyDescent="0.2">
      <c r="B68" s="11" t="s">
        <v>1211</v>
      </c>
      <c r="C68" s="11">
        <v>14508</v>
      </c>
      <c r="D68" s="84" t="s">
        <v>286</v>
      </c>
      <c r="E68" s="14"/>
      <c r="F68" s="14"/>
      <c r="G68" s="20">
        <v>1114</v>
      </c>
      <c r="H68" s="13" t="s">
        <v>1875</v>
      </c>
      <c r="I68" s="13" t="str">
        <f t="shared" si="16"/>
        <v>Complete St Project on Sheridan St (Federal Hwy to City Limits)</v>
      </c>
      <c r="J68" s="11" t="s">
        <v>300</v>
      </c>
      <c r="K68" s="13" t="str">
        <f>VLOOKUP(J68,'Data-ProjectTypes'!A$3:B$13,2,FALSE)</f>
        <v>Project</v>
      </c>
      <c r="L68" s="90" t="s">
        <v>1146</v>
      </c>
      <c r="M68" s="11" t="s">
        <v>2595</v>
      </c>
      <c r="N68" s="11" t="s">
        <v>1156</v>
      </c>
      <c r="Q68" s="15">
        <v>0.82</v>
      </c>
      <c r="R68" s="19">
        <v>525000</v>
      </c>
      <c r="S68" s="12"/>
      <c r="T68" s="12"/>
      <c r="U68" s="12"/>
      <c r="V68" s="12"/>
      <c r="W68" s="12"/>
      <c r="X68" s="12"/>
      <c r="Y68" s="12"/>
      <c r="Z68" s="18">
        <f>ROUND(R68*'Data-CostAssumptions'!$C$8,-3)</f>
        <v>525000</v>
      </c>
      <c r="AA68" s="11">
        <f t="shared" si="17"/>
        <v>0</v>
      </c>
      <c r="AB68" s="11">
        <v>2041</v>
      </c>
      <c r="AC68" s="11">
        <v>2041</v>
      </c>
      <c r="AD68" s="11">
        <f t="shared" si="18"/>
        <v>2041</v>
      </c>
      <c r="AE68" s="19">
        <f>ROUND((Z68*'Data-CostAssumptions'!$G$5)*(1+'Data-CostAssumptions'!$G$3)^(AB68-'Data-CostAssumptions'!$G$4),-3)</f>
        <v>296000</v>
      </c>
      <c r="AF68" s="19">
        <f>ROUND((Z68)*(1+'Data-CostAssumptions'!$G$3)^(AD68-'Data-CostAssumptions'!$G$4),-3)</f>
        <v>1346000</v>
      </c>
      <c r="AG68" s="170" t="str">
        <f t="shared" si="19"/>
        <v>No</v>
      </c>
      <c r="AH68" s="19">
        <f t="shared" si="20"/>
        <v>0</v>
      </c>
      <c r="AI68" s="19">
        <f t="shared" si="21"/>
        <v>0</v>
      </c>
      <c r="AJ68" s="19">
        <f t="shared" si="22"/>
        <v>0</v>
      </c>
      <c r="AK68" s="19">
        <f t="shared" si="23"/>
        <v>0</v>
      </c>
      <c r="AL68" s="19">
        <f>IF(AB68&gt;2040,Z68+Z68*'Data-CostAssumptions'!$G$5,0)</f>
        <v>640500</v>
      </c>
    </row>
    <row r="69" spans="1:39" ht="15" customHeight="1" x14ac:dyDescent="0.2">
      <c r="B69" s="11" t="s">
        <v>1211</v>
      </c>
      <c r="C69" s="11">
        <v>12100</v>
      </c>
      <c r="D69" s="84" t="s">
        <v>279</v>
      </c>
      <c r="E69" s="14"/>
      <c r="F69" s="14"/>
      <c r="G69" s="20">
        <v>1122</v>
      </c>
      <c r="H69" s="13" t="s">
        <v>2016</v>
      </c>
      <c r="I69" s="13" t="str">
        <f t="shared" si="16"/>
        <v>College Av (SW 39th St to SW 30th St)</v>
      </c>
      <c r="J69" s="11" t="s">
        <v>300</v>
      </c>
      <c r="K69" s="13" t="str">
        <f>VLOOKUP(J69,'Data-ProjectTypes'!A$3:B$13,2,FALSE)</f>
        <v>Project</v>
      </c>
      <c r="L69" s="269" t="s">
        <v>481</v>
      </c>
      <c r="M69" s="11" t="s">
        <v>486</v>
      </c>
      <c r="N69" s="11" t="s">
        <v>485</v>
      </c>
      <c r="Q69" s="15">
        <v>0.56999999999999995</v>
      </c>
      <c r="R69" s="19">
        <v>1845990</v>
      </c>
      <c r="S69" s="12"/>
      <c r="T69" s="12"/>
      <c r="U69" s="12"/>
      <c r="V69" s="12"/>
      <c r="W69" s="12"/>
      <c r="X69" s="34"/>
      <c r="Y69" s="12"/>
      <c r="Z69" s="18">
        <f>ROUND(R69*'Data-CostAssumptions'!$C$8,-3)</f>
        <v>1846000</v>
      </c>
      <c r="AA69" s="11">
        <f t="shared" si="17"/>
        <v>0</v>
      </c>
      <c r="AB69" s="11">
        <v>2041</v>
      </c>
      <c r="AC69" s="11">
        <v>2041</v>
      </c>
      <c r="AD69" s="11">
        <f t="shared" si="18"/>
        <v>2041</v>
      </c>
      <c r="AE69" s="19">
        <f>ROUND((Z69*'Data-CostAssumptions'!$G$5)*(1+'Data-CostAssumptions'!$G$3)^(AB69-'Data-CostAssumptions'!$G$4),-3)</f>
        <v>1041000</v>
      </c>
      <c r="AF69" s="19">
        <f>ROUND((Z69)*(1+'Data-CostAssumptions'!$G$3)^(AD69-'Data-CostAssumptions'!$G$4),-3)</f>
        <v>4733000</v>
      </c>
      <c r="AG69" s="170" t="str">
        <f t="shared" si="19"/>
        <v>No</v>
      </c>
      <c r="AH69" s="19">
        <f t="shared" si="20"/>
        <v>0</v>
      </c>
      <c r="AI69" s="19">
        <f t="shared" si="21"/>
        <v>0</v>
      </c>
      <c r="AJ69" s="19">
        <f t="shared" si="22"/>
        <v>0</v>
      </c>
      <c r="AK69" s="19">
        <f t="shared" si="23"/>
        <v>0</v>
      </c>
      <c r="AL69" s="19">
        <f>IF(AB69&gt;2040,Z69+Z69*'Data-CostAssumptions'!$G$5,0)</f>
        <v>2252120</v>
      </c>
    </row>
    <row r="70" spans="1:39" ht="15" customHeight="1" x14ac:dyDescent="0.2">
      <c r="B70" s="11" t="s">
        <v>1211</v>
      </c>
      <c r="C70" s="11">
        <v>12101</v>
      </c>
      <c r="D70" s="84" t="s">
        <v>279</v>
      </c>
      <c r="E70" s="14"/>
      <c r="F70" s="14"/>
      <c r="G70" s="20">
        <v>1123</v>
      </c>
      <c r="H70" s="13" t="s">
        <v>1845</v>
      </c>
      <c r="I70" s="13" t="str">
        <f t="shared" si="16"/>
        <v>Davie Rd (SW 39th St to Nova Dr)</v>
      </c>
      <c r="J70" s="11" t="s">
        <v>300</v>
      </c>
      <c r="K70" s="13" t="str">
        <f>VLOOKUP(J70,'Data-ProjectTypes'!A$3:B$13,2,FALSE)</f>
        <v>Project</v>
      </c>
      <c r="L70" s="11" t="s">
        <v>482</v>
      </c>
      <c r="M70" s="11" t="s">
        <v>486</v>
      </c>
      <c r="N70" s="11" t="s">
        <v>487</v>
      </c>
      <c r="Q70" s="15">
        <v>0.9</v>
      </c>
      <c r="R70" s="234">
        <f>ROUND('Data-CostAssumptions'!$C$22*Q70,-3)</f>
        <v>355000</v>
      </c>
      <c r="S70" s="12"/>
      <c r="T70" s="12"/>
      <c r="U70" s="12"/>
      <c r="V70" s="12"/>
      <c r="W70" s="12"/>
      <c r="X70" s="12"/>
      <c r="Y70" s="12"/>
      <c r="Z70" s="18">
        <f>ROUND(R70*'Data-CostAssumptions'!$C$8,-3)</f>
        <v>355000</v>
      </c>
      <c r="AA70" s="11">
        <f t="shared" si="17"/>
        <v>0</v>
      </c>
      <c r="AB70" s="11">
        <v>2041</v>
      </c>
      <c r="AC70" s="11">
        <v>2041</v>
      </c>
      <c r="AD70" s="11">
        <f t="shared" si="18"/>
        <v>2041</v>
      </c>
      <c r="AE70" s="19">
        <f>ROUND((Z70*'Data-CostAssumptions'!$G$5)*(1+'Data-CostAssumptions'!$G$3)^(AB70-'Data-CostAssumptions'!$G$4),-3)</f>
        <v>200000</v>
      </c>
      <c r="AF70" s="19">
        <f>ROUND((Z70)*(1+'Data-CostAssumptions'!$G$3)^(AD70-'Data-CostAssumptions'!$G$4),-3)</f>
        <v>910000</v>
      </c>
      <c r="AG70" s="170" t="str">
        <f t="shared" si="19"/>
        <v>No</v>
      </c>
      <c r="AH70" s="19">
        <f t="shared" si="20"/>
        <v>0</v>
      </c>
      <c r="AI70" s="19">
        <f t="shared" si="21"/>
        <v>0</v>
      </c>
      <c r="AJ70" s="19">
        <f t="shared" si="22"/>
        <v>0</v>
      </c>
      <c r="AK70" s="19">
        <f t="shared" si="23"/>
        <v>0</v>
      </c>
      <c r="AL70" s="19">
        <f>IF(AB70&gt;2040,Z70+Z70*'Data-CostAssumptions'!$G$5,0)</f>
        <v>433100</v>
      </c>
    </row>
    <row r="71" spans="1:39" ht="15" customHeight="1" x14ac:dyDescent="0.2">
      <c r="B71" s="11" t="s">
        <v>1211</v>
      </c>
      <c r="C71" s="11">
        <v>12102</v>
      </c>
      <c r="D71" s="84" t="s">
        <v>279</v>
      </c>
      <c r="E71" s="14"/>
      <c r="F71" s="14"/>
      <c r="G71" s="20">
        <v>1124</v>
      </c>
      <c r="H71" s="13" t="s">
        <v>1844</v>
      </c>
      <c r="I71" s="13" t="str">
        <f t="shared" si="16"/>
        <v>David Rd (Orange Dr to SW 39th St)</v>
      </c>
      <c r="J71" s="11" t="s">
        <v>300</v>
      </c>
      <c r="K71" s="13" t="str">
        <f>VLOOKUP(J71,'Data-ProjectTypes'!A$3:B$13,2,FALSE)</f>
        <v>Project</v>
      </c>
      <c r="L71" s="11" t="s">
        <v>483</v>
      </c>
      <c r="M71" s="11" t="s">
        <v>184</v>
      </c>
      <c r="N71" s="11" t="s">
        <v>486</v>
      </c>
      <c r="Q71" s="15">
        <v>0.5</v>
      </c>
      <c r="R71" s="234">
        <f>ROUND('Data-CostAssumptions'!$C$22*Q71,-3)</f>
        <v>197000</v>
      </c>
      <c r="S71" s="12"/>
      <c r="T71" s="12"/>
      <c r="U71" s="12"/>
      <c r="V71" s="12"/>
      <c r="W71" s="12"/>
      <c r="X71" s="12"/>
      <c r="Y71" s="12"/>
      <c r="Z71" s="18">
        <f>ROUND(R71*'Data-CostAssumptions'!$C$8,-3)</f>
        <v>197000</v>
      </c>
      <c r="AA71" s="11">
        <f t="shared" si="17"/>
        <v>0</v>
      </c>
      <c r="AB71" s="11">
        <v>2041</v>
      </c>
      <c r="AC71" s="11">
        <v>2041</v>
      </c>
      <c r="AD71" s="11">
        <f t="shared" si="18"/>
        <v>2041</v>
      </c>
      <c r="AE71" s="19">
        <f>ROUND((Z71*'Data-CostAssumptions'!$G$5)*(1+'Data-CostAssumptions'!$G$3)^(AB71-'Data-CostAssumptions'!$G$4),-3)</f>
        <v>111000</v>
      </c>
      <c r="AF71" s="19">
        <f>ROUND((Z71)*(1+'Data-CostAssumptions'!$G$3)^(AD71-'Data-CostAssumptions'!$G$4),-3)</f>
        <v>505000</v>
      </c>
      <c r="AG71" s="170" t="str">
        <f t="shared" si="19"/>
        <v>No</v>
      </c>
      <c r="AH71" s="19">
        <f t="shared" si="20"/>
        <v>0</v>
      </c>
      <c r="AI71" s="19">
        <f t="shared" si="21"/>
        <v>0</v>
      </c>
      <c r="AJ71" s="19">
        <f t="shared" si="22"/>
        <v>0</v>
      </c>
      <c r="AK71" s="19">
        <f t="shared" si="23"/>
        <v>0</v>
      </c>
      <c r="AL71" s="19">
        <f>IF(AB71&gt;2040,Z71+Z71*'Data-CostAssumptions'!$G$5,0)</f>
        <v>240340</v>
      </c>
    </row>
    <row r="72" spans="1:39" ht="15" customHeight="1" x14ac:dyDescent="0.2">
      <c r="B72" s="11" t="s">
        <v>1211</v>
      </c>
      <c r="C72" s="11">
        <v>12150</v>
      </c>
      <c r="D72" s="84" t="s">
        <v>289</v>
      </c>
      <c r="E72" s="14"/>
      <c r="F72" s="14"/>
      <c r="G72" s="20">
        <v>1125</v>
      </c>
      <c r="H72" s="13" t="s">
        <v>110</v>
      </c>
      <c r="I72" s="13" t="str">
        <f t="shared" si="16"/>
        <v>SR A1A (SE 3 St. to County line)</v>
      </c>
      <c r="J72" s="11" t="s">
        <v>300</v>
      </c>
      <c r="K72" s="13" t="str">
        <f>VLOOKUP(J72,'Data-ProjectTypes'!A$3:B$13,2,FALSE)</f>
        <v>Project</v>
      </c>
      <c r="L72" s="85" t="s">
        <v>505</v>
      </c>
      <c r="M72" s="12" t="s">
        <v>507</v>
      </c>
      <c r="N72" s="12" t="s">
        <v>506</v>
      </c>
      <c r="Q72" s="15">
        <v>0.84</v>
      </c>
      <c r="R72" s="234">
        <f>ROUND(Q72*'Data-CostAssumptions'!$C$24*Q72,-3)</f>
        <v>6503000</v>
      </c>
      <c r="S72" s="12"/>
      <c r="T72" s="12"/>
      <c r="U72" s="12"/>
      <c r="V72" s="12"/>
      <c r="W72" s="12"/>
      <c r="X72" s="12"/>
      <c r="Y72" s="12"/>
      <c r="Z72" s="18">
        <f>ROUND(R72*'Data-CostAssumptions'!$C$8,-3)</f>
        <v>6503000</v>
      </c>
      <c r="AA72" s="11">
        <f t="shared" si="17"/>
        <v>0</v>
      </c>
      <c r="AB72" s="11">
        <v>2041</v>
      </c>
      <c r="AC72" s="11">
        <v>2041</v>
      </c>
      <c r="AD72" s="11">
        <f t="shared" si="18"/>
        <v>2041</v>
      </c>
      <c r="AE72" s="19">
        <f>ROUND((Z72*'Data-CostAssumptions'!$G$5)*(1+'Data-CostAssumptions'!$G$3)^(AB72-'Data-CostAssumptions'!$G$4),-3)</f>
        <v>3668000</v>
      </c>
      <c r="AF72" s="19">
        <f>ROUND((Z72)*(1+'Data-CostAssumptions'!$G$3)^(AD72-'Data-CostAssumptions'!$G$4),-3)</f>
        <v>16673000</v>
      </c>
      <c r="AG72" s="170" t="str">
        <f t="shared" si="19"/>
        <v>No</v>
      </c>
      <c r="AH72" s="19">
        <f t="shared" si="20"/>
        <v>0</v>
      </c>
      <c r="AI72" s="19">
        <f t="shared" si="21"/>
        <v>0</v>
      </c>
      <c r="AJ72" s="19">
        <f t="shared" si="22"/>
        <v>0</v>
      </c>
      <c r="AK72" s="19">
        <f t="shared" si="23"/>
        <v>0</v>
      </c>
      <c r="AL72" s="19">
        <f>IF(AB72&gt;2040,Z72+Z72*'Data-CostAssumptions'!$G$5,0)</f>
        <v>7933660</v>
      </c>
    </row>
    <row r="73" spans="1:39" ht="15" customHeight="1" x14ac:dyDescent="0.2">
      <c r="A73" s="12"/>
      <c r="B73" s="11" t="s">
        <v>1211</v>
      </c>
      <c r="C73" s="12"/>
      <c r="D73" s="84" t="s">
        <v>276</v>
      </c>
      <c r="E73" s="104">
        <v>122</v>
      </c>
      <c r="F73" s="104"/>
      <c r="G73" s="20">
        <v>1650</v>
      </c>
      <c r="H73" s="13" t="s">
        <v>2014</v>
      </c>
      <c r="I73" s="13" t="str">
        <f t="shared" si="16"/>
        <v>Andrews Av (SE 17TH ST to NE 6TH ST/SISTRUNK Bl)</v>
      </c>
      <c r="J73" s="12" t="s">
        <v>300</v>
      </c>
      <c r="K73" s="13" t="str">
        <f>VLOOKUP(J73,'Data-ProjectTypes'!A$3:B$13,2,FALSE)</f>
        <v>Project</v>
      </c>
      <c r="L73" s="12" t="s">
        <v>1637</v>
      </c>
      <c r="M73" s="105" t="s">
        <v>1245</v>
      </c>
      <c r="N73" s="12" t="s">
        <v>2291</v>
      </c>
      <c r="O73" s="12"/>
      <c r="P73" s="12"/>
      <c r="Q73" s="72">
        <v>2</v>
      </c>
      <c r="R73" s="234">
        <v>10400000</v>
      </c>
      <c r="S73" s="12"/>
      <c r="T73" s="12"/>
      <c r="U73" s="12"/>
      <c r="V73" s="12"/>
      <c r="W73" s="12"/>
      <c r="X73" s="12"/>
      <c r="Y73" s="12"/>
      <c r="Z73" s="18">
        <f>ROUND(R73*'Data-CostAssumptions'!$C$8,-3)</f>
        <v>10400000</v>
      </c>
      <c r="AA73" s="11">
        <f t="shared" si="17"/>
        <v>0</v>
      </c>
      <c r="AB73" s="11">
        <v>2041</v>
      </c>
      <c r="AC73" s="11">
        <v>2041</v>
      </c>
      <c r="AD73" s="11">
        <f t="shared" si="18"/>
        <v>2041</v>
      </c>
      <c r="AE73" s="19">
        <f>ROUND((Z73*'Data-CostAssumptions'!$G$5)*(1+'Data-CostAssumptions'!$G$3)^(AB73-'Data-CostAssumptions'!$G$4),-3)</f>
        <v>5866000</v>
      </c>
      <c r="AF73" s="19">
        <f>ROUND((Z73)*(1+'Data-CostAssumptions'!$G$3)^(AD73-'Data-CostAssumptions'!$G$4),-3)</f>
        <v>26665000</v>
      </c>
      <c r="AG73" s="170" t="str">
        <f t="shared" si="19"/>
        <v>No</v>
      </c>
      <c r="AH73" s="19">
        <f t="shared" si="20"/>
        <v>0</v>
      </c>
      <c r="AI73" s="19">
        <f t="shared" si="21"/>
        <v>0</v>
      </c>
      <c r="AJ73" s="19">
        <f t="shared" si="22"/>
        <v>0</v>
      </c>
      <c r="AK73" s="19">
        <f t="shared" si="23"/>
        <v>0</v>
      </c>
      <c r="AL73" s="19">
        <f>IF(AB73&gt;2040,Z73+Z73*'Data-CostAssumptions'!$G$5,0)</f>
        <v>12688000</v>
      </c>
    </row>
    <row r="74" spans="1:39" ht="15" customHeight="1" x14ac:dyDescent="0.2">
      <c r="A74" s="12"/>
      <c r="B74" s="11" t="s">
        <v>1211</v>
      </c>
      <c r="C74" s="12"/>
      <c r="D74" s="84" t="s">
        <v>276</v>
      </c>
      <c r="E74" s="104">
        <v>123</v>
      </c>
      <c r="F74" s="104"/>
      <c r="G74" s="20">
        <v>1654</v>
      </c>
      <c r="H74" s="13" t="s">
        <v>2152</v>
      </c>
      <c r="I74" s="13" t="str">
        <f t="shared" si="16"/>
        <v>NE 3RD Av (SE 17TH ST to NE 6TH ST/SISTRUNK Bl)</v>
      </c>
      <c r="J74" s="12" t="s">
        <v>300</v>
      </c>
      <c r="K74" s="13" t="str">
        <f>VLOOKUP(J74,'Data-ProjectTypes'!A$3:B$13,2,FALSE)</f>
        <v>Project</v>
      </c>
      <c r="L74" s="12" t="s">
        <v>1637</v>
      </c>
      <c r="M74" s="105" t="s">
        <v>1245</v>
      </c>
      <c r="N74" s="12" t="s">
        <v>2291</v>
      </c>
      <c r="O74" s="12"/>
      <c r="P74" s="12"/>
      <c r="Q74" s="72">
        <v>2</v>
      </c>
      <c r="R74" s="234">
        <v>10400000</v>
      </c>
      <c r="S74" s="12"/>
      <c r="T74" s="12"/>
      <c r="U74" s="12"/>
      <c r="V74" s="12"/>
      <c r="W74" s="12"/>
      <c r="X74" s="12"/>
      <c r="Y74" s="12"/>
      <c r="Z74" s="18">
        <f>ROUND(R74*'Data-CostAssumptions'!$C$8,-3)</f>
        <v>10400000</v>
      </c>
      <c r="AA74" s="11">
        <f t="shared" si="17"/>
        <v>0</v>
      </c>
      <c r="AB74" s="11">
        <v>2041</v>
      </c>
      <c r="AC74" s="11">
        <v>2041</v>
      </c>
      <c r="AD74" s="11">
        <f t="shared" si="18"/>
        <v>2041</v>
      </c>
      <c r="AE74" s="19">
        <f>ROUND((Z74*'Data-CostAssumptions'!$G$5)*(1+'Data-CostAssumptions'!$G$3)^(AB74-'Data-CostAssumptions'!$G$4),-3)</f>
        <v>5866000</v>
      </c>
      <c r="AF74" s="19">
        <f>ROUND((Z74)*(1+'Data-CostAssumptions'!$G$3)^(AD74-'Data-CostAssumptions'!$G$4),-3)</f>
        <v>26665000</v>
      </c>
      <c r="AG74" s="170" t="str">
        <f t="shared" si="19"/>
        <v>No</v>
      </c>
      <c r="AH74" s="19">
        <f t="shared" si="20"/>
        <v>0</v>
      </c>
      <c r="AI74" s="19">
        <f t="shared" si="21"/>
        <v>0</v>
      </c>
      <c r="AJ74" s="19">
        <f t="shared" si="22"/>
        <v>0</v>
      </c>
      <c r="AK74" s="19">
        <f t="shared" si="23"/>
        <v>0</v>
      </c>
      <c r="AL74" s="19">
        <f>IF(AB74&gt;2040,Z74+Z74*'Data-CostAssumptions'!$G$5,0)</f>
        <v>12688000</v>
      </c>
    </row>
    <row r="75" spans="1:39" ht="15" customHeight="1" x14ac:dyDescent="0.2">
      <c r="A75" s="12"/>
      <c r="B75" s="11" t="s">
        <v>1211</v>
      </c>
      <c r="C75" s="12"/>
      <c r="D75" s="84" t="s">
        <v>276</v>
      </c>
      <c r="E75" s="104">
        <v>119</v>
      </c>
      <c r="F75" s="104"/>
      <c r="G75" s="20">
        <v>1659</v>
      </c>
      <c r="H75" s="13" t="s">
        <v>1244</v>
      </c>
      <c r="I75" s="13" t="str">
        <f t="shared" si="16"/>
        <v>SE/SW 6TH ST (FEDERAL Hwy to ANDREWS Av)</v>
      </c>
      <c r="J75" s="12" t="s">
        <v>300</v>
      </c>
      <c r="K75" s="13" t="str">
        <f>VLOOKUP(J75,'Data-ProjectTypes'!A$3:B$13,2,FALSE)</f>
        <v>Project</v>
      </c>
      <c r="L75" s="12" t="s">
        <v>1375</v>
      </c>
      <c r="M75" s="105" t="s">
        <v>2598</v>
      </c>
      <c r="N75" s="12" t="s">
        <v>2139</v>
      </c>
      <c r="O75" s="12"/>
      <c r="P75" s="12"/>
      <c r="Q75" s="72">
        <v>0.4</v>
      </c>
      <c r="R75" s="234">
        <v>3000000</v>
      </c>
      <c r="S75" s="12"/>
      <c r="T75" s="12"/>
      <c r="U75" s="12"/>
      <c r="V75" s="12"/>
      <c r="W75" s="12"/>
      <c r="X75" s="12"/>
      <c r="Y75" s="12"/>
      <c r="Z75" s="18">
        <f>ROUND(R75*'Data-CostAssumptions'!$C$8,-3)</f>
        <v>3000000</v>
      </c>
      <c r="AA75" s="11">
        <f t="shared" si="17"/>
        <v>0</v>
      </c>
      <c r="AB75" s="11">
        <v>2041</v>
      </c>
      <c r="AC75" s="11">
        <v>2041</v>
      </c>
      <c r="AD75" s="11">
        <f t="shared" si="18"/>
        <v>2041</v>
      </c>
      <c r="AE75" s="19">
        <f>ROUND((Z75*'Data-CostAssumptions'!$G$5)*(1+'Data-CostAssumptions'!$G$3)^(AB75-'Data-CostAssumptions'!$G$4),-3)</f>
        <v>1692000</v>
      </c>
      <c r="AF75" s="19">
        <f>ROUND((Z75)*(1+'Data-CostAssumptions'!$G$3)^(AD75-'Data-CostAssumptions'!$G$4),-3)</f>
        <v>7692000</v>
      </c>
      <c r="AG75" s="170" t="str">
        <f t="shared" si="19"/>
        <v>No</v>
      </c>
      <c r="AH75" s="19">
        <f t="shared" si="20"/>
        <v>0</v>
      </c>
      <c r="AI75" s="19">
        <f t="shared" si="21"/>
        <v>0</v>
      </c>
      <c r="AJ75" s="19">
        <f t="shared" si="22"/>
        <v>0</v>
      </c>
      <c r="AK75" s="19">
        <f t="shared" si="23"/>
        <v>0</v>
      </c>
      <c r="AL75" s="19">
        <f>IF(AB75&gt;2040,Z75+Z75*'Data-CostAssumptions'!$G$5,0)</f>
        <v>3660000</v>
      </c>
    </row>
    <row r="76" spans="1:39" ht="15" customHeight="1" x14ac:dyDescent="0.2">
      <c r="A76" s="12"/>
      <c r="B76" s="11" t="s">
        <v>1211</v>
      </c>
      <c r="C76" s="12"/>
      <c r="D76" s="84" t="s">
        <v>276</v>
      </c>
      <c r="E76" s="104">
        <v>120</v>
      </c>
      <c r="F76" s="104"/>
      <c r="G76" s="20">
        <v>1656</v>
      </c>
      <c r="H76" s="13" t="s">
        <v>1566</v>
      </c>
      <c r="I76" s="13" t="str">
        <f t="shared" si="16"/>
        <v>NW 14TH &amp; NW 15TH ST (ANDREWS Av to POWERLINE RD)</v>
      </c>
      <c r="J76" s="12" t="s">
        <v>300</v>
      </c>
      <c r="K76" s="13" t="str">
        <f>VLOOKUP(J76,'Data-ProjectTypes'!A$3:B$13,2,FALSE)</f>
        <v>Project</v>
      </c>
      <c r="L76" s="12" t="s">
        <v>1635</v>
      </c>
      <c r="M76" s="105" t="s">
        <v>2139</v>
      </c>
      <c r="N76" s="12" t="s">
        <v>1673</v>
      </c>
      <c r="O76" s="12"/>
      <c r="P76" s="12"/>
      <c r="Q76" s="72"/>
      <c r="R76" s="234">
        <v>1800000</v>
      </c>
      <c r="S76" s="12"/>
      <c r="T76" s="12"/>
      <c r="U76" s="12"/>
      <c r="V76" s="12"/>
      <c r="W76" s="12"/>
      <c r="X76" s="12"/>
      <c r="Y76" s="12"/>
      <c r="Z76" s="18">
        <f>ROUND(R76*'Data-CostAssumptions'!$C$8,-3)</f>
        <v>1800000</v>
      </c>
      <c r="AA76" s="11">
        <f t="shared" si="17"/>
        <v>0</v>
      </c>
      <c r="AB76" s="11">
        <v>2041</v>
      </c>
      <c r="AC76" s="11">
        <v>2041</v>
      </c>
      <c r="AD76" s="11">
        <f t="shared" si="18"/>
        <v>2041</v>
      </c>
      <c r="AE76" s="19">
        <f>ROUND((Z76*'Data-CostAssumptions'!$G$5)*(1+'Data-CostAssumptions'!$G$3)^(AB76-'Data-CostAssumptions'!$G$4),-3)</f>
        <v>1015000</v>
      </c>
      <c r="AF76" s="19">
        <f>ROUND((Z76)*(1+'Data-CostAssumptions'!$G$3)^(AD76-'Data-CostAssumptions'!$G$4),-3)</f>
        <v>4615000</v>
      </c>
      <c r="AG76" s="170" t="str">
        <f t="shared" si="19"/>
        <v>No</v>
      </c>
      <c r="AH76" s="19">
        <f t="shared" si="20"/>
        <v>0</v>
      </c>
      <c r="AI76" s="19">
        <f t="shared" si="21"/>
        <v>0</v>
      </c>
      <c r="AJ76" s="19">
        <f t="shared" si="22"/>
        <v>0</v>
      </c>
      <c r="AK76" s="19">
        <f t="shared" si="23"/>
        <v>0</v>
      </c>
      <c r="AL76" s="19">
        <f>IF(AB76&gt;2040,Z76+Z76*'Data-CostAssumptions'!$G$5,0)</f>
        <v>2196000</v>
      </c>
    </row>
    <row r="77" spans="1:39" s="244" customFormat="1" ht="15" customHeight="1" x14ac:dyDescent="0.2">
      <c r="A77" s="243"/>
      <c r="B77" s="244" t="s">
        <v>1211</v>
      </c>
      <c r="C77" s="243"/>
      <c r="D77" s="245" t="s">
        <v>276</v>
      </c>
      <c r="E77" s="246">
        <v>507</v>
      </c>
      <c r="F77" s="246"/>
      <c r="G77" s="247">
        <v>1651</v>
      </c>
      <c r="H77" s="248" t="s">
        <v>2844</v>
      </c>
      <c r="I77" s="248" t="str">
        <f t="shared" si="16"/>
        <v>Eastern Perimeter Rd (Phase 2) (Within Secured to Fence)</v>
      </c>
      <c r="J77" s="243" t="s">
        <v>300</v>
      </c>
      <c r="K77" s="248" t="str">
        <f>VLOOKUP(J77,'Data-ProjectTypes'!A$3:B$13,2,FALSE)</f>
        <v>Project</v>
      </c>
      <c r="L77" s="243" t="s">
        <v>3185</v>
      </c>
      <c r="M77" s="249" t="s">
        <v>2845</v>
      </c>
      <c r="N77" s="243" t="s">
        <v>2846</v>
      </c>
      <c r="O77" s="243"/>
      <c r="P77" s="243"/>
      <c r="Q77" s="250"/>
      <c r="R77" s="251">
        <v>1750000</v>
      </c>
      <c r="S77" s="243"/>
      <c r="T77" s="243"/>
      <c r="U77" s="243"/>
      <c r="V77" s="243"/>
      <c r="W77" s="243"/>
      <c r="X77" s="243"/>
      <c r="Y77" s="243"/>
      <c r="Z77" s="252">
        <f>ROUND(R77*'Data-CostAssumptions'!$C$8,-3)</f>
        <v>1750000</v>
      </c>
      <c r="AA77" s="244">
        <f t="shared" si="17"/>
        <v>0</v>
      </c>
      <c r="AB77" s="244">
        <v>2041</v>
      </c>
      <c r="AC77" s="244">
        <v>2041</v>
      </c>
      <c r="AD77" s="244">
        <f t="shared" si="18"/>
        <v>2041</v>
      </c>
      <c r="AE77" s="253">
        <f>ROUND((Z77*'Data-CostAssumptions'!$G$5)*(1+'Data-CostAssumptions'!$G$3)^(AB77-'Data-CostAssumptions'!$G$4),-3)</f>
        <v>987000</v>
      </c>
      <c r="AF77" s="253">
        <f>ROUND((Z77)*(1+'Data-CostAssumptions'!$G$3)^(AD77-'Data-CostAssumptions'!$G$4),-3)</f>
        <v>4487000</v>
      </c>
      <c r="AG77" s="254" t="str">
        <f t="shared" si="19"/>
        <v>No</v>
      </c>
      <c r="AH77" s="253">
        <f t="shared" si="20"/>
        <v>0</v>
      </c>
      <c r="AI77" s="253">
        <f t="shared" si="21"/>
        <v>0</v>
      </c>
      <c r="AJ77" s="253">
        <f t="shared" si="22"/>
        <v>0</v>
      </c>
      <c r="AK77" s="253">
        <f t="shared" si="23"/>
        <v>0</v>
      </c>
      <c r="AL77" s="253">
        <f>IF(AB77&gt;2040,Z77+Z77*'Data-CostAssumptions'!$G$5,0)</f>
        <v>2135000</v>
      </c>
      <c r="AM77" s="244" t="s">
        <v>3186</v>
      </c>
    </row>
    <row r="78" spans="1:39" ht="15" customHeight="1" x14ac:dyDescent="0.2">
      <c r="A78" s="109"/>
      <c r="B78" s="11" t="s">
        <v>1211</v>
      </c>
      <c r="C78" s="109"/>
      <c r="D78" s="109" t="s">
        <v>276</v>
      </c>
      <c r="E78" s="110"/>
      <c r="F78" s="110">
        <v>138</v>
      </c>
      <c r="G78" s="20">
        <v>1668</v>
      </c>
      <c r="H78" s="111" t="s">
        <v>1224</v>
      </c>
      <c r="I78" s="111" t="s">
        <v>3032</v>
      </c>
      <c r="J78" s="109" t="s">
        <v>300</v>
      </c>
      <c r="K78" s="109" t="s">
        <v>1208</v>
      </c>
      <c r="L78" s="111" t="s">
        <v>3035</v>
      </c>
      <c r="M78" s="112" t="s">
        <v>3029</v>
      </c>
      <c r="N78" s="113" t="s">
        <v>3037</v>
      </c>
      <c r="O78" s="12"/>
      <c r="P78" s="12"/>
      <c r="Q78" s="114">
        <v>4</v>
      </c>
      <c r="R78" s="115">
        <v>1400000</v>
      </c>
      <c r="S78" s="12"/>
      <c r="T78" s="12"/>
      <c r="U78" s="12"/>
      <c r="V78" s="12"/>
      <c r="W78" s="12"/>
      <c r="X78" s="12"/>
      <c r="Y78" s="12"/>
      <c r="Z78" s="18">
        <f>ROUND(R78*'Data-CostAssumptions'!$C$8,-3)</f>
        <v>1400000</v>
      </c>
      <c r="AA78" s="11">
        <f t="shared" si="17"/>
        <v>0</v>
      </c>
      <c r="AB78" s="11">
        <v>2041</v>
      </c>
      <c r="AC78" s="11">
        <v>2041</v>
      </c>
      <c r="AD78" s="11">
        <f t="shared" si="18"/>
        <v>2041</v>
      </c>
      <c r="AE78" s="19">
        <f>ROUND((Z78*'Data-CostAssumptions'!$G$5)*(1+'Data-CostAssumptions'!$G$3)^(AB78-'Data-CostAssumptions'!$G$4),-3)</f>
        <v>790000</v>
      </c>
      <c r="AF78" s="19">
        <f>ROUND((Z78)*(1+'Data-CostAssumptions'!$G$3)^(AD78-'Data-CostAssumptions'!$G$4),-3)</f>
        <v>3590000</v>
      </c>
      <c r="AG78" s="170" t="str">
        <f t="shared" si="19"/>
        <v>No</v>
      </c>
      <c r="AH78" s="19">
        <f t="shared" si="20"/>
        <v>0</v>
      </c>
      <c r="AI78" s="19">
        <f t="shared" si="21"/>
        <v>0</v>
      </c>
      <c r="AJ78" s="19">
        <f t="shared" si="22"/>
        <v>0</v>
      </c>
      <c r="AK78" s="19">
        <f t="shared" si="23"/>
        <v>0</v>
      </c>
      <c r="AL78" s="19">
        <f>IF(AB78&gt;2040,Z78+Z78*'Data-CostAssumptions'!$G$5,0)</f>
        <v>1708000</v>
      </c>
    </row>
    <row r="79" spans="1:39" ht="15" customHeight="1" x14ac:dyDescent="0.2">
      <c r="A79" s="12"/>
      <c r="B79" s="11" t="s">
        <v>1211</v>
      </c>
      <c r="C79" s="12"/>
      <c r="D79" s="84" t="s">
        <v>276</v>
      </c>
      <c r="E79" s="104">
        <v>136</v>
      </c>
      <c r="F79" s="104"/>
      <c r="G79" s="20">
        <v>1653</v>
      </c>
      <c r="H79" s="13" t="s">
        <v>1570</v>
      </c>
      <c r="I79" s="13" t="str">
        <f t="shared" ref="I79:I86" si="24">IF(M79="@",H79&amp;" ("&amp;M79&amp;"  "&amp;N79&amp;")",H79&amp;" ("&amp;M79&amp;" to "&amp;N79&amp;")")</f>
        <v>NE 13TH ST CORRIDOR IMPROVEMENTS  (FEC RAILROAD to ANDREWS Av)</v>
      </c>
      <c r="J79" s="12" t="s">
        <v>300</v>
      </c>
      <c r="K79" s="13" t="str">
        <f>VLOOKUP(J79,'Data-ProjectTypes'!A$3:B$13,2,FALSE)</f>
        <v>Project</v>
      </c>
      <c r="L79" s="12" t="s">
        <v>1648</v>
      </c>
      <c r="M79" s="105" t="s">
        <v>1680</v>
      </c>
      <c r="N79" s="12" t="s">
        <v>2139</v>
      </c>
      <c r="O79" s="12"/>
      <c r="P79" s="12"/>
      <c r="Q79" s="72">
        <v>0.7</v>
      </c>
      <c r="R79" s="234">
        <v>1310000</v>
      </c>
      <c r="S79" s="12"/>
      <c r="T79" s="12"/>
      <c r="U79" s="12"/>
      <c r="V79" s="12"/>
      <c r="W79" s="12"/>
      <c r="X79" s="12"/>
      <c r="Y79" s="12"/>
      <c r="Z79" s="18">
        <f>ROUND(R79*'Data-CostAssumptions'!$C$8,-3)</f>
        <v>1310000</v>
      </c>
      <c r="AA79" s="11">
        <f t="shared" si="17"/>
        <v>0</v>
      </c>
      <c r="AB79" s="11">
        <v>2041</v>
      </c>
      <c r="AC79" s="11">
        <v>2041</v>
      </c>
      <c r="AD79" s="11">
        <f t="shared" si="18"/>
        <v>2041</v>
      </c>
      <c r="AE79" s="19">
        <f>ROUND((Z79*'Data-CostAssumptions'!$G$5)*(1+'Data-CostAssumptions'!$G$3)^(AB79-'Data-CostAssumptions'!$G$4),-3)</f>
        <v>739000</v>
      </c>
      <c r="AF79" s="19">
        <f>ROUND((Z79)*(1+'Data-CostAssumptions'!$G$3)^(AD79-'Data-CostAssumptions'!$G$4),-3)</f>
        <v>3359000</v>
      </c>
      <c r="AG79" s="170" t="str">
        <f t="shared" si="19"/>
        <v>No</v>
      </c>
      <c r="AH79" s="19">
        <f t="shared" si="20"/>
        <v>0</v>
      </c>
      <c r="AI79" s="19">
        <f t="shared" si="21"/>
        <v>0</v>
      </c>
      <c r="AJ79" s="19">
        <f t="shared" si="22"/>
        <v>0</v>
      </c>
      <c r="AK79" s="19">
        <f t="shared" si="23"/>
        <v>0</v>
      </c>
      <c r="AL79" s="19">
        <f>IF(AB79&gt;2040,Z79+Z79*'Data-CostAssumptions'!$G$5,0)</f>
        <v>1598200</v>
      </c>
    </row>
    <row r="80" spans="1:39" ht="15" customHeight="1" x14ac:dyDescent="0.2">
      <c r="A80" s="12"/>
      <c r="B80" s="11" t="s">
        <v>1211</v>
      </c>
      <c r="C80" s="12"/>
      <c r="D80" s="84" t="s">
        <v>276</v>
      </c>
      <c r="E80" s="104">
        <v>121</v>
      </c>
      <c r="F80" s="104"/>
      <c r="G80" s="20">
        <v>1665</v>
      </c>
      <c r="H80" s="13" t="s">
        <v>2195</v>
      </c>
      <c r="I80" s="13" t="str">
        <f t="shared" si="24"/>
        <v>SW 5TH Av (BROWARD Bl to HIMMARSHEE ST )</v>
      </c>
      <c r="J80" s="12" t="s">
        <v>300</v>
      </c>
      <c r="K80" s="13" t="str">
        <f>VLOOKUP(J80,'Data-ProjectTypes'!A$3:B$13,2,FALSE)</f>
        <v>Project</v>
      </c>
      <c r="L80" s="12" t="s">
        <v>1636</v>
      </c>
      <c r="M80" s="105" t="s">
        <v>1988</v>
      </c>
      <c r="N80" s="12" t="s">
        <v>1674</v>
      </c>
      <c r="O80" s="12"/>
      <c r="P80" s="12"/>
      <c r="Q80" s="72">
        <v>0.1</v>
      </c>
      <c r="R80" s="234">
        <v>1042000</v>
      </c>
      <c r="S80" s="12"/>
      <c r="T80" s="12"/>
      <c r="U80" s="12"/>
      <c r="V80" s="12"/>
      <c r="W80" s="12"/>
      <c r="X80" s="12"/>
      <c r="Y80" s="12"/>
      <c r="Z80" s="18">
        <f>ROUND(R80*'Data-CostAssumptions'!$C$8,-3)</f>
        <v>1042000</v>
      </c>
      <c r="AA80" s="11">
        <f t="shared" si="17"/>
        <v>0</v>
      </c>
      <c r="AB80" s="11">
        <v>2041</v>
      </c>
      <c r="AC80" s="11">
        <v>2041</v>
      </c>
      <c r="AD80" s="11">
        <f t="shared" si="18"/>
        <v>2041</v>
      </c>
      <c r="AE80" s="19">
        <f>ROUND((Z80*'Data-CostAssumptions'!$G$5)*(1+'Data-CostAssumptions'!$G$3)^(AB80-'Data-CostAssumptions'!$G$4),-3)</f>
        <v>588000</v>
      </c>
      <c r="AF80" s="19">
        <f>ROUND((Z80)*(1+'Data-CostAssumptions'!$G$3)^(AD80-'Data-CostAssumptions'!$G$4),-3)</f>
        <v>2672000</v>
      </c>
      <c r="AG80" s="170" t="str">
        <f t="shared" si="19"/>
        <v>No</v>
      </c>
      <c r="AH80" s="19">
        <f t="shared" si="20"/>
        <v>0</v>
      </c>
      <c r="AI80" s="19">
        <f t="shared" si="21"/>
        <v>0</v>
      </c>
      <c r="AJ80" s="19">
        <f t="shared" si="22"/>
        <v>0</v>
      </c>
      <c r="AK80" s="19">
        <f t="shared" si="23"/>
        <v>0</v>
      </c>
      <c r="AL80" s="19">
        <f>IF(AB80&gt;2040,Z80+Z80*'Data-CostAssumptions'!$G$5,0)</f>
        <v>1271240</v>
      </c>
    </row>
    <row r="81" spans="1:38" ht="15" customHeight="1" x14ac:dyDescent="0.2">
      <c r="A81" s="12"/>
      <c r="B81" s="11" t="s">
        <v>1211</v>
      </c>
      <c r="C81" s="12"/>
      <c r="D81" s="84" t="s">
        <v>276</v>
      </c>
      <c r="E81" s="104">
        <v>128</v>
      </c>
      <c r="F81" s="104"/>
      <c r="G81" s="20">
        <v>1661</v>
      </c>
      <c r="H81" s="13" t="s">
        <v>2728</v>
      </c>
      <c r="I81" s="13" t="str">
        <f t="shared" si="24"/>
        <v>SR 838/Sunrise Bl (NE 19TH Av to SR 5/US 1)</v>
      </c>
      <c r="J81" s="12" t="s">
        <v>300</v>
      </c>
      <c r="K81" s="13" t="str">
        <f>VLOOKUP(J81,'Data-ProjectTypes'!A$3:B$13,2,FALSE)</f>
        <v>Project</v>
      </c>
      <c r="L81" s="12" t="s">
        <v>1640</v>
      </c>
      <c r="M81" s="105" t="s">
        <v>2633</v>
      </c>
      <c r="N81" s="12" t="s">
        <v>1424</v>
      </c>
      <c r="O81" s="12"/>
      <c r="P81" s="12"/>
      <c r="Q81" s="72">
        <v>0.1</v>
      </c>
      <c r="R81" s="234">
        <v>878000</v>
      </c>
      <c r="Y81" s="12"/>
      <c r="Z81" s="18">
        <f>ROUND(R81*'Data-CostAssumptions'!$C$8,-3)</f>
        <v>878000</v>
      </c>
      <c r="AA81" s="11">
        <f t="shared" si="17"/>
        <v>0</v>
      </c>
      <c r="AB81" s="11">
        <v>2041</v>
      </c>
      <c r="AC81" s="11">
        <v>2041</v>
      </c>
      <c r="AD81" s="11">
        <f t="shared" si="18"/>
        <v>2041</v>
      </c>
      <c r="AE81" s="19">
        <f>ROUND((Z81*'Data-CostAssumptions'!$G$5)*(1+'Data-CostAssumptions'!$G$3)^(AB81-'Data-CostAssumptions'!$G$4),-3)</f>
        <v>495000</v>
      </c>
      <c r="AF81" s="19">
        <f>ROUND((Z81)*(1+'Data-CostAssumptions'!$G$3)^(AD81-'Data-CostAssumptions'!$G$4),-3)</f>
        <v>2251000</v>
      </c>
      <c r="AG81" s="170" t="str">
        <f t="shared" si="19"/>
        <v>No</v>
      </c>
      <c r="AH81" s="19">
        <f t="shared" si="20"/>
        <v>0</v>
      </c>
      <c r="AI81" s="19">
        <f t="shared" si="21"/>
        <v>0</v>
      </c>
      <c r="AJ81" s="19">
        <f t="shared" si="22"/>
        <v>0</v>
      </c>
      <c r="AK81" s="19">
        <f t="shared" si="23"/>
        <v>0</v>
      </c>
      <c r="AL81" s="19">
        <f>IF(AB81&gt;2040,Z81+Z81*'Data-CostAssumptions'!$G$5,0)</f>
        <v>1071160</v>
      </c>
    </row>
    <row r="82" spans="1:38" ht="15" customHeight="1" x14ac:dyDescent="0.2">
      <c r="A82" s="12"/>
      <c r="B82" s="11" t="s">
        <v>1211</v>
      </c>
      <c r="C82" s="12"/>
      <c r="D82" s="84" t="s">
        <v>276</v>
      </c>
      <c r="E82" s="104">
        <v>129</v>
      </c>
      <c r="F82" s="104"/>
      <c r="G82" s="20">
        <v>1662</v>
      </c>
      <c r="H82" s="13" t="s">
        <v>2728</v>
      </c>
      <c r="I82" s="13" t="str">
        <f t="shared" si="24"/>
        <v>SR 838/Sunrise Bl (NE 7TH Av to SR 5/US 1)</v>
      </c>
      <c r="J82" s="12" t="s">
        <v>300</v>
      </c>
      <c r="K82" s="13" t="str">
        <f>VLOOKUP(J82,'Data-ProjectTypes'!A$3:B$13,2,FALSE)</f>
        <v>Project</v>
      </c>
      <c r="L82" s="12" t="s">
        <v>1640</v>
      </c>
      <c r="M82" s="105" t="s">
        <v>2634</v>
      </c>
      <c r="N82" s="12" t="s">
        <v>1424</v>
      </c>
      <c r="O82" s="12"/>
      <c r="P82" s="12"/>
      <c r="Q82" s="72">
        <v>0.1</v>
      </c>
      <c r="R82" s="234">
        <v>878000</v>
      </c>
      <c r="Y82" s="12"/>
      <c r="Z82" s="18">
        <f>ROUND(R82*'Data-CostAssumptions'!$C$8,-3)</f>
        <v>878000</v>
      </c>
      <c r="AA82" s="11">
        <f t="shared" si="17"/>
        <v>0</v>
      </c>
      <c r="AB82" s="11">
        <v>2041</v>
      </c>
      <c r="AC82" s="11">
        <v>2041</v>
      </c>
      <c r="AD82" s="11">
        <f t="shared" si="18"/>
        <v>2041</v>
      </c>
      <c r="AE82" s="19">
        <f>ROUND((Z82*'Data-CostAssumptions'!$G$5)*(1+'Data-CostAssumptions'!$G$3)^(AB82-'Data-CostAssumptions'!$G$4),-3)</f>
        <v>495000</v>
      </c>
      <c r="AF82" s="19">
        <f>ROUND((Z82)*(1+'Data-CostAssumptions'!$G$3)^(AD82-'Data-CostAssumptions'!$G$4),-3)</f>
        <v>2251000</v>
      </c>
      <c r="AG82" s="170" t="str">
        <f t="shared" si="19"/>
        <v>No</v>
      </c>
      <c r="AH82" s="19">
        <f t="shared" si="20"/>
        <v>0</v>
      </c>
      <c r="AI82" s="19">
        <f t="shared" si="21"/>
        <v>0</v>
      </c>
      <c r="AJ82" s="19">
        <f t="shared" si="22"/>
        <v>0</v>
      </c>
      <c r="AK82" s="19">
        <f t="shared" si="23"/>
        <v>0</v>
      </c>
      <c r="AL82" s="19">
        <f>IF(AB82&gt;2040,Z82+Z82*'Data-CostAssumptions'!$G$5,0)</f>
        <v>1071160</v>
      </c>
    </row>
    <row r="83" spans="1:38" ht="15" customHeight="1" x14ac:dyDescent="0.2">
      <c r="A83" s="12"/>
      <c r="B83" s="11" t="s">
        <v>1211</v>
      </c>
      <c r="C83" s="12"/>
      <c r="D83" s="84" t="s">
        <v>276</v>
      </c>
      <c r="E83" s="104">
        <v>126</v>
      </c>
      <c r="F83" s="104"/>
      <c r="G83" s="20">
        <v>1664</v>
      </c>
      <c r="H83" s="13" t="s">
        <v>2798</v>
      </c>
      <c r="I83" s="13" t="str">
        <f t="shared" si="24"/>
        <v>SR 842/Broward Bl (SW/NW 5TH Av to SW/NW 5TH Av)</v>
      </c>
      <c r="J83" s="12" t="s">
        <v>300</v>
      </c>
      <c r="K83" s="13" t="str">
        <f>VLOOKUP(J83,'Data-ProjectTypes'!A$3:B$13,2,FALSE)</f>
        <v>Project</v>
      </c>
      <c r="L83" s="12" t="s">
        <v>1640</v>
      </c>
      <c r="M83" s="105" t="s">
        <v>2602</v>
      </c>
      <c r="N83" s="12" t="s">
        <v>2602</v>
      </c>
      <c r="O83" s="12"/>
      <c r="P83" s="12"/>
      <c r="Q83" s="72">
        <v>0.1</v>
      </c>
      <c r="R83" s="234">
        <v>878000</v>
      </c>
      <c r="Y83" s="12" t="s">
        <v>1742</v>
      </c>
      <c r="Z83" s="18">
        <f>ROUND(R83*'Data-CostAssumptions'!$C$8,-3)</f>
        <v>878000</v>
      </c>
      <c r="AA83" s="11">
        <f t="shared" si="17"/>
        <v>0</v>
      </c>
      <c r="AB83" s="11">
        <v>2041</v>
      </c>
      <c r="AC83" s="11">
        <v>2041</v>
      </c>
      <c r="AD83" s="11">
        <f t="shared" si="18"/>
        <v>2041</v>
      </c>
      <c r="AE83" s="19">
        <f>ROUND((Z83*'Data-CostAssumptions'!$G$5)*(1+'Data-CostAssumptions'!$G$3)^(AB83-'Data-CostAssumptions'!$G$4),-3)</f>
        <v>495000</v>
      </c>
      <c r="AF83" s="19">
        <f>ROUND((Z83)*(1+'Data-CostAssumptions'!$G$3)^(AD83-'Data-CostAssumptions'!$G$4),-3)</f>
        <v>2251000</v>
      </c>
      <c r="AG83" s="170" t="str">
        <f t="shared" si="19"/>
        <v>No</v>
      </c>
      <c r="AH83" s="19">
        <f t="shared" si="20"/>
        <v>0</v>
      </c>
      <c r="AI83" s="19">
        <f t="shared" si="21"/>
        <v>0</v>
      </c>
      <c r="AJ83" s="19">
        <f t="shared" si="22"/>
        <v>0</v>
      </c>
      <c r="AK83" s="19">
        <f t="shared" si="23"/>
        <v>0</v>
      </c>
      <c r="AL83" s="19">
        <f>IF(AB83&gt;2040,Z83+Z83*'Data-CostAssumptions'!$G$5,0)</f>
        <v>1071160</v>
      </c>
    </row>
    <row r="84" spans="1:38" ht="15" customHeight="1" x14ac:dyDescent="0.2">
      <c r="A84" s="12"/>
      <c r="B84" s="11" t="s">
        <v>1211</v>
      </c>
      <c r="C84" s="12"/>
      <c r="D84" s="84" t="s">
        <v>276</v>
      </c>
      <c r="E84" s="104">
        <v>63</v>
      </c>
      <c r="F84" s="104"/>
      <c r="G84" s="20">
        <v>1657</v>
      </c>
      <c r="H84" s="13" t="s">
        <v>1238</v>
      </c>
      <c r="I84" s="13" t="str">
        <f t="shared" si="24"/>
        <v>NW 6TH ST (NW 15TH Av to NW 27TH Av)</v>
      </c>
      <c r="J84" s="12" t="s">
        <v>300</v>
      </c>
      <c r="K84" s="13" t="str">
        <f>VLOOKUP(J84,'Data-ProjectTypes'!A$3:B$13,2,FALSE)</f>
        <v>Project</v>
      </c>
      <c r="L84" s="12" t="s">
        <v>1333</v>
      </c>
      <c r="M84" s="105" t="s">
        <v>2160</v>
      </c>
      <c r="N84" s="12" t="s">
        <v>2605</v>
      </c>
      <c r="O84" s="12"/>
      <c r="P84" s="12"/>
      <c r="Q84" s="72">
        <v>1</v>
      </c>
      <c r="R84" s="234">
        <v>556750</v>
      </c>
      <c r="S84" s="12"/>
      <c r="T84" s="12"/>
      <c r="U84" s="12"/>
      <c r="V84" s="12"/>
      <c r="W84" s="12"/>
      <c r="X84" s="12"/>
      <c r="Y84" s="12"/>
      <c r="Z84" s="18">
        <f>ROUND(R84*'Data-CostAssumptions'!$C$8,-3)</f>
        <v>557000</v>
      </c>
      <c r="AA84" s="11">
        <f t="shared" si="17"/>
        <v>0</v>
      </c>
      <c r="AB84" s="11">
        <v>2041</v>
      </c>
      <c r="AC84" s="11">
        <v>2041</v>
      </c>
      <c r="AD84" s="11">
        <f t="shared" si="18"/>
        <v>2041</v>
      </c>
      <c r="AE84" s="19">
        <f>ROUND((Z84*'Data-CostAssumptions'!$G$5)*(1+'Data-CostAssumptions'!$G$3)^(AB84-'Data-CostAssumptions'!$G$4),-3)</f>
        <v>314000</v>
      </c>
      <c r="AF84" s="19">
        <f>ROUND((Z84)*(1+'Data-CostAssumptions'!$G$3)^(AD84-'Data-CostAssumptions'!$G$4),-3)</f>
        <v>1428000</v>
      </c>
      <c r="AG84" s="170" t="str">
        <f t="shared" si="19"/>
        <v>No</v>
      </c>
      <c r="AH84" s="19">
        <f t="shared" si="20"/>
        <v>0</v>
      </c>
      <c r="AI84" s="19">
        <f t="shared" si="21"/>
        <v>0</v>
      </c>
      <c r="AJ84" s="19">
        <f t="shared" si="22"/>
        <v>0</v>
      </c>
      <c r="AK84" s="19">
        <f t="shared" si="23"/>
        <v>0</v>
      </c>
      <c r="AL84" s="19">
        <f>IF(AB84&gt;2040,Z84+Z84*'Data-CostAssumptions'!$G$5,0)</f>
        <v>679540</v>
      </c>
    </row>
    <row r="85" spans="1:38" ht="15" customHeight="1" x14ac:dyDescent="0.2">
      <c r="A85" s="12"/>
      <c r="B85" s="11" t="s">
        <v>1211</v>
      </c>
      <c r="C85" s="12"/>
      <c r="D85" s="84" t="s">
        <v>276</v>
      </c>
      <c r="E85" s="104">
        <v>127</v>
      </c>
      <c r="F85" s="104"/>
      <c r="G85" s="20">
        <v>1663</v>
      </c>
      <c r="H85" s="13" t="s">
        <v>2798</v>
      </c>
      <c r="I85" s="13" t="str">
        <f t="shared" si="24"/>
        <v>SR 842/Broward Bl (NW/SW 1ST Av to NE/SE 7TH Av)</v>
      </c>
      <c r="J85" s="12" t="s">
        <v>300</v>
      </c>
      <c r="K85" s="13" t="str">
        <f>VLOOKUP(J85,'Data-ProjectTypes'!A$3:B$13,2,FALSE)</f>
        <v>Project</v>
      </c>
      <c r="L85" s="12" t="s">
        <v>1641</v>
      </c>
      <c r="M85" s="105" t="s">
        <v>2604</v>
      </c>
      <c r="N85" s="12" t="s">
        <v>2603</v>
      </c>
      <c r="O85" s="12"/>
      <c r="P85" s="12"/>
      <c r="Q85" s="72">
        <v>0.6</v>
      </c>
      <c r="R85" s="234">
        <v>520000</v>
      </c>
      <c r="Y85" s="12"/>
      <c r="Z85" s="18">
        <f>ROUND(R85*'Data-CostAssumptions'!$C$8,-3)</f>
        <v>520000</v>
      </c>
      <c r="AA85" s="11">
        <f t="shared" si="17"/>
        <v>0</v>
      </c>
      <c r="AB85" s="11">
        <v>2041</v>
      </c>
      <c r="AC85" s="11">
        <v>2041</v>
      </c>
      <c r="AD85" s="11">
        <f t="shared" si="18"/>
        <v>2041</v>
      </c>
      <c r="AE85" s="19">
        <f>ROUND((Z85*'Data-CostAssumptions'!$G$5)*(1+'Data-CostAssumptions'!$G$3)^(AB85-'Data-CostAssumptions'!$G$4),-3)</f>
        <v>293000</v>
      </c>
      <c r="AF85" s="19">
        <f>ROUND((Z85)*(1+'Data-CostAssumptions'!$G$3)^(AD85-'Data-CostAssumptions'!$G$4),-3)</f>
        <v>1333000</v>
      </c>
      <c r="AG85" s="170" t="str">
        <f t="shared" si="19"/>
        <v>No</v>
      </c>
      <c r="AH85" s="19">
        <f t="shared" si="20"/>
        <v>0</v>
      </c>
      <c r="AI85" s="19">
        <f t="shared" si="21"/>
        <v>0</v>
      </c>
      <c r="AJ85" s="19">
        <f t="shared" si="22"/>
        <v>0</v>
      </c>
      <c r="AK85" s="19">
        <f t="shared" si="23"/>
        <v>0</v>
      </c>
      <c r="AL85" s="19">
        <f>IF(AB85&gt;2040,Z85+Z85*'Data-CostAssumptions'!$G$5,0)</f>
        <v>634400</v>
      </c>
    </row>
    <row r="86" spans="1:38" ht="15" customHeight="1" x14ac:dyDescent="0.2">
      <c r="A86" s="12"/>
      <c r="B86" s="11" t="s">
        <v>1211</v>
      </c>
      <c r="C86" s="12"/>
      <c r="D86" s="84" t="s">
        <v>276</v>
      </c>
      <c r="E86" s="104">
        <v>61</v>
      </c>
      <c r="F86" s="104"/>
      <c r="G86" s="20">
        <v>1655</v>
      </c>
      <c r="H86" s="13" t="s">
        <v>1237</v>
      </c>
      <c r="I86" s="13" t="str">
        <f t="shared" si="24"/>
        <v>NE/NW 6TH ST (SR 5/US 1 to NW 7TH Av/AVE OF THE ARTS)</v>
      </c>
      <c r="J86" s="12" t="s">
        <v>300</v>
      </c>
      <c r="K86" s="13" t="str">
        <f>VLOOKUP(J86,'Data-ProjectTypes'!A$3:B$13,2,FALSE)</f>
        <v>Project</v>
      </c>
      <c r="L86" s="12" t="s">
        <v>1327</v>
      </c>
      <c r="M86" s="105" t="s">
        <v>1424</v>
      </c>
      <c r="N86" s="12" t="s">
        <v>2615</v>
      </c>
      <c r="O86" s="12"/>
      <c r="P86" s="12"/>
      <c r="Q86" s="72">
        <v>0.8</v>
      </c>
      <c r="R86" s="234">
        <v>516800</v>
      </c>
      <c r="S86" s="12"/>
      <c r="T86" s="12"/>
      <c r="U86" s="12"/>
      <c r="V86" s="12"/>
      <c r="W86" s="12"/>
      <c r="X86" s="12"/>
      <c r="Y86" s="12"/>
      <c r="Z86" s="18">
        <f>ROUND(R86*'Data-CostAssumptions'!$C$8,-3)</f>
        <v>517000</v>
      </c>
      <c r="AA86" s="11">
        <f t="shared" si="17"/>
        <v>0</v>
      </c>
      <c r="AB86" s="11">
        <v>2041</v>
      </c>
      <c r="AC86" s="11">
        <v>2041</v>
      </c>
      <c r="AD86" s="11">
        <f t="shared" si="18"/>
        <v>2041</v>
      </c>
      <c r="AE86" s="19">
        <f>ROUND((Z86*'Data-CostAssumptions'!$G$5)*(1+'Data-CostAssumptions'!$G$3)^(AB86-'Data-CostAssumptions'!$G$4),-3)</f>
        <v>292000</v>
      </c>
      <c r="AF86" s="19">
        <f>ROUND((Z86)*(1+'Data-CostAssumptions'!$G$3)^(AD86-'Data-CostAssumptions'!$G$4),-3)</f>
        <v>1326000</v>
      </c>
      <c r="AG86" s="170" t="str">
        <f t="shared" si="19"/>
        <v>No</v>
      </c>
      <c r="AH86" s="19">
        <f t="shared" si="20"/>
        <v>0</v>
      </c>
      <c r="AI86" s="19">
        <f t="shared" si="21"/>
        <v>0</v>
      </c>
      <c r="AJ86" s="19">
        <f t="shared" si="22"/>
        <v>0</v>
      </c>
      <c r="AK86" s="19">
        <f t="shared" si="23"/>
        <v>0</v>
      </c>
      <c r="AL86" s="19">
        <f>IF(AB86&gt;2040,Z86+Z86*'Data-CostAssumptions'!$G$5,0)</f>
        <v>630740</v>
      </c>
    </row>
    <row r="87" spans="1:38" ht="15" customHeight="1" x14ac:dyDescent="0.2">
      <c r="A87" s="109"/>
      <c r="B87" s="11" t="s">
        <v>1211</v>
      </c>
      <c r="C87" s="109"/>
      <c r="D87" s="109" t="s">
        <v>276</v>
      </c>
      <c r="E87" s="110"/>
      <c r="F87" s="110">
        <v>137</v>
      </c>
      <c r="G87" s="20">
        <v>1667</v>
      </c>
      <c r="H87" s="111" t="s">
        <v>3027</v>
      </c>
      <c r="I87" s="111" t="s">
        <v>3031</v>
      </c>
      <c r="J87" s="109" t="s">
        <v>300</v>
      </c>
      <c r="K87" s="109" t="s">
        <v>1208</v>
      </c>
      <c r="L87" s="111" t="s">
        <v>3034</v>
      </c>
      <c r="M87" s="112" t="s">
        <v>3029</v>
      </c>
      <c r="N87" s="113" t="s">
        <v>1432</v>
      </c>
      <c r="O87" s="12"/>
      <c r="P87" s="12"/>
      <c r="Q87" s="114">
        <v>0.4</v>
      </c>
      <c r="R87" s="115">
        <v>500000</v>
      </c>
      <c r="S87" s="12"/>
      <c r="T87" s="12"/>
      <c r="U87" s="12"/>
      <c r="V87" s="12"/>
      <c r="W87" s="12"/>
      <c r="X87" s="12"/>
      <c r="Y87" s="12"/>
      <c r="Z87" s="18">
        <f>ROUND(R87*'Data-CostAssumptions'!$C$8,-3)</f>
        <v>500000</v>
      </c>
      <c r="AA87" s="11">
        <f t="shared" si="17"/>
        <v>0</v>
      </c>
      <c r="AB87" s="11">
        <v>2041</v>
      </c>
      <c r="AC87" s="11">
        <v>2041</v>
      </c>
      <c r="AD87" s="11">
        <f t="shared" si="18"/>
        <v>2041</v>
      </c>
      <c r="AE87" s="19">
        <f>ROUND((Z87*'Data-CostAssumptions'!$G$5)*(1+'Data-CostAssumptions'!$G$3)^(AB87-'Data-CostAssumptions'!$G$4),-3)</f>
        <v>282000</v>
      </c>
      <c r="AF87" s="19">
        <f>ROUND((Z87)*(1+'Data-CostAssumptions'!$G$3)^(AD87-'Data-CostAssumptions'!$G$4),-3)</f>
        <v>1282000</v>
      </c>
      <c r="AG87" s="170" t="str">
        <f t="shared" si="19"/>
        <v>No</v>
      </c>
      <c r="AH87" s="19">
        <f t="shared" si="20"/>
        <v>0</v>
      </c>
      <c r="AI87" s="19">
        <f t="shared" si="21"/>
        <v>0</v>
      </c>
      <c r="AJ87" s="19">
        <f t="shared" si="22"/>
        <v>0</v>
      </c>
      <c r="AK87" s="19">
        <f t="shared" si="23"/>
        <v>0</v>
      </c>
      <c r="AL87" s="19">
        <f>IF(AB87&gt;2040,Z87+Z87*'Data-CostAssumptions'!$G$5,0)</f>
        <v>610000</v>
      </c>
    </row>
    <row r="88" spans="1:38" ht="15" customHeight="1" x14ac:dyDescent="0.2">
      <c r="A88" s="12"/>
      <c r="B88" s="11" t="s">
        <v>1211</v>
      </c>
      <c r="C88" s="12"/>
      <c r="D88" s="84" t="s">
        <v>276</v>
      </c>
      <c r="E88" s="104">
        <v>62</v>
      </c>
      <c r="F88" s="104"/>
      <c r="G88" s="20">
        <v>1658</v>
      </c>
      <c r="H88" s="13" t="s">
        <v>1238</v>
      </c>
      <c r="I88" s="13" t="str">
        <f t="shared" ref="I88:I119" si="25">IF(M88="@",H88&amp;" ("&amp;M88&amp;"  "&amp;N88&amp;")",H88&amp;" ("&amp;M88&amp;" to "&amp;N88&amp;")")</f>
        <v>NW 6TH ST (NW 7TH Av/AVE OF THE ARTS to NW 15TH Av)</v>
      </c>
      <c r="J88" s="12" t="s">
        <v>300</v>
      </c>
      <c r="K88" s="13" t="str">
        <f>VLOOKUP(J88,'Data-ProjectTypes'!A$3:B$13,2,FALSE)</f>
        <v>Project</v>
      </c>
      <c r="L88" s="12" t="s">
        <v>1330</v>
      </c>
      <c r="M88" s="105" t="s">
        <v>2615</v>
      </c>
      <c r="N88" s="12" t="s">
        <v>2160</v>
      </c>
      <c r="O88" s="12"/>
      <c r="P88" s="12"/>
      <c r="Q88" s="72">
        <v>0.7</v>
      </c>
      <c r="R88" s="234">
        <v>179350</v>
      </c>
      <c r="S88" s="12"/>
      <c r="T88" s="12"/>
      <c r="U88" s="12"/>
      <c r="V88" s="12"/>
      <c r="W88" s="12"/>
      <c r="X88" s="12"/>
      <c r="Y88" s="12"/>
      <c r="Z88" s="18">
        <f>ROUND(R88*'Data-CostAssumptions'!$C$8,-3)</f>
        <v>179000</v>
      </c>
      <c r="AA88" s="11">
        <f t="shared" si="17"/>
        <v>0</v>
      </c>
      <c r="AB88" s="11">
        <v>2041</v>
      </c>
      <c r="AC88" s="11">
        <v>2041</v>
      </c>
      <c r="AD88" s="11">
        <f t="shared" si="18"/>
        <v>2041</v>
      </c>
      <c r="AE88" s="19">
        <f>ROUND((Z88*'Data-CostAssumptions'!$G$5)*(1+'Data-CostAssumptions'!$G$3)^(AB88-'Data-CostAssumptions'!$G$4),-3)</f>
        <v>101000</v>
      </c>
      <c r="AF88" s="19">
        <f>ROUND((Z88)*(1+'Data-CostAssumptions'!$G$3)^(AD88-'Data-CostAssumptions'!$G$4),-3)</f>
        <v>459000</v>
      </c>
      <c r="AG88" s="170" t="str">
        <f t="shared" si="19"/>
        <v>No</v>
      </c>
      <c r="AH88" s="19">
        <f t="shared" si="20"/>
        <v>0</v>
      </c>
      <c r="AI88" s="19">
        <f t="shared" si="21"/>
        <v>0</v>
      </c>
      <c r="AJ88" s="19">
        <f t="shared" si="22"/>
        <v>0</v>
      </c>
      <c r="AK88" s="19">
        <f t="shared" si="23"/>
        <v>0</v>
      </c>
      <c r="AL88" s="19">
        <f>IF(AB88&gt;2040,Z88+Z88*'Data-CostAssumptions'!$G$5,0)</f>
        <v>218380</v>
      </c>
    </row>
    <row r="89" spans="1:38" ht="15" customHeight="1" x14ac:dyDescent="0.2">
      <c r="A89" s="12"/>
      <c r="B89" s="11" t="s">
        <v>1211</v>
      </c>
      <c r="C89" s="12"/>
      <c r="D89" s="84" t="s">
        <v>276</v>
      </c>
      <c r="E89" s="104">
        <v>116</v>
      </c>
      <c r="F89" s="104"/>
      <c r="G89" s="20">
        <v>1652</v>
      </c>
      <c r="H89" s="13" t="s">
        <v>1823</v>
      </c>
      <c r="I89" s="13" t="str">
        <f t="shared" si="25"/>
        <v>Las Olas Bl (HIMMARSHEE ST to ANDREWS Av)</v>
      </c>
      <c r="J89" s="12" t="s">
        <v>300</v>
      </c>
      <c r="K89" s="13" t="str">
        <f>VLOOKUP(J89,'Data-ProjectTypes'!A$3:B$13,2,FALSE)</f>
        <v>Project</v>
      </c>
      <c r="L89" s="12" t="s">
        <v>1634</v>
      </c>
      <c r="M89" s="105" t="s">
        <v>1226</v>
      </c>
      <c r="N89" s="12" t="s">
        <v>2139</v>
      </c>
      <c r="O89" s="12"/>
      <c r="P89" s="12"/>
      <c r="Q89" s="72">
        <v>0.1</v>
      </c>
      <c r="R89" s="234">
        <v>105000</v>
      </c>
      <c r="S89" s="12"/>
      <c r="T89" s="12"/>
      <c r="U89" s="12"/>
      <c r="V89" s="12"/>
      <c r="W89" s="12"/>
      <c r="X89" s="12"/>
      <c r="Y89" s="12"/>
      <c r="Z89" s="18">
        <f>ROUND(R89*'Data-CostAssumptions'!$C$8,-3)</f>
        <v>105000</v>
      </c>
      <c r="AA89" s="11">
        <f t="shared" si="17"/>
        <v>0</v>
      </c>
      <c r="AB89" s="11">
        <v>2041</v>
      </c>
      <c r="AC89" s="11">
        <v>2041</v>
      </c>
      <c r="AD89" s="11">
        <f t="shared" si="18"/>
        <v>2041</v>
      </c>
      <c r="AE89" s="19">
        <f>ROUND((Z89*'Data-CostAssumptions'!$G$5)*(1+'Data-CostAssumptions'!$G$3)^(AB89-'Data-CostAssumptions'!$G$4),-3)</f>
        <v>59000</v>
      </c>
      <c r="AF89" s="19">
        <f>ROUND((Z89)*(1+'Data-CostAssumptions'!$G$3)^(AD89-'Data-CostAssumptions'!$G$4),-3)</f>
        <v>269000</v>
      </c>
      <c r="AG89" s="170" t="str">
        <f t="shared" si="19"/>
        <v>No</v>
      </c>
      <c r="AH89" s="19">
        <f t="shared" si="20"/>
        <v>0</v>
      </c>
      <c r="AI89" s="19">
        <f t="shared" si="21"/>
        <v>0</v>
      </c>
      <c r="AJ89" s="19">
        <f t="shared" si="22"/>
        <v>0</v>
      </c>
      <c r="AK89" s="19">
        <f t="shared" si="23"/>
        <v>0</v>
      </c>
      <c r="AL89" s="19">
        <f>IF(AB89&gt;2040,Z89+Z89*'Data-CostAssumptions'!$G$5,0)</f>
        <v>128100</v>
      </c>
    </row>
    <row r="90" spans="1:38" ht="15" customHeight="1" x14ac:dyDescent="0.2">
      <c r="A90" s="12"/>
      <c r="B90" s="11" t="s">
        <v>1211</v>
      </c>
      <c r="C90" s="12"/>
      <c r="D90" s="84" t="s">
        <v>276</v>
      </c>
      <c r="E90" s="104">
        <v>117</v>
      </c>
      <c r="F90" s="104"/>
      <c r="G90" s="20">
        <v>1660</v>
      </c>
      <c r="H90" s="13" t="s">
        <v>2755</v>
      </c>
      <c r="I90" s="13" t="str">
        <f t="shared" si="25"/>
        <v>SR 811/Dixie Hwy (NE 18TH CT to NE 18TH CT)</v>
      </c>
      <c r="J90" s="12" t="s">
        <v>300</v>
      </c>
      <c r="K90" s="13" t="str">
        <f>VLOOKUP(J90,'Data-ProjectTypes'!A$3:B$13,2,FALSE)</f>
        <v>Project</v>
      </c>
      <c r="L90" s="12" t="s">
        <v>2928</v>
      </c>
      <c r="M90" s="105" t="s">
        <v>1672</v>
      </c>
      <c r="N90" s="12" t="s">
        <v>1672</v>
      </c>
      <c r="O90" s="12"/>
      <c r="P90" s="12"/>
      <c r="Q90" s="72">
        <v>0.1</v>
      </c>
      <c r="R90" s="234">
        <v>81000</v>
      </c>
      <c r="S90" s="12"/>
      <c r="T90" s="12"/>
      <c r="U90" s="12"/>
      <c r="V90" s="12"/>
      <c r="W90" s="12"/>
      <c r="X90" s="12"/>
      <c r="Y90" s="12"/>
      <c r="Z90" s="18">
        <f>ROUND(R90*'Data-CostAssumptions'!$C$8,-3)</f>
        <v>81000</v>
      </c>
      <c r="AA90" s="11">
        <f t="shared" si="17"/>
        <v>0</v>
      </c>
      <c r="AB90" s="11">
        <v>2041</v>
      </c>
      <c r="AC90" s="11">
        <v>2041</v>
      </c>
      <c r="AD90" s="11">
        <f t="shared" si="18"/>
        <v>2041</v>
      </c>
      <c r="AE90" s="19">
        <f>ROUND((Z90*'Data-CostAssumptions'!$G$5)*(1+'Data-CostAssumptions'!$G$3)^(AB90-'Data-CostAssumptions'!$G$4),-3)</f>
        <v>46000</v>
      </c>
      <c r="AF90" s="19">
        <f>ROUND((Z90)*(1+'Data-CostAssumptions'!$G$3)^(AD90-'Data-CostAssumptions'!$G$4),-3)</f>
        <v>208000</v>
      </c>
      <c r="AG90" s="170" t="str">
        <f t="shared" si="19"/>
        <v>No</v>
      </c>
      <c r="AH90" s="19">
        <f t="shared" si="20"/>
        <v>0</v>
      </c>
      <c r="AI90" s="19">
        <f t="shared" si="21"/>
        <v>0</v>
      </c>
      <c r="AJ90" s="19">
        <f t="shared" si="22"/>
        <v>0</v>
      </c>
      <c r="AK90" s="19">
        <f t="shared" si="23"/>
        <v>0</v>
      </c>
      <c r="AL90" s="19">
        <f>IF(AB90&gt;2040,Z90+Z90*'Data-CostAssumptions'!$G$5,0)</f>
        <v>98820</v>
      </c>
    </row>
    <row r="91" spans="1:38" ht="15" customHeight="1" x14ac:dyDescent="0.2">
      <c r="B91" s="11" t="s">
        <v>1211</v>
      </c>
      <c r="C91" s="11">
        <v>12200</v>
      </c>
      <c r="D91" s="84" t="s">
        <v>297</v>
      </c>
      <c r="E91" s="14"/>
      <c r="F91" s="14"/>
      <c r="G91" s="20">
        <v>1732</v>
      </c>
      <c r="H91" s="13" t="s">
        <v>2692</v>
      </c>
      <c r="I91" s="13" t="str">
        <f t="shared" si="25"/>
        <v>Grade Separation at Hallandale Beach and Dixie Hwy (SW 2nd Av to SE 3rd Av)</v>
      </c>
      <c r="J91" s="11" t="s">
        <v>300</v>
      </c>
      <c r="K91" s="13" t="str">
        <f>VLOOKUP(J91,'Data-ProjectTypes'!A$3:B$13,2,FALSE)</f>
        <v>Project</v>
      </c>
      <c r="L91" s="85" t="s">
        <v>520</v>
      </c>
      <c r="M91" s="11" t="s">
        <v>2118</v>
      </c>
      <c r="N91" s="11" t="s">
        <v>2093</v>
      </c>
      <c r="Q91" s="15">
        <v>0.3</v>
      </c>
      <c r="R91" s="19">
        <v>50400000</v>
      </c>
      <c r="Y91" s="12"/>
      <c r="Z91" s="18">
        <f>ROUND(R91*'Data-CostAssumptions'!$C$8,-3)</f>
        <v>50400000</v>
      </c>
      <c r="AA91" s="11">
        <f t="shared" si="17"/>
        <v>0</v>
      </c>
      <c r="AB91" s="11">
        <v>2041</v>
      </c>
      <c r="AC91" s="11">
        <v>2041</v>
      </c>
      <c r="AD91" s="11">
        <f t="shared" si="18"/>
        <v>2041</v>
      </c>
      <c r="AE91" s="19">
        <f>ROUND((Z91*'Data-CostAssumptions'!$G$5)*(1+'Data-CostAssumptions'!$G$3)^(AB91-'Data-CostAssumptions'!$G$4),-3)</f>
        <v>28429000</v>
      </c>
      <c r="AF91" s="19">
        <f>ROUND((Z91)*(1+'Data-CostAssumptions'!$G$3)^(AD91-'Data-CostAssumptions'!$G$4),-3)</f>
        <v>129223000</v>
      </c>
      <c r="AG91" s="170" t="str">
        <f t="shared" si="19"/>
        <v>No</v>
      </c>
      <c r="AH91" s="19">
        <f t="shared" si="20"/>
        <v>0</v>
      </c>
      <c r="AI91" s="19">
        <f t="shared" si="21"/>
        <v>0</v>
      </c>
      <c r="AJ91" s="19">
        <f t="shared" si="22"/>
        <v>0</v>
      </c>
      <c r="AK91" s="19">
        <f t="shared" si="23"/>
        <v>0</v>
      </c>
      <c r="AL91" s="19">
        <f>IF(AB91&gt;2040,Z91+Z91*'Data-CostAssumptions'!$G$5,0)</f>
        <v>61488000</v>
      </c>
    </row>
    <row r="92" spans="1:38" ht="15" customHeight="1" x14ac:dyDescent="0.2">
      <c r="B92" s="11" t="s">
        <v>1211</v>
      </c>
      <c r="C92" s="11">
        <v>12202</v>
      </c>
      <c r="D92" s="84" t="s">
        <v>297</v>
      </c>
      <c r="E92" s="14"/>
      <c r="F92" s="14"/>
      <c r="G92" s="20">
        <v>1734</v>
      </c>
      <c r="H92" s="13" t="s">
        <v>1841</v>
      </c>
      <c r="I92" s="13" t="str">
        <f t="shared" si="25"/>
        <v>Countyline Rd Link (Dixie Hwy to West Hallandale Beach Bl.)</v>
      </c>
      <c r="J92" s="11" t="s">
        <v>300</v>
      </c>
      <c r="K92" s="13" t="str">
        <f>VLOOKUP(J92,'Data-ProjectTypes'!A$3:B$13,2,FALSE)</f>
        <v>Project</v>
      </c>
      <c r="L92" s="85" t="s">
        <v>522</v>
      </c>
      <c r="M92" s="11" t="s">
        <v>728</v>
      </c>
      <c r="N92" s="11" t="s">
        <v>2294</v>
      </c>
      <c r="Q92" s="15">
        <v>2</v>
      </c>
      <c r="R92" s="19">
        <v>38080000</v>
      </c>
      <c r="Y92" s="12"/>
      <c r="Z92" s="18">
        <f>ROUND(R92*'Data-CostAssumptions'!$C$8,-3)</f>
        <v>38080000</v>
      </c>
      <c r="AA92" s="11">
        <f t="shared" si="17"/>
        <v>0</v>
      </c>
      <c r="AB92" s="11">
        <v>2041</v>
      </c>
      <c r="AC92" s="11">
        <v>2041</v>
      </c>
      <c r="AD92" s="11">
        <f t="shared" si="18"/>
        <v>2041</v>
      </c>
      <c r="AE92" s="19">
        <f>ROUND((Z92*'Data-CostAssumptions'!$G$5)*(1+'Data-CostAssumptions'!$G$3)^(AB92-'Data-CostAssumptions'!$G$4),-3)</f>
        <v>21480000</v>
      </c>
      <c r="AF92" s="19">
        <f>ROUND((Z92)*(1+'Data-CostAssumptions'!$G$3)^(AD92-'Data-CostAssumptions'!$G$4),-3)</f>
        <v>97635000</v>
      </c>
      <c r="AG92" s="170" t="str">
        <f t="shared" si="19"/>
        <v>No</v>
      </c>
      <c r="AH92" s="19">
        <f t="shared" si="20"/>
        <v>0</v>
      </c>
      <c r="AI92" s="19">
        <f t="shared" si="21"/>
        <v>0</v>
      </c>
      <c r="AJ92" s="19">
        <f t="shared" si="22"/>
        <v>0</v>
      </c>
      <c r="AK92" s="19">
        <f t="shared" si="23"/>
        <v>0</v>
      </c>
      <c r="AL92" s="19">
        <f>IF(AB92&gt;2040,Z92+Z92*'Data-CostAssumptions'!$G$5,0)</f>
        <v>46457600</v>
      </c>
    </row>
    <row r="93" spans="1:38" ht="15" customHeight="1" x14ac:dyDescent="0.2">
      <c r="B93" s="11" t="s">
        <v>1211</v>
      </c>
      <c r="C93" s="11">
        <v>12201</v>
      </c>
      <c r="D93" s="84" t="s">
        <v>297</v>
      </c>
      <c r="E93" s="14"/>
      <c r="F93" s="14"/>
      <c r="G93" s="20">
        <v>1733</v>
      </c>
      <c r="H93" s="13" t="s">
        <v>1944</v>
      </c>
      <c r="I93" s="13" t="str">
        <f t="shared" si="25"/>
        <v>SE 2nd St Extension (Layne Bl. to US 1)</v>
      </c>
      <c r="J93" s="11" t="s">
        <v>300</v>
      </c>
      <c r="K93" s="13" t="str">
        <f>VLOOKUP(J93,'Data-ProjectTypes'!A$3:B$13,2,FALSE)</f>
        <v>Project</v>
      </c>
      <c r="L93" s="85" t="s">
        <v>521</v>
      </c>
      <c r="M93" s="11" t="s">
        <v>2318</v>
      </c>
      <c r="N93" s="11" t="s">
        <v>98</v>
      </c>
      <c r="Q93" s="15">
        <v>0.75</v>
      </c>
      <c r="R93" s="19">
        <v>22000000</v>
      </c>
      <c r="Y93" s="12"/>
      <c r="Z93" s="18">
        <f>ROUND(R93*'Data-CostAssumptions'!$C$8,-3)</f>
        <v>22000000</v>
      </c>
      <c r="AA93" s="11">
        <f t="shared" si="17"/>
        <v>0</v>
      </c>
      <c r="AB93" s="11">
        <v>2035</v>
      </c>
      <c r="AC93" s="11">
        <v>2035</v>
      </c>
      <c r="AD93" s="11">
        <f t="shared" si="18"/>
        <v>2035</v>
      </c>
      <c r="AE93" s="19">
        <f>ROUND((Z93*'Data-CostAssumptions'!$G$5)*(1+'Data-CostAssumptions'!$G$3)^(AB93-'Data-CostAssumptions'!$G$4),-3)</f>
        <v>10213000</v>
      </c>
      <c r="AF93" s="19">
        <f>ROUND((Z93)*(1+'Data-CostAssumptions'!$G$3)^(AD93-'Data-CostAssumptions'!$G$4),-3)</f>
        <v>46423000</v>
      </c>
      <c r="AG93" s="170" t="str">
        <f t="shared" si="19"/>
        <v>Yes</v>
      </c>
      <c r="AH93" s="19">
        <f t="shared" si="20"/>
        <v>0</v>
      </c>
      <c r="AI93" s="19">
        <f t="shared" si="21"/>
        <v>0</v>
      </c>
      <c r="AJ93" s="19">
        <f t="shared" si="22"/>
        <v>0</v>
      </c>
      <c r="AK93" s="19">
        <f t="shared" si="23"/>
        <v>56636000</v>
      </c>
      <c r="AL93" s="19">
        <f>IF(AB93&gt;2040,Z93+Z93*'Data-CostAssumptions'!$G$5,0)</f>
        <v>0</v>
      </c>
    </row>
    <row r="94" spans="1:38" ht="15" customHeight="1" x14ac:dyDescent="0.2">
      <c r="B94" s="11" t="s">
        <v>1211</v>
      </c>
      <c r="C94" s="11">
        <v>12209</v>
      </c>
      <c r="D94" s="84" t="s">
        <v>297</v>
      </c>
      <c r="E94" s="14"/>
      <c r="F94" s="14"/>
      <c r="G94" s="20">
        <v>1737</v>
      </c>
      <c r="H94" s="13" t="s">
        <v>2691</v>
      </c>
      <c r="I94" s="13" t="str">
        <f t="shared" si="25"/>
        <v>Dixie Hwy/East 1st Av Corridor  (SW 11th St. to Pembroke Rd)</v>
      </c>
      <c r="J94" s="11" t="s">
        <v>300</v>
      </c>
      <c r="K94" s="13" t="str">
        <f>VLOOKUP(J94,'Data-ProjectTypes'!A$3:B$13,2,FALSE)</f>
        <v>Project</v>
      </c>
      <c r="L94" s="85" t="s">
        <v>526</v>
      </c>
      <c r="M94" s="11" t="s">
        <v>528</v>
      </c>
      <c r="N94" s="11" t="s">
        <v>1760</v>
      </c>
      <c r="Q94" s="15">
        <v>1.6</v>
      </c>
      <c r="R94" s="19">
        <v>11000000</v>
      </c>
      <c r="X94" s="38"/>
      <c r="Y94" s="12"/>
      <c r="Z94" s="18">
        <f>ROUND(R94*'Data-CostAssumptions'!$C$8,-3)</f>
        <v>11000000</v>
      </c>
      <c r="AA94" s="11">
        <f t="shared" si="17"/>
        <v>0</v>
      </c>
      <c r="AB94" s="11">
        <v>2041</v>
      </c>
      <c r="AC94" s="11">
        <v>2041</v>
      </c>
      <c r="AD94" s="11">
        <f t="shared" si="18"/>
        <v>2041</v>
      </c>
      <c r="AE94" s="19">
        <f>ROUND((Z94*'Data-CostAssumptions'!$G$5)*(1+'Data-CostAssumptions'!$G$3)^(AB94-'Data-CostAssumptions'!$G$4),-3)</f>
        <v>6205000</v>
      </c>
      <c r="AF94" s="19">
        <f>ROUND((Z94)*(1+'Data-CostAssumptions'!$G$3)^(AD94-'Data-CostAssumptions'!$G$4),-3)</f>
        <v>28203000</v>
      </c>
      <c r="AG94" s="170" t="str">
        <f t="shared" si="19"/>
        <v>No</v>
      </c>
      <c r="AH94" s="19">
        <f t="shared" si="20"/>
        <v>0</v>
      </c>
      <c r="AI94" s="19">
        <f t="shared" si="21"/>
        <v>0</v>
      </c>
      <c r="AJ94" s="19">
        <f t="shared" si="22"/>
        <v>0</v>
      </c>
      <c r="AK94" s="19">
        <f t="shared" si="23"/>
        <v>0</v>
      </c>
      <c r="AL94" s="19">
        <f>IF(AB94&gt;2040,Z94+Z94*'Data-CostAssumptions'!$G$5,0)</f>
        <v>13420000</v>
      </c>
    </row>
    <row r="95" spans="1:38" ht="15" customHeight="1" x14ac:dyDescent="0.2">
      <c r="B95" s="11" t="s">
        <v>1211</v>
      </c>
      <c r="C95" s="11">
        <v>12207</v>
      </c>
      <c r="D95" s="84" t="s">
        <v>297</v>
      </c>
      <c r="E95" s="14"/>
      <c r="F95" s="14"/>
      <c r="G95" s="20">
        <v>1736</v>
      </c>
      <c r="H95" s="13" t="s">
        <v>1950</v>
      </c>
      <c r="I95" s="13" t="str">
        <f t="shared" si="25"/>
        <v>SE 9th St Corridor (US 1 to Dixie Hwy)</v>
      </c>
      <c r="J95" s="11" t="s">
        <v>300</v>
      </c>
      <c r="K95" s="13" t="str">
        <f>VLOOKUP(J95,'Data-ProjectTypes'!A$3:B$13,2,FALSE)</f>
        <v>Project</v>
      </c>
      <c r="L95" s="85" t="s">
        <v>524</v>
      </c>
      <c r="M95" s="11" t="s">
        <v>98</v>
      </c>
      <c r="N95" s="11" t="s">
        <v>728</v>
      </c>
      <c r="Q95" s="15">
        <v>0.4</v>
      </c>
      <c r="R95" s="19">
        <v>6050000</v>
      </c>
      <c r="Y95" s="12"/>
      <c r="Z95" s="18">
        <f>ROUND(R95*'Data-CostAssumptions'!$C$8,-3)</f>
        <v>6050000</v>
      </c>
      <c r="AA95" s="11">
        <f t="shared" si="17"/>
        <v>0</v>
      </c>
      <c r="AB95" s="11">
        <v>2035</v>
      </c>
      <c r="AC95" s="11">
        <v>2035</v>
      </c>
      <c r="AD95" s="11">
        <f t="shared" si="18"/>
        <v>2035</v>
      </c>
      <c r="AE95" s="19">
        <f>ROUND((Z95*'Data-CostAssumptions'!$G$5)*(1+'Data-CostAssumptions'!$G$3)^(AB95-'Data-CostAssumptions'!$G$4),-3)</f>
        <v>2809000</v>
      </c>
      <c r="AF95" s="19">
        <f>ROUND((Z95)*(1+'Data-CostAssumptions'!$G$3)^(AD95-'Data-CostAssumptions'!$G$4),-3)</f>
        <v>12766000</v>
      </c>
      <c r="AG95" s="170" t="str">
        <f t="shared" si="19"/>
        <v>Yes</v>
      </c>
      <c r="AH95" s="19">
        <f t="shared" si="20"/>
        <v>0</v>
      </c>
      <c r="AI95" s="19">
        <f t="shared" si="21"/>
        <v>0</v>
      </c>
      <c r="AJ95" s="19">
        <f t="shared" si="22"/>
        <v>0</v>
      </c>
      <c r="AK95" s="19">
        <f t="shared" si="23"/>
        <v>15575000</v>
      </c>
      <c r="AL95" s="19">
        <f>IF(AB95&gt;2040,Z95+Z95*'Data-CostAssumptions'!$G$5,0)</f>
        <v>0</v>
      </c>
    </row>
    <row r="96" spans="1:38" ht="15" customHeight="1" x14ac:dyDescent="0.2">
      <c r="B96" s="11" t="s">
        <v>1211</v>
      </c>
      <c r="C96" s="11">
        <v>12210</v>
      </c>
      <c r="D96" s="84" t="s">
        <v>297</v>
      </c>
      <c r="E96" s="14"/>
      <c r="F96" s="14"/>
      <c r="G96" s="20">
        <v>1738</v>
      </c>
      <c r="H96" s="13" t="s">
        <v>2775</v>
      </c>
      <c r="I96" s="13" t="str">
        <f t="shared" si="25"/>
        <v>Countyline Rd/A1A Intersection ( to )</v>
      </c>
      <c r="J96" s="11" t="s">
        <v>300</v>
      </c>
      <c r="K96" s="13" t="str">
        <f>VLOOKUP(J96,'Data-ProjectTypes'!A$3:B$13,2,FALSE)</f>
        <v>Project</v>
      </c>
      <c r="L96" s="85" t="s">
        <v>527</v>
      </c>
      <c r="Q96" s="15"/>
      <c r="R96" s="19">
        <v>3500000</v>
      </c>
      <c r="S96" s="12"/>
      <c r="T96" s="12"/>
      <c r="U96" s="12"/>
      <c r="V96" s="12"/>
      <c r="W96" s="12"/>
      <c r="X96" s="12"/>
      <c r="Y96" s="12"/>
      <c r="Z96" s="18">
        <f>ROUND(R96*'Data-CostAssumptions'!$C$8,-3)</f>
        <v>3500000</v>
      </c>
      <c r="AA96" s="11">
        <f t="shared" si="17"/>
        <v>0</v>
      </c>
      <c r="AB96" s="11">
        <v>2041</v>
      </c>
      <c r="AC96" s="11">
        <v>2041</v>
      </c>
      <c r="AD96" s="11">
        <f t="shared" si="18"/>
        <v>2041</v>
      </c>
      <c r="AE96" s="19">
        <f>ROUND((Z96*'Data-CostAssumptions'!$G$5)*(1+'Data-CostAssumptions'!$G$3)^(AB96-'Data-CostAssumptions'!$G$4),-3)</f>
        <v>1974000</v>
      </c>
      <c r="AF96" s="19">
        <f>ROUND((Z96)*(1+'Data-CostAssumptions'!$G$3)^(AD96-'Data-CostAssumptions'!$G$4),-3)</f>
        <v>8974000</v>
      </c>
      <c r="AG96" s="170" t="str">
        <f t="shared" si="19"/>
        <v>No</v>
      </c>
      <c r="AH96" s="19">
        <f t="shared" si="20"/>
        <v>0</v>
      </c>
      <c r="AI96" s="19">
        <f t="shared" si="21"/>
        <v>0</v>
      </c>
      <c r="AJ96" s="19">
        <f t="shared" si="22"/>
        <v>0</v>
      </c>
      <c r="AK96" s="19">
        <f t="shared" si="23"/>
        <v>0</v>
      </c>
      <c r="AL96" s="19">
        <f>IF(AB96&gt;2040,Z96+Z96*'Data-CostAssumptions'!$G$5,0)</f>
        <v>4270000</v>
      </c>
    </row>
    <row r="97" spans="1:38" ht="15" customHeight="1" x14ac:dyDescent="0.2">
      <c r="A97" s="66"/>
      <c r="B97" s="66" t="s">
        <v>1211</v>
      </c>
      <c r="C97" s="66">
        <v>12203</v>
      </c>
      <c r="D97" s="86" t="s">
        <v>297</v>
      </c>
      <c r="E97" s="14"/>
      <c r="F97" s="14"/>
      <c r="G97" s="20">
        <v>1735</v>
      </c>
      <c r="H97" s="67" t="s">
        <v>1818</v>
      </c>
      <c r="I97" s="67" t="str">
        <f t="shared" si="25"/>
        <v>Hallandale Beach Bl (@  Dixie Hwy)</v>
      </c>
      <c r="J97" s="66" t="s">
        <v>300</v>
      </c>
      <c r="K97" s="67" t="str">
        <f>VLOOKUP(J97,'Data-ProjectTypes'!A$3:B$13,2,FALSE)</f>
        <v>Project</v>
      </c>
      <c r="L97" s="87" t="s">
        <v>2929</v>
      </c>
      <c r="M97" s="11" t="s">
        <v>2835</v>
      </c>
      <c r="N97" s="11" t="s">
        <v>728</v>
      </c>
      <c r="Q97" s="74">
        <v>0.1</v>
      </c>
      <c r="R97" s="255">
        <v>3300000</v>
      </c>
      <c r="Y97" s="12" t="s">
        <v>3127</v>
      </c>
      <c r="Z97" s="18">
        <f>ROUND(R97*'Data-CostAssumptions'!$C$8,-3)</f>
        <v>3300000</v>
      </c>
      <c r="AA97" s="11">
        <f t="shared" si="17"/>
        <v>0</v>
      </c>
      <c r="AB97" s="11">
        <v>2041</v>
      </c>
      <c r="AC97" s="11">
        <v>2041</v>
      </c>
      <c r="AD97" s="11">
        <f t="shared" si="18"/>
        <v>2041</v>
      </c>
      <c r="AE97" s="19">
        <f>ROUND((Z97*'Data-CostAssumptions'!$G$5)*(1+'Data-CostAssumptions'!$G$3)^(AB97-'Data-CostAssumptions'!$G$4),-3)</f>
        <v>1861000</v>
      </c>
      <c r="AF97" s="19">
        <f>ROUND((Z97)*(1+'Data-CostAssumptions'!$G$3)^(AD97-'Data-CostAssumptions'!$G$4),-3)</f>
        <v>8461000</v>
      </c>
      <c r="AG97" s="170" t="str">
        <f t="shared" si="19"/>
        <v>No</v>
      </c>
      <c r="AH97" s="19">
        <f t="shared" si="20"/>
        <v>0</v>
      </c>
      <c r="AI97" s="19">
        <f t="shared" si="21"/>
        <v>0</v>
      </c>
      <c r="AJ97" s="19">
        <f t="shared" si="22"/>
        <v>0</v>
      </c>
      <c r="AK97" s="19">
        <f t="shared" si="23"/>
        <v>0</v>
      </c>
      <c r="AL97" s="19">
        <f>IF(AB97&gt;2040,Z97+Z97*'Data-CostAssumptions'!$G$5,0)</f>
        <v>4026000</v>
      </c>
    </row>
    <row r="98" spans="1:38" ht="15" customHeight="1" x14ac:dyDescent="0.2">
      <c r="A98" s="76"/>
      <c r="B98" s="76" t="s">
        <v>1211</v>
      </c>
      <c r="C98" s="76">
        <v>12310</v>
      </c>
      <c r="D98" s="144" t="s">
        <v>282</v>
      </c>
      <c r="E98" s="77"/>
      <c r="F98" s="77"/>
      <c r="G98" s="20">
        <v>1802</v>
      </c>
      <c r="H98" s="47" t="s">
        <v>110</v>
      </c>
      <c r="I98" s="47" t="str">
        <f t="shared" si="25"/>
        <v>SR A1A (Hallendale Beach Bl to Hollywood Bl)</v>
      </c>
      <c r="J98" s="76" t="s">
        <v>300</v>
      </c>
      <c r="K98" s="47" t="str">
        <f>VLOOKUP(J98,'Data-ProjectTypes'!A$3:B$13,2,FALSE)</f>
        <v>Project</v>
      </c>
      <c r="L98" s="142" t="s">
        <v>647</v>
      </c>
      <c r="M98" s="76" t="s">
        <v>2332</v>
      </c>
      <c r="N98" s="76" t="s">
        <v>1820</v>
      </c>
      <c r="O98" s="76"/>
      <c r="P98" s="76"/>
      <c r="Q98" s="79">
        <v>1.7</v>
      </c>
      <c r="R98" s="240">
        <f>ROUND(Q98*'Data-CostAssumptions'!$C$37,-1)</f>
        <v>7859100</v>
      </c>
      <c r="Y98" s="12"/>
      <c r="Z98" s="18">
        <f>ROUND(R98*'Data-CostAssumptions'!$C$8,-3)</f>
        <v>7859000</v>
      </c>
      <c r="AA98" s="11">
        <f t="shared" ref="AA98:AA119" si="26">IF(V98="",IF(W98="",0,1),1)</f>
        <v>0</v>
      </c>
      <c r="AB98" s="11">
        <v>2028</v>
      </c>
      <c r="AC98" s="11">
        <v>2028</v>
      </c>
      <c r="AD98" s="11">
        <f t="shared" ref="AD98:AD119" si="27">+AC98</f>
        <v>2028</v>
      </c>
      <c r="AE98" s="19">
        <f>ROUND((Z98*'Data-CostAssumptions'!$G$5)*(1+'Data-CostAssumptions'!$G$3)^(AB98-'Data-CostAssumptions'!$G$4),-3)</f>
        <v>2907000</v>
      </c>
      <c r="AF98" s="19">
        <f>ROUND((Z98)*(1+'Data-CostAssumptions'!$G$3)^(AD98-'Data-CostAssumptions'!$G$4),-3)</f>
        <v>13212000</v>
      </c>
      <c r="AG98" s="170" t="str">
        <f t="shared" ref="AG98:AG119" si="28">IF(MIN(AC98:AD98)&lt;2041,"Yes","No")</f>
        <v>Yes</v>
      </c>
      <c r="AH98" s="19">
        <f t="shared" ref="AH98:AH119" si="29">IF(AB98&gt;2018,IF(AB98&lt;2021,AE98,0),0)+IF(AC98&gt;2018,IF(AC98&lt;2021,AF98,0),0)</f>
        <v>0</v>
      </c>
      <c r="AI98" s="19">
        <f t="shared" ref="AI98:AI119" si="30">IF(AB98&gt;2020,IF(AB98&lt;2026,AE98,0),0)+IF(AC98&gt;2020,IF(AC98&lt;2026,AF98,0),0)</f>
        <v>0</v>
      </c>
      <c r="AJ98" s="19">
        <f t="shared" ref="AJ98:AJ119" si="31">IF(AB98&gt;2025,IF(AB98&lt;2031,AE98,0),0)+IF(AC98&gt;2025,IF(AC98&lt;2031,AF98,0),0)</f>
        <v>16119000</v>
      </c>
      <c r="AK98" s="19">
        <f t="shared" ref="AK98:AK119" si="32">IF(AB98&gt;2030,IF(AB98&lt;2041,AE98,0),0)+IF(AC98&gt;2030,IF(AC98&lt;2041,AF98,0),0)</f>
        <v>0</v>
      </c>
      <c r="AL98" s="19">
        <f>IF(AB98&gt;2040,Z98+Z98*'Data-CostAssumptions'!$G$5,0)</f>
        <v>0</v>
      </c>
    </row>
    <row r="99" spans="1:38" ht="15" customHeight="1" x14ac:dyDescent="0.2">
      <c r="B99" s="11" t="s">
        <v>1211</v>
      </c>
      <c r="C99" s="11">
        <v>12303</v>
      </c>
      <c r="D99" s="84" t="s">
        <v>282</v>
      </c>
      <c r="E99" s="14"/>
      <c r="F99" s="14"/>
      <c r="G99" s="20">
        <v>1800</v>
      </c>
      <c r="H99" s="13" t="s">
        <v>1936</v>
      </c>
      <c r="I99" s="13" t="str">
        <f t="shared" si="25"/>
        <v>Polk St (28th Av to US 1 / Federal Hwy)</v>
      </c>
      <c r="J99" s="11" t="s">
        <v>300</v>
      </c>
      <c r="K99" s="13" t="str">
        <f>VLOOKUP(J99,'Data-ProjectTypes'!A$3:B$13,2,FALSE)</f>
        <v>Project</v>
      </c>
      <c r="L99" s="142" t="s">
        <v>640</v>
      </c>
      <c r="M99" s="11" t="s">
        <v>2374</v>
      </c>
      <c r="N99" s="11" t="s">
        <v>2597</v>
      </c>
      <c r="Q99" s="79">
        <v>1.3</v>
      </c>
      <c r="R99" s="240">
        <f>ROUND(Q99*'Data-CostAssumptions'!$C$34,-1)</f>
        <v>2808000</v>
      </c>
      <c r="Y99" s="12"/>
      <c r="Z99" s="18">
        <f>ROUND(R99*'Data-CostAssumptions'!$C$8,-3)</f>
        <v>2808000</v>
      </c>
      <c r="AA99" s="11">
        <f t="shared" si="26"/>
        <v>0</v>
      </c>
      <c r="AB99" s="11">
        <v>2041</v>
      </c>
      <c r="AC99" s="11">
        <v>2041</v>
      </c>
      <c r="AD99" s="11">
        <f t="shared" si="27"/>
        <v>2041</v>
      </c>
      <c r="AE99" s="19">
        <f>ROUND((Z99*'Data-CostAssumptions'!$G$5)*(1+'Data-CostAssumptions'!$G$3)^(AB99-'Data-CostAssumptions'!$G$4),-3)</f>
        <v>1584000</v>
      </c>
      <c r="AF99" s="19">
        <f>ROUND((Z99)*(1+'Data-CostAssumptions'!$G$3)^(AD99-'Data-CostAssumptions'!$G$4),-3)</f>
        <v>7200000</v>
      </c>
      <c r="AG99" s="170" t="str">
        <f t="shared" si="28"/>
        <v>No</v>
      </c>
      <c r="AH99" s="19">
        <f t="shared" si="29"/>
        <v>0</v>
      </c>
      <c r="AI99" s="19">
        <f t="shared" si="30"/>
        <v>0</v>
      </c>
      <c r="AJ99" s="19">
        <f t="shared" si="31"/>
        <v>0</v>
      </c>
      <c r="AK99" s="19">
        <f t="shared" si="32"/>
        <v>0</v>
      </c>
      <c r="AL99" s="19">
        <f>IF(AB99&gt;2040,Z99+Z99*'Data-CostAssumptions'!$G$5,0)</f>
        <v>3425760</v>
      </c>
    </row>
    <row r="100" spans="1:38" ht="15" customHeight="1" x14ac:dyDescent="0.2">
      <c r="B100" s="11" t="s">
        <v>1211</v>
      </c>
      <c r="C100" s="11">
        <v>12301</v>
      </c>
      <c r="D100" s="84" t="s">
        <v>282</v>
      </c>
      <c r="E100" s="14"/>
      <c r="F100" s="14"/>
      <c r="G100" s="20">
        <v>1799</v>
      </c>
      <c r="H100" s="13" t="s">
        <v>1970</v>
      </c>
      <c r="I100" s="13" t="str">
        <f t="shared" si="25"/>
        <v>Van Buren St (28th Av to US 1 / Federal Hwy)</v>
      </c>
      <c r="J100" s="11" t="s">
        <v>300</v>
      </c>
      <c r="K100" s="13" t="str">
        <f>VLOOKUP(J100,'Data-ProjectTypes'!A$3:B$13,2,FALSE)</f>
        <v>Project</v>
      </c>
      <c r="L100" s="142" t="s">
        <v>638</v>
      </c>
      <c r="M100" s="11" t="s">
        <v>2374</v>
      </c>
      <c r="N100" s="11" t="s">
        <v>2597</v>
      </c>
      <c r="Q100" s="79">
        <v>1.3</v>
      </c>
      <c r="R100" s="240">
        <f>ROUND(Q100*'Data-CostAssumptions'!$C$34,-1)</f>
        <v>2808000</v>
      </c>
      <c r="Y100" s="12"/>
      <c r="Z100" s="18">
        <f>ROUND(R100*'Data-CostAssumptions'!$C$8,-3)</f>
        <v>2808000</v>
      </c>
      <c r="AA100" s="11">
        <f t="shared" si="26"/>
        <v>0</v>
      </c>
      <c r="AB100" s="11">
        <v>2041</v>
      </c>
      <c r="AC100" s="11">
        <v>2041</v>
      </c>
      <c r="AD100" s="11">
        <f t="shared" si="27"/>
        <v>2041</v>
      </c>
      <c r="AE100" s="19">
        <f>ROUND((Z100*'Data-CostAssumptions'!$G$5)*(1+'Data-CostAssumptions'!$G$3)^(AB100-'Data-CostAssumptions'!$G$4),-3)</f>
        <v>1584000</v>
      </c>
      <c r="AF100" s="19">
        <f>ROUND((Z100)*(1+'Data-CostAssumptions'!$G$3)^(AD100-'Data-CostAssumptions'!$G$4),-3)</f>
        <v>7200000</v>
      </c>
      <c r="AG100" s="170" t="str">
        <f t="shared" si="28"/>
        <v>No</v>
      </c>
      <c r="AH100" s="19">
        <f t="shared" si="29"/>
        <v>0</v>
      </c>
      <c r="AI100" s="19">
        <f t="shared" si="30"/>
        <v>0</v>
      </c>
      <c r="AJ100" s="19">
        <f t="shared" si="31"/>
        <v>0</v>
      </c>
      <c r="AK100" s="19">
        <f t="shared" si="32"/>
        <v>0</v>
      </c>
      <c r="AL100" s="19">
        <f>IF(AB100&gt;2040,Z100+Z100*'Data-CostAssumptions'!$G$5,0)</f>
        <v>3425760</v>
      </c>
    </row>
    <row r="101" spans="1:38" ht="15" customHeight="1" x14ac:dyDescent="0.2">
      <c r="A101" s="76"/>
      <c r="B101" s="76" t="s">
        <v>1211</v>
      </c>
      <c r="C101" s="76">
        <v>12311</v>
      </c>
      <c r="D101" s="144" t="s">
        <v>282</v>
      </c>
      <c r="E101" s="77"/>
      <c r="F101" s="77"/>
      <c r="G101" s="20">
        <v>1803</v>
      </c>
      <c r="H101" s="47" t="s">
        <v>110</v>
      </c>
      <c r="I101" s="47" t="str">
        <f t="shared" si="25"/>
        <v>SR A1A (Hollywood Bl to Johnson St)</v>
      </c>
      <c r="J101" s="76" t="s">
        <v>300</v>
      </c>
      <c r="K101" s="47" t="str">
        <f>VLOOKUP(J101,'Data-ProjectTypes'!A$3:B$13,2,FALSE)</f>
        <v>Project</v>
      </c>
      <c r="L101" s="142" t="s">
        <v>648</v>
      </c>
      <c r="M101" s="76" t="s">
        <v>1820</v>
      </c>
      <c r="N101" s="76" t="s">
        <v>1880</v>
      </c>
      <c r="O101" s="76"/>
      <c r="P101" s="76"/>
      <c r="Q101" s="79">
        <v>0.5</v>
      </c>
      <c r="R101" s="240">
        <f>ROUND(Q101*'Data-CostAssumptions'!$C$37,-1)</f>
        <v>2311500</v>
      </c>
      <c r="S101" s="12"/>
      <c r="T101" s="12"/>
      <c r="U101" s="12"/>
      <c r="V101" s="12"/>
      <c r="W101" s="12"/>
      <c r="X101" s="12"/>
      <c r="Y101" s="12"/>
      <c r="Z101" s="18">
        <f>ROUND(R101*'Data-CostAssumptions'!$C$8,-3)</f>
        <v>2312000</v>
      </c>
      <c r="AA101" s="11">
        <f t="shared" si="26"/>
        <v>0</v>
      </c>
      <c r="AB101" s="11">
        <v>2041</v>
      </c>
      <c r="AC101" s="11">
        <v>2041</v>
      </c>
      <c r="AD101" s="11">
        <f t="shared" si="27"/>
        <v>2041</v>
      </c>
      <c r="AE101" s="19">
        <f>ROUND((Z101*'Data-CostAssumptions'!$G$5)*(1+'Data-CostAssumptions'!$G$3)^(AB101-'Data-CostAssumptions'!$G$4),-3)</f>
        <v>1304000</v>
      </c>
      <c r="AF101" s="19">
        <f>ROUND((Z101)*(1+'Data-CostAssumptions'!$G$3)^(AD101-'Data-CostAssumptions'!$G$4),-3)</f>
        <v>5928000</v>
      </c>
      <c r="AG101" s="170" t="str">
        <f t="shared" si="28"/>
        <v>No</v>
      </c>
      <c r="AH101" s="19">
        <f t="shared" si="29"/>
        <v>0</v>
      </c>
      <c r="AI101" s="19">
        <f t="shared" si="30"/>
        <v>0</v>
      </c>
      <c r="AJ101" s="19">
        <f t="shared" si="31"/>
        <v>0</v>
      </c>
      <c r="AK101" s="19">
        <f t="shared" si="32"/>
        <v>0</v>
      </c>
      <c r="AL101" s="19">
        <f>IF(AB101&gt;2040,Z101+Z101*'Data-CostAssumptions'!$G$5,0)</f>
        <v>2820640</v>
      </c>
    </row>
    <row r="102" spans="1:38" ht="15" customHeight="1" x14ac:dyDescent="0.2">
      <c r="B102" s="11" t="s">
        <v>1211</v>
      </c>
      <c r="C102" s="11">
        <v>12306</v>
      </c>
      <c r="D102" s="84" t="s">
        <v>282</v>
      </c>
      <c r="E102" s="14"/>
      <c r="F102" s="14"/>
      <c r="G102" s="20">
        <v>1801</v>
      </c>
      <c r="H102" s="13" t="s">
        <v>2776</v>
      </c>
      <c r="I102" s="13" t="str">
        <f t="shared" si="25"/>
        <v>Dixie Hwy/21st Av (Washington St to Johnson St)</v>
      </c>
      <c r="J102" s="11" t="s">
        <v>300</v>
      </c>
      <c r="K102" s="13" t="str">
        <f>VLOOKUP(J102,'Data-ProjectTypes'!A$3:B$13,2,FALSE)</f>
        <v>Project</v>
      </c>
      <c r="L102" s="272" t="s">
        <v>643</v>
      </c>
      <c r="M102" s="11" t="s">
        <v>1971</v>
      </c>
      <c r="N102" s="11" t="s">
        <v>1880</v>
      </c>
      <c r="Q102" s="79">
        <v>1</v>
      </c>
      <c r="R102" s="240">
        <f>ROUND(Q102*'Data-CostAssumptions'!$C$34,-1)</f>
        <v>2160000</v>
      </c>
      <c r="Y102" s="12"/>
      <c r="Z102" s="18">
        <f>ROUND(R102*'Data-CostAssumptions'!$C$8,-3)</f>
        <v>2160000</v>
      </c>
      <c r="AA102" s="11">
        <f t="shared" si="26"/>
        <v>0</v>
      </c>
      <c r="AB102" s="11">
        <v>2041</v>
      </c>
      <c r="AC102" s="11">
        <v>2041</v>
      </c>
      <c r="AD102" s="11">
        <f t="shared" si="27"/>
        <v>2041</v>
      </c>
      <c r="AE102" s="19">
        <f>ROUND((Z102*'Data-CostAssumptions'!$G$5)*(1+'Data-CostAssumptions'!$G$3)^(AB102-'Data-CostAssumptions'!$G$4),-3)</f>
        <v>1218000</v>
      </c>
      <c r="AF102" s="19">
        <f>ROUND((Z102)*(1+'Data-CostAssumptions'!$G$3)^(AD102-'Data-CostAssumptions'!$G$4),-3)</f>
        <v>5538000</v>
      </c>
      <c r="AG102" s="170" t="str">
        <f t="shared" si="28"/>
        <v>No</v>
      </c>
      <c r="AH102" s="19">
        <f t="shared" si="29"/>
        <v>0</v>
      </c>
      <c r="AI102" s="19">
        <f t="shared" si="30"/>
        <v>0</v>
      </c>
      <c r="AJ102" s="19">
        <f t="shared" si="31"/>
        <v>0</v>
      </c>
      <c r="AK102" s="19">
        <f t="shared" si="32"/>
        <v>0</v>
      </c>
      <c r="AL102" s="19">
        <f>IF(AB102&gt;2040,Z102+Z102*'Data-CostAssumptions'!$G$5,0)</f>
        <v>2635200</v>
      </c>
    </row>
    <row r="103" spans="1:38" ht="15" customHeight="1" x14ac:dyDescent="0.2">
      <c r="B103" s="11" t="s">
        <v>1211</v>
      </c>
      <c r="C103" s="11">
        <v>12300</v>
      </c>
      <c r="D103" s="84" t="s">
        <v>282</v>
      </c>
      <c r="E103" s="14"/>
      <c r="F103" s="14"/>
      <c r="G103" s="20">
        <v>1798</v>
      </c>
      <c r="H103" s="13" t="s">
        <v>2813</v>
      </c>
      <c r="I103" s="13" t="str">
        <f t="shared" si="25"/>
        <v>SR 820/Hollywood Bl (City Hall Circle to Dixie Hwy)</v>
      </c>
      <c r="J103" s="11" t="s">
        <v>300</v>
      </c>
      <c r="K103" s="13" t="str">
        <f>VLOOKUP(J103,'Data-ProjectTypes'!A$3:B$13,2,FALSE)</f>
        <v>Project</v>
      </c>
      <c r="L103" s="142" t="s">
        <v>637</v>
      </c>
      <c r="M103" s="11" t="s">
        <v>188</v>
      </c>
      <c r="N103" s="11" t="s">
        <v>728</v>
      </c>
      <c r="Q103" s="79">
        <v>0.54</v>
      </c>
      <c r="R103" s="240">
        <f>ROUND(Q103*'Data-CostAssumptions'!$C$34,-1)</f>
        <v>1166400</v>
      </c>
      <c r="Y103" s="12"/>
      <c r="Z103" s="18">
        <f>ROUND(R103*'Data-CostAssumptions'!$C$8,-3)</f>
        <v>1166000</v>
      </c>
      <c r="AA103" s="11">
        <f t="shared" si="26"/>
        <v>0</v>
      </c>
      <c r="AB103" s="11">
        <v>2041</v>
      </c>
      <c r="AC103" s="11">
        <v>2041</v>
      </c>
      <c r="AD103" s="11">
        <f t="shared" si="27"/>
        <v>2041</v>
      </c>
      <c r="AE103" s="19">
        <f>ROUND((Z103*'Data-CostAssumptions'!$G$5)*(1+'Data-CostAssumptions'!$G$3)^(AB103-'Data-CostAssumptions'!$G$4),-3)</f>
        <v>658000</v>
      </c>
      <c r="AF103" s="19">
        <f>ROUND((Z103)*(1+'Data-CostAssumptions'!$G$3)^(AD103-'Data-CostAssumptions'!$G$4),-3)</f>
        <v>2990000</v>
      </c>
      <c r="AG103" s="170" t="str">
        <f t="shared" si="28"/>
        <v>No</v>
      </c>
      <c r="AH103" s="19">
        <f t="shared" si="29"/>
        <v>0</v>
      </c>
      <c r="AI103" s="19">
        <f t="shared" si="30"/>
        <v>0</v>
      </c>
      <c r="AJ103" s="19">
        <f t="shared" si="31"/>
        <v>0</v>
      </c>
      <c r="AK103" s="19">
        <f t="shared" si="32"/>
        <v>0</v>
      </c>
      <c r="AL103" s="19">
        <f>IF(AB103&gt;2040,Z103+Z103*'Data-CostAssumptions'!$G$5,0)</f>
        <v>1422520</v>
      </c>
    </row>
    <row r="104" spans="1:38" ht="15" customHeight="1" x14ac:dyDescent="0.2">
      <c r="B104" s="11" t="s">
        <v>1211</v>
      </c>
      <c r="C104" s="11">
        <v>12315</v>
      </c>
      <c r="D104" s="84" t="s">
        <v>282</v>
      </c>
      <c r="E104" s="14"/>
      <c r="F104" s="14"/>
      <c r="G104" s="20">
        <v>1804</v>
      </c>
      <c r="H104" s="13" t="s">
        <v>1969</v>
      </c>
      <c r="I104" s="13" t="str">
        <f t="shared" si="25"/>
        <v>Tyler St (Young Circle to Dixie Hwy)</v>
      </c>
      <c r="J104" s="11" t="s">
        <v>300</v>
      </c>
      <c r="K104" s="13" t="str">
        <f>VLOOKUP(J104,'Data-ProjectTypes'!A$3:B$13,2,FALSE)</f>
        <v>Project</v>
      </c>
      <c r="L104" s="142" t="s">
        <v>652</v>
      </c>
      <c r="M104" s="11" t="s">
        <v>189</v>
      </c>
      <c r="N104" s="11" t="s">
        <v>728</v>
      </c>
      <c r="Q104" s="79">
        <v>0.5</v>
      </c>
      <c r="R104" s="240">
        <f>ROUND(Q104*'Data-CostAssumptions'!$C$34,-1)</f>
        <v>1080000</v>
      </c>
      <c r="S104" s="12"/>
      <c r="T104" s="12"/>
      <c r="U104" s="12"/>
      <c r="V104" s="12"/>
      <c r="W104" s="12"/>
      <c r="X104" s="12"/>
      <c r="Y104" s="12"/>
      <c r="Z104" s="18">
        <f>ROUND(R104*'Data-CostAssumptions'!$C$8,-3)</f>
        <v>1080000</v>
      </c>
      <c r="AA104" s="11">
        <f t="shared" si="26"/>
        <v>0</v>
      </c>
      <c r="AB104" s="11">
        <v>2041</v>
      </c>
      <c r="AC104" s="11">
        <v>2041</v>
      </c>
      <c r="AD104" s="11">
        <f t="shared" si="27"/>
        <v>2041</v>
      </c>
      <c r="AE104" s="19">
        <f>ROUND((Z104*'Data-CostAssumptions'!$G$5)*(1+'Data-CostAssumptions'!$G$3)^(AB104-'Data-CostAssumptions'!$G$4),-3)</f>
        <v>609000</v>
      </c>
      <c r="AF104" s="19">
        <f>ROUND((Z104)*(1+'Data-CostAssumptions'!$G$3)^(AD104-'Data-CostAssumptions'!$G$4),-3)</f>
        <v>2769000</v>
      </c>
      <c r="AG104" s="170" t="str">
        <f t="shared" si="28"/>
        <v>No</v>
      </c>
      <c r="AH104" s="19">
        <f t="shared" si="29"/>
        <v>0</v>
      </c>
      <c r="AI104" s="19">
        <f t="shared" si="30"/>
        <v>0</v>
      </c>
      <c r="AJ104" s="19">
        <f t="shared" si="31"/>
        <v>0</v>
      </c>
      <c r="AK104" s="19">
        <f t="shared" si="32"/>
        <v>0</v>
      </c>
      <c r="AL104" s="19">
        <f>IF(AB104&gt;2040,Z104+Z104*'Data-CostAssumptions'!$G$5,0)</f>
        <v>1317600</v>
      </c>
    </row>
    <row r="105" spans="1:38" ht="15" customHeight="1" x14ac:dyDescent="0.2">
      <c r="B105" s="11" t="s">
        <v>1211</v>
      </c>
      <c r="C105" s="11">
        <v>12264</v>
      </c>
      <c r="D105" s="84" t="s">
        <v>282</v>
      </c>
      <c r="E105" s="14"/>
      <c r="F105" s="14"/>
      <c r="G105" s="20">
        <v>1795</v>
      </c>
      <c r="H105" s="13" t="s">
        <v>2813</v>
      </c>
      <c r="I105" s="13" t="str">
        <f t="shared" si="25"/>
        <v>SR 820/Hollywood Bl (62nd Av to )</v>
      </c>
      <c r="J105" s="11" t="s">
        <v>300</v>
      </c>
      <c r="K105" s="13" t="str">
        <f>VLOOKUP(J105,'Data-ProjectTypes'!A$3:B$13,2,FALSE)</f>
        <v>Project</v>
      </c>
      <c r="L105" s="142" t="s">
        <v>603</v>
      </c>
      <c r="M105" s="11" t="s">
        <v>2013</v>
      </c>
      <c r="Q105" s="79"/>
      <c r="R105" s="240">
        <f>'Data-CostAssumptions'!$C$30*0.75</f>
        <v>150000</v>
      </c>
      <c r="S105" s="12"/>
      <c r="T105" s="12"/>
      <c r="U105" s="12"/>
      <c r="V105" s="12"/>
      <c r="W105" s="12"/>
      <c r="X105" s="12"/>
      <c r="Y105" s="12"/>
      <c r="Z105" s="18">
        <f>ROUND(R105*'Data-CostAssumptions'!$C$8,-3)</f>
        <v>150000</v>
      </c>
      <c r="AA105" s="11">
        <f t="shared" si="26"/>
        <v>0</v>
      </c>
      <c r="AB105" s="11">
        <v>2028</v>
      </c>
      <c r="AC105" s="11">
        <v>2028</v>
      </c>
      <c r="AD105" s="11">
        <f t="shared" si="27"/>
        <v>2028</v>
      </c>
      <c r="AE105" s="19">
        <f>ROUND((Z105*'Data-CostAssumptions'!$G$5)*(1+'Data-CostAssumptions'!$G$3)^(AB105-'Data-CostAssumptions'!$G$4),-3)</f>
        <v>55000</v>
      </c>
      <c r="AF105" s="19">
        <f>ROUND((Z105)*(1+'Data-CostAssumptions'!$G$3)^(AD105-'Data-CostAssumptions'!$G$4),-3)</f>
        <v>252000</v>
      </c>
      <c r="AG105" s="170" t="str">
        <f t="shared" si="28"/>
        <v>Yes</v>
      </c>
      <c r="AH105" s="19">
        <f t="shared" si="29"/>
        <v>0</v>
      </c>
      <c r="AI105" s="19">
        <f t="shared" si="30"/>
        <v>0</v>
      </c>
      <c r="AJ105" s="19">
        <f t="shared" si="31"/>
        <v>307000</v>
      </c>
      <c r="AK105" s="19">
        <f t="shared" si="32"/>
        <v>0</v>
      </c>
      <c r="AL105" s="19">
        <f>IF(AB105&gt;2040,Z105+Z105*'Data-CostAssumptions'!$G$5,0)</f>
        <v>0</v>
      </c>
    </row>
    <row r="106" spans="1:38" ht="15" customHeight="1" x14ac:dyDescent="0.2">
      <c r="A106" s="66"/>
      <c r="B106" s="66" t="s">
        <v>1211</v>
      </c>
      <c r="C106" s="66">
        <v>12280</v>
      </c>
      <c r="D106" s="86" t="s">
        <v>282</v>
      </c>
      <c r="E106" s="14"/>
      <c r="F106" s="14"/>
      <c r="G106" s="20">
        <v>1796</v>
      </c>
      <c r="H106" s="67" t="s">
        <v>1880</v>
      </c>
      <c r="I106" s="67" t="str">
        <f t="shared" si="25"/>
        <v>Johnson St (C-10 Canal to Federal Hwy)</v>
      </c>
      <c r="J106" s="66" t="s">
        <v>300</v>
      </c>
      <c r="K106" s="67" t="str">
        <f>VLOOKUP(J106,'Data-ProjectTypes'!A$3:B$13,2,FALSE)</f>
        <v>Project</v>
      </c>
      <c r="L106" s="87" t="s">
        <v>619</v>
      </c>
      <c r="M106" s="11" t="s">
        <v>654</v>
      </c>
      <c r="N106" s="11" t="s">
        <v>2595</v>
      </c>
      <c r="Q106" s="74">
        <v>1.7</v>
      </c>
      <c r="R106" s="256"/>
      <c r="S106" s="12"/>
      <c r="T106" s="12"/>
      <c r="U106" s="12"/>
      <c r="V106" s="12"/>
      <c r="W106" s="12"/>
      <c r="X106" s="34"/>
      <c r="Y106" s="12"/>
      <c r="Z106" s="18">
        <f>ROUND(R106*'Data-CostAssumptions'!$C$8,-3)</f>
        <v>0</v>
      </c>
      <c r="AA106" s="11">
        <f t="shared" si="26"/>
        <v>0</v>
      </c>
      <c r="AB106" s="11">
        <v>2041</v>
      </c>
      <c r="AC106" s="11">
        <v>2041</v>
      </c>
      <c r="AD106" s="11">
        <f t="shared" si="27"/>
        <v>2041</v>
      </c>
      <c r="AE106" s="19">
        <f>ROUND((Z106*'Data-CostAssumptions'!$G$5)*(1+'Data-CostAssumptions'!$G$3)^(AB106-'Data-CostAssumptions'!$G$4),-3)</f>
        <v>0</v>
      </c>
      <c r="AF106" s="19">
        <f>ROUND((Z106)*(1+'Data-CostAssumptions'!$G$3)^(AD106-'Data-CostAssumptions'!$G$4),-3)</f>
        <v>0</v>
      </c>
      <c r="AG106" s="170" t="str">
        <f t="shared" si="28"/>
        <v>No</v>
      </c>
      <c r="AH106" s="19">
        <f t="shared" si="29"/>
        <v>0</v>
      </c>
      <c r="AI106" s="19">
        <f t="shared" si="30"/>
        <v>0</v>
      </c>
      <c r="AJ106" s="19">
        <f t="shared" si="31"/>
        <v>0</v>
      </c>
      <c r="AK106" s="19">
        <f t="shared" si="32"/>
        <v>0</v>
      </c>
      <c r="AL106" s="19">
        <f>IF(AB106&gt;2040,Z106+Z106*'Data-CostAssumptions'!$G$5,0)</f>
        <v>0</v>
      </c>
    </row>
    <row r="107" spans="1:38" ht="15" customHeight="1" x14ac:dyDescent="0.2">
      <c r="B107" s="11" t="s">
        <v>1211</v>
      </c>
      <c r="C107" s="11">
        <v>12400</v>
      </c>
      <c r="D107" s="84" t="s">
        <v>291</v>
      </c>
      <c r="E107" s="14"/>
      <c r="F107" s="14"/>
      <c r="G107" s="20">
        <v>1812</v>
      </c>
      <c r="H107" s="13" t="s">
        <v>1827</v>
      </c>
      <c r="I107" s="13" t="str">
        <f t="shared" si="25"/>
        <v>Royal Palm Bl (@  Rock Island Rd)</v>
      </c>
      <c r="J107" s="11" t="s">
        <v>300</v>
      </c>
      <c r="K107" s="13" t="str">
        <f>VLOOKUP(J107,'Data-ProjectTypes'!A$3:B$13,2,FALSE)</f>
        <v>Project</v>
      </c>
      <c r="L107" s="11" t="s">
        <v>682</v>
      </c>
      <c r="M107" s="11" t="s">
        <v>2835</v>
      </c>
      <c r="N107" s="11" t="s">
        <v>1768</v>
      </c>
      <c r="Q107" s="15"/>
      <c r="R107" s="234">
        <v>350000</v>
      </c>
      <c r="S107" s="12"/>
      <c r="T107" s="12"/>
      <c r="U107" s="12"/>
      <c r="V107" s="12"/>
      <c r="W107" s="12"/>
      <c r="X107" s="34"/>
      <c r="Y107" s="12"/>
      <c r="Z107" s="18">
        <f>ROUND(R107*'Data-CostAssumptions'!$C$8,-3)</f>
        <v>350000</v>
      </c>
      <c r="AA107" s="11">
        <f t="shared" si="26"/>
        <v>0</v>
      </c>
      <c r="AB107" s="11">
        <v>2019</v>
      </c>
      <c r="AC107" s="11">
        <v>2019</v>
      </c>
      <c r="AD107" s="11">
        <f t="shared" si="27"/>
        <v>2019</v>
      </c>
      <c r="AE107" s="19">
        <f>ROUND((Z107*'Data-CostAssumptions'!$G$5)*(1+'Data-CostAssumptions'!$G$3)^(AB107-'Data-CostAssumptions'!$G$4),-3)</f>
        <v>97000</v>
      </c>
      <c r="AF107" s="19">
        <f>ROUND((Z107)*(1+'Data-CostAssumptions'!$G$3)^(AD107-'Data-CostAssumptions'!$G$4),-3)</f>
        <v>439000</v>
      </c>
      <c r="AG107" s="170" t="str">
        <f t="shared" si="28"/>
        <v>Yes</v>
      </c>
      <c r="AH107" s="19">
        <f t="shared" si="29"/>
        <v>536000</v>
      </c>
      <c r="AI107" s="19">
        <f t="shared" si="30"/>
        <v>0</v>
      </c>
      <c r="AJ107" s="19">
        <f t="shared" si="31"/>
        <v>0</v>
      </c>
      <c r="AK107" s="19">
        <f t="shared" si="32"/>
        <v>0</v>
      </c>
      <c r="AL107" s="19">
        <f>IF(AB107&gt;2040,Z107+Z107*'Data-CostAssumptions'!$G$5,0)</f>
        <v>0</v>
      </c>
    </row>
    <row r="108" spans="1:38" ht="15" customHeight="1" x14ac:dyDescent="0.2">
      <c r="B108" s="11" t="s">
        <v>1211</v>
      </c>
      <c r="C108" s="11">
        <v>12450</v>
      </c>
      <c r="D108" s="84" t="s">
        <v>274</v>
      </c>
      <c r="E108" s="14"/>
      <c r="F108" s="14"/>
      <c r="G108" s="20">
        <v>1813</v>
      </c>
      <c r="H108" s="13" t="s">
        <v>2792</v>
      </c>
      <c r="I108" s="13" t="str">
        <f t="shared" si="25"/>
        <v>SR 827/Pembroke Rd (SW 184th Av to US 27)</v>
      </c>
      <c r="J108" s="21" t="s">
        <v>300</v>
      </c>
      <c r="K108" s="13" t="str">
        <f>VLOOKUP(J108,'Data-ProjectTypes'!A$3:B$13,2,FALSE)</f>
        <v>Project</v>
      </c>
      <c r="L108" s="21" t="s">
        <v>307</v>
      </c>
      <c r="M108" s="21" t="s">
        <v>2111</v>
      </c>
      <c r="N108" s="21" t="s">
        <v>30</v>
      </c>
      <c r="Q108" s="150">
        <v>2.5</v>
      </c>
      <c r="R108" s="234">
        <f>5635152.09*Q108</f>
        <v>14087880.225</v>
      </c>
      <c r="S108" s="12"/>
      <c r="T108" s="12"/>
      <c r="U108" s="12"/>
      <c r="V108" s="12"/>
      <c r="W108" s="12"/>
      <c r="X108" s="12"/>
      <c r="Y108" s="12"/>
      <c r="Z108" s="18">
        <f>ROUND(R108*'Data-CostAssumptions'!$C$8,-3)</f>
        <v>14088000</v>
      </c>
      <c r="AA108" s="11">
        <f t="shared" si="26"/>
        <v>0</v>
      </c>
      <c r="AB108" s="11">
        <v>2028</v>
      </c>
      <c r="AC108" s="11">
        <v>2028</v>
      </c>
      <c r="AD108" s="11">
        <f t="shared" si="27"/>
        <v>2028</v>
      </c>
      <c r="AE108" s="19">
        <f>ROUND((Z108*'Data-CostAssumptions'!$G$5)*(1+'Data-CostAssumptions'!$G$3)^(AB108-'Data-CostAssumptions'!$G$4),-3)</f>
        <v>5210000</v>
      </c>
      <c r="AF108" s="19">
        <f>ROUND((Z108)*(1+'Data-CostAssumptions'!$G$3)^(AD108-'Data-CostAssumptions'!$G$4),-3)</f>
        <v>23684000</v>
      </c>
      <c r="AG108" s="170" t="str">
        <f t="shared" si="28"/>
        <v>Yes</v>
      </c>
      <c r="AH108" s="19">
        <f t="shared" si="29"/>
        <v>0</v>
      </c>
      <c r="AI108" s="19">
        <f t="shared" si="30"/>
        <v>0</v>
      </c>
      <c r="AJ108" s="19">
        <f t="shared" si="31"/>
        <v>28894000</v>
      </c>
      <c r="AK108" s="19">
        <f t="shared" si="32"/>
        <v>0</v>
      </c>
      <c r="AL108" s="19">
        <f>IF(AB108&gt;2040,Z108+Z108*'Data-CostAssumptions'!$G$5,0)</f>
        <v>0</v>
      </c>
    </row>
    <row r="109" spans="1:38" ht="15" customHeight="1" x14ac:dyDescent="0.2">
      <c r="B109" s="11" t="s">
        <v>1211</v>
      </c>
      <c r="C109" s="11">
        <v>12506</v>
      </c>
      <c r="D109" s="84" t="s">
        <v>287</v>
      </c>
      <c r="E109" s="14"/>
      <c r="F109" s="14"/>
      <c r="G109" s="20">
        <v>1819</v>
      </c>
      <c r="H109" s="13" t="s">
        <v>725</v>
      </c>
      <c r="I109" s="13" t="str">
        <f t="shared" si="25"/>
        <v>Bridge Improvement ( to )</v>
      </c>
      <c r="J109" s="11" t="s">
        <v>300</v>
      </c>
      <c r="K109" s="13" t="str">
        <f>VLOOKUP(J109,'Data-ProjectTypes'!A$3:B$13,2,FALSE)</f>
        <v>Project</v>
      </c>
      <c r="L109" s="85" t="s">
        <v>2704</v>
      </c>
      <c r="Q109" s="15"/>
      <c r="R109" s="19">
        <v>2200000</v>
      </c>
      <c r="S109" s="12"/>
      <c r="T109" s="12"/>
      <c r="U109" s="12"/>
      <c r="V109" s="12"/>
      <c r="W109" s="12"/>
      <c r="X109" s="12"/>
      <c r="Y109" s="12"/>
      <c r="Z109" s="18">
        <f>ROUND(R109*'Data-CostAssumptions'!$C$8,-3)</f>
        <v>2200000</v>
      </c>
      <c r="AA109" s="11">
        <f t="shared" si="26"/>
        <v>0</v>
      </c>
      <c r="AB109" s="11">
        <v>2028</v>
      </c>
      <c r="AC109" s="11">
        <v>2028</v>
      </c>
      <c r="AD109" s="11">
        <f t="shared" si="27"/>
        <v>2028</v>
      </c>
      <c r="AE109" s="19">
        <f>ROUND((Z109*'Data-CostAssumptions'!$G$5)*(1+'Data-CostAssumptions'!$G$3)^(AB109-'Data-CostAssumptions'!$G$4),-3)</f>
        <v>814000</v>
      </c>
      <c r="AF109" s="19">
        <f>ROUND((Z109)*(1+'Data-CostAssumptions'!$G$3)^(AD109-'Data-CostAssumptions'!$G$4),-3)</f>
        <v>3699000</v>
      </c>
      <c r="AG109" s="170" t="str">
        <f t="shared" si="28"/>
        <v>Yes</v>
      </c>
      <c r="AH109" s="19">
        <f t="shared" si="29"/>
        <v>0</v>
      </c>
      <c r="AI109" s="19">
        <f t="shared" si="30"/>
        <v>0</v>
      </c>
      <c r="AJ109" s="19">
        <f t="shared" si="31"/>
        <v>4513000</v>
      </c>
      <c r="AK109" s="19">
        <f t="shared" si="32"/>
        <v>0</v>
      </c>
      <c r="AL109" s="19">
        <f>IF(AB109&gt;2040,Z109+Z109*'Data-CostAssumptions'!$G$5,0)</f>
        <v>0</v>
      </c>
    </row>
    <row r="110" spans="1:38" ht="15" customHeight="1" x14ac:dyDescent="0.2">
      <c r="B110" s="11" t="s">
        <v>1211</v>
      </c>
      <c r="C110" s="11">
        <v>12503</v>
      </c>
      <c r="D110" s="84" t="s">
        <v>287</v>
      </c>
      <c r="E110" s="14"/>
      <c r="F110" s="14"/>
      <c r="G110" s="20">
        <v>1818</v>
      </c>
      <c r="H110" s="13" t="s">
        <v>2036</v>
      </c>
      <c r="I110" s="13" t="str">
        <f t="shared" si="25"/>
        <v>NE 6th Av (Commercial Bl. to Prospect Rd)</v>
      </c>
      <c r="J110" s="11" t="s">
        <v>300</v>
      </c>
      <c r="K110" s="13" t="str">
        <f>VLOOKUP(J110,'Data-ProjectTypes'!A$3:B$13,2,FALSE)</f>
        <v>Project</v>
      </c>
      <c r="L110" s="85" t="s">
        <v>721</v>
      </c>
      <c r="M110" s="11" t="s">
        <v>2316</v>
      </c>
      <c r="N110" s="11" t="s">
        <v>1859</v>
      </c>
      <c r="Q110" s="15">
        <v>0.5</v>
      </c>
      <c r="R110" s="19">
        <v>1100000</v>
      </c>
      <c r="S110" s="12"/>
      <c r="T110" s="12"/>
      <c r="U110" s="12"/>
      <c r="V110" s="12"/>
      <c r="W110" s="12"/>
      <c r="X110" s="12"/>
      <c r="Y110" s="12"/>
      <c r="Z110" s="18">
        <f>ROUND(R110*'Data-CostAssumptions'!$C$8,-3)</f>
        <v>1100000</v>
      </c>
      <c r="AA110" s="11">
        <f t="shared" si="26"/>
        <v>0</v>
      </c>
      <c r="AB110" s="11">
        <v>2023</v>
      </c>
      <c r="AC110" s="11">
        <v>2023</v>
      </c>
      <c r="AD110" s="11">
        <f t="shared" si="27"/>
        <v>2023</v>
      </c>
      <c r="AE110" s="19">
        <f>ROUND((Z110*'Data-CostAssumptions'!$G$5)*(1+'Data-CostAssumptions'!$G$3)^(AB110-'Data-CostAssumptions'!$G$4),-3)</f>
        <v>346000</v>
      </c>
      <c r="AF110" s="19">
        <f>ROUND((Z110)*(1+'Data-CostAssumptions'!$G$3)^(AD110-'Data-CostAssumptions'!$G$4),-3)</f>
        <v>1572000</v>
      </c>
      <c r="AG110" s="170" t="str">
        <f t="shared" si="28"/>
        <v>Yes</v>
      </c>
      <c r="AH110" s="19">
        <f t="shared" si="29"/>
        <v>0</v>
      </c>
      <c r="AI110" s="19">
        <f t="shared" si="30"/>
        <v>1918000</v>
      </c>
      <c r="AJ110" s="19">
        <f t="shared" si="31"/>
        <v>0</v>
      </c>
      <c r="AK110" s="19">
        <f t="shared" si="32"/>
        <v>0</v>
      </c>
      <c r="AL110" s="19">
        <f>IF(AB110&gt;2040,Z110+Z110*'Data-CostAssumptions'!$G$5,0)</f>
        <v>0</v>
      </c>
    </row>
    <row r="111" spans="1:38" ht="15" customHeight="1" x14ac:dyDescent="0.2">
      <c r="B111" s="11" t="s">
        <v>1211</v>
      </c>
      <c r="C111" s="11">
        <v>12552</v>
      </c>
      <c r="D111" s="84" t="s">
        <v>296</v>
      </c>
      <c r="E111" s="14"/>
      <c r="F111" s="14"/>
      <c r="G111" s="20">
        <v>1823</v>
      </c>
      <c r="H111" s="13" t="s">
        <v>1851</v>
      </c>
      <c r="I111" s="13" t="str">
        <f t="shared" si="25"/>
        <v>Loxahatchee Rd (Parkside Dr to State Rd 7)</v>
      </c>
      <c r="J111" s="11" t="s">
        <v>300</v>
      </c>
      <c r="K111" s="13" t="str">
        <f>VLOOKUP(J111,'Data-ProjectTypes'!A$3:B$13,2,FALSE)</f>
        <v>Project</v>
      </c>
      <c r="L111" s="269" t="s">
        <v>758</v>
      </c>
      <c r="M111" s="11" t="s">
        <v>1797</v>
      </c>
      <c r="N111" s="11" t="s">
        <v>1772</v>
      </c>
      <c r="Q111" s="15">
        <v>1.3</v>
      </c>
      <c r="R111" s="19">
        <v>3244052.4499999997</v>
      </c>
      <c r="S111" s="12"/>
      <c r="T111" s="12"/>
      <c r="U111" s="12"/>
      <c r="V111" s="12"/>
      <c r="W111" s="12"/>
      <c r="X111" s="12"/>
      <c r="Y111" s="12"/>
      <c r="Z111" s="18">
        <f>ROUND(R111*'Data-CostAssumptions'!$C$8,-3)</f>
        <v>3244000</v>
      </c>
      <c r="AA111" s="11">
        <f t="shared" si="26"/>
        <v>0</v>
      </c>
      <c r="AB111" s="11">
        <v>2041</v>
      </c>
      <c r="AC111" s="11">
        <v>2041</v>
      </c>
      <c r="AD111" s="11">
        <f t="shared" si="27"/>
        <v>2041</v>
      </c>
      <c r="AE111" s="19">
        <f>ROUND((Z111*'Data-CostAssumptions'!$G$5)*(1+'Data-CostAssumptions'!$G$3)^(AB111-'Data-CostAssumptions'!$G$4),-3)</f>
        <v>1830000</v>
      </c>
      <c r="AF111" s="19">
        <f>ROUND((Z111)*(1+'Data-CostAssumptions'!$G$3)^(AD111-'Data-CostAssumptions'!$G$4),-3)</f>
        <v>8317000</v>
      </c>
      <c r="AG111" s="170" t="str">
        <f t="shared" si="28"/>
        <v>No</v>
      </c>
      <c r="AH111" s="19">
        <f t="shared" si="29"/>
        <v>0</v>
      </c>
      <c r="AI111" s="19">
        <f t="shared" si="30"/>
        <v>0</v>
      </c>
      <c r="AJ111" s="19">
        <f t="shared" si="31"/>
        <v>0</v>
      </c>
      <c r="AK111" s="19">
        <f t="shared" si="32"/>
        <v>0</v>
      </c>
      <c r="AL111" s="19">
        <f>IF(AB111&gt;2040,Z111+Z111*'Data-CostAssumptions'!$G$5,0)</f>
        <v>3957680</v>
      </c>
    </row>
    <row r="112" spans="1:38" ht="15" customHeight="1" x14ac:dyDescent="0.2">
      <c r="B112" s="11" t="s">
        <v>1211</v>
      </c>
      <c r="C112" s="11">
        <v>12601</v>
      </c>
      <c r="D112" s="84" t="s">
        <v>271</v>
      </c>
      <c r="E112" s="14"/>
      <c r="F112" s="14"/>
      <c r="G112" s="20">
        <v>1825</v>
      </c>
      <c r="H112" s="13" t="s">
        <v>2113</v>
      </c>
      <c r="I112" s="13" t="str">
        <f t="shared" si="25"/>
        <v>SW 196 Av (Pines Bl to Pembroke Rd)</v>
      </c>
      <c r="J112" s="11" t="s">
        <v>300</v>
      </c>
      <c r="K112" s="13" t="str">
        <f>VLOOKUP(J112,'Data-ProjectTypes'!A$3:B$13,2,FALSE)</f>
        <v>Project</v>
      </c>
      <c r="L112" s="269" t="s">
        <v>762</v>
      </c>
      <c r="M112" s="11" t="s">
        <v>1826</v>
      </c>
      <c r="N112" s="11" t="s">
        <v>1760</v>
      </c>
      <c r="Q112" s="15">
        <v>0.9</v>
      </c>
      <c r="R112" s="19">
        <v>2200000</v>
      </c>
      <c r="S112" s="12"/>
      <c r="T112" s="12"/>
      <c r="U112" s="12"/>
      <c r="V112" s="12"/>
      <c r="W112" s="12"/>
      <c r="X112" s="12"/>
      <c r="Y112" s="12"/>
      <c r="Z112" s="18">
        <f>ROUND(R112*'Data-CostAssumptions'!$C$8,-3)</f>
        <v>2200000</v>
      </c>
      <c r="AA112" s="11">
        <f t="shared" si="26"/>
        <v>0</v>
      </c>
      <c r="AB112" s="11">
        <v>2041</v>
      </c>
      <c r="AC112" s="11">
        <v>2041</v>
      </c>
      <c r="AD112" s="11">
        <f t="shared" si="27"/>
        <v>2041</v>
      </c>
      <c r="AE112" s="19">
        <f>ROUND((Z112*'Data-CostAssumptions'!$G$5)*(1+'Data-CostAssumptions'!$G$3)^(AB112-'Data-CostAssumptions'!$G$4),-3)</f>
        <v>1241000</v>
      </c>
      <c r="AF112" s="19">
        <f>ROUND((Z112)*(1+'Data-CostAssumptions'!$G$3)^(AD112-'Data-CostAssumptions'!$G$4),-3)</f>
        <v>5641000</v>
      </c>
      <c r="AG112" s="170" t="str">
        <f t="shared" si="28"/>
        <v>No</v>
      </c>
      <c r="AH112" s="19">
        <f t="shared" si="29"/>
        <v>0</v>
      </c>
      <c r="AI112" s="19">
        <f t="shared" si="30"/>
        <v>0</v>
      </c>
      <c r="AJ112" s="19">
        <f t="shared" si="31"/>
        <v>0</v>
      </c>
      <c r="AK112" s="19">
        <f t="shared" si="32"/>
        <v>0</v>
      </c>
      <c r="AL112" s="19">
        <f>IF(AB112&gt;2040,Z112+Z112*'Data-CostAssumptions'!$G$5,0)</f>
        <v>2684000</v>
      </c>
    </row>
    <row r="113" spans="2:38" ht="15" customHeight="1" x14ac:dyDescent="0.2">
      <c r="B113" s="11" t="s">
        <v>1211</v>
      </c>
      <c r="C113" s="11">
        <v>12600</v>
      </c>
      <c r="D113" s="84" t="s">
        <v>271</v>
      </c>
      <c r="E113" s="14"/>
      <c r="F113" s="14"/>
      <c r="G113" s="20">
        <v>1824</v>
      </c>
      <c r="H113" s="13" t="s">
        <v>2792</v>
      </c>
      <c r="I113" s="13" t="str">
        <f t="shared" si="25"/>
        <v>SR 827/Pembroke Rd (SW 196 Av to SW 184 Av)</v>
      </c>
      <c r="J113" s="11" t="s">
        <v>300</v>
      </c>
      <c r="K113" s="13" t="str">
        <f>VLOOKUP(J113,'Data-ProjectTypes'!A$3:B$13,2,FALSE)</f>
        <v>Project</v>
      </c>
      <c r="L113" s="11" t="s">
        <v>762</v>
      </c>
      <c r="M113" s="11" t="s">
        <v>2113</v>
      </c>
      <c r="N113" s="11" t="s">
        <v>2251</v>
      </c>
      <c r="Q113" s="15">
        <v>0.9</v>
      </c>
      <c r="R113" s="19">
        <v>1500000</v>
      </c>
      <c r="S113" s="12"/>
      <c r="T113" s="12"/>
      <c r="U113" s="12"/>
      <c r="V113" s="12"/>
      <c r="W113" s="12"/>
      <c r="X113" s="12"/>
      <c r="Y113" s="12"/>
      <c r="Z113" s="18">
        <f>ROUND(R113*'Data-CostAssumptions'!$C$8,-3)</f>
        <v>1500000</v>
      </c>
      <c r="AA113" s="11">
        <f t="shared" si="26"/>
        <v>0</v>
      </c>
      <c r="AB113" s="11">
        <v>2028</v>
      </c>
      <c r="AC113" s="11">
        <v>2028</v>
      </c>
      <c r="AD113" s="11">
        <f t="shared" si="27"/>
        <v>2028</v>
      </c>
      <c r="AE113" s="19">
        <f>ROUND((Z113*'Data-CostAssumptions'!$G$5)*(1+'Data-CostAssumptions'!$G$3)^(AB113-'Data-CostAssumptions'!$G$4),-3)</f>
        <v>555000</v>
      </c>
      <c r="AF113" s="19">
        <f>ROUND((Z113)*(1+'Data-CostAssumptions'!$G$3)^(AD113-'Data-CostAssumptions'!$G$4),-3)</f>
        <v>2522000</v>
      </c>
      <c r="AG113" s="170" t="str">
        <f t="shared" si="28"/>
        <v>Yes</v>
      </c>
      <c r="AH113" s="19">
        <f t="shared" si="29"/>
        <v>0</v>
      </c>
      <c r="AI113" s="19">
        <f t="shared" si="30"/>
        <v>0</v>
      </c>
      <c r="AJ113" s="19">
        <f t="shared" si="31"/>
        <v>3077000</v>
      </c>
      <c r="AK113" s="19">
        <f t="shared" si="32"/>
        <v>0</v>
      </c>
      <c r="AL113" s="19">
        <f>IF(AB113&gt;2040,Z113+Z113*'Data-CostAssumptions'!$G$5,0)</f>
        <v>0</v>
      </c>
    </row>
    <row r="114" spans="2:38" ht="15" customHeight="1" x14ac:dyDescent="0.2">
      <c r="B114" s="11" t="s">
        <v>1211</v>
      </c>
      <c r="C114" s="11">
        <v>12652</v>
      </c>
      <c r="D114" s="84" t="s">
        <v>294</v>
      </c>
      <c r="E114" s="14"/>
      <c r="F114" s="14"/>
      <c r="G114" s="20">
        <v>1838</v>
      </c>
      <c r="H114" s="13" t="s">
        <v>2185</v>
      </c>
      <c r="I114" s="13" t="str">
        <f t="shared" si="25"/>
        <v>SW 188th Av (Sheridan St to SW 63 St)</v>
      </c>
      <c r="J114" s="11" t="s">
        <v>300</v>
      </c>
      <c r="K114" s="13" t="str">
        <f>VLOOKUP(J114,'Data-ProjectTypes'!A$3:B$13,2,FALSE)</f>
        <v>Project</v>
      </c>
      <c r="L114" s="11" t="s">
        <v>800</v>
      </c>
      <c r="M114" s="11" t="s">
        <v>1951</v>
      </c>
      <c r="N114" s="11" t="s">
        <v>2572</v>
      </c>
      <c r="Q114" s="15">
        <v>0.8</v>
      </c>
      <c r="R114" s="234">
        <f>ROUND(Q114*'Data-CostAssumptions'!$C$36,-1)</f>
        <v>4714480</v>
      </c>
      <c r="S114" s="12"/>
      <c r="T114" s="12"/>
      <c r="U114" s="12"/>
      <c r="V114" s="12"/>
      <c r="W114" s="12"/>
      <c r="X114" s="12"/>
      <c r="Y114" s="12"/>
      <c r="Z114" s="18">
        <f>ROUND(R114*'Data-CostAssumptions'!$C$8,-3)</f>
        <v>4714000</v>
      </c>
      <c r="AA114" s="11">
        <f t="shared" si="26"/>
        <v>0</v>
      </c>
      <c r="AB114" s="11">
        <v>2028</v>
      </c>
      <c r="AC114" s="11">
        <v>2028</v>
      </c>
      <c r="AD114" s="11">
        <f t="shared" si="27"/>
        <v>2028</v>
      </c>
      <c r="AE114" s="19">
        <f>ROUND((Z114*'Data-CostAssumptions'!$G$5)*(1+'Data-CostAssumptions'!$G$3)^(AB114-'Data-CostAssumptions'!$G$4),-3)</f>
        <v>1743000</v>
      </c>
      <c r="AF114" s="19">
        <f>ROUND((Z114)*(1+'Data-CostAssumptions'!$G$3)^(AD114-'Data-CostAssumptions'!$G$4),-3)</f>
        <v>7925000</v>
      </c>
      <c r="AG114" s="170" t="str">
        <f t="shared" si="28"/>
        <v>Yes</v>
      </c>
      <c r="AH114" s="19">
        <f t="shared" si="29"/>
        <v>0</v>
      </c>
      <c r="AI114" s="19">
        <f t="shared" si="30"/>
        <v>0</v>
      </c>
      <c r="AJ114" s="19">
        <f t="shared" si="31"/>
        <v>9668000</v>
      </c>
      <c r="AK114" s="19">
        <f t="shared" si="32"/>
        <v>0</v>
      </c>
      <c r="AL114" s="19">
        <f>IF(AB114&gt;2040,Z114+Z114*'Data-CostAssumptions'!$G$5,0)</f>
        <v>0</v>
      </c>
    </row>
    <row r="115" spans="2:38" ht="15" customHeight="1" x14ac:dyDescent="0.2">
      <c r="B115" s="11" t="s">
        <v>1211</v>
      </c>
      <c r="C115" s="11">
        <v>12651</v>
      </c>
      <c r="D115" s="84" t="s">
        <v>294</v>
      </c>
      <c r="E115" s="14"/>
      <c r="F115" s="14"/>
      <c r="G115" s="20">
        <v>1837</v>
      </c>
      <c r="H115" s="13" t="s">
        <v>799</v>
      </c>
      <c r="I115" s="13" t="str">
        <f t="shared" si="25"/>
        <v>SW 210 Terrace (Stirling Rd to SW 54 St)</v>
      </c>
      <c r="J115" s="11" t="s">
        <v>300</v>
      </c>
      <c r="K115" s="13" t="str">
        <f>VLOOKUP(J115,'Data-ProjectTypes'!A$3:B$13,2,FALSE)</f>
        <v>Project</v>
      </c>
      <c r="L115" s="269" t="s">
        <v>800</v>
      </c>
      <c r="M115" s="11" t="s">
        <v>177</v>
      </c>
      <c r="N115" s="11" t="s">
        <v>2574</v>
      </c>
      <c r="Q115" s="15">
        <v>0.5</v>
      </c>
      <c r="R115" s="234">
        <f>ROUND(Q115*'Data-CostAssumptions'!$C$36,-1)</f>
        <v>2946550</v>
      </c>
      <c r="S115" s="12"/>
      <c r="T115" s="12"/>
      <c r="U115" s="12"/>
      <c r="V115" s="12"/>
      <c r="W115" s="12"/>
      <c r="X115" s="12"/>
      <c r="Y115" s="12"/>
      <c r="Z115" s="18">
        <f>ROUND(R115*'Data-CostAssumptions'!$C$8,-3)</f>
        <v>2947000</v>
      </c>
      <c r="AA115" s="11">
        <f t="shared" si="26"/>
        <v>0</v>
      </c>
      <c r="AB115" s="11">
        <v>2041</v>
      </c>
      <c r="AC115" s="11">
        <v>2041</v>
      </c>
      <c r="AD115" s="11">
        <f t="shared" si="27"/>
        <v>2041</v>
      </c>
      <c r="AE115" s="19">
        <f>ROUND((Z115*'Data-CostAssumptions'!$G$5)*(1+'Data-CostAssumptions'!$G$3)^(AB115-'Data-CostAssumptions'!$G$4),-3)</f>
        <v>1662000</v>
      </c>
      <c r="AF115" s="19">
        <f>ROUND((Z115)*(1+'Data-CostAssumptions'!$G$3)^(AD115-'Data-CostAssumptions'!$G$4),-3)</f>
        <v>7556000</v>
      </c>
      <c r="AG115" s="170" t="str">
        <f t="shared" si="28"/>
        <v>No</v>
      </c>
      <c r="AH115" s="19">
        <f t="shared" si="29"/>
        <v>0</v>
      </c>
      <c r="AI115" s="19">
        <f t="shared" si="30"/>
        <v>0</v>
      </c>
      <c r="AJ115" s="19">
        <f t="shared" si="31"/>
        <v>0</v>
      </c>
      <c r="AK115" s="19">
        <f t="shared" si="32"/>
        <v>0</v>
      </c>
      <c r="AL115" s="19">
        <f>IF(AB115&gt;2040,Z115+Z115*'Data-CostAssumptions'!$G$5,0)</f>
        <v>3595340</v>
      </c>
    </row>
    <row r="116" spans="2:38" ht="15" customHeight="1" x14ac:dyDescent="0.2">
      <c r="B116" s="11" t="s">
        <v>1211</v>
      </c>
      <c r="C116" s="11">
        <v>12650</v>
      </c>
      <c r="D116" s="84" t="s">
        <v>294</v>
      </c>
      <c r="E116" s="14"/>
      <c r="F116" s="14"/>
      <c r="G116" s="20">
        <v>1836</v>
      </c>
      <c r="H116" s="13" t="s">
        <v>1869</v>
      </c>
      <c r="I116" s="13" t="str">
        <f t="shared" si="25"/>
        <v>Weston Rd Bridge (Weston Rd and Griffin Rd Intersection to Bridge)</v>
      </c>
      <c r="J116" s="11" t="s">
        <v>300</v>
      </c>
      <c r="K116" s="13" t="str">
        <f>VLOOKUP(J116,'Data-ProjectTypes'!A$3:B$13,2,FALSE)</f>
        <v>Project</v>
      </c>
      <c r="L116" s="11" t="s">
        <v>798</v>
      </c>
      <c r="M116" s="11" t="s">
        <v>2471</v>
      </c>
      <c r="N116" s="11" t="s">
        <v>801</v>
      </c>
      <c r="Q116" s="15">
        <v>0.02</v>
      </c>
      <c r="R116" s="234">
        <f>'Data-CostAssumptions'!C35*(Q116*2*5280*36)</f>
        <v>1292544.0000000002</v>
      </c>
      <c r="S116" s="12"/>
      <c r="T116" s="12"/>
      <c r="U116" s="12"/>
      <c r="V116" s="12"/>
      <c r="W116" s="12"/>
      <c r="X116" s="12"/>
      <c r="Y116" s="12"/>
      <c r="Z116" s="18">
        <f>ROUND(R116*'Data-CostAssumptions'!$C$8,-3)</f>
        <v>1293000</v>
      </c>
      <c r="AA116" s="11">
        <f t="shared" si="26"/>
        <v>0</v>
      </c>
      <c r="AB116" s="11">
        <v>2041</v>
      </c>
      <c r="AC116" s="11">
        <v>2041</v>
      </c>
      <c r="AD116" s="11">
        <f t="shared" si="27"/>
        <v>2041</v>
      </c>
      <c r="AE116" s="19">
        <f>ROUND((Z116*'Data-CostAssumptions'!$G$5)*(1+'Data-CostAssumptions'!$G$3)^(AB116-'Data-CostAssumptions'!$G$4),-3)</f>
        <v>729000</v>
      </c>
      <c r="AF116" s="19">
        <f>ROUND((Z116)*(1+'Data-CostAssumptions'!$G$3)^(AD116-'Data-CostAssumptions'!$G$4),-3)</f>
        <v>3315000</v>
      </c>
      <c r="AG116" s="170" t="str">
        <f t="shared" si="28"/>
        <v>No</v>
      </c>
      <c r="AH116" s="19">
        <f t="shared" si="29"/>
        <v>0</v>
      </c>
      <c r="AI116" s="19">
        <f t="shared" si="30"/>
        <v>0</v>
      </c>
      <c r="AJ116" s="19">
        <f t="shared" si="31"/>
        <v>0</v>
      </c>
      <c r="AK116" s="19">
        <f t="shared" si="32"/>
        <v>0</v>
      </c>
      <c r="AL116" s="19">
        <f>IF(AB116&gt;2040,Z116+Z116*'Data-CostAssumptions'!$G$5,0)</f>
        <v>1577460</v>
      </c>
    </row>
    <row r="117" spans="2:38" ht="15" customHeight="1" x14ac:dyDescent="0.2">
      <c r="B117" s="11" t="s">
        <v>1211</v>
      </c>
      <c r="C117" s="11">
        <v>12712</v>
      </c>
      <c r="D117" s="84" t="s">
        <v>278</v>
      </c>
      <c r="E117" s="14"/>
      <c r="F117" s="14"/>
      <c r="G117" s="20">
        <v>1850</v>
      </c>
      <c r="H117" s="13" t="s">
        <v>2052</v>
      </c>
      <c r="I117" s="13" t="str">
        <f t="shared" si="25"/>
        <v>NW 136th Av (NW 2nd St to I-595)</v>
      </c>
      <c r="J117" s="152" t="s">
        <v>300</v>
      </c>
      <c r="K117" s="13" t="str">
        <f>VLOOKUP(J117,'Data-ProjectTypes'!A$3:B$13,2,FALSE)</f>
        <v>Project</v>
      </c>
      <c r="L117" s="152" t="s">
        <v>1178</v>
      </c>
      <c r="M117" s="21" t="s">
        <v>1912</v>
      </c>
      <c r="N117" s="21" t="s">
        <v>34</v>
      </c>
      <c r="Q117" s="150">
        <v>0.3</v>
      </c>
      <c r="R117" s="257">
        <v>5000000</v>
      </c>
      <c r="S117" s="12"/>
      <c r="T117" s="12"/>
      <c r="U117" s="12"/>
      <c r="V117" s="12"/>
      <c r="W117" s="12"/>
      <c r="X117" s="12"/>
      <c r="Y117" s="12"/>
      <c r="Z117" s="18">
        <f>ROUND(R117*'Data-CostAssumptions'!$C$8,-3)</f>
        <v>5000000</v>
      </c>
      <c r="AA117" s="11">
        <f t="shared" si="26"/>
        <v>0</v>
      </c>
      <c r="AB117" s="11">
        <v>2028</v>
      </c>
      <c r="AC117" s="11">
        <v>2028</v>
      </c>
      <c r="AD117" s="11">
        <f t="shared" si="27"/>
        <v>2028</v>
      </c>
      <c r="AE117" s="19">
        <f>ROUND((Z117*'Data-CostAssumptions'!$G$5)*(1+'Data-CostAssumptions'!$G$3)^(AB117-'Data-CostAssumptions'!$G$4),-3)</f>
        <v>1849000</v>
      </c>
      <c r="AF117" s="19">
        <f>ROUND((Z117)*(1+'Data-CostAssumptions'!$G$3)^(AD117-'Data-CostAssumptions'!$G$4),-3)</f>
        <v>8406000</v>
      </c>
      <c r="AG117" s="170" t="str">
        <f t="shared" si="28"/>
        <v>Yes</v>
      </c>
      <c r="AH117" s="19">
        <f t="shared" si="29"/>
        <v>0</v>
      </c>
      <c r="AI117" s="19">
        <f t="shared" si="30"/>
        <v>0</v>
      </c>
      <c r="AJ117" s="19">
        <f t="shared" si="31"/>
        <v>10255000</v>
      </c>
      <c r="AK117" s="19">
        <f t="shared" si="32"/>
        <v>0</v>
      </c>
      <c r="AL117" s="19">
        <f>IF(AB117&gt;2040,Z117+Z117*'Data-CostAssumptions'!$G$5,0)</f>
        <v>0</v>
      </c>
    </row>
    <row r="118" spans="2:38" ht="15" customHeight="1" x14ac:dyDescent="0.2">
      <c r="B118" s="11" t="s">
        <v>1211</v>
      </c>
      <c r="C118" s="11">
        <v>12713</v>
      </c>
      <c r="D118" s="84" t="s">
        <v>278</v>
      </c>
      <c r="E118" s="14"/>
      <c r="F118" s="14"/>
      <c r="G118" s="20">
        <v>1851</v>
      </c>
      <c r="H118" s="13" t="s">
        <v>2728</v>
      </c>
      <c r="I118" s="13" t="str">
        <f t="shared" si="25"/>
        <v>SR 838/Sunrise Bl (Sawgrass Corporate Parkway to Sawgrass Expressway)</v>
      </c>
      <c r="J118" s="152" t="s">
        <v>300</v>
      </c>
      <c r="K118" s="13" t="str">
        <f>VLOOKUP(J118,'Data-ProjectTypes'!A$3:B$13,2,FALSE)</f>
        <v>Project</v>
      </c>
      <c r="L118" s="271" t="s">
        <v>1178</v>
      </c>
      <c r="M118" s="21" t="s">
        <v>821</v>
      </c>
      <c r="N118" s="21" t="s">
        <v>72</v>
      </c>
      <c r="Q118" s="150">
        <v>0.2</v>
      </c>
      <c r="R118" s="257">
        <v>5000000</v>
      </c>
      <c r="S118" s="12"/>
      <c r="T118" s="12"/>
      <c r="U118" s="12"/>
      <c r="V118" s="12"/>
      <c r="W118" s="12"/>
      <c r="X118" s="12"/>
      <c r="Y118" s="12"/>
      <c r="Z118" s="18">
        <f>ROUND(R118*'Data-CostAssumptions'!$C$8,-3)</f>
        <v>5000000</v>
      </c>
      <c r="AA118" s="11">
        <f t="shared" si="26"/>
        <v>0</v>
      </c>
      <c r="AB118" s="11">
        <v>2041</v>
      </c>
      <c r="AC118" s="11">
        <v>2041</v>
      </c>
      <c r="AD118" s="11">
        <f t="shared" si="27"/>
        <v>2041</v>
      </c>
      <c r="AE118" s="19">
        <f>ROUND((Z118*'Data-CostAssumptions'!$G$5)*(1+'Data-CostAssumptions'!$G$3)^(AB118-'Data-CostAssumptions'!$G$4),-3)</f>
        <v>2820000</v>
      </c>
      <c r="AF118" s="19">
        <f>ROUND((Z118)*(1+'Data-CostAssumptions'!$G$3)^(AD118-'Data-CostAssumptions'!$G$4),-3)</f>
        <v>12820000</v>
      </c>
      <c r="AG118" s="170" t="str">
        <f t="shared" si="28"/>
        <v>No</v>
      </c>
      <c r="AH118" s="19">
        <f t="shared" si="29"/>
        <v>0</v>
      </c>
      <c r="AI118" s="19">
        <f t="shared" si="30"/>
        <v>0</v>
      </c>
      <c r="AJ118" s="19">
        <f t="shared" si="31"/>
        <v>0</v>
      </c>
      <c r="AK118" s="19">
        <f t="shared" si="32"/>
        <v>0</v>
      </c>
      <c r="AL118" s="19">
        <f>IF(AB118&gt;2040,Z118+Z118*'Data-CostAssumptions'!$G$5,0)</f>
        <v>6100000</v>
      </c>
    </row>
    <row r="119" spans="2:38" ht="15" customHeight="1" x14ac:dyDescent="0.2">
      <c r="B119" s="11" t="s">
        <v>1211</v>
      </c>
      <c r="C119" s="11">
        <v>12751</v>
      </c>
      <c r="D119" s="84" t="s">
        <v>1212</v>
      </c>
      <c r="E119" s="14"/>
      <c r="F119" s="14"/>
      <c r="G119" s="20">
        <v>1862</v>
      </c>
      <c r="H119" s="13" t="s">
        <v>2014</v>
      </c>
      <c r="I119" s="13" t="str">
        <f t="shared" si="25"/>
        <v>Andrews Av (South City limits on Andrews Av to Oakland Park Bl)</v>
      </c>
      <c r="J119" s="11" t="s">
        <v>300</v>
      </c>
      <c r="K119" s="13" t="str">
        <f>VLOOKUP(J119,'Data-ProjectTypes'!A$3:B$13,2,FALSE)</f>
        <v>Project</v>
      </c>
      <c r="L119" s="269" t="s">
        <v>852</v>
      </c>
      <c r="M119" s="11" t="s">
        <v>2336</v>
      </c>
      <c r="N119" s="11" t="s">
        <v>1825</v>
      </c>
      <c r="Q119" s="15">
        <v>1</v>
      </c>
      <c r="R119" s="19">
        <f>2450000+150000</f>
        <v>2600000</v>
      </c>
      <c r="S119" s="12"/>
      <c r="T119" s="12"/>
      <c r="U119" s="12"/>
      <c r="V119" s="12"/>
      <c r="W119" s="12"/>
      <c r="X119" s="12"/>
      <c r="Y119" s="12"/>
      <c r="Z119" s="18">
        <f>ROUND(R119*'Data-CostAssumptions'!$C$8,-3)</f>
        <v>2600000</v>
      </c>
      <c r="AA119" s="11">
        <f t="shared" si="26"/>
        <v>0</v>
      </c>
      <c r="AB119" s="11">
        <v>2041</v>
      </c>
      <c r="AC119" s="11">
        <v>2041</v>
      </c>
      <c r="AD119" s="11">
        <f t="shared" si="27"/>
        <v>2041</v>
      </c>
      <c r="AE119" s="19">
        <f>ROUND((Z119*'Data-CostAssumptions'!$G$5)*(1+'Data-CostAssumptions'!$G$3)^(AB119-'Data-CostAssumptions'!$G$4),-3)</f>
        <v>1467000</v>
      </c>
      <c r="AF119" s="19">
        <f>ROUND((Z119)*(1+'Data-CostAssumptions'!$G$3)^(AD119-'Data-CostAssumptions'!$G$4),-3)</f>
        <v>6666000</v>
      </c>
      <c r="AG119" s="170" t="str">
        <f t="shared" si="28"/>
        <v>No</v>
      </c>
      <c r="AH119" s="19">
        <f t="shared" si="29"/>
        <v>0</v>
      </c>
      <c r="AI119" s="19">
        <f t="shared" si="30"/>
        <v>0</v>
      </c>
      <c r="AJ119" s="19">
        <f t="shared" si="31"/>
        <v>0</v>
      </c>
      <c r="AK119" s="19">
        <f t="shared" si="32"/>
        <v>0</v>
      </c>
      <c r="AL119" s="19">
        <f>IF(AB119&gt;2040,Z119+Z119*'Data-CostAssumptions'!$G$5,0)</f>
        <v>3172000</v>
      </c>
    </row>
    <row r="120" spans="2:38" ht="15" customHeight="1" x14ac:dyDescent="0.2">
      <c r="AH120" s="19">
        <f>SUM(AH2:AH119)</f>
        <v>42927000</v>
      </c>
      <c r="AI120" s="19">
        <f>SUM(AI2:AI119)</f>
        <v>34322000</v>
      </c>
      <c r="AJ120" s="19">
        <f>SUM(AJ2:AJ119)</f>
        <v>85495000</v>
      </c>
      <c r="AK120" s="19">
        <f>SUM(AK2:AK119)</f>
        <v>321355000</v>
      </c>
      <c r="AL120" s="19">
        <f>SUM(AL2:AL119)</f>
        <v>1311758640</v>
      </c>
    </row>
  </sheetData>
  <sortState ref="A2:AL120">
    <sortCondition ref="D2:D120"/>
  </sortState>
  <conditionalFormatting sqref="H2:I119">
    <cfRule type="expression" dxfId="90" priority="11">
      <formula>B2="KILL"</formula>
    </cfRule>
  </conditionalFormatting>
  <conditionalFormatting sqref="N51 N20:N21">
    <cfRule type="expression" dxfId="89" priority="10">
      <formula>I20="KILL"</formula>
    </cfRule>
  </conditionalFormatting>
  <conditionalFormatting sqref="M20:M21 M23:M24 M98">
    <cfRule type="expression" dxfId="88" priority="8">
      <formula>I20="KILL"</formula>
    </cfRule>
  </conditionalFormatting>
  <conditionalFormatting sqref="AB2:AD119">
    <cfRule type="cellIs" dxfId="87" priority="2" operator="lessThan">
      <formula>2041</formula>
    </cfRule>
  </conditionalFormatting>
  <conditionalFormatting sqref="AG2:AG119">
    <cfRule type="cellIs" dxfId="86" priority="1" operator="equal">
      <formula>"Yes"</formula>
    </cfRule>
  </conditionalFormatting>
  <printOptions gridLines="1"/>
  <pageMargins left="0.25" right="0.25" top="0.75" bottom="0.75" header="0.3" footer="0.3"/>
  <pageSetup scale="7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DDC"/>
    <pageSetUpPr fitToPage="1"/>
  </sheetPr>
  <dimension ref="A1:AL13"/>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1" bestFit="1" customWidth="1"/>
    <col min="2" max="2" width="5.28515625" style="11" hidden="1" customWidth="1"/>
    <col min="3" max="3" width="7" style="11" customWidth="1"/>
    <col min="4" max="4" width="18" style="11" bestFit="1" customWidth="1"/>
    <col min="5" max="5" width="9.5703125" style="11" bestFit="1" customWidth="1"/>
    <col min="6" max="6" width="8.140625" style="11" bestFit="1" customWidth="1"/>
    <col min="7" max="7" width="8" style="11" bestFit="1" customWidth="1"/>
    <col min="8" max="8" width="28.7109375" style="11" bestFit="1" customWidth="1"/>
    <col min="9" max="9" width="53" style="11" bestFit="1" customWidth="1"/>
    <col min="10" max="10" width="7.140625" style="11" bestFit="1" customWidth="1"/>
    <col min="11" max="11" width="14" style="11" bestFit="1" customWidth="1"/>
    <col min="12" max="12" width="162.28515625" style="11" bestFit="1" customWidth="1"/>
    <col min="13" max="13" width="10.85546875" style="11" bestFit="1" customWidth="1"/>
    <col min="14" max="14" width="11.140625" style="11" bestFit="1" customWidth="1"/>
    <col min="15" max="16" width="15.28515625" style="11" bestFit="1" customWidth="1"/>
    <col min="17" max="17" width="12.28515625" style="11" bestFit="1" customWidth="1"/>
    <col min="18" max="18" width="13.42578125" style="11" bestFit="1" customWidth="1"/>
    <col min="19" max="19" width="11.140625" style="11" bestFit="1" customWidth="1"/>
    <col min="20" max="20" width="78.140625" style="11" bestFit="1" customWidth="1"/>
    <col min="21" max="21" width="77.42578125" style="11" bestFit="1" customWidth="1"/>
    <col min="22" max="22" width="17.5703125" style="11" bestFit="1" customWidth="1"/>
    <col min="23" max="23" width="154.42578125" style="11" bestFit="1" customWidth="1"/>
    <col min="24" max="24" width="27.28515625" style="11" bestFit="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bestFit="1" customWidth="1"/>
    <col min="34" max="37" width="12.140625" style="11" bestFit="1" customWidth="1"/>
    <col min="38" max="38" width="14.140625" style="11" bestFit="1" customWidth="1"/>
    <col min="39" max="16384" width="9.140625" style="11"/>
  </cols>
  <sheetData>
    <row r="1" spans="1:38" ht="15" customHeight="1" x14ac:dyDescent="0.2">
      <c r="A1" s="335" t="s">
        <v>1192</v>
      </c>
      <c r="B1" s="335" t="s">
        <v>1211</v>
      </c>
      <c r="C1" s="335" t="s">
        <v>1193</v>
      </c>
      <c r="D1" s="335" t="s">
        <v>419</v>
      </c>
      <c r="E1" s="336" t="s">
        <v>1217</v>
      </c>
      <c r="F1" s="336" t="s">
        <v>1218</v>
      </c>
      <c r="G1" s="336" t="s">
        <v>3105</v>
      </c>
      <c r="H1" s="335" t="s">
        <v>1</v>
      </c>
      <c r="I1" s="335" t="s">
        <v>1739</v>
      </c>
      <c r="J1" s="335" t="s">
        <v>299</v>
      </c>
      <c r="K1" s="337" t="s">
        <v>1209</v>
      </c>
      <c r="L1" s="335" t="s">
        <v>2</v>
      </c>
      <c r="M1" s="338" t="s">
        <v>1191</v>
      </c>
      <c r="N1" s="335" t="s">
        <v>1198</v>
      </c>
      <c r="O1" s="335" t="s">
        <v>1196</v>
      </c>
      <c r="P1" s="335" t="s">
        <v>1197</v>
      </c>
      <c r="Q1" s="339" t="s">
        <v>1194</v>
      </c>
      <c r="R1" s="335" t="s">
        <v>1195</v>
      </c>
      <c r="S1" s="335" t="s">
        <v>2705</v>
      </c>
      <c r="T1" s="341" t="s">
        <v>349</v>
      </c>
      <c r="U1" s="341" t="s">
        <v>358</v>
      </c>
      <c r="V1" s="341" t="s">
        <v>434</v>
      </c>
      <c r="W1" s="341" t="s">
        <v>3251</v>
      </c>
      <c r="X1" s="341" t="s">
        <v>360</v>
      </c>
      <c r="Y1" s="335" t="s">
        <v>2703</v>
      </c>
      <c r="Z1" s="348" t="s">
        <v>3045</v>
      </c>
      <c r="AA1" s="343" t="s">
        <v>3107</v>
      </c>
      <c r="AB1" s="344" t="s">
        <v>3167</v>
      </c>
      <c r="AC1" s="344" t="s">
        <v>3117</v>
      </c>
      <c r="AD1" s="344" t="s">
        <v>3118</v>
      </c>
      <c r="AE1" s="345" t="s">
        <v>3168</v>
      </c>
      <c r="AF1" s="345" t="s">
        <v>3125</v>
      </c>
      <c r="AG1" s="346" t="s">
        <v>3155</v>
      </c>
      <c r="AH1" s="347" t="s">
        <v>3169</v>
      </c>
      <c r="AI1" s="347" t="s">
        <v>3170</v>
      </c>
      <c r="AJ1" s="347" t="s">
        <v>3171</v>
      </c>
      <c r="AK1" s="347" t="s">
        <v>3172</v>
      </c>
      <c r="AL1" s="345" t="s">
        <v>3173</v>
      </c>
    </row>
    <row r="2" spans="1:38" ht="15" customHeight="1" x14ac:dyDescent="0.2">
      <c r="A2" s="203"/>
      <c r="B2" s="203" t="s">
        <v>1211</v>
      </c>
      <c r="C2" s="203"/>
      <c r="D2" s="204" t="s">
        <v>3192</v>
      </c>
      <c r="E2" s="205"/>
      <c r="F2" s="205"/>
      <c r="G2" s="206">
        <v>931</v>
      </c>
      <c r="H2" s="204" t="s">
        <v>3187</v>
      </c>
      <c r="I2" s="204" t="str">
        <f t="shared" ref="I2:I12" si="0">IF(M2="@",H2&amp;" ("&amp;M2&amp;"  "&amp;N2&amp;")",H2&amp;" ("&amp;M2&amp;" to "&amp;N2&amp;")")</f>
        <v>Brow Signal Comm Net (@  NE Region)</v>
      </c>
      <c r="J2" s="203" t="s">
        <v>1204</v>
      </c>
      <c r="K2" s="204" t="str">
        <f>VLOOKUP(J2,'Data-ProjectTypes'!A$3:B$13,2,FALSE)</f>
        <v>Program</v>
      </c>
      <c r="L2" s="203" t="s">
        <v>321</v>
      </c>
      <c r="M2" s="203" t="s">
        <v>2835</v>
      </c>
      <c r="N2" s="203" t="s">
        <v>3188</v>
      </c>
      <c r="O2" s="204" t="s">
        <v>273</v>
      </c>
      <c r="P2" s="204" t="s">
        <v>273</v>
      </c>
      <c r="Q2" s="207"/>
      <c r="R2" s="208"/>
      <c r="S2" s="209"/>
      <c r="T2" s="209"/>
      <c r="U2" s="209"/>
      <c r="V2" s="209"/>
      <c r="W2" s="209"/>
      <c r="X2" s="209"/>
      <c r="Y2" s="209"/>
      <c r="Z2" s="210"/>
      <c r="AA2" s="203">
        <f>IF(V2="",IF(W2="",0,1),1)</f>
        <v>0</v>
      </c>
      <c r="AB2" s="203"/>
      <c r="AC2" s="203"/>
      <c r="AD2" s="203"/>
      <c r="AE2" s="211"/>
      <c r="AF2" s="211"/>
      <c r="AG2" s="212" t="str">
        <f>IF(MIN(AC2:AD2)&lt;2041,"Yes","No")</f>
        <v>Yes</v>
      </c>
      <c r="AH2" s="211">
        <v>2900000</v>
      </c>
      <c r="AI2" s="211">
        <v>3100000</v>
      </c>
      <c r="AJ2" s="211">
        <f>IF(AB2&gt;2025,IF(AB2&lt;2031,AE2,0),0)+IF(AC2&gt;2025,IF(AC2&lt;2031,AF2,0),0)</f>
        <v>0</v>
      </c>
      <c r="AK2" s="211">
        <f>IF(AB2&gt;2030,IF(AB2&lt;2041,AE2,0),0)+IF(AC2&gt;2030,IF(AC2&lt;2041,AF2,0),0)</f>
        <v>0</v>
      </c>
      <c r="AL2" s="211">
        <f>IF(AB2&gt;2040,Z2+Z2*'Data-CostAssumptions'!$G$5,0)</f>
        <v>0</v>
      </c>
    </row>
    <row r="3" spans="1:38" ht="15" customHeight="1" x14ac:dyDescent="0.2">
      <c r="A3" s="203"/>
      <c r="B3" s="203" t="s">
        <v>1211</v>
      </c>
      <c r="C3" s="203"/>
      <c r="D3" s="204" t="s">
        <v>3192</v>
      </c>
      <c r="E3" s="205"/>
      <c r="F3" s="205"/>
      <c r="G3" s="206">
        <v>932</v>
      </c>
      <c r="H3" s="204" t="s">
        <v>3187</v>
      </c>
      <c r="I3" s="204" t="str">
        <f t="shared" si="0"/>
        <v>Brow Signal Comm Net (@  NW Region)</v>
      </c>
      <c r="J3" s="203" t="s">
        <v>1204</v>
      </c>
      <c r="K3" s="204" t="str">
        <f>VLOOKUP(J3,'Data-ProjectTypes'!A$3:B$13,2,FALSE)</f>
        <v>Program</v>
      </c>
      <c r="L3" s="203" t="s">
        <v>321</v>
      </c>
      <c r="M3" s="203" t="s">
        <v>2835</v>
      </c>
      <c r="N3" s="203" t="s">
        <v>3189</v>
      </c>
      <c r="O3" s="204" t="s">
        <v>273</v>
      </c>
      <c r="P3" s="204" t="s">
        <v>273</v>
      </c>
      <c r="Q3" s="207"/>
      <c r="R3" s="208"/>
      <c r="S3" s="209"/>
      <c r="T3" s="209"/>
      <c r="U3" s="209"/>
      <c r="V3" s="209"/>
      <c r="W3" s="209"/>
      <c r="X3" s="209"/>
      <c r="Y3" s="209"/>
      <c r="Z3" s="210"/>
      <c r="AA3" s="203">
        <f>IF(V3="",IF(W3="",0,1),1)</f>
        <v>0</v>
      </c>
      <c r="AB3" s="203"/>
      <c r="AC3" s="203"/>
      <c r="AD3" s="203"/>
      <c r="AE3" s="211"/>
      <c r="AF3" s="211"/>
      <c r="AG3" s="212" t="str">
        <f t="shared" ref="AG3:AG12" si="1">IF(MIN(AC3:AD3)&lt;2041,"Yes","No")</f>
        <v>Yes</v>
      </c>
      <c r="AH3" s="211">
        <v>2900000</v>
      </c>
      <c r="AI3" s="211">
        <v>3100000</v>
      </c>
      <c r="AJ3" s="211">
        <f t="shared" ref="AJ3:AJ12" si="2">IF(AB3&gt;2025,IF(AB3&lt;2031,AE3,0),0)+IF(AC3&gt;2025,IF(AC3&lt;2031,AF3,0),0)</f>
        <v>0</v>
      </c>
      <c r="AK3" s="211">
        <f t="shared" ref="AK3:AK12" si="3">IF(AB3&gt;2030,IF(AB3&lt;2041,AE3,0),0)+IF(AC3&gt;2030,IF(AC3&lt;2041,AF3,0),0)</f>
        <v>0</v>
      </c>
      <c r="AL3" s="211">
        <f>IF(AB3&gt;2040,Z3+Z3*'Data-CostAssumptions'!$G$5,0)</f>
        <v>0</v>
      </c>
    </row>
    <row r="4" spans="1:38" ht="15" customHeight="1" x14ac:dyDescent="0.2">
      <c r="A4" s="203"/>
      <c r="B4" s="203" t="s">
        <v>1211</v>
      </c>
      <c r="C4" s="203"/>
      <c r="D4" s="204" t="s">
        <v>3192</v>
      </c>
      <c r="E4" s="205"/>
      <c r="F4" s="205"/>
      <c r="G4" s="206">
        <v>933</v>
      </c>
      <c r="H4" s="204" t="s">
        <v>3187</v>
      </c>
      <c r="I4" s="204" t="str">
        <f t="shared" si="0"/>
        <v>Brow Signal Comm Net (@  SE Region)</v>
      </c>
      <c r="J4" s="203" t="s">
        <v>1204</v>
      </c>
      <c r="K4" s="204" t="str">
        <f>VLOOKUP(J4,'Data-ProjectTypes'!A$3:B$13,2,FALSE)</f>
        <v>Program</v>
      </c>
      <c r="L4" s="203" t="s">
        <v>321</v>
      </c>
      <c r="M4" s="203" t="s">
        <v>2835</v>
      </c>
      <c r="N4" s="203" t="s">
        <v>3190</v>
      </c>
      <c r="O4" s="204" t="s">
        <v>273</v>
      </c>
      <c r="P4" s="204" t="s">
        <v>273</v>
      </c>
      <c r="Q4" s="207"/>
      <c r="R4" s="208"/>
      <c r="S4" s="209"/>
      <c r="T4" s="209"/>
      <c r="U4" s="209"/>
      <c r="V4" s="209"/>
      <c r="W4" s="209"/>
      <c r="X4" s="209"/>
      <c r="Y4" s="209"/>
      <c r="Z4" s="210"/>
      <c r="AA4" s="203">
        <f>IF(V4="",IF(W4="",0,1),1)</f>
        <v>0</v>
      </c>
      <c r="AB4" s="203"/>
      <c r="AC4" s="203"/>
      <c r="AD4" s="203"/>
      <c r="AE4" s="211"/>
      <c r="AF4" s="211"/>
      <c r="AG4" s="212" t="str">
        <f t="shared" si="1"/>
        <v>Yes</v>
      </c>
      <c r="AH4" s="211">
        <v>2900000</v>
      </c>
      <c r="AI4" s="211">
        <v>3100000</v>
      </c>
      <c r="AJ4" s="211">
        <f t="shared" si="2"/>
        <v>0</v>
      </c>
      <c r="AK4" s="211">
        <f t="shared" si="3"/>
        <v>0</v>
      </c>
      <c r="AL4" s="211">
        <f>IF(AB4&gt;2040,Z4+Z4*'Data-CostAssumptions'!$G$5,0)</f>
        <v>0</v>
      </c>
    </row>
    <row r="5" spans="1:38" ht="15" customHeight="1" x14ac:dyDescent="0.2">
      <c r="A5" s="203"/>
      <c r="B5" s="203" t="s">
        <v>1211</v>
      </c>
      <c r="C5" s="203"/>
      <c r="D5" s="204" t="s">
        <v>3192</v>
      </c>
      <c r="E5" s="205"/>
      <c r="F5" s="205"/>
      <c r="G5" s="206">
        <v>934</v>
      </c>
      <c r="H5" s="204" t="s">
        <v>3187</v>
      </c>
      <c r="I5" s="204" t="str">
        <f t="shared" si="0"/>
        <v>Brow Signal Comm Net (@  SW Region)</v>
      </c>
      <c r="J5" s="203" t="s">
        <v>1204</v>
      </c>
      <c r="K5" s="204" t="str">
        <f>VLOOKUP(J5,'Data-ProjectTypes'!A$3:B$13,2,FALSE)</f>
        <v>Program</v>
      </c>
      <c r="L5" s="203" t="s">
        <v>321</v>
      </c>
      <c r="M5" s="203" t="s">
        <v>2835</v>
      </c>
      <c r="N5" s="203" t="s">
        <v>3191</v>
      </c>
      <c r="O5" s="204" t="s">
        <v>273</v>
      </c>
      <c r="P5" s="204" t="s">
        <v>273</v>
      </c>
      <c r="Q5" s="207"/>
      <c r="R5" s="208"/>
      <c r="S5" s="209"/>
      <c r="T5" s="209"/>
      <c r="U5" s="209"/>
      <c r="V5" s="209"/>
      <c r="W5" s="209"/>
      <c r="X5" s="209"/>
      <c r="Y5" s="209"/>
      <c r="Z5" s="210"/>
      <c r="AA5" s="203">
        <f t="shared" ref="AA5:AA12" si="4">IF(V5="",IF(W5="",0,1),1)</f>
        <v>0</v>
      </c>
      <c r="AB5" s="203"/>
      <c r="AC5" s="203"/>
      <c r="AD5" s="203"/>
      <c r="AE5" s="211"/>
      <c r="AF5" s="211"/>
      <c r="AG5" s="212" t="str">
        <f t="shared" si="1"/>
        <v>Yes</v>
      </c>
      <c r="AH5" s="211">
        <v>2900000</v>
      </c>
      <c r="AI5" s="211">
        <v>3100000</v>
      </c>
      <c r="AJ5" s="211">
        <f t="shared" si="2"/>
        <v>0</v>
      </c>
      <c r="AK5" s="211">
        <f t="shared" si="3"/>
        <v>0</v>
      </c>
      <c r="AL5" s="211">
        <f>IF(AB5&gt;2040,Z5+Z5*'Data-CostAssumptions'!$G$5,0)</f>
        <v>0</v>
      </c>
    </row>
    <row r="6" spans="1:38" s="213" customFormat="1" ht="15" customHeight="1" x14ac:dyDescent="0.2">
      <c r="B6" s="213" t="s">
        <v>1211</v>
      </c>
      <c r="D6" s="214" t="s">
        <v>3192</v>
      </c>
      <c r="E6" s="215"/>
      <c r="F6" s="215"/>
      <c r="G6" s="216">
        <v>935</v>
      </c>
      <c r="H6" s="214" t="s">
        <v>3193</v>
      </c>
      <c r="I6" s="214" t="str">
        <f t="shared" si="0"/>
        <v>FDOT Cellular Comm (@  NE Region)</v>
      </c>
      <c r="J6" s="213" t="s">
        <v>1204</v>
      </c>
      <c r="K6" s="214" t="str">
        <f>VLOOKUP(J6,'Data-ProjectTypes'!A$3:B$13,2,FALSE)</f>
        <v>Program</v>
      </c>
      <c r="L6" s="213" t="s">
        <v>321</v>
      </c>
      <c r="M6" s="213" t="s">
        <v>2835</v>
      </c>
      <c r="N6" s="213" t="s">
        <v>3188</v>
      </c>
      <c r="O6" s="213" t="s">
        <v>270</v>
      </c>
      <c r="P6" s="213" t="s">
        <v>270</v>
      </c>
      <c r="Q6" s="217"/>
      <c r="R6" s="218"/>
      <c r="S6" s="219"/>
      <c r="T6" s="219"/>
      <c r="U6" s="219"/>
      <c r="V6" s="219"/>
      <c r="W6" s="219"/>
      <c r="X6" s="219"/>
      <c r="Y6" s="219"/>
      <c r="Z6" s="220"/>
      <c r="AA6" s="213">
        <f t="shared" si="4"/>
        <v>0</v>
      </c>
      <c r="AE6" s="221"/>
      <c r="AF6" s="221"/>
      <c r="AG6" s="222" t="str">
        <f t="shared" si="1"/>
        <v>Yes</v>
      </c>
      <c r="AH6" s="221">
        <v>2900000</v>
      </c>
      <c r="AI6" s="221">
        <v>3100000</v>
      </c>
      <c r="AJ6" s="221">
        <v>6700000</v>
      </c>
      <c r="AK6" s="221">
        <v>14700000</v>
      </c>
      <c r="AL6" s="221">
        <f>IF(AB6&gt;2040,Z6+Z6*'Data-CostAssumptions'!$G$5,0)</f>
        <v>0</v>
      </c>
    </row>
    <row r="7" spans="1:38" s="213" customFormat="1" ht="15" customHeight="1" x14ac:dyDescent="0.2">
      <c r="D7" s="214"/>
      <c r="E7" s="215"/>
      <c r="F7" s="215"/>
      <c r="G7" s="216"/>
      <c r="H7" s="214" t="s">
        <v>3193</v>
      </c>
      <c r="I7" s="214" t="str">
        <f t="shared" ref="I7:I9" si="5">IF(M7="@",H7&amp;" ("&amp;M7&amp;"  "&amp;N7&amp;")",H7&amp;" ("&amp;M7&amp;" to "&amp;N7&amp;")")</f>
        <v>FDOT Cellular Comm (@  NW Region)</v>
      </c>
      <c r="J7" s="213" t="s">
        <v>1204</v>
      </c>
      <c r="K7" s="214" t="str">
        <f>VLOOKUP(J7,'Data-ProjectTypes'!A$3:B$13,2,FALSE)</f>
        <v>Program</v>
      </c>
      <c r="L7" s="213" t="s">
        <v>321</v>
      </c>
      <c r="M7" s="213" t="s">
        <v>2835</v>
      </c>
      <c r="N7" s="213" t="s">
        <v>3189</v>
      </c>
      <c r="O7" s="213" t="s">
        <v>270</v>
      </c>
      <c r="P7" s="213" t="s">
        <v>270</v>
      </c>
      <c r="Q7" s="217"/>
      <c r="R7" s="218"/>
      <c r="S7" s="219"/>
      <c r="T7" s="219"/>
      <c r="U7" s="219"/>
      <c r="V7" s="219"/>
      <c r="W7" s="219"/>
      <c r="X7" s="219"/>
      <c r="Y7" s="219"/>
      <c r="Z7" s="220"/>
      <c r="AA7" s="213">
        <f t="shared" si="4"/>
        <v>0</v>
      </c>
      <c r="AE7" s="221"/>
      <c r="AF7" s="221"/>
      <c r="AG7" s="222" t="str">
        <f t="shared" si="1"/>
        <v>Yes</v>
      </c>
      <c r="AH7" s="221">
        <v>2900000</v>
      </c>
      <c r="AI7" s="221">
        <v>3100000</v>
      </c>
      <c r="AJ7" s="221">
        <v>6700000</v>
      </c>
      <c r="AK7" s="221">
        <v>14700000</v>
      </c>
      <c r="AL7" s="221">
        <f>IF(AB7&gt;2040,Z7+Z7*'Data-CostAssumptions'!$G$5,0)</f>
        <v>0</v>
      </c>
    </row>
    <row r="8" spans="1:38" s="213" customFormat="1" ht="15" customHeight="1" x14ac:dyDescent="0.2">
      <c r="D8" s="214"/>
      <c r="E8" s="215"/>
      <c r="F8" s="215"/>
      <c r="G8" s="216"/>
      <c r="H8" s="214" t="s">
        <v>3193</v>
      </c>
      <c r="I8" s="214" t="str">
        <f t="shared" si="5"/>
        <v>FDOT Cellular Comm (@  SE Region)</v>
      </c>
      <c r="J8" s="213" t="s">
        <v>1204</v>
      </c>
      <c r="K8" s="214" t="str">
        <f>VLOOKUP(J8,'Data-ProjectTypes'!A$3:B$13,2,FALSE)</f>
        <v>Program</v>
      </c>
      <c r="L8" s="213" t="s">
        <v>321</v>
      </c>
      <c r="M8" s="213" t="s">
        <v>2835</v>
      </c>
      <c r="N8" s="213" t="s">
        <v>3190</v>
      </c>
      <c r="O8" s="213" t="s">
        <v>270</v>
      </c>
      <c r="P8" s="213" t="s">
        <v>270</v>
      </c>
      <c r="Q8" s="217"/>
      <c r="R8" s="218"/>
      <c r="S8" s="219"/>
      <c r="T8" s="219"/>
      <c r="U8" s="219"/>
      <c r="V8" s="219"/>
      <c r="W8" s="219"/>
      <c r="X8" s="219"/>
      <c r="Y8" s="219"/>
      <c r="Z8" s="220"/>
      <c r="AA8" s="213">
        <f t="shared" si="4"/>
        <v>0</v>
      </c>
      <c r="AE8" s="221"/>
      <c r="AF8" s="221"/>
      <c r="AG8" s="222" t="str">
        <f t="shared" si="1"/>
        <v>Yes</v>
      </c>
      <c r="AH8" s="221">
        <v>2900000</v>
      </c>
      <c r="AI8" s="221">
        <v>3100000</v>
      </c>
      <c r="AJ8" s="221">
        <v>6700000</v>
      </c>
      <c r="AK8" s="221">
        <v>14700000</v>
      </c>
      <c r="AL8" s="221">
        <f>IF(AB8&gt;2040,Z8+Z8*'Data-CostAssumptions'!$G$5,0)</f>
        <v>0</v>
      </c>
    </row>
    <row r="9" spans="1:38" s="213" customFormat="1" ht="15" customHeight="1" x14ac:dyDescent="0.2">
      <c r="D9" s="214"/>
      <c r="E9" s="215"/>
      <c r="F9" s="215"/>
      <c r="G9" s="216"/>
      <c r="H9" s="214" t="s">
        <v>3193</v>
      </c>
      <c r="I9" s="214" t="str">
        <f t="shared" si="5"/>
        <v>FDOT Cellular Comm (@  SW Region)</v>
      </c>
      <c r="J9" s="213" t="s">
        <v>1204</v>
      </c>
      <c r="K9" s="214" t="str">
        <f>VLOOKUP(J9,'Data-ProjectTypes'!A$3:B$13,2,FALSE)</f>
        <v>Program</v>
      </c>
      <c r="L9" s="213" t="s">
        <v>321</v>
      </c>
      <c r="M9" s="213" t="s">
        <v>2835</v>
      </c>
      <c r="N9" s="213" t="s">
        <v>3191</v>
      </c>
      <c r="O9" s="213" t="s">
        <v>270</v>
      </c>
      <c r="P9" s="213" t="s">
        <v>270</v>
      </c>
      <c r="Q9" s="217"/>
      <c r="R9" s="218"/>
      <c r="S9" s="219"/>
      <c r="T9" s="219"/>
      <c r="U9" s="219"/>
      <c r="V9" s="219"/>
      <c r="W9" s="219"/>
      <c r="X9" s="219"/>
      <c r="Y9" s="219"/>
      <c r="Z9" s="220"/>
      <c r="AA9" s="213">
        <f t="shared" si="4"/>
        <v>0</v>
      </c>
      <c r="AE9" s="221"/>
      <c r="AF9" s="221"/>
      <c r="AG9" s="222" t="str">
        <f t="shared" si="1"/>
        <v>Yes</v>
      </c>
      <c r="AH9" s="221">
        <v>2900000</v>
      </c>
      <c r="AI9" s="221">
        <v>3100000</v>
      </c>
      <c r="AJ9" s="221">
        <v>6700000</v>
      </c>
      <c r="AK9" s="221">
        <v>14700000</v>
      </c>
      <c r="AL9" s="221">
        <f>IF(AB9&gt;2040,Z9+Z9*'Data-CostAssumptions'!$G$5,0)</f>
        <v>0</v>
      </c>
    </row>
    <row r="10" spans="1:38" ht="15" customHeight="1" x14ac:dyDescent="0.2">
      <c r="B10" s="11" t="s">
        <v>1211</v>
      </c>
      <c r="C10" s="11">
        <v>1063</v>
      </c>
      <c r="D10" s="13" t="s">
        <v>420</v>
      </c>
      <c r="E10" s="14"/>
      <c r="F10" s="14">
        <v>207</v>
      </c>
      <c r="G10" s="20">
        <v>938</v>
      </c>
      <c r="H10" s="13" t="s">
        <v>380</v>
      </c>
      <c r="I10" s="13" t="str">
        <f t="shared" si="0"/>
        <v>Traveler Information via DMS (At port exit to )</v>
      </c>
      <c r="J10" s="13" t="s">
        <v>1204</v>
      </c>
      <c r="K10" s="13" t="str">
        <f>VLOOKUP(J10,'Data-ProjectTypes'!A$3:B$13,2,FALSE)</f>
        <v>Program</v>
      </c>
      <c r="L10" s="11" t="s">
        <v>400</v>
      </c>
      <c r="M10" s="11" t="s">
        <v>418</v>
      </c>
      <c r="O10" s="11" t="s">
        <v>270</v>
      </c>
      <c r="P10" s="11" t="s">
        <v>270</v>
      </c>
      <c r="Q10" s="15"/>
      <c r="R10" s="16">
        <v>28137720</v>
      </c>
      <c r="S10" s="12"/>
      <c r="T10" s="12"/>
      <c r="U10" s="12"/>
      <c r="V10" s="12"/>
      <c r="W10" s="12"/>
      <c r="X10" s="12"/>
      <c r="Y10" s="12"/>
      <c r="Z10" s="18">
        <f>ROUND(R10*'Data-CostAssumptions'!$C$8,-3)</f>
        <v>28138000</v>
      </c>
      <c r="AA10" s="11">
        <f t="shared" si="4"/>
        <v>0</v>
      </c>
      <c r="AB10" s="11">
        <v>2028</v>
      </c>
      <c r="AC10" s="11">
        <v>2028</v>
      </c>
      <c r="AD10" s="11">
        <f t="shared" ref="AD10:AD12" si="6">+AC10</f>
        <v>2028</v>
      </c>
      <c r="AE10" s="19">
        <f>ROUND((Z10*'Data-CostAssumptions'!$G$5)*(1+'Data-CostAssumptions'!$G$3)^(AB10-'Data-CostAssumptions'!$G$4),-3)</f>
        <v>10407000</v>
      </c>
      <c r="AF10" s="19">
        <f>ROUND((Z10)*(1+'Data-CostAssumptions'!$G$3)^(AD10-'Data-CostAssumptions'!$G$4),-3)</f>
        <v>47304000</v>
      </c>
      <c r="AG10" s="170" t="str">
        <f t="shared" si="1"/>
        <v>Yes</v>
      </c>
      <c r="AH10" s="19">
        <f t="shared" ref="AH10:AH12" si="7">IF(AB10&gt;2018,IF(AB10&lt;2021,AE10,0),0)+IF(AC10&gt;2018,IF(AC10&lt;2021,AF10,0),0)</f>
        <v>0</v>
      </c>
      <c r="AI10" s="19">
        <f t="shared" ref="AI10:AI12" si="8">IF(AB10&gt;2020,IF(AB10&lt;2026,AE10,0),0)+IF(AC10&gt;2020,IF(AC10&lt;2026,AF10,0),0)</f>
        <v>0</v>
      </c>
      <c r="AJ10" s="19">
        <f t="shared" si="2"/>
        <v>57711000</v>
      </c>
      <c r="AK10" s="19">
        <f t="shared" si="3"/>
        <v>0</v>
      </c>
      <c r="AL10" s="19">
        <f>IF(AB10&gt;2040,Z10+Z10*'Data-CostAssumptions'!$G$5,0)</f>
        <v>0</v>
      </c>
    </row>
    <row r="11" spans="1:38" ht="15" customHeight="1" x14ac:dyDescent="0.2">
      <c r="A11" s="12"/>
      <c r="B11" s="11" t="s">
        <v>1211</v>
      </c>
      <c r="C11" s="12"/>
      <c r="D11" s="84" t="s">
        <v>276</v>
      </c>
      <c r="E11" s="104" t="s">
        <v>1461</v>
      </c>
      <c r="F11" s="104"/>
      <c r="G11" s="20">
        <v>1671</v>
      </c>
      <c r="H11" s="13" t="s">
        <v>1564</v>
      </c>
      <c r="I11" s="13" t="str">
        <f t="shared" si="0"/>
        <v>CITY WAYFINDING PROGRAM (CITY-WIDE to CITY-WIDE)</v>
      </c>
      <c r="J11" s="12" t="s">
        <v>1204</v>
      </c>
      <c r="K11" s="13" t="s">
        <v>1207</v>
      </c>
      <c r="L11" s="12" t="s">
        <v>1622</v>
      </c>
      <c r="M11" s="105" t="s">
        <v>1668</v>
      </c>
      <c r="N11" s="12" t="s">
        <v>1668</v>
      </c>
      <c r="O11" s="12"/>
      <c r="P11" s="12"/>
      <c r="Q11" s="72"/>
      <c r="R11" s="23">
        <v>1000000</v>
      </c>
      <c r="S11" s="12"/>
      <c r="T11" s="12"/>
      <c r="U11" s="12"/>
      <c r="V11" s="12"/>
      <c r="W11" s="12"/>
      <c r="X11" s="12"/>
      <c r="Y11" s="12"/>
      <c r="Z11" s="18">
        <f>ROUND(R11*'Data-CostAssumptions'!$C$8,-3)</f>
        <v>1000000</v>
      </c>
      <c r="AA11" s="11">
        <f t="shared" si="4"/>
        <v>0</v>
      </c>
      <c r="AB11" s="11">
        <v>2019</v>
      </c>
      <c r="AC11" s="11">
        <v>2019</v>
      </c>
      <c r="AD11" s="11">
        <f t="shared" si="6"/>
        <v>2019</v>
      </c>
      <c r="AE11" s="19">
        <f>ROUND((Z11*'Data-CostAssumptions'!$G$5)*(1+'Data-CostAssumptions'!$G$3)^(AB11-'Data-CostAssumptions'!$G$4),-3)</f>
        <v>276000</v>
      </c>
      <c r="AF11" s="19">
        <f>ROUND((Z11)*(1+'Data-CostAssumptions'!$G$3)^(AD11-'Data-CostAssumptions'!$G$4),-3)</f>
        <v>1255000</v>
      </c>
      <c r="AG11" s="170" t="str">
        <f t="shared" si="1"/>
        <v>Yes</v>
      </c>
      <c r="AH11" s="19">
        <f t="shared" si="7"/>
        <v>1531000</v>
      </c>
      <c r="AI11" s="19">
        <f t="shared" si="8"/>
        <v>0</v>
      </c>
      <c r="AJ11" s="19">
        <f t="shared" si="2"/>
        <v>0</v>
      </c>
      <c r="AK11" s="19">
        <f t="shared" si="3"/>
        <v>0</v>
      </c>
      <c r="AL11" s="19">
        <f>IF(AB11&gt;2040,Z11+Z11*'Data-CostAssumptions'!$G$5,0)</f>
        <v>0</v>
      </c>
    </row>
    <row r="12" spans="1:38" ht="15" customHeight="1" x14ac:dyDescent="0.2">
      <c r="A12" s="12"/>
      <c r="B12" s="11" t="s">
        <v>1211</v>
      </c>
      <c r="C12" s="12"/>
      <c r="D12" s="84" t="s">
        <v>276</v>
      </c>
      <c r="E12" s="104" t="s">
        <v>12</v>
      </c>
      <c r="F12" s="104"/>
      <c r="G12" s="20">
        <v>1672</v>
      </c>
      <c r="H12" s="13" t="s">
        <v>2696</v>
      </c>
      <c r="I12" s="13" t="str">
        <f t="shared" si="0"/>
        <v>Downtown ITS System (CITY-WIDE to CITY-WIDE)</v>
      </c>
      <c r="J12" s="12" t="s">
        <v>1204</v>
      </c>
      <c r="K12" s="13" t="str">
        <f>VLOOKUP(J12,'Data-ProjectTypes'!A$3:B$13,2,FALSE)</f>
        <v>Program</v>
      </c>
      <c r="L12" s="12" t="s">
        <v>1632</v>
      </c>
      <c r="M12" s="105" t="s">
        <v>1668</v>
      </c>
      <c r="N12" s="12" t="s">
        <v>1668</v>
      </c>
      <c r="O12" s="12"/>
      <c r="P12" s="12"/>
      <c r="Q12" s="72"/>
      <c r="R12" s="23">
        <v>711165</v>
      </c>
      <c r="S12" s="12"/>
      <c r="T12" s="12"/>
      <c r="U12" s="12"/>
      <c r="V12" s="12"/>
      <c r="W12" s="12"/>
      <c r="X12" s="12"/>
      <c r="Y12" s="12"/>
      <c r="Z12" s="18">
        <f>ROUND(R12*'Data-CostAssumptions'!$C$8,-3)</f>
        <v>711000</v>
      </c>
      <c r="AA12" s="11">
        <f t="shared" si="4"/>
        <v>0</v>
      </c>
      <c r="AB12" s="11">
        <v>2019</v>
      </c>
      <c r="AC12" s="11">
        <v>2019</v>
      </c>
      <c r="AD12" s="11">
        <f t="shared" si="6"/>
        <v>2019</v>
      </c>
      <c r="AE12" s="19">
        <f>ROUND((Z12*'Data-CostAssumptions'!$G$5)*(1+'Data-CostAssumptions'!$G$3)^(AB12-'Data-CostAssumptions'!$G$4),-3)</f>
        <v>196000</v>
      </c>
      <c r="AF12" s="19">
        <f>ROUND((Z12)*(1+'Data-CostAssumptions'!$G$3)^(AD12-'Data-CostAssumptions'!$G$4),-3)</f>
        <v>892000</v>
      </c>
      <c r="AG12" s="170" t="str">
        <f t="shared" si="1"/>
        <v>Yes</v>
      </c>
      <c r="AH12" s="19">
        <f t="shared" si="7"/>
        <v>1088000</v>
      </c>
      <c r="AI12" s="19">
        <f t="shared" si="8"/>
        <v>0</v>
      </c>
      <c r="AJ12" s="19">
        <f t="shared" si="2"/>
        <v>0</v>
      </c>
      <c r="AK12" s="19">
        <f t="shared" si="3"/>
        <v>0</v>
      </c>
      <c r="AL12" s="19">
        <f>IF(AB12&gt;2040,Z12+Z12*'Data-CostAssumptions'!$G$5,0)</f>
        <v>0</v>
      </c>
    </row>
    <row r="13" spans="1:38" ht="15" customHeight="1" x14ac:dyDescent="0.2">
      <c r="AH13" s="19">
        <f>SUM(AH2:AH12)</f>
        <v>25819000</v>
      </c>
      <c r="AI13" s="19">
        <f>SUM(AI2:AI12)</f>
        <v>24800000</v>
      </c>
      <c r="AJ13" s="19">
        <f>SUM(AJ2:AJ12)</f>
        <v>84511000</v>
      </c>
      <c r="AK13" s="19">
        <f>SUM(AK2:AK12)</f>
        <v>58800000</v>
      </c>
      <c r="AL13" s="19">
        <f>SUM(AL2:AL12)</f>
        <v>0</v>
      </c>
    </row>
  </sheetData>
  <conditionalFormatting sqref="H2:I12">
    <cfRule type="expression" dxfId="85" priority="6">
      <formula>B2="KILL"</formula>
    </cfRule>
  </conditionalFormatting>
  <conditionalFormatting sqref="AB2:AD12">
    <cfRule type="cellIs" dxfId="84" priority="2" operator="lessThan">
      <formula>2041</formula>
    </cfRule>
  </conditionalFormatting>
  <conditionalFormatting sqref="AG2:AG12">
    <cfRule type="cellIs" dxfId="83" priority="1" operator="equal">
      <formula>"Yes"</formula>
    </cfRule>
  </conditionalFormatting>
  <printOptions gridLines="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A4"/>
    <pageSetUpPr fitToPage="1"/>
  </sheetPr>
  <dimension ref="A1:XFC105"/>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5.140625" style="11" bestFit="1" customWidth="1"/>
    <col min="2" max="2" width="5.28515625" style="11" hidden="1" customWidth="1"/>
    <col min="3" max="3" width="6.85546875" style="11" bestFit="1" customWidth="1"/>
    <col min="4" max="4" width="21.42578125" style="11" bestFit="1" customWidth="1"/>
    <col min="5" max="5" width="9.5703125" style="11" bestFit="1" customWidth="1"/>
    <col min="6" max="6" width="8.140625" style="11" bestFit="1" customWidth="1"/>
    <col min="7" max="7" width="8" style="11" bestFit="1" customWidth="1"/>
    <col min="8" max="8" width="67.85546875" style="11" bestFit="1" customWidth="1"/>
    <col min="9" max="9" width="90.140625" style="11" bestFit="1" customWidth="1"/>
    <col min="10" max="10" width="6.5703125" style="11" bestFit="1" customWidth="1"/>
    <col min="11" max="11" width="14" style="11" bestFit="1" customWidth="1"/>
    <col min="12" max="12" width="255.7109375" style="11" bestFit="1" customWidth="1"/>
    <col min="13" max="13" width="41.140625" style="11" bestFit="1" customWidth="1"/>
    <col min="14" max="14" width="37.28515625" style="11" bestFit="1" customWidth="1"/>
    <col min="15" max="15" width="11" style="11" bestFit="1" customWidth="1"/>
    <col min="16" max="16" width="12.42578125" style="11" bestFit="1" customWidth="1"/>
    <col min="17" max="17" width="12.28515625" style="11" bestFit="1" customWidth="1"/>
    <col min="18" max="18" width="16.140625" style="11" bestFit="1" customWidth="1"/>
    <col min="19" max="19" width="11.140625" style="11" bestFit="1" customWidth="1"/>
    <col min="20" max="20" width="255.7109375" style="11" bestFit="1" customWidth="1"/>
    <col min="21" max="21" width="77.42578125" style="11" bestFit="1" customWidth="1"/>
    <col min="22" max="22" width="255.7109375" style="11" bestFit="1" customWidth="1"/>
    <col min="23" max="23" width="154.42578125" style="11" bestFit="1" customWidth="1"/>
    <col min="24" max="24" width="29.85546875" style="11" bestFit="1" customWidth="1"/>
    <col min="25" max="25" width="196.1406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5" style="11" bestFit="1" customWidth="1"/>
    <col min="33" max="33" width="14.42578125" style="170" bestFit="1" customWidth="1"/>
    <col min="34" max="34" width="12.140625" style="11" bestFit="1" customWidth="1"/>
    <col min="35" max="37" width="13.42578125" style="11" bestFit="1" customWidth="1"/>
    <col min="38" max="38" width="15" style="11" bestFit="1" customWidth="1"/>
    <col min="39" max="16384" width="9.140625" style="11"/>
  </cols>
  <sheetData>
    <row r="1" spans="1:38" s="160" customFormat="1" ht="15" customHeight="1" x14ac:dyDescent="0.2">
      <c r="A1" s="349" t="s">
        <v>1192</v>
      </c>
      <c r="B1" s="349" t="s">
        <v>1211</v>
      </c>
      <c r="C1" s="349" t="s">
        <v>1193</v>
      </c>
      <c r="D1" s="349" t="s">
        <v>419</v>
      </c>
      <c r="E1" s="350" t="s">
        <v>1217</v>
      </c>
      <c r="F1" s="350" t="s">
        <v>1218</v>
      </c>
      <c r="G1" s="350" t="s">
        <v>3105</v>
      </c>
      <c r="H1" s="349" t="s">
        <v>1</v>
      </c>
      <c r="I1" s="349" t="s">
        <v>1739</v>
      </c>
      <c r="J1" s="349" t="s">
        <v>299</v>
      </c>
      <c r="K1" s="351" t="s">
        <v>1209</v>
      </c>
      <c r="L1" s="349" t="s">
        <v>2</v>
      </c>
      <c r="M1" s="352" t="s">
        <v>1191</v>
      </c>
      <c r="N1" s="349" t="s">
        <v>1198</v>
      </c>
      <c r="O1" s="349" t="s">
        <v>1196</v>
      </c>
      <c r="P1" s="349" t="s">
        <v>1197</v>
      </c>
      <c r="Q1" s="353" t="s">
        <v>1194</v>
      </c>
      <c r="R1" s="351" t="s">
        <v>1195</v>
      </c>
      <c r="S1" s="349" t="s">
        <v>2705</v>
      </c>
      <c r="T1" s="354" t="s">
        <v>349</v>
      </c>
      <c r="U1" s="354" t="s">
        <v>358</v>
      </c>
      <c r="V1" s="354" t="s">
        <v>434</v>
      </c>
      <c r="W1" s="354" t="s">
        <v>3253</v>
      </c>
      <c r="X1" s="354" t="s">
        <v>360</v>
      </c>
      <c r="Y1" s="349" t="s">
        <v>2703</v>
      </c>
      <c r="Z1" s="355" t="s">
        <v>3045</v>
      </c>
      <c r="AA1" s="356" t="s">
        <v>3107</v>
      </c>
      <c r="AB1" s="357" t="s">
        <v>3167</v>
      </c>
      <c r="AC1" s="357" t="s">
        <v>3117</v>
      </c>
      <c r="AD1" s="357" t="s">
        <v>3118</v>
      </c>
      <c r="AE1" s="358" t="s">
        <v>3168</v>
      </c>
      <c r="AF1" s="358" t="s">
        <v>3125</v>
      </c>
      <c r="AG1" s="359" t="s">
        <v>3155</v>
      </c>
      <c r="AH1" s="360" t="s">
        <v>3169</v>
      </c>
      <c r="AI1" s="360" t="s">
        <v>3170</v>
      </c>
      <c r="AJ1" s="360" t="s">
        <v>3171</v>
      </c>
      <c r="AK1" s="360" t="s">
        <v>3172</v>
      </c>
      <c r="AL1" s="358" t="s">
        <v>3173</v>
      </c>
    </row>
    <row r="2" spans="1:38" ht="15" customHeight="1" x14ac:dyDescent="0.2">
      <c r="B2" s="11" t="s">
        <v>1211</v>
      </c>
      <c r="D2" s="13" t="s">
        <v>3086</v>
      </c>
      <c r="E2" s="14"/>
      <c r="F2" s="14"/>
      <c r="G2" s="20">
        <v>1727</v>
      </c>
      <c r="H2" s="13" t="s">
        <v>425</v>
      </c>
      <c r="I2" s="13" t="s">
        <v>3046</v>
      </c>
      <c r="J2" s="11" t="s">
        <v>347</v>
      </c>
      <c r="K2" s="13" t="s">
        <v>1208</v>
      </c>
      <c r="L2" s="11" t="s">
        <v>3048</v>
      </c>
      <c r="M2" s="11" t="s">
        <v>205</v>
      </c>
      <c r="N2" s="11" t="s">
        <v>3047</v>
      </c>
      <c r="O2" s="13"/>
      <c r="P2" s="13"/>
      <c r="Q2" s="15"/>
      <c r="R2" s="16">
        <v>3750000</v>
      </c>
      <c r="S2" s="11" t="s">
        <v>24</v>
      </c>
      <c r="T2" s="11" t="s">
        <v>25</v>
      </c>
      <c r="U2" s="11" t="s">
        <v>24</v>
      </c>
      <c r="V2" s="85"/>
      <c r="Y2" s="12" t="s">
        <v>685</v>
      </c>
      <c r="Z2" s="18">
        <f>ROUND(R2*'Data-CostAssumptions'!$C$3,-3)</f>
        <v>5190000</v>
      </c>
      <c r="AA2" s="11">
        <f t="shared" ref="AA2:AA33" si="0">IF(V2="",IF(W2="",0,1),1)</f>
        <v>0</v>
      </c>
      <c r="AB2" s="11">
        <v>2041</v>
      </c>
      <c r="AC2" s="11">
        <v>2041</v>
      </c>
      <c r="AD2" s="11">
        <f t="shared" ref="AD2:AD33" si="1">+AC2</f>
        <v>2041</v>
      </c>
      <c r="AE2" s="19">
        <f>ROUND((Z2*'Data-CostAssumptions'!$G$5)*(1+'Data-CostAssumptions'!$G$3)^(AB2-'Data-CostAssumptions'!$G$4),-3)</f>
        <v>2928000</v>
      </c>
      <c r="AF2" s="19">
        <f>ROUND((Z2)*(1+'Data-CostAssumptions'!$G$3)^(AD2-'Data-CostAssumptions'!$G$4),-3)</f>
        <v>13307000</v>
      </c>
      <c r="AG2" s="170" t="str">
        <f t="shared" ref="AG2:AG33" si="2">IF(MIN(AC2:AD2)&lt;2041,"Yes","No")</f>
        <v>No</v>
      </c>
      <c r="AH2" s="19">
        <f t="shared" ref="AH2:AH33" si="3">IF(AB2&gt;2018,IF(AB2&lt;2021,AE2,0),0)+IF(AC2&gt;2018,IF(AC2&lt;2021,AF2,0),0)</f>
        <v>0</v>
      </c>
      <c r="AI2" s="19">
        <f t="shared" ref="AI2:AI33" si="4">IF(AB2&gt;2020,IF(AB2&lt;2026,AE2,0),0)+IF(AC2&gt;2020,IF(AC2&lt;2026,AF2,0),0)</f>
        <v>0</v>
      </c>
      <c r="AJ2" s="19">
        <f t="shared" ref="AJ2:AJ33" si="5">IF(AB2&gt;2025,IF(AB2&lt;2031,AE2,0),0)+IF(AC2&gt;2025,IF(AC2&lt;2031,AF2,0),0)</f>
        <v>0</v>
      </c>
      <c r="AK2" s="19">
        <f t="shared" ref="AK2:AK33" si="6">IF(AB2&gt;2030,IF(AB2&lt;2041,AE2,0),0)+IF(AC2&gt;2030,IF(AC2&lt;2041,AF2,0),0)</f>
        <v>0</v>
      </c>
      <c r="AL2" s="19">
        <f>IF(AB2&gt;2040,Z2+Z2*'Data-CostAssumptions'!$G$5,0)</f>
        <v>6331800</v>
      </c>
    </row>
    <row r="3" spans="1:38" ht="15" customHeight="1" x14ac:dyDescent="0.2">
      <c r="B3" s="11" t="s">
        <v>1211</v>
      </c>
      <c r="D3" s="13" t="s">
        <v>3086</v>
      </c>
      <c r="E3" s="14"/>
      <c r="F3" s="14"/>
      <c r="G3" s="20">
        <v>1728</v>
      </c>
      <c r="H3" s="13" t="s">
        <v>425</v>
      </c>
      <c r="I3" s="13" t="s">
        <v>3046</v>
      </c>
      <c r="J3" s="11" t="s">
        <v>347</v>
      </c>
      <c r="K3" s="13" t="s">
        <v>1208</v>
      </c>
      <c r="L3" s="11" t="s">
        <v>3049</v>
      </c>
      <c r="M3" s="11" t="s">
        <v>205</v>
      </c>
      <c r="N3" s="11" t="s">
        <v>3047</v>
      </c>
      <c r="O3" s="13"/>
      <c r="P3" s="13"/>
      <c r="Q3" s="15"/>
      <c r="R3" s="16">
        <v>5000000</v>
      </c>
      <c r="S3" s="12"/>
      <c r="T3" s="12"/>
      <c r="U3" s="12" t="s">
        <v>24</v>
      </c>
      <c r="V3" s="12"/>
      <c r="W3" s="12" t="s">
        <v>696</v>
      </c>
      <c r="X3" s="12"/>
      <c r="Y3" s="12" t="s">
        <v>843</v>
      </c>
      <c r="Z3" s="18">
        <v>5000000</v>
      </c>
      <c r="AA3" s="11">
        <f t="shared" si="0"/>
        <v>1</v>
      </c>
      <c r="AB3" s="11">
        <v>2041</v>
      </c>
      <c r="AC3" s="11">
        <v>2041</v>
      </c>
      <c r="AD3" s="11">
        <f t="shared" si="1"/>
        <v>2041</v>
      </c>
      <c r="AE3" s="19">
        <f>ROUND((Z3*'Data-CostAssumptions'!$G$5)*(1+'Data-CostAssumptions'!$G$3)^(AB3-'Data-CostAssumptions'!$G$4),-3)</f>
        <v>2820000</v>
      </c>
      <c r="AF3" s="19">
        <f>ROUND((Z3)*(1+'Data-CostAssumptions'!$G$3)^(AD3-'Data-CostAssumptions'!$G$4),-3)</f>
        <v>12820000</v>
      </c>
      <c r="AG3" s="170" t="str">
        <f t="shared" si="2"/>
        <v>No</v>
      </c>
      <c r="AH3" s="19">
        <f t="shared" si="3"/>
        <v>0</v>
      </c>
      <c r="AI3" s="19">
        <f t="shared" si="4"/>
        <v>0</v>
      </c>
      <c r="AJ3" s="19">
        <f t="shared" si="5"/>
        <v>0</v>
      </c>
      <c r="AK3" s="19">
        <f t="shared" si="6"/>
        <v>0</v>
      </c>
      <c r="AL3" s="19">
        <f>IF(AB3&gt;2040,Z3+Z3*'Data-CostAssumptions'!$G$5,0)</f>
        <v>6100000</v>
      </c>
    </row>
    <row r="4" spans="1:38" ht="15" customHeight="1" x14ac:dyDescent="0.2">
      <c r="B4" s="11" t="s">
        <v>1211</v>
      </c>
      <c r="D4" s="13" t="s">
        <v>276</v>
      </c>
      <c r="E4" s="14"/>
      <c r="F4" s="14">
        <v>433</v>
      </c>
      <c r="G4" s="20">
        <v>1724</v>
      </c>
      <c r="H4" s="13" t="s">
        <v>3039</v>
      </c>
      <c r="I4" s="13" t="str">
        <f t="shared" ref="I4:I36" si="7">IF(M4="@",H4&amp;" ("&amp;M4&amp;"  "&amp;N4&amp;")",H4&amp;" ("&amp;M4&amp;" to "&amp;N4&amp;")")</f>
        <v>ANCHOR HUB (@  US1)</v>
      </c>
      <c r="J4" s="11" t="s">
        <v>347</v>
      </c>
      <c r="K4" s="13" t="s">
        <v>1208</v>
      </c>
      <c r="L4" s="11" t="s">
        <v>26</v>
      </c>
      <c r="M4" s="11" t="s">
        <v>2835</v>
      </c>
      <c r="N4" s="11" t="s">
        <v>3040</v>
      </c>
      <c r="O4" s="13"/>
      <c r="P4" s="13"/>
      <c r="Q4" s="15"/>
      <c r="R4" s="16">
        <v>1930844</v>
      </c>
      <c r="S4" s="12"/>
      <c r="T4" s="11" t="s">
        <v>3042</v>
      </c>
      <c r="U4" s="12"/>
      <c r="V4" s="12" t="s">
        <v>3114</v>
      </c>
      <c r="W4" s="12"/>
      <c r="X4" s="12"/>
      <c r="Y4" s="12"/>
      <c r="Z4" s="18">
        <f>ROUND(R4*'Data-CostAssumptions'!$C$8,-3)</f>
        <v>1931000</v>
      </c>
      <c r="AA4" s="11">
        <f t="shared" si="0"/>
        <v>1</v>
      </c>
      <c r="AB4" s="11">
        <v>2041</v>
      </c>
      <c r="AC4" s="11">
        <v>2041</v>
      </c>
      <c r="AD4" s="11">
        <f t="shared" si="1"/>
        <v>2041</v>
      </c>
      <c r="AE4" s="19">
        <f>ROUND((Z4*'Data-CostAssumptions'!$G$5)*(1+'Data-CostAssumptions'!$G$3)^(AB4-'Data-CostAssumptions'!$G$4),-3)</f>
        <v>1089000</v>
      </c>
      <c r="AF4" s="19">
        <f>ROUND((Z4)*(1+'Data-CostAssumptions'!$G$3)^(AD4-'Data-CostAssumptions'!$G$4),-3)</f>
        <v>4951000</v>
      </c>
      <c r="AG4" s="170" t="str">
        <f t="shared" si="2"/>
        <v>No</v>
      </c>
      <c r="AH4" s="19">
        <f t="shared" si="3"/>
        <v>0</v>
      </c>
      <c r="AI4" s="19">
        <f t="shared" si="4"/>
        <v>0</v>
      </c>
      <c r="AJ4" s="19">
        <f t="shared" si="5"/>
        <v>0</v>
      </c>
      <c r="AK4" s="19">
        <f t="shared" si="6"/>
        <v>0</v>
      </c>
      <c r="AL4" s="19">
        <f>IF(AB4&gt;2040,Z4+Z4*'Data-CostAssumptions'!$G$5,0)</f>
        <v>2355820</v>
      </c>
    </row>
    <row r="5" spans="1:38" ht="15" customHeight="1" x14ac:dyDescent="0.2">
      <c r="B5" s="11" t="s">
        <v>1211</v>
      </c>
      <c r="D5" s="13" t="s">
        <v>276</v>
      </c>
      <c r="E5" s="14">
        <v>416</v>
      </c>
      <c r="F5" s="14"/>
      <c r="G5" s="20">
        <v>1674</v>
      </c>
      <c r="H5" s="13" t="s">
        <v>2014</v>
      </c>
      <c r="I5" s="13" t="str">
        <f t="shared" si="7"/>
        <v>Andrews Av (@  Davie Bl)</v>
      </c>
      <c r="J5" s="11" t="s">
        <v>347</v>
      </c>
      <c r="K5" s="13" t="str">
        <f>VLOOKUP(J5,'Data-ProjectTypes'!A$3:B$13,2,FALSE)</f>
        <v>Project</v>
      </c>
      <c r="L5" s="11" t="s">
        <v>26</v>
      </c>
      <c r="M5" s="11" t="s">
        <v>2835</v>
      </c>
      <c r="N5" s="11" t="s">
        <v>1816</v>
      </c>
      <c r="O5" s="13"/>
      <c r="P5" s="13"/>
      <c r="Q5" s="15">
        <v>0</v>
      </c>
      <c r="R5" s="16">
        <v>2000000</v>
      </c>
      <c r="S5" s="12"/>
      <c r="T5" s="12"/>
      <c r="U5" s="12"/>
      <c r="V5" s="12" t="s">
        <v>723</v>
      </c>
      <c r="W5" s="12"/>
      <c r="X5" s="12"/>
      <c r="Y5" s="12"/>
      <c r="Z5" s="18">
        <f>ROUND(R5*'Data-CostAssumptions'!$C$3,-3)</f>
        <v>2768000</v>
      </c>
      <c r="AA5" s="11">
        <f t="shared" si="0"/>
        <v>1</v>
      </c>
      <c r="AB5" s="11">
        <v>2041</v>
      </c>
      <c r="AC5" s="11">
        <v>2041</v>
      </c>
      <c r="AD5" s="11">
        <f t="shared" si="1"/>
        <v>2041</v>
      </c>
      <c r="AE5" s="19">
        <f>ROUND((Z5*'Data-CostAssumptions'!$G$5)*(1+'Data-CostAssumptions'!$G$3)^(AB5-'Data-CostAssumptions'!$G$4),-3)</f>
        <v>1561000</v>
      </c>
      <c r="AF5" s="19">
        <f>ROUND((Z5)*(1+'Data-CostAssumptions'!$G$3)^(AD5-'Data-CostAssumptions'!$G$4),-3)</f>
        <v>7097000</v>
      </c>
      <c r="AG5" s="170" t="str">
        <f t="shared" si="2"/>
        <v>No</v>
      </c>
      <c r="AH5" s="19">
        <f t="shared" si="3"/>
        <v>0</v>
      </c>
      <c r="AI5" s="19">
        <f t="shared" si="4"/>
        <v>0</v>
      </c>
      <c r="AJ5" s="19">
        <f t="shared" si="5"/>
        <v>0</v>
      </c>
      <c r="AK5" s="19">
        <f t="shared" si="6"/>
        <v>0</v>
      </c>
      <c r="AL5" s="19">
        <f>IF(AB5&gt;2040,Z5+Z5*'Data-CostAssumptions'!$G$5,0)</f>
        <v>3376960</v>
      </c>
    </row>
    <row r="6" spans="1:38" ht="15" customHeight="1" x14ac:dyDescent="0.2">
      <c r="B6" s="11" t="s">
        <v>1211</v>
      </c>
      <c r="C6" s="11">
        <v>10030</v>
      </c>
      <c r="D6" s="13" t="s">
        <v>420</v>
      </c>
      <c r="E6" s="14" t="s">
        <v>298</v>
      </c>
      <c r="F6" s="14">
        <v>141</v>
      </c>
      <c r="G6" s="20">
        <v>939</v>
      </c>
      <c r="H6" s="13" t="s">
        <v>2908</v>
      </c>
      <c r="I6" s="13" t="str">
        <f t="shared" si="7"/>
        <v>Andrews/FEC (@  SE 17th St)</v>
      </c>
      <c r="J6" s="11" t="s">
        <v>347</v>
      </c>
      <c r="K6" s="13" t="str">
        <f>VLOOKUP(J6,'Data-ProjectTypes'!A$3:B$13,2,FALSE)</f>
        <v>Project</v>
      </c>
      <c r="L6" s="11" t="s">
        <v>26</v>
      </c>
      <c r="M6" s="11" t="s">
        <v>2835</v>
      </c>
      <c r="N6" s="11" t="s">
        <v>182</v>
      </c>
      <c r="O6" s="13" t="s">
        <v>365</v>
      </c>
      <c r="P6" s="13" t="s">
        <v>365</v>
      </c>
      <c r="Q6" s="15">
        <v>0</v>
      </c>
      <c r="R6" s="16">
        <v>2000000</v>
      </c>
      <c r="S6" s="12"/>
      <c r="T6" s="12"/>
      <c r="U6" s="12"/>
      <c r="V6" s="12"/>
      <c r="W6" s="12"/>
      <c r="X6" s="12"/>
      <c r="Y6" s="12"/>
      <c r="Z6" s="18">
        <f>ROUND(R6*'Data-CostAssumptions'!$C$8,-3)</f>
        <v>2000000</v>
      </c>
      <c r="AA6" s="11">
        <f t="shared" si="0"/>
        <v>0</v>
      </c>
      <c r="AB6" s="11">
        <v>2041</v>
      </c>
      <c r="AC6" s="11">
        <v>2041</v>
      </c>
      <c r="AD6" s="11">
        <v>2041</v>
      </c>
      <c r="AE6" s="19">
        <f>ROUND((Z6*'Data-CostAssumptions'!$G$5)*(1+'Data-CostAssumptions'!$G$3)^(AB6-'Data-CostAssumptions'!$G$4),-3)</f>
        <v>1128000</v>
      </c>
      <c r="AF6" s="19">
        <f>ROUND((Z6)*(1+'Data-CostAssumptions'!$G$3)^(AD6-'Data-CostAssumptions'!$G$4),-3)</f>
        <v>5128000</v>
      </c>
      <c r="AG6" s="170" t="str">
        <f t="shared" si="2"/>
        <v>No</v>
      </c>
      <c r="AH6" s="19">
        <f t="shared" si="3"/>
        <v>0</v>
      </c>
      <c r="AI6" s="19">
        <f t="shared" si="4"/>
        <v>0</v>
      </c>
      <c r="AJ6" s="19">
        <f t="shared" si="5"/>
        <v>0</v>
      </c>
      <c r="AK6" s="19">
        <f t="shared" si="6"/>
        <v>0</v>
      </c>
      <c r="AL6" s="19">
        <f>IF(AB6&gt;2040,Z6+Z6*'Data-CostAssumptions'!$G$5,0)</f>
        <v>2440000</v>
      </c>
    </row>
    <row r="7" spans="1:38" ht="15" customHeight="1" x14ac:dyDescent="0.2">
      <c r="B7" s="11" t="s">
        <v>1211</v>
      </c>
      <c r="C7" s="11">
        <v>10037</v>
      </c>
      <c r="D7" s="13" t="s">
        <v>420</v>
      </c>
      <c r="E7" s="14" t="s">
        <v>298</v>
      </c>
      <c r="F7" s="14">
        <v>142</v>
      </c>
      <c r="G7" s="20">
        <v>946</v>
      </c>
      <c r="H7" s="13" t="s">
        <v>728</v>
      </c>
      <c r="I7" s="13" t="str">
        <f t="shared" si="7"/>
        <v>Dixie Hwy (@  MLK Bl/Hammondville Rd)</v>
      </c>
      <c r="J7" s="11" t="s">
        <v>347</v>
      </c>
      <c r="K7" s="13" t="str">
        <f>VLOOKUP(J7,'Data-ProjectTypes'!A$3:B$13,2,FALSE)</f>
        <v>Project</v>
      </c>
      <c r="L7" s="11" t="s">
        <v>26</v>
      </c>
      <c r="M7" s="11" t="s">
        <v>2835</v>
      </c>
      <c r="N7" s="11" t="s">
        <v>2907</v>
      </c>
      <c r="O7" s="13" t="s">
        <v>365</v>
      </c>
      <c r="P7" s="13" t="s">
        <v>365</v>
      </c>
      <c r="Q7" s="15">
        <v>0</v>
      </c>
      <c r="R7" s="16">
        <v>2000000</v>
      </c>
      <c r="S7" s="12"/>
      <c r="T7" s="12"/>
      <c r="U7" s="12"/>
      <c r="V7" s="12"/>
      <c r="W7" s="12"/>
      <c r="X7" s="12"/>
      <c r="Y7" s="12"/>
      <c r="Z7" s="18">
        <f>ROUND(R7*'Data-CostAssumptions'!$C$8,-3)</f>
        <v>2000000</v>
      </c>
      <c r="AA7" s="11">
        <f t="shared" si="0"/>
        <v>0</v>
      </c>
      <c r="AB7" s="11">
        <v>2041</v>
      </c>
      <c r="AC7" s="11">
        <v>2041</v>
      </c>
      <c r="AD7" s="11">
        <v>2041</v>
      </c>
      <c r="AE7" s="19">
        <f>ROUND((Z7*'Data-CostAssumptions'!$G$5)*(1+'Data-CostAssumptions'!$G$3)^(AB7-'Data-CostAssumptions'!$G$4),-3)</f>
        <v>1128000</v>
      </c>
      <c r="AF7" s="19">
        <f>ROUND((Z7)*(1+'Data-CostAssumptions'!$G$3)^(AD7-'Data-CostAssumptions'!$G$4),-3)</f>
        <v>5128000</v>
      </c>
      <c r="AG7" s="170" t="str">
        <f t="shared" si="2"/>
        <v>No</v>
      </c>
      <c r="AH7" s="19">
        <f t="shared" si="3"/>
        <v>0</v>
      </c>
      <c r="AI7" s="19">
        <f t="shared" si="4"/>
        <v>0</v>
      </c>
      <c r="AJ7" s="19">
        <f t="shared" si="5"/>
        <v>0</v>
      </c>
      <c r="AK7" s="19">
        <f t="shared" si="6"/>
        <v>0</v>
      </c>
      <c r="AL7" s="19">
        <f>IF(AB7&gt;2040,Z7+Z7*'Data-CostAssumptions'!$G$5,0)</f>
        <v>2440000</v>
      </c>
    </row>
    <row r="8" spans="1:38" ht="15" customHeight="1" x14ac:dyDescent="0.2">
      <c r="B8" s="11" t="s">
        <v>1211</v>
      </c>
      <c r="C8" s="11">
        <v>10058</v>
      </c>
      <c r="D8" s="13" t="s">
        <v>420</v>
      </c>
      <c r="E8" s="14" t="s">
        <v>298</v>
      </c>
      <c r="F8" s="14">
        <v>143</v>
      </c>
      <c r="G8" s="20">
        <v>954</v>
      </c>
      <c r="H8" s="13" t="s">
        <v>1977</v>
      </c>
      <c r="I8" s="13" t="str">
        <f t="shared" si="7"/>
        <v>Miramar Pkwy (@  I-75)</v>
      </c>
      <c r="J8" s="11" t="s">
        <v>347</v>
      </c>
      <c r="K8" s="13" t="str">
        <f>VLOOKUP(J8,'Data-ProjectTypes'!A$3:B$13,2,FALSE)</f>
        <v>Project</v>
      </c>
      <c r="L8" s="11" t="s">
        <v>26</v>
      </c>
      <c r="M8" s="11" t="s">
        <v>2835</v>
      </c>
      <c r="N8" s="11" t="s">
        <v>31</v>
      </c>
      <c r="O8" s="13" t="s">
        <v>365</v>
      </c>
      <c r="P8" s="13" t="s">
        <v>365</v>
      </c>
      <c r="Q8" s="15">
        <v>0</v>
      </c>
      <c r="R8" s="16">
        <v>2000000</v>
      </c>
      <c r="S8" s="12"/>
      <c r="T8" s="12"/>
      <c r="U8" s="12"/>
      <c r="V8" s="12"/>
      <c r="W8" s="12"/>
      <c r="X8" s="12"/>
      <c r="Y8" s="12"/>
      <c r="Z8" s="18">
        <f>ROUND(R8*'Data-CostAssumptions'!$C$8,-3)</f>
        <v>2000000</v>
      </c>
      <c r="AA8" s="11">
        <f t="shared" si="0"/>
        <v>0</v>
      </c>
      <c r="AB8" s="11">
        <v>2041</v>
      </c>
      <c r="AC8" s="11">
        <v>2041</v>
      </c>
      <c r="AD8" s="11">
        <v>2041</v>
      </c>
      <c r="AE8" s="19">
        <f>ROUND((Z8*'Data-CostAssumptions'!$G$5)*(1+'Data-CostAssumptions'!$G$3)^(AB8-'Data-CostAssumptions'!$G$4),-3)</f>
        <v>1128000</v>
      </c>
      <c r="AF8" s="19">
        <f>ROUND((Z8)*(1+'Data-CostAssumptions'!$G$3)^(AD8-'Data-CostAssumptions'!$G$4),-3)</f>
        <v>5128000</v>
      </c>
      <c r="AG8" s="170" t="str">
        <f t="shared" si="2"/>
        <v>No</v>
      </c>
      <c r="AH8" s="19">
        <f t="shared" si="3"/>
        <v>0</v>
      </c>
      <c r="AI8" s="19">
        <f t="shared" si="4"/>
        <v>0</v>
      </c>
      <c r="AJ8" s="19">
        <f t="shared" si="5"/>
        <v>0</v>
      </c>
      <c r="AK8" s="19">
        <f t="shared" si="6"/>
        <v>0</v>
      </c>
      <c r="AL8" s="19">
        <f>IF(AB8&gt;2040,Z8+Z8*'Data-CostAssumptions'!$G$5,0)</f>
        <v>2440000</v>
      </c>
    </row>
    <row r="9" spans="1:38" ht="15" customHeight="1" x14ac:dyDescent="0.2">
      <c r="B9" s="11" t="s">
        <v>1211</v>
      </c>
      <c r="C9" s="11">
        <v>10048</v>
      </c>
      <c r="D9" s="13" t="s">
        <v>420</v>
      </c>
      <c r="E9" s="14" t="s">
        <v>298</v>
      </c>
      <c r="F9" s="14">
        <v>142</v>
      </c>
      <c r="G9" s="20">
        <v>964</v>
      </c>
      <c r="H9" s="13" t="s">
        <v>84</v>
      </c>
      <c r="I9" s="13" t="str">
        <f t="shared" si="7"/>
        <v>Sawgrass International Corp. Park (@  corp. park)</v>
      </c>
      <c r="J9" s="11" t="s">
        <v>347</v>
      </c>
      <c r="K9" s="13" t="str">
        <f>VLOOKUP(J9,'Data-ProjectTypes'!A$3:B$13,2,FALSE)</f>
        <v>Project</v>
      </c>
      <c r="L9" s="11" t="s">
        <v>26</v>
      </c>
      <c r="M9" s="11" t="s">
        <v>2835</v>
      </c>
      <c r="N9" s="11" t="s">
        <v>2909</v>
      </c>
      <c r="O9" s="13" t="s">
        <v>365</v>
      </c>
      <c r="P9" s="13" t="s">
        <v>365</v>
      </c>
      <c r="Q9" s="15">
        <v>0</v>
      </c>
      <c r="R9" s="16">
        <v>2000000</v>
      </c>
      <c r="S9" s="12"/>
      <c r="T9" s="12"/>
      <c r="U9" s="12"/>
      <c r="V9" s="12"/>
      <c r="W9" s="12"/>
      <c r="X9" s="12"/>
      <c r="Y9" s="12"/>
      <c r="Z9" s="18">
        <f>ROUND(R9*'Data-CostAssumptions'!$C$8,-3)</f>
        <v>2000000</v>
      </c>
      <c r="AA9" s="11">
        <f t="shared" si="0"/>
        <v>0</v>
      </c>
      <c r="AB9" s="11">
        <v>2041</v>
      </c>
      <c r="AC9" s="11">
        <v>2041</v>
      </c>
      <c r="AD9" s="11">
        <v>2041</v>
      </c>
      <c r="AE9" s="19">
        <f>ROUND((Z9*'Data-CostAssumptions'!$G$5)*(1+'Data-CostAssumptions'!$G$3)^(AB9-'Data-CostAssumptions'!$G$4),-3)</f>
        <v>1128000</v>
      </c>
      <c r="AF9" s="19">
        <f>ROUND((Z9)*(1+'Data-CostAssumptions'!$G$3)^(AD9-'Data-CostAssumptions'!$G$4),-3)</f>
        <v>5128000</v>
      </c>
      <c r="AG9" s="170" t="str">
        <f t="shared" si="2"/>
        <v>No</v>
      </c>
      <c r="AH9" s="19">
        <f t="shared" si="3"/>
        <v>0</v>
      </c>
      <c r="AI9" s="19">
        <f t="shared" si="4"/>
        <v>0</v>
      </c>
      <c r="AJ9" s="19">
        <f t="shared" si="5"/>
        <v>0</v>
      </c>
      <c r="AK9" s="19">
        <f t="shared" si="6"/>
        <v>0</v>
      </c>
      <c r="AL9" s="19">
        <f>IF(AB9&gt;2040,Z9+Z9*'Data-CostAssumptions'!$G$5,0)</f>
        <v>2440000</v>
      </c>
    </row>
    <row r="10" spans="1:38" ht="15" customHeight="1" x14ac:dyDescent="0.2">
      <c r="B10" s="11" t="s">
        <v>1211</v>
      </c>
      <c r="C10" s="11">
        <v>10071</v>
      </c>
      <c r="D10" s="13" t="s">
        <v>420</v>
      </c>
      <c r="E10" s="14" t="s">
        <v>298</v>
      </c>
      <c r="F10" s="14">
        <v>144</v>
      </c>
      <c r="G10" s="20">
        <v>965</v>
      </c>
      <c r="H10" s="13" t="s">
        <v>1951</v>
      </c>
      <c r="I10" s="13" t="str">
        <f t="shared" si="7"/>
        <v>Sheridan St (@  I-75)</v>
      </c>
      <c r="J10" s="11" t="s">
        <v>347</v>
      </c>
      <c r="K10" s="13" t="str">
        <f>VLOOKUP(J10,'Data-ProjectTypes'!A$3:B$13,2,FALSE)</f>
        <v>Project</v>
      </c>
      <c r="L10" s="11" t="s">
        <v>26</v>
      </c>
      <c r="M10" s="11" t="s">
        <v>2835</v>
      </c>
      <c r="N10" s="11" t="s">
        <v>31</v>
      </c>
      <c r="O10" s="13" t="s">
        <v>365</v>
      </c>
      <c r="P10" s="13" t="s">
        <v>365</v>
      </c>
      <c r="Q10" s="15">
        <v>0</v>
      </c>
      <c r="R10" s="16">
        <v>2000000</v>
      </c>
      <c r="S10" s="12"/>
      <c r="T10" s="12"/>
      <c r="U10" s="12"/>
      <c r="V10" s="12"/>
      <c r="W10" s="12"/>
      <c r="X10" s="12"/>
      <c r="Y10" s="12"/>
      <c r="Z10" s="18">
        <f>ROUND(R10*'Data-CostAssumptions'!$C$8,-3)</f>
        <v>2000000</v>
      </c>
      <c r="AA10" s="11">
        <f t="shared" si="0"/>
        <v>0</v>
      </c>
      <c r="AB10" s="11">
        <v>2041</v>
      </c>
      <c r="AC10" s="11">
        <v>2041</v>
      </c>
      <c r="AD10" s="11">
        <v>2041</v>
      </c>
      <c r="AE10" s="19">
        <f>ROUND((Z10*'Data-CostAssumptions'!$G$5)*(1+'Data-CostAssumptions'!$G$3)^(AB10-'Data-CostAssumptions'!$G$4),-3)</f>
        <v>1128000</v>
      </c>
      <c r="AF10" s="19">
        <f>ROUND((Z10)*(1+'Data-CostAssumptions'!$G$3)^(AD10-'Data-CostAssumptions'!$G$4),-3)</f>
        <v>5128000</v>
      </c>
      <c r="AG10" s="170" t="str">
        <f t="shared" si="2"/>
        <v>No</v>
      </c>
      <c r="AH10" s="19">
        <f t="shared" si="3"/>
        <v>0</v>
      </c>
      <c r="AI10" s="19">
        <f t="shared" si="4"/>
        <v>0</v>
      </c>
      <c r="AJ10" s="19">
        <f t="shared" si="5"/>
        <v>0</v>
      </c>
      <c r="AK10" s="19">
        <f t="shared" si="6"/>
        <v>0</v>
      </c>
      <c r="AL10" s="19">
        <f>IF(AB10&gt;2040,Z10+Z10*'Data-CostAssumptions'!$G$5,0)</f>
        <v>2440000</v>
      </c>
    </row>
    <row r="11" spans="1:38" ht="15" customHeight="1" x14ac:dyDescent="0.2">
      <c r="B11" s="11" t="s">
        <v>1211</v>
      </c>
      <c r="C11" s="11">
        <v>10038</v>
      </c>
      <c r="D11" s="84" t="s">
        <v>420</v>
      </c>
      <c r="E11" s="14" t="s">
        <v>298</v>
      </c>
      <c r="F11" s="14">
        <v>142</v>
      </c>
      <c r="G11" s="20">
        <v>980</v>
      </c>
      <c r="H11" s="13" t="s">
        <v>2910</v>
      </c>
      <c r="I11" s="13" t="str">
        <f t="shared" si="7"/>
        <v>SR 816/Oakland Park (@  Andrews Av)</v>
      </c>
      <c r="J11" s="84" t="s">
        <v>347</v>
      </c>
      <c r="K11" s="13" t="str">
        <f>VLOOKUP(J11,'Data-ProjectTypes'!A$3:B$13,2,FALSE)</f>
        <v>Project</v>
      </c>
      <c r="L11" s="85" t="s">
        <v>26</v>
      </c>
      <c r="M11" s="85" t="s">
        <v>2835</v>
      </c>
      <c r="N11" s="84" t="s">
        <v>2014</v>
      </c>
      <c r="O11" s="84" t="s">
        <v>365</v>
      </c>
      <c r="P11" s="85" t="s">
        <v>365</v>
      </c>
      <c r="Q11" s="15">
        <v>0</v>
      </c>
      <c r="R11" s="16">
        <v>2000000</v>
      </c>
      <c r="V11" s="85"/>
      <c r="Y11" s="12"/>
      <c r="Z11" s="18">
        <f>ROUND(R11*'Data-CostAssumptions'!$C$8,-3)</f>
        <v>2000000</v>
      </c>
      <c r="AA11" s="11">
        <f t="shared" si="0"/>
        <v>0</v>
      </c>
      <c r="AB11" s="11">
        <v>2041</v>
      </c>
      <c r="AC11" s="11">
        <v>2041</v>
      </c>
      <c r="AD11" s="11">
        <v>2041</v>
      </c>
      <c r="AE11" s="19">
        <f>ROUND((Z11*'Data-CostAssumptions'!$G$5)*(1+'Data-CostAssumptions'!$G$3)^(AB11-'Data-CostAssumptions'!$G$4),-3)</f>
        <v>1128000</v>
      </c>
      <c r="AF11" s="19">
        <f>ROUND((Z11)*(1+'Data-CostAssumptions'!$G$3)^(AD11-'Data-CostAssumptions'!$G$4),-3)</f>
        <v>5128000</v>
      </c>
      <c r="AG11" s="170" t="str">
        <f t="shared" si="2"/>
        <v>No</v>
      </c>
      <c r="AH11" s="19">
        <f t="shared" si="3"/>
        <v>0</v>
      </c>
      <c r="AI11" s="19">
        <f t="shared" si="4"/>
        <v>0</v>
      </c>
      <c r="AJ11" s="19">
        <f t="shared" si="5"/>
        <v>0</v>
      </c>
      <c r="AK11" s="19">
        <f t="shared" si="6"/>
        <v>0</v>
      </c>
      <c r="AL11" s="19">
        <f>IF(AB11&gt;2040,Z11+Z11*'Data-CostAssumptions'!$G$5,0)</f>
        <v>2440000</v>
      </c>
    </row>
    <row r="12" spans="1:38" ht="15" customHeight="1" x14ac:dyDescent="0.2">
      <c r="B12" s="11" t="s">
        <v>1211</v>
      </c>
      <c r="C12" s="11">
        <v>10004</v>
      </c>
      <c r="D12" s="13" t="s">
        <v>420</v>
      </c>
      <c r="E12" s="14" t="s">
        <v>298</v>
      </c>
      <c r="F12" s="14">
        <v>141</v>
      </c>
      <c r="G12" s="20">
        <v>979</v>
      </c>
      <c r="H12" s="13" t="s">
        <v>2910</v>
      </c>
      <c r="I12" s="13" t="str">
        <f t="shared" si="7"/>
        <v>SR 816/Oakland Park (@  Dixie Hwy)</v>
      </c>
      <c r="J12" s="11" t="s">
        <v>347</v>
      </c>
      <c r="K12" s="13" t="str">
        <f>VLOOKUP(J12,'Data-ProjectTypes'!A$3:B$13,2,FALSE)</f>
        <v>Project</v>
      </c>
      <c r="L12" s="11" t="s">
        <v>26</v>
      </c>
      <c r="M12" s="11" t="s">
        <v>2835</v>
      </c>
      <c r="N12" s="11" t="s">
        <v>728</v>
      </c>
      <c r="O12" s="13" t="s">
        <v>365</v>
      </c>
      <c r="P12" s="13" t="s">
        <v>365</v>
      </c>
      <c r="Q12" s="15">
        <v>0</v>
      </c>
      <c r="R12" s="16">
        <v>2000000</v>
      </c>
      <c r="S12" s="12"/>
      <c r="T12" s="12"/>
      <c r="U12" s="12"/>
      <c r="V12" s="12"/>
      <c r="W12" s="12"/>
      <c r="X12" s="12"/>
      <c r="Y12" s="12"/>
      <c r="Z12" s="18">
        <f>ROUND(R12*'Data-CostAssumptions'!$C$8,-3)</f>
        <v>2000000</v>
      </c>
      <c r="AA12" s="11">
        <f t="shared" si="0"/>
        <v>0</v>
      </c>
      <c r="AB12" s="11">
        <v>2041</v>
      </c>
      <c r="AC12" s="11">
        <v>2041</v>
      </c>
      <c r="AD12" s="11">
        <v>2041</v>
      </c>
      <c r="AE12" s="19">
        <f>ROUND((Z12*'Data-CostAssumptions'!$G$5)*(1+'Data-CostAssumptions'!$G$3)^(AB12-'Data-CostAssumptions'!$G$4),-3)</f>
        <v>1128000</v>
      </c>
      <c r="AF12" s="19">
        <f>ROUND((Z12)*(1+'Data-CostAssumptions'!$G$3)^(AD12-'Data-CostAssumptions'!$G$4),-3)</f>
        <v>5128000</v>
      </c>
      <c r="AG12" s="170" t="str">
        <f t="shared" si="2"/>
        <v>No</v>
      </c>
      <c r="AH12" s="19">
        <f t="shared" si="3"/>
        <v>0</v>
      </c>
      <c r="AI12" s="19">
        <f t="shared" si="4"/>
        <v>0</v>
      </c>
      <c r="AJ12" s="19">
        <f t="shared" si="5"/>
        <v>0</v>
      </c>
      <c r="AK12" s="19">
        <f t="shared" si="6"/>
        <v>0</v>
      </c>
      <c r="AL12" s="19">
        <f>IF(AB12&gt;2040,Z12+Z12*'Data-CostAssumptions'!$G$5,0)</f>
        <v>2440000</v>
      </c>
    </row>
    <row r="13" spans="1:38" ht="15" customHeight="1" x14ac:dyDescent="0.2">
      <c r="B13" s="11" t="s">
        <v>1211</v>
      </c>
      <c r="C13" s="11">
        <v>10059</v>
      </c>
      <c r="D13" s="13" t="s">
        <v>420</v>
      </c>
      <c r="E13" s="14" t="s">
        <v>298</v>
      </c>
      <c r="F13" s="14">
        <v>143</v>
      </c>
      <c r="G13" s="20">
        <v>981</v>
      </c>
      <c r="H13" s="13" t="s">
        <v>2910</v>
      </c>
      <c r="I13" s="13" t="str">
        <f t="shared" si="7"/>
        <v>SR 816/Oakland Park (@  SR 5/US 1)</v>
      </c>
      <c r="J13" s="11" t="s">
        <v>347</v>
      </c>
      <c r="K13" s="13" t="str">
        <f>VLOOKUP(J13,'Data-ProjectTypes'!A$3:B$13,2,FALSE)</f>
        <v>Project</v>
      </c>
      <c r="L13" s="11" t="s">
        <v>26</v>
      </c>
      <c r="M13" s="11" t="s">
        <v>2835</v>
      </c>
      <c r="N13" s="11" t="s">
        <v>1424</v>
      </c>
      <c r="O13" s="13" t="s">
        <v>365</v>
      </c>
      <c r="P13" s="13" t="s">
        <v>365</v>
      </c>
      <c r="Q13" s="15">
        <v>0</v>
      </c>
      <c r="R13" s="16">
        <v>2000000</v>
      </c>
      <c r="S13" s="12"/>
      <c r="T13" s="12"/>
      <c r="U13" s="12"/>
      <c r="V13" s="12"/>
      <c r="W13" s="12"/>
      <c r="X13" s="12"/>
      <c r="Y13" s="12"/>
      <c r="Z13" s="18">
        <f>ROUND(R13*'Data-CostAssumptions'!$C$8,-3)</f>
        <v>2000000</v>
      </c>
      <c r="AA13" s="11">
        <f t="shared" si="0"/>
        <v>0</v>
      </c>
      <c r="AB13" s="11">
        <v>2041</v>
      </c>
      <c r="AC13" s="11">
        <v>2041</v>
      </c>
      <c r="AD13" s="11">
        <v>2041</v>
      </c>
      <c r="AE13" s="19">
        <f>ROUND((Z13*'Data-CostAssumptions'!$G$5)*(1+'Data-CostAssumptions'!$G$3)^(AB13-'Data-CostAssumptions'!$G$4),-3)</f>
        <v>1128000</v>
      </c>
      <c r="AF13" s="19">
        <f>ROUND((Z13)*(1+'Data-CostAssumptions'!$G$3)^(AD13-'Data-CostAssumptions'!$G$4),-3)</f>
        <v>5128000</v>
      </c>
      <c r="AG13" s="170" t="str">
        <f t="shared" si="2"/>
        <v>No</v>
      </c>
      <c r="AH13" s="19">
        <f t="shared" si="3"/>
        <v>0</v>
      </c>
      <c r="AI13" s="19">
        <f t="shared" si="4"/>
        <v>0</v>
      </c>
      <c r="AJ13" s="19">
        <f t="shared" si="5"/>
        <v>0</v>
      </c>
      <c r="AK13" s="19">
        <f t="shared" si="6"/>
        <v>0</v>
      </c>
      <c r="AL13" s="19">
        <f>IF(AB13&gt;2040,Z13+Z13*'Data-CostAssumptions'!$G$5,0)</f>
        <v>2440000</v>
      </c>
    </row>
    <row r="14" spans="1:38" ht="15" customHeight="1" x14ac:dyDescent="0.2">
      <c r="B14" s="11" t="s">
        <v>1211</v>
      </c>
      <c r="C14" s="11">
        <v>10089</v>
      </c>
      <c r="D14" s="13" t="s">
        <v>276</v>
      </c>
      <c r="E14" s="14" t="s">
        <v>298</v>
      </c>
      <c r="F14" s="14">
        <v>145</v>
      </c>
      <c r="G14" s="20">
        <v>1697</v>
      </c>
      <c r="H14" s="13" t="s">
        <v>2910</v>
      </c>
      <c r="I14" s="13" t="str">
        <f t="shared" si="7"/>
        <v>SR 816/Oakland Park (@  SR A1A)</v>
      </c>
      <c r="J14" s="11" t="s">
        <v>347</v>
      </c>
      <c r="K14" s="13" t="str">
        <f>VLOOKUP(J14,'Data-ProjectTypes'!A$3:B$13,2,FALSE)</f>
        <v>Project</v>
      </c>
      <c r="L14" s="11" t="s">
        <v>26</v>
      </c>
      <c r="M14" s="11" t="s">
        <v>2835</v>
      </c>
      <c r="N14" s="11" t="s">
        <v>110</v>
      </c>
      <c r="O14" s="13" t="s">
        <v>365</v>
      </c>
      <c r="P14" s="13" t="s">
        <v>365</v>
      </c>
      <c r="Q14" s="15">
        <v>0</v>
      </c>
      <c r="R14" s="16">
        <v>2000000</v>
      </c>
      <c r="S14" s="12"/>
      <c r="T14" s="12"/>
      <c r="U14" s="12"/>
      <c r="V14" s="12"/>
      <c r="W14" s="12"/>
      <c r="X14" s="12"/>
      <c r="Y14" s="12"/>
      <c r="Z14" s="18">
        <f>ROUND(R14*'Data-CostAssumptions'!$C$8,-3)</f>
        <v>2000000</v>
      </c>
      <c r="AA14" s="11">
        <f t="shared" si="0"/>
        <v>0</v>
      </c>
      <c r="AB14" s="11">
        <v>2041</v>
      </c>
      <c r="AC14" s="11">
        <v>2041</v>
      </c>
      <c r="AD14" s="11">
        <v>2041</v>
      </c>
      <c r="AE14" s="19">
        <f>ROUND((Z14*'Data-CostAssumptions'!$G$5)*(1+'Data-CostAssumptions'!$G$3)^(AB14-'Data-CostAssumptions'!$G$4),-3)</f>
        <v>1128000</v>
      </c>
      <c r="AF14" s="19">
        <f>ROUND((Z14)*(1+'Data-CostAssumptions'!$G$3)^(AD14-'Data-CostAssumptions'!$G$4),-3)</f>
        <v>5128000</v>
      </c>
      <c r="AG14" s="170" t="str">
        <f t="shared" si="2"/>
        <v>No</v>
      </c>
      <c r="AH14" s="19">
        <f t="shared" si="3"/>
        <v>0</v>
      </c>
      <c r="AI14" s="19">
        <f t="shared" si="4"/>
        <v>0</v>
      </c>
      <c r="AJ14" s="19">
        <f t="shared" si="5"/>
        <v>0</v>
      </c>
      <c r="AK14" s="19">
        <f t="shared" si="6"/>
        <v>0</v>
      </c>
      <c r="AL14" s="19">
        <f>IF(AB14&gt;2040,Z14+Z14*'Data-CostAssumptions'!$G$5,0)</f>
        <v>2440000</v>
      </c>
    </row>
    <row r="15" spans="1:38" ht="15" customHeight="1" x14ac:dyDescent="0.2">
      <c r="B15" s="11" t="s">
        <v>1211</v>
      </c>
      <c r="C15" s="11">
        <v>10072</v>
      </c>
      <c r="D15" s="13" t="s">
        <v>420</v>
      </c>
      <c r="E15" s="14" t="s">
        <v>298</v>
      </c>
      <c r="F15" s="14">
        <v>144</v>
      </c>
      <c r="G15" s="20">
        <v>990</v>
      </c>
      <c r="H15" s="13" t="s">
        <v>2709</v>
      </c>
      <c r="I15" s="13" t="str">
        <f t="shared" si="7"/>
        <v>SR 817/University Dr (@  Oakland Park Bl)</v>
      </c>
      <c r="J15" s="11" t="s">
        <v>347</v>
      </c>
      <c r="K15" s="13" t="str">
        <f>VLOOKUP(J15,'Data-ProjectTypes'!A$3:B$13,2,FALSE)</f>
        <v>Project</v>
      </c>
      <c r="L15" s="11" t="s">
        <v>26</v>
      </c>
      <c r="M15" s="11" t="s">
        <v>2835</v>
      </c>
      <c r="N15" s="11" t="s">
        <v>1825</v>
      </c>
      <c r="O15" s="13" t="s">
        <v>365</v>
      </c>
      <c r="P15" s="13" t="s">
        <v>365</v>
      </c>
      <c r="Q15" s="15">
        <v>0</v>
      </c>
      <c r="R15" s="16">
        <v>2000000</v>
      </c>
      <c r="S15" s="12"/>
      <c r="T15" s="12"/>
      <c r="U15" s="12"/>
      <c r="V15" s="12"/>
      <c r="W15" s="12"/>
      <c r="X15" s="12"/>
      <c r="Y15" s="12"/>
      <c r="Z15" s="18">
        <f>ROUND(R15*'Data-CostAssumptions'!$C$8,-3)</f>
        <v>2000000</v>
      </c>
      <c r="AA15" s="11">
        <f t="shared" si="0"/>
        <v>0</v>
      </c>
      <c r="AB15" s="11">
        <v>2041</v>
      </c>
      <c r="AC15" s="11">
        <v>2041</v>
      </c>
      <c r="AD15" s="11">
        <v>2041</v>
      </c>
      <c r="AE15" s="19">
        <f>ROUND((Z15*'Data-CostAssumptions'!$G$5)*(1+'Data-CostAssumptions'!$G$3)^(AB15-'Data-CostAssumptions'!$G$4),-3)</f>
        <v>1128000</v>
      </c>
      <c r="AF15" s="19">
        <f>ROUND((Z15)*(1+'Data-CostAssumptions'!$G$3)^(AD15-'Data-CostAssumptions'!$G$4),-3)</f>
        <v>5128000</v>
      </c>
      <c r="AG15" s="170" t="str">
        <f t="shared" si="2"/>
        <v>No</v>
      </c>
      <c r="AH15" s="19">
        <f t="shared" si="3"/>
        <v>0</v>
      </c>
      <c r="AI15" s="19">
        <f t="shared" si="4"/>
        <v>0</v>
      </c>
      <c r="AJ15" s="19">
        <f t="shared" si="5"/>
        <v>0</v>
      </c>
      <c r="AK15" s="19">
        <f t="shared" si="6"/>
        <v>0</v>
      </c>
      <c r="AL15" s="19">
        <f>IF(AB15&gt;2040,Z15+Z15*'Data-CostAssumptions'!$G$5,0)</f>
        <v>2440000</v>
      </c>
    </row>
    <row r="16" spans="1:38" ht="15" customHeight="1" x14ac:dyDescent="0.2">
      <c r="B16" s="11" t="s">
        <v>1211</v>
      </c>
      <c r="C16" s="11">
        <v>10063</v>
      </c>
      <c r="D16" s="13" t="s">
        <v>420</v>
      </c>
      <c r="E16" s="14" t="s">
        <v>298</v>
      </c>
      <c r="F16" s="14">
        <v>143</v>
      </c>
      <c r="G16" s="20">
        <v>988</v>
      </c>
      <c r="H16" s="13" t="s">
        <v>2709</v>
      </c>
      <c r="I16" s="13" t="str">
        <f t="shared" si="7"/>
        <v>SR 817/University Dr (@  Sunrise Bl)</v>
      </c>
      <c r="J16" s="11" t="s">
        <v>347</v>
      </c>
      <c r="K16" s="13" t="str">
        <f>VLOOKUP(J16,'Data-ProjectTypes'!A$3:B$13,2,FALSE)</f>
        <v>Project</v>
      </c>
      <c r="L16" s="11" t="s">
        <v>26</v>
      </c>
      <c r="M16" s="11" t="s">
        <v>2835</v>
      </c>
      <c r="N16" s="11" t="s">
        <v>1830</v>
      </c>
      <c r="O16" s="13" t="s">
        <v>365</v>
      </c>
      <c r="P16" s="13" t="s">
        <v>365</v>
      </c>
      <c r="Q16" s="15">
        <v>0</v>
      </c>
      <c r="R16" s="16">
        <v>2000000</v>
      </c>
      <c r="V16" s="85"/>
      <c r="Y16" s="12"/>
      <c r="Z16" s="18">
        <f>ROUND(R16*'Data-CostAssumptions'!$C$8,-3)</f>
        <v>2000000</v>
      </c>
      <c r="AA16" s="11">
        <f t="shared" si="0"/>
        <v>0</v>
      </c>
      <c r="AB16" s="11">
        <v>2041</v>
      </c>
      <c r="AC16" s="11">
        <v>2041</v>
      </c>
      <c r="AD16" s="11">
        <v>2041</v>
      </c>
      <c r="AE16" s="19">
        <f>ROUND((Z16*'Data-CostAssumptions'!$G$5)*(1+'Data-CostAssumptions'!$G$3)^(AB16-'Data-CostAssumptions'!$G$4),-3)</f>
        <v>1128000</v>
      </c>
      <c r="AF16" s="19">
        <f>ROUND((Z16)*(1+'Data-CostAssumptions'!$G$3)^(AD16-'Data-CostAssumptions'!$G$4),-3)</f>
        <v>5128000</v>
      </c>
      <c r="AG16" s="170" t="str">
        <f t="shared" si="2"/>
        <v>No</v>
      </c>
      <c r="AH16" s="19">
        <f t="shared" si="3"/>
        <v>0</v>
      </c>
      <c r="AI16" s="19">
        <f t="shared" si="4"/>
        <v>0</v>
      </c>
      <c r="AJ16" s="19">
        <f t="shared" si="5"/>
        <v>0</v>
      </c>
      <c r="AK16" s="19">
        <f t="shared" si="6"/>
        <v>0</v>
      </c>
      <c r="AL16" s="19">
        <f>IF(AB16&gt;2040,Z16+Z16*'Data-CostAssumptions'!$G$5,0)</f>
        <v>2440000</v>
      </c>
    </row>
    <row r="17" spans="1:38" ht="15" customHeight="1" x14ac:dyDescent="0.2">
      <c r="B17" s="11" t="s">
        <v>1211</v>
      </c>
      <c r="C17" s="11">
        <v>10069</v>
      </c>
      <c r="D17" s="13" t="s">
        <v>420</v>
      </c>
      <c r="E17" s="14" t="s">
        <v>298</v>
      </c>
      <c r="F17" s="14">
        <v>144</v>
      </c>
      <c r="G17" s="20">
        <v>1001</v>
      </c>
      <c r="H17" s="13" t="s">
        <v>2813</v>
      </c>
      <c r="I17" s="13" t="str">
        <f t="shared" si="7"/>
        <v>SR 820/Hollywood Bl (@  SR A1A)</v>
      </c>
      <c r="J17" s="11" t="s">
        <v>347</v>
      </c>
      <c r="K17" s="13" t="str">
        <f>VLOOKUP(J17,'Data-ProjectTypes'!A$3:B$13,2,FALSE)</f>
        <v>Project</v>
      </c>
      <c r="L17" s="11" t="s">
        <v>26</v>
      </c>
      <c r="M17" s="11" t="s">
        <v>2835</v>
      </c>
      <c r="N17" s="11" t="s">
        <v>110</v>
      </c>
      <c r="O17" s="13" t="s">
        <v>365</v>
      </c>
      <c r="P17" s="13" t="s">
        <v>365</v>
      </c>
      <c r="Q17" s="15">
        <v>0</v>
      </c>
      <c r="R17" s="16">
        <v>2000000</v>
      </c>
      <c r="S17" s="12"/>
      <c r="T17" s="12"/>
      <c r="U17" s="12"/>
      <c r="V17" s="12"/>
      <c r="W17" s="12"/>
      <c r="X17" s="12"/>
      <c r="Y17" s="12"/>
      <c r="Z17" s="18">
        <f>ROUND(R17*'Data-CostAssumptions'!$C$8,-3)</f>
        <v>2000000</v>
      </c>
      <c r="AA17" s="11">
        <f t="shared" si="0"/>
        <v>0</v>
      </c>
      <c r="AB17" s="11">
        <v>2041</v>
      </c>
      <c r="AC17" s="11">
        <v>2041</v>
      </c>
      <c r="AD17" s="11">
        <v>2041</v>
      </c>
      <c r="AE17" s="19">
        <f>ROUND((Z17*'Data-CostAssumptions'!$G$5)*(1+'Data-CostAssumptions'!$G$3)^(AB17-'Data-CostAssumptions'!$G$4),-3)</f>
        <v>1128000</v>
      </c>
      <c r="AF17" s="19">
        <f>ROUND((Z17)*(1+'Data-CostAssumptions'!$G$3)^(AD17-'Data-CostAssumptions'!$G$4),-3)</f>
        <v>5128000</v>
      </c>
      <c r="AG17" s="170" t="str">
        <f t="shared" si="2"/>
        <v>No</v>
      </c>
      <c r="AH17" s="19">
        <f t="shared" si="3"/>
        <v>0</v>
      </c>
      <c r="AI17" s="19">
        <f t="shared" si="4"/>
        <v>0</v>
      </c>
      <c r="AJ17" s="19">
        <f t="shared" si="5"/>
        <v>0</v>
      </c>
      <c r="AK17" s="19">
        <f t="shared" si="6"/>
        <v>0</v>
      </c>
      <c r="AL17" s="19">
        <f>IF(AB17&gt;2040,Z17+Z17*'Data-CostAssumptions'!$G$5,0)</f>
        <v>2440000</v>
      </c>
    </row>
    <row r="18" spans="1:38" ht="15" customHeight="1" x14ac:dyDescent="0.2">
      <c r="B18" s="11" t="s">
        <v>1211</v>
      </c>
      <c r="C18" s="11">
        <v>10060</v>
      </c>
      <c r="D18" s="13" t="s">
        <v>420</v>
      </c>
      <c r="E18" s="14" t="s">
        <v>298</v>
      </c>
      <c r="F18" s="14">
        <v>143</v>
      </c>
      <c r="G18" s="20">
        <v>1002</v>
      </c>
      <c r="H18" s="13" t="s">
        <v>2717</v>
      </c>
      <c r="I18" s="13" t="str">
        <f t="shared" si="7"/>
        <v>SR 820/Pines Bl (@  I-75)</v>
      </c>
      <c r="J18" s="11" t="s">
        <v>347</v>
      </c>
      <c r="K18" s="13" t="str">
        <f>VLOOKUP(J18,'Data-ProjectTypes'!A$3:B$13,2,FALSE)</f>
        <v>Project</v>
      </c>
      <c r="L18" s="11" t="s">
        <v>26</v>
      </c>
      <c r="M18" s="11" t="s">
        <v>2835</v>
      </c>
      <c r="N18" s="11" t="s">
        <v>31</v>
      </c>
      <c r="O18" s="13" t="s">
        <v>365</v>
      </c>
      <c r="P18" s="13" t="s">
        <v>365</v>
      </c>
      <c r="Q18" s="15">
        <v>0</v>
      </c>
      <c r="R18" s="16">
        <v>2000000</v>
      </c>
      <c r="S18" s="12"/>
      <c r="T18" s="12"/>
      <c r="U18" s="12"/>
      <c r="V18" s="12"/>
      <c r="W18" s="12"/>
      <c r="X18" s="12"/>
      <c r="Y18" s="12"/>
      <c r="Z18" s="18">
        <f>ROUND(R18*'Data-CostAssumptions'!$C$8,-3)</f>
        <v>2000000</v>
      </c>
      <c r="AA18" s="11">
        <f t="shared" si="0"/>
        <v>0</v>
      </c>
      <c r="AB18" s="11">
        <v>2041</v>
      </c>
      <c r="AC18" s="11">
        <v>2041</v>
      </c>
      <c r="AD18" s="11">
        <v>2041</v>
      </c>
      <c r="AE18" s="19">
        <f>ROUND((Z18*'Data-CostAssumptions'!$G$5)*(1+'Data-CostAssumptions'!$G$3)^(AB18-'Data-CostAssumptions'!$G$4),-3)</f>
        <v>1128000</v>
      </c>
      <c r="AF18" s="19">
        <f>ROUND((Z18)*(1+'Data-CostAssumptions'!$G$3)^(AD18-'Data-CostAssumptions'!$G$4),-3)</f>
        <v>5128000</v>
      </c>
      <c r="AG18" s="170" t="str">
        <f t="shared" si="2"/>
        <v>No</v>
      </c>
      <c r="AH18" s="19">
        <f t="shared" si="3"/>
        <v>0</v>
      </c>
      <c r="AI18" s="19">
        <f t="shared" si="4"/>
        <v>0</v>
      </c>
      <c r="AJ18" s="19">
        <f t="shared" si="5"/>
        <v>0</v>
      </c>
      <c r="AK18" s="19">
        <f t="shared" si="6"/>
        <v>0</v>
      </c>
      <c r="AL18" s="19">
        <f>IF(AB18&gt;2040,Z18+Z18*'Data-CostAssumptions'!$G$5,0)</f>
        <v>2440000</v>
      </c>
    </row>
    <row r="19" spans="1:38" ht="15" customHeight="1" x14ac:dyDescent="0.2">
      <c r="B19" s="11" t="s">
        <v>1211</v>
      </c>
      <c r="C19" s="11">
        <v>10061</v>
      </c>
      <c r="D19" s="13" t="s">
        <v>420</v>
      </c>
      <c r="E19" s="14" t="s">
        <v>298</v>
      </c>
      <c r="F19" s="14">
        <v>143</v>
      </c>
      <c r="G19" s="20">
        <v>1009</v>
      </c>
      <c r="H19" s="13" t="s">
        <v>2787</v>
      </c>
      <c r="I19" s="13" t="str">
        <f t="shared" si="7"/>
        <v>SR 822/Sheridan St (@  CSX/Tri-Rail)</v>
      </c>
      <c r="J19" s="11" t="s">
        <v>347</v>
      </c>
      <c r="K19" s="13" t="str">
        <f>VLOOKUP(J19,'Data-ProjectTypes'!A$3:B$13,2,FALSE)</f>
        <v>Project</v>
      </c>
      <c r="L19" s="11" t="s">
        <v>26</v>
      </c>
      <c r="M19" s="11" t="s">
        <v>2835</v>
      </c>
      <c r="N19" s="11" t="s">
        <v>2904</v>
      </c>
      <c r="O19" s="13" t="s">
        <v>365</v>
      </c>
      <c r="P19" s="13" t="s">
        <v>365</v>
      </c>
      <c r="Q19" s="15">
        <v>0</v>
      </c>
      <c r="R19" s="16">
        <v>2000000</v>
      </c>
      <c r="S19" s="12"/>
      <c r="T19" s="12"/>
      <c r="U19" s="12"/>
      <c r="V19" s="12"/>
      <c r="W19" s="12"/>
      <c r="X19" s="12"/>
      <c r="Y19" s="12"/>
      <c r="Z19" s="18">
        <f>ROUND(R19*'Data-CostAssumptions'!$C$8,-3)</f>
        <v>2000000</v>
      </c>
      <c r="AA19" s="11">
        <f t="shared" si="0"/>
        <v>0</v>
      </c>
      <c r="AB19" s="11">
        <v>2041</v>
      </c>
      <c r="AC19" s="11">
        <v>2041</v>
      </c>
      <c r="AD19" s="11">
        <v>2041</v>
      </c>
      <c r="AE19" s="19">
        <f>ROUND((Z19*'Data-CostAssumptions'!$G$5)*(1+'Data-CostAssumptions'!$G$3)^(AB19-'Data-CostAssumptions'!$G$4),-3)</f>
        <v>1128000</v>
      </c>
      <c r="AF19" s="19">
        <f>ROUND((Z19)*(1+'Data-CostAssumptions'!$G$3)^(AD19-'Data-CostAssumptions'!$G$4),-3)</f>
        <v>5128000</v>
      </c>
      <c r="AG19" s="170" t="str">
        <f t="shared" si="2"/>
        <v>No</v>
      </c>
      <c r="AH19" s="19">
        <f t="shared" si="3"/>
        <v>0</v>
      </c>
      <c r="AI19" s="19">
        <f t="shared" si="4"/>
        <v>0</v>
      </c>
      <c r="AJ19" s="19">
        <f t="shared" si="5"/>
        <v>0</v>
      </c>
      <c r="AK19" s="19">
        <f t="shared" si="6"/>
        <v>0</v>
      </c>
      <c r="AL19" s="19">
        <f>IF(AB19&gt;2040,Z19+Z19*'Data-CostAssumptions'!$G$5,0)</f>
        <v>2440000</v>
      </c>
    </row>
    <row r="20" spans="1:38" ht="15" customHeight="1" x14ac:dyDescent="0.2">
      <c r="B20" s="11" t="s">
        <v>1211</v>
      </c>
      <c r="C20" s="11">
        <v>10023</v>
      </c>
      <c r="D20" s="13" t="s">
        <v>420</v>
      </c>
      <c r="E20" s="14" t="s">
        <v>298</v>
      </c>
      <c r="F20" s="14">
        <v>141</v>
      </c>
      <c r="G20" s="20">
        <v>1008</v>
      </c>
      <c r="H20" s="13" t="s">
        <v>2787</v>
      </c>
      <c r="I20" s="13" t="str">
        <f t="shared" si="7"/>
        <v>SR 822/Sheridan St (@  SR 5/US 1)</v>
      </c>
      <c r="J20" s="11" t="s">
        <v>347</v>
      </c>
      <c r="K20" s="13" t="str">
        <f>VLOOKUP(J20,'Data-ProjectTypes'!A$3:B$13,2,FALSE)</f>
        <v>Project</v>
      </c>
      <c r="L20" s="11" t="s">
        <v>26</v>
      </c>
      <c r="M20" s="11" t="s">
        <v>2835</v>
      </c>
      <c r="N20" s="11" t="s">
        <v>1424</v>
      </c>
      <c r="O20" s="13" t="s">
        <v>365</v>
      </c>
      <c r="P20" s="13" t="s">
        <v>365</v>
      </c>
      <c r="Q20" s="15">
        <v>0</v>
      </c>
      <c r="R20" s="16">
        <v>2000000</v>
      </c>
      <c r="S20" s="12"/>
      <c r="T20" s="12"/>
      <c r="U20" s="12"/>
      <c r="V20" s="12"/>
      <c r="W20" s="12"/>
      <c r="X20" s="12"/>
      <c r="Y20" s="12"/>
      <c r="Z20" s="18">
        <f>ROUND(R20*'Data-CostAssumptions'!$C$8,-3)</f>
        <v>2000000</v>
      </c>
      <c r="AA20" s="11">
        <f t="shared" si="0"/>
        <v>0</v>
      </c>
      <c r="AB20" s="11">
        <v>2041</v>
      </c>
      <c r="AC20" s="11">
        <v>2041</v>
      </c>
      <c r="AD20" s="11">
        <v>2041</v>
      </c>
      <c r="AE20" s="19">
        <f>ROUND((Z20*'Data-CostAssumptions'!$G$5)*(1+'Data-CostAssumptions'!$G$3)^(AB20-'Data-CostAssumptions'!$G$4),-3)</f>
        <v>1128000</v>
      </c>
      <c r="AF20" s="19">
        <f>ROUND((Z20)*(1+'Data-CostAssumptions'!$G$3)^(AD20-'Data-CostAssumptions'!$G$4),-3)</f>
        <v>5128000</v>
      </c>
      <c r="AG20" s="170" t="str">
        <f t="shared" si="2"/>
        <v>No</v>
      </c>
      <c r="AH20" s="19">
        <f t="shared" si="3"/>
        <v>0</v>
      </c>
      <c r="AI20" s="19">
        <f t="shared" si="4"/>
        <v>0</v>
      </c>
      <c r="AJ20" s="19">
        <f t="shared" si="5"/>
        <v>0</v>
      </c>
      <c r="AK20" s="19">
        <f t="shared" si="6"/>
        <v>0</v>
      </c>
      <c r="AL20" s="19">
        <f>IF(AB20&gt;2040,Z20+Z20*'Data-CostAssumptions'!$G$5,0)</f>
        <v>2440000</v>
      </c>
    </row>
    <row r="21" spans="1:38" ht="15" customHeight="1" x14ac:dyDescent="0.2">
      <c r="B21" s="11" t="s">
        <v>1211</v>
      </c>
      <c r="C21" s="11">
        <v>10070</v>
      </c>
      <c r="D21" s="13" t="s">
        <v>420</v>
      </c>
      <c r="E21" s="14" t="s">
        <v>298</v>
      </c>
      <c r="F21" s="14">
        <v>144</v>
      </c>
      <c r="G21" s="20">
        <v>1017</v>
      </c>
      <c r="H21" s="13" t="s">
        <v>2793</v>
      </c>
      <c r="I21" s="13" t="str">
        <f t="shared" si="7"/>
        <v>SR 834/Sample Rd (@  CSX/Tri-Rail)</v>
      </c>
      <c r="J21" s="11" t="s">
        <v>347</v>
      </c>
      <c r="K21" s="13" t="str">
        <f>VLOOKUP(J21,'Data-ProjectTypes'!A$3:B$13,2,FALSE)</f>
        <v>Project</v>
      </c>
      <c r="L21" s="11" t="s">
        <v>26</v>
      </c>
      <c r="M21" s="11" t="s">
        <v>2835</v>
      </c>
      <c r="N21" s="11" t="s">
        <v>2904</v>
      </c>
      <c r="O21" s="13" t="s">
        <v>365</v>
      </c>
      <c r="P21" s="13" t="s">
        <v>365</v>
      </c>
      <c r="Q21" s="15">
        <v>0</v>
      </c>
      <c r="R21" s="16">
        <v>2000000</v>
      </c>
      <c r="S21" s="12"/>
      <c r="T21" s="12"/>
      <c r="U21" s="12"/>
      <c r="V21" s="12"/>
      <c r="W21" s="12"/>
      <c r="X21" s="12"/>
      <c r="Y21" s="12"/>
      <c r="Z21" s="18">
        <f>ROUND(R21*'Data-CostAssumptions'!$C$8,-3)</f>
        <v>2000000</v>
      </c>
      <c r="AA21" s="11">
        <f t="shared" si="0"/>
        <v>0</v>
      </c>
      <c r="AB21" s="11">
        <v>2041</v>
      </c>
      <c r="AC21" s="11">
        <v>2041</v>
      </c>
      <c r="AD21" s="11">
        <v>2041</v>
      </c>
      <c r="AE21" s="19">
        <f>ROUND((Z21*'Data-CostAssumptions'!$G$5)*(1+'Data-CostAssumptions'!$G$3)^(AB21-'Data-CostAssumptions'!$G$4),-3)</f>
        <v>1128000</v>
      </c>
      <c r="AF21" s="19">
        <f>ROUND((Z21)*(1+'Data-CostAssumptions'!$G$3)^(AD21-'Data-CostAssumptions'!$G$4),-3)</f>
        <v>5128000</v>
      </c>
      <c r="AG21" s="170" t="str">
        <f t="shared" si="2"/>
        <v>No</v>
      </c>
      <c r="AH21" s="19">
        <f t="shared" si="3"/>
        <v>0</v>
      </c>
      <c r="AI21" s="19">
        <f t="shared" si="4"/>
        <v>0</v>
      </c>
      <c r="AJ21" s="19">
        <f t="shared" si="5"/>
        <v>0</v>
      </c>
      <c r="AK21" s="19">
        <f t="shared" si="6"/>
        <v>0</v>
      </c>
      <c r="AL21" s="19">
        <f>IF(AB21&gt;2040,Z21+Z21*'Data-CostAssumptions'!$G$5,0)</f>
        <v>2440000</v>
      </c>
    </row>
    <row r="22" spans="1:38" ht="15" customHeight="1" x14ac:dyDescent="0.2">
      <c r="B22" s="11" t="s">
        <v>1211</v>
      </c>
      <c r="C22" s="11">
        <v>10031</v>
      </c>
      <c r="D22" s="13" t="s">
        <v>420</v>
      </c>
      <c r="E22" s="14" t="s">
        <v>298</v>
      </c>
      <c r="F22" s="14">
        <v>141</v>
      </c>
      <c r="G22" s="20">
        <v>1024</v>
      </c>
      <c r="H22" s="13" t="s">
        <v>2728</v>
      </c>
      <c r="I22" s="13" t="str">
        <f t="shared" si="7"/>
        <v>SR 838/Sunrise Bl (@  Andrews Av)</v>
      </c>
      <c r="J22" s="11" t="s">
        <v>347</v>
      </c>
      <c r="K22" s="13" t="str">
        <f>VLOOKUP(J22,'Data-ProjectTypes'!A$3:B$13,2,FALSE)</f>
        <v>Project</v>
      </c>
      <c r="L22" s="11" t="s">
        <v>26</v>
      </c>
      <c r="M22" s="11" t="s">
        <v>2835</v>
      </c>
      <c r="N22" s="11" t="s">
        <v>2014</v>
      </c>
      <c r="O22" s="13" t="s">
        <v>365</v>
      </c>
      <c r="P22" s="13" t="s">
        <v>365</v>
      </c>
      <c r="Q22" s="15">
        <v>0</v>
      </c>
      <c r="R22" s="16">
        <v>2000000</v>
      </c>
      <c r="S22" s="12"/>
      <c r="T22" s="12"/>
      <c r="U22" s="12"/>
      <c r="V22" s="12"/>
      <c r="W22" s="12"/>
      <c r="X22" s="12"/>
      <c r="Y22" s="12"/>
      <c r="Z22" s="18">
        <f>ROUND(R22*'Data-CostAssumptions'!$C$8,-3)</f>
        <v>2000000</v>
      </c>
      <c r="AA22" s="11">
        <f t="shared" si="0"/>
        <v>0</v>
      </c>
      <c r="AB22" s="11">
        <v>2041</v>
      </c>
      <c r="AC22" s="11">
        <v>2041</v>
      </c>
      <c r="AD22" s="11">
        <v>2041</v>
      </c>
      <c r="AE22" s="19">
        <f>ROUND((Z22*'Data-CostAssumptions'!$G$5)*(1+'Data-CostAssumptions'!$G$3)^(AB22-'Data-CostAssumptions'!$G$4),-3)</f>
        <v>1128000</v>
      </c>
      <c r="AF22" s="19">
        <f>ROUND((Z22)*(1+'Data-CostAssumptions'!$G$3)^(AD22-'Data-CostAssumptions'!$G$4),-3)</f>
        <v>5128000</v>
      </c>
      <c r="AG22" s="170" t="str">
        <f t="shared" si="2"/>
        <v>No</v>
      </c>
      <c r="AH22" s="19">
        <f t="shared" si="3"/>
        <v>0</v>
      </c>
      <c r="AI22" s="19">
        <f t="shared" si="4"/>
        <v>0</v>
      </c>
      <c r="AJ22" s="19">
        <f t="shared" si="5"/>
        <v>0</v>
      </c>
      <c r="AK22" s="19">
        <f t="shared" si="6"/>
        <v>0</v>
      </c>
      <c r="AL22" s="19">
        <f>IF(AB22&gt;2040,Z22+Z22*'Data-CostAssumptions'!$G$5,0)</f>
        <v>2440000</v>
      </c>
    </row>
    <row r="23" spans="1:38" ht="15" customHeight="1" x14ac:dyDescent="0.2">
      <c r="B23" s="11" t="s">
        <v>1211</v>
      </c>
      <c r="C23" s="11">
        <v>10092</v>
      </c>
      <c r="D23" s="84" t="s">
        <v>276</v>
      </c>
      <c r="E23" s="14" t="s">
        <v>298</v>
      </c>
      <c r="F23" s="14">
        <v>145</v>
      </c>
      <c r="G23" s="20">
        <v>1700</v>
      </c>
      <c r="H23" s="13" t="s">
        <v>2728</v>
      </c>
      <c r="I23" s="13" t="str">
        <f t="shared" si="7"/>
        <v>SR 838/Sunrise Bl (@  SR A1A)</v>
      </c>
      <c r="J23" s="84" t="s">
        <v>347</v>
      </c>
      <c r="K23" s="13" t="str">
        <f>VLOOKUP(J23,'Data-ProjectTypes'!A$3:B$13,2,FALSE)</f>
        <v>Project</v>
      </c>
      <c r="L23" s="85" t="s">
        <v>26</v>
      </c>
      <c r="M23" s="85" t="s">
        <v>2835</v>
      </c>
      <c r="N23" s="84" t="s">
        <v>110</v>
      </c>
      <c r="O23" s="84" t="s">
        <v>365</v>
      </c>
      <c r="P23" s="85" t="s">
        <v>365</v>
      </c>
      <c r="Q23" s="15">
        <v>0</v>
      </c>
      <c r="R23" s="16">
        <v>2000000</v>
      </c>
      <c r="S23" s="12"/>
      <c r="T23" s="12"/>
      <c r="U23" s="12"/>
      <c r="V23" s="12"/>
      <c r="W23" s="12"/>
      <c r="X23" s="12"/>
      <c r="Y23" s="12"/>
      <c r="Z23" s="18">
        <f>ROUND(R23*'Data-CostAssumptions'!$C$8,-3)</f>
        <v>2000000</v>
      </c>
      <c r="AA23" s="11">
        <f t="shared" si="0"/>
        <v>0</v>
      </c>
      <c r="AB23" s="11">
        <v>2041</v>
      </c>
      <c r="AC23" s="11">
        <v>2041</v>
      </c>
      <c r="AD23" s="11">
        <v>2041</v>
      </c>
      <c r="AE23" s="19">
        <f>ROUND((Z23*'Data-CostAssumptions'!$G$5)*(1+'Data-CostAssumptions'!$G$3)^(AB23-'Data-CostAssumptions'!$G$4),-3)</f>
        <v>1128000</v>
      </c>
      <c r="AF23" s="19">
        <f>ROUND((Z23)*(1+'Data-CostAssumptions'!$G$3)^(AD23-'Data-CostAssumptions'!$G$4),-3)</f>
        <v>5128000</v>
      </c>
      <c r="AG23" s="170" t="str">
        <f t="shared" si="2"/>
        <v>No</v>
      </c>
      <c r="AH23" s="19">
        <f t="shared" si="3"/>
        <v>0</v>
      </c>
      <c r="AI23" s="19">
        <f t="shared" si="4"/>
        <v>0</v>
      </c>
      <c r="AJ23" s="19">
        <f t="shared" si="5"/>
        <v>0</v>
      </c>
      <c r="AK23" s="19">
        <f t="shared" si="6"/>
        <v>0</v>
      </c>
      <c r="AL23" s="19">
        <f>IF(AB23&gt;2040,Z23+Z23*'Data-CostAssumptions'!$G$5,0)</f>
        <v>2440000</v>
      </c>
    </row>
    <row r="24" spans="1:38" ht="15" customHeight="1" x14ac:dyDescent="0.2">
      <c r="B24" s="11" t="s">
        <v>1211</v>
      </c>
      <c r="C24" s="11">
        <v>10062</v>
      </c>
      <c r="D24" s="13" t="s">
        <v>420</v>
      </c>
      <c r="E24" s="14" t="s">
        <v>298</v>
      </c>
      <c r="F24" s="14">
        <v>143</v>
      </c>
      <c r="G24" s="20">
        <v>1029</v>
      </c>
      <c r="H24" s="13" t="s">
        <v>45</v>
      </c>
      <c r="I24" s="13" t="str">
        <f t="shared" si="7"/>
        <v>SR 84 (@  Andrews Av)</v>
      </c>
      <c r="J24" s="11" t="s">
        <v>347</v>
      </c>
      <c r="K24" s="13" t="str">
        <f>VLOOKUP(J24,'Data-ProjectTypes'!A$3:B$13,2,FALSE)</f>
        <v>Project</v>
      </c>
      <c r="L24" s="11" t="s">
        <v>26</v>
      </c>
      <c r="M24" s="11" t="s">
        <v>2835</v>
      </c>
      <c r="N24" s="11" t="s">
        <v>2014</v>
      </c>
      <c r="O24" s="13" t="s">
        <v>365</v>
      </c>
      <c r="P24" s="13" t="s">
        <v>365</v>
      </c>
      <c r="Q24" s="15">
        <v>0</v>
      </c>
      <c r="R24" s="16">
        <v>2000000</v>
      </c>
      <c r="S24" s="12"/>
      <c r="T24" s="12"/>
      <c r="U24" s="12"/>
      <c r="V24" s="12"/>
      <c r="W24" s="12"/>
      <c r="X24" s="12"/>
      <c r="Y24" s="12"/>
      <c r="Z24" s="18">
        <f>ROUND(R24*'Data-CostAssumptions'!$C$8,-3)</f>
        <v>2000000</v>
      </c>
      <c r="AA24" s="11">
        <f t="shared" si="0"/>
        <v>0</v>
      </c>
      <c r="AB24" s="11">
        <v>2041</v>
      </c>
      <c r="AC24" s="11">
        <v>2041</v>
      </c>
      <c r="AD24" s="11">
        <v>2041</v>
      </c>
      <c r="AE24" s="19">
        <f>ROUND((Z24*'Data-CostAssumptions'!$G$5)*(1+'Data-CostAssumptions'!$G$3)^(AB24-'Data-CostAssumptions'!$G$4),-3)</f>
        <v>1128000</v>
      </c>
      <c r="AF24" s="19">
        <f>ROUND((Z24)*(1+'Data-CostAssumptions'!$G$3)^(AD24-'Data-CostAssumptions'!$G$4),-3)</f>
        <v>5128000</v>
      </c>
      <c r="AG24" s="170" t="str">
        <f t="shared" si="2"/>
        <v>No</v>
      </c>
      <c r="AH24" s="19">
        <f t="shared" si="3"/>
        <v>0</v>
      </c>
      <c r="AI24" s="19">
        <f t="shared" si="4"/>
        <v>0</v>
      </c>
      <c r="AJ24" s="19">
        <f t="shared" si="5"/>
        <v>0</v>
      </c>
      <c r="AK24" s="19">
        <f t="shared" si="6"/>
        <v>0</v>
      </c>
      <c r="AL24" s="19">
        <f>IF(AB24&gt;2040,Z24+Z24*'Data-CostAssumptions'!$G$5,0)</f>
        <v>2440000</v>
      </c>
    </row>
    <row r="25" spans="1:38" ht="15" customHeight="1" x14ac:dyDescent="0.2">
      <c r="B25" s="11" t="s">
        <v>1211</v>
      </c>
      <c r="C25" s="11">
        <v>10036</v>
      </c>
      <c r="D25" s="84" t="s">
        <v>420</v>
      </c>
      <c r="E25" s="14" t="s">
        <v>298</v>
      </c>
      <c r="F25" s="14">
        <v>142</v>
      </c>
      <c r="G25" s="20">
        <v>1033</v>
      </c>
      <c r="H25" s="13" t="s">
        <v>2798</v>
      </c>
      <c r="I25" s="13" t="str">
        <f t="shared" si="7"/>
        <v>SR 842/Broward Bl (@  Pine Island Rd)</v>
      </c>
      <c r="J25" s="84" t="s">
        <v>347</v>
      </c>
      <c r="K25" s="13" t="str">
        <f>VLOOKUP(J25,'Data-ProjectTypes'!A$3:B$13,2,FALSE)</f>
        <v>Project</v>
      </c>
      <c r="L25" s="85" t="s">
        <v>26</v>
      </c>
      <c r="M25" s="85" t="s">
        <v>2835</v>
      </c>
      <c r="N25" s="84" t="s">
        <v>266</v>
      </c>
      <c r="O25" s="84" t="s">
        <v>365</v>
      </c>
      <c r="P25" s="85" t="s">
        <v>365</v>
      </c>
      <c r="Q25" s="15">
        <v>0</v>
      </c>
      <c r="R25" s="16">
        <v>2000000</v>
      </c>
      <c r="V25" s="85" t="s">
        <v>533</v>
      </c>
      <c r="Y25" s="12"/>
      <c r="Z25" s="18">
        <f>ROUND(R25*'Data-CostAssumptions'!$C$9,-3)</f>
        <v>2000000</v>
      </c>
      <c r="AA25" s="11">
        <f t="shared" si="0"/>
        <v>1</v>
      </c>
      <c r="AB25" s="11">
        <v>2041</v>
      </c>
      <c r="AC25" s="11">
        <v>2041</v>
      </c>
      <c r="AD25" s="11">
        <v>2041</v>
      </c>
      <c r="AE25" s="19">
        <f>ROUND((Z25*'Data-CostAssumptions'!$G$5)*(1+'Data-CostAssumptions'!$G$3)^(AB25-'Data-CostAssumptions'!$G$4),-3)</f>
        <v>1128000</v>
      </c>
      <c r="AF25" s="19">
        <f>ROUND((Z25)*(1+'Data-CostAssumptions'!$G$3)^(AD25-'Data-CostAssumptions'!$G$4),-3)</f>
        <v>5128000</v>
      </c>
      <c r="AG25" s="170" t="str">
        <f t="shared" si="2"/>
        <v>No</v>
      </c>
      <c r="AH25" s="19">
        <f t="shared" si="3"/>
        <v>0</v>
      </c>
      <c r="AI25" s="19">
        <f t="shared" si="4"/>
        <v>0</v>
      </c>
      <c r="AJ25" s="19">
        <f t="shared" si="5"/>
        <v>0</v>
      </c>
      <c r="AK25" s="19">
        <f t="shared" si="6"/>
        <v>0</v>
      </c>
      <c r="AL25" s="19">
        <f>IF(AB25&gt;2040,Z25+Z25*'Data-CostAssumptions'!$G$5,0)</f>
        <v>2440000</v>
      </c>
    </row>
    <row r="26" spans="1:38" ht="15" customHeight="1" x14ac:dyDescent="0.2">
      <c r="B26" s="11" t="s">
        <v>1211</v>
      </c>
      <c r="C26" s="11">
        <v>10047</v>
      </c>
      <c r="D26" s="13" t="s">
        <v>420</v>
      </c>
      <c r="E26" s="14" t="s">
        <v>298</v>
      </c>
      <c r="F26" s="14">
        <v>142</v>
      </c>
      <c r="G26" s="20">
        <v>1042</v>
      </c>
      <c r="H26" s="13" t="s">
        <v>2740</v>
      </c>
      <c r="I26" s="13" t="str">
        <f t="shared" si="7"/>
        <v>SR 862/I-595 (@  Pine Island Rd)</v>
      </c>
      <c r="J26" s="11" t="s">
        <v>347</v>
      </c>
      <c r="K26" s="13" t="str">
        <f>VLOOKUP(J26,'Data-ProjectTypes'!A$3:B$13,2,FALSE)</f>
        <v>Project</v>
      </c>
      <c r="L26" s="11" t="s">
        <v>26</v>
      </c>
      <c r="M26" s="11" t="s">
        <v>2835</v>
      </c>
      <c r="N26" s="11" t="s">
        <v>266</v>
      </c>
      <c r="O26" s="13" t="s">
        <v>365</v>
      </c>
      <c r="P26" s="13" t="s">
        <v>365</v>
      </c>
      <c r="Q26" s="15">
        <v>0</v>
      </c>
      <c r="R26" s="16">
        <v>2000000</v>
      </c>
      <c r="S26" s="12"/>
      <c r="T26" s="12"/>
      <c r="U26" s="12"/>
      <c r="V26" s="12" t="s">
        <v>537</v>
      </c>
      <c r="W26" s="12"/>
      <c r="X26" s="12"/>
      <c r="Y26" s="12"/>
      <c r="Z26" s="18">
        <f>ROUND(R26*'Data-CostAssumptions'!$C$9,-3)</f>
        <v>2000000</v>
      </c>
      <c r="AA26" s="11">
        <f t="shared" si="0"/>
        <v>1</v>
      </c>
      <c r="AB26" s="11">
        <v>2041</v>
      </c>
      <c r="AC26" s="11">
        <v>2041</v>
      </c>
      <c r="AD26" s="11">
        <v>2041</v>
      </c>
      <c r="AE26" s="19">
        <f>ROUND((Z26*'Data-CostAssumptions'!$G$5)*(1+'Data-CostAssumptions'!$G$3)^(AB26-'Data-CostAssumptions'!$G$4),-3)</f>
        <v>1128000</v>
      </c>
      <c r="AF26" s="19">
        <f>ROUND((Z26)*(1+'Data-CostAssumptions'!$G$3)^(AD26-'Data-CostAssumptions'!$G$4),-3)</f>
        <v>5128000</v>
      </c>
      <c r="AG26" s="170" t="str">
        <f t="shared" si="2"/>
        <v>No</v>
      </c>
      <c r="AH26" s="19">
        <f t="shared" si="3"/>
        <v>0</v>
      </c>
      <c r="AI26" s="19">
        <f t="shared" si="4"/>
        <v>0</v>
      </c>
      <c r="AJ26" s="19">
        <f t="shared" si="5"/>
        <v>0</v>
      </c>
      <c r="AK26" s="19">
        <f t="shared" si="6"/>
        <v>0</v>
      </c>
      <c r="AL26" s="19">
        <f>IF(AB26&gt;2040,Z26+Z26*'Data-CostAssumptions'!$G$5,0)</f>
        <v>2440000</v>
      </c>
    </row>
    <row r="27" spans="1:38" ht="15" customHeight="1" x14ac:dyDescent="0.2">
      <c r="B27" s="11" t="s">
        <v>1211</v>
      </c>
      <c r="C27" s="11">
        <v>10068</v>
      </c>
      <c r="D27" s="13" t="s">
        <v>420</v>
      </c>
      <c r="E27" s="14" t="s">
        <v>298</v>
      </c>
      <c r="F27" s="14">
        <v>144</v>
      </c>
      <c r="G27" s="20">
        <v>1048</v>
      </c>
      <c r="H27" s="13" t="s">
        <v>2803</v>
      </c>
      <c r="I27" s="13" t="str">
        <f t="shared" si="7"/>
        <v>SR 870/Commercial Bl (@  SR7/US 441)</v>
      </c>
      <c r="J27" s="11" t="s">
        <v>347</v>
      </c>
      <c r="K27" s="13" t="str">
        <f>VLOOKUP(J27,'Data-ProjectTypes'!A$3:B$13,2,FALSE)</f>
        <v>Project</v>
      </c>
      <c r="L27" s="11" t="s">
        <v>26</v>
      </c>
      <c r="M27" s="11" t="s">
        <v>2835</v>
      </c>
      <c r="N27" s="11" t="s">
        <v>2911</v>
      </c>
      <c r="O27" s="13" t="s">
        <v>365</v>
      </c>
      <c r="P27" s="13" t="s">
        <v>365</v>
      </c>
      <c r="Q27" s="15">
        <v>0</v>
      </c>
      <c r="R27" s="16">
        <v>2000000</v>
      </c>
      <c r="V27" s="85" t="s">
        <v>662</v>
      </c>
      <c r="Y27" s="12"/>
      <c r="Z27" s="18">
        <f>ROUND(R27*'Data-CostAssumptions'!$C$10,-3)</f>
        <v>2000000</v>
      </c>
      <c r="AA27" s="11">
        <f t="shared" si="0"/>
        <v>1</v>
      </c>
      <c r="AB27" s="11">
        <v>2041</v>
      </c>
      <c r="AC27" s="11">
        <v>2041</v>
      </c>
      <c r="AD27" s="11">
        <v>2041</v>
      </c>
      <c r="AE27" s="19">
        <f>ROUND((Z27*'Data-CostAssumptions'!$G$5)*(1+'Data-CostAssumptions'!$G$3)^(AB27-'Data-CostAssumptions'!$G$4),-3)</f>
        <v>1128000</v>
      </c>
      <c r="AF27" s="19">
        <f>ROUND((Z27)*(1+'Data-CostAssumptions'!$G$3)^(AD27-'Data-CostAssumptions'!$G$4),-3)</f>
        <v>5128000</v>
      </c>
      <c r="AG27" s="170" t="str">
        <f t="shared" si="2"/>
        <v>No</v>
      </c>
      <c r="AH27" s="19">
        <f t="shared" si="3"/>
        <v>0</v>
      </c>
      <c r="AI27" s="19">
        <f t="shared" si="4"/>
        <v>0</v>
      </c>
      <c r="AJ27" s="19">
        <f t="shared" si="5"/>
        <v>0</v>
      </c>
      <c r="AK27" s="19">
        <f t="shared" si="6"/>
        <v>0</v>
      </c>
      <c r="AL27" s="19">
        <f>IF(AB27&gt;2040,Z27+Z27*'Data-CostAssumptions'!$G$5,0)</f>
        <v>2440000</v>
      </c>
    </row>
    <row r="28" spans="1:38" ht="15" customHeight="1" x14ac:dyDescent="0.2">
      <c r="B28" s="11" t="s">
        <v>1211</v>
      </c>
      <c r="D28" s="13" t="s">
        <v>276</v>
      </c>
      <c r="E28" s="14">
        <v>421</v>
      </c>
      <c r="F28" s="14"/>
      <c r="G28" s="20">
        <v>1713</v>
      </c>
      <c r="H28" s="13" t="s">
        <v>110</v>
      </c>
      <c r="I28" s="13" t="str">
        <f t="shared" si="7"/>
        <v>SR A1A (@  LAS OLAS Bl)</v>
      </c>
      <c r="J28" s="11" t="s">
        <v>347</v>
      </c>
      <c r="K28" s="13" t="str">
        <f>VLOOKUP(J28,'Data-ProjectTypes'!A$3:B$13,2,FALSE)</f>
        <v>Project</v>
      </c>
      <c r="L28" s="11" t="s">
        <v>26</v>
      </c>
      <c r="M28" s="11" t="s">
        <v>2835</v>
      </c>
      <c r="N28" s="11" t="s">
        <v>1997</v>
      </c>
      <c r="O28" s="13"/>
      <c r="P28" s="13"/>
      <c r="Q28" s="15">
        <v>0</v>
      </c>
      <c r="R28" s="16">
        <v>2000000</v>
      </c>
      <c r="S28" s="12"/>
      <c r="T28" s="12"/>
      <c r="U28" s="12"/>
      <c r="V28" s="12" t="s">
        <v>1139</v>
      </c>
      <c r="W28" s="12"/>
      <c r="X28" s="12"/>
      <c r="Y28" s="12" t="s">
        <v>2202</v>
      </c>
      <c r="Z28" s="18">
        <f>ROUND(R28*'Data-CostAssumptions'!$C$19,-3)</f>
        <v>2000000</v>
      </c>
      <c r="AA28" s="11">
        <f t="shared" si="0"/>
        <v>1</v>
      </c>
      <c r="AB28" s="11">
        <v>2041</v>
      </c>
      <c r="AC28" s="11">
        <v>2041</v>
      </c>
      <c r="AD28" s="11">
        <v>2041</v>
      </c>
      <c r="AE28" s="19">
        <f>ROUND((Z28*'Data-CostAssumptions'!$G$5)*(1+'Data-CostAssumptions'!$G$3)^(AB28-'Data-CostAssumptions'!$G$4),-3)</f>
        <v>1128000</v>
      </c>
      <c r="AF28" s="19">
        <f>ROUND((Z28)*(1+'Data-CostAssumptions'!$G$3)^(AD28-'Data-CostAssumptions'!$G$4),-3)</f>
        <v>5128000</v>
      </c>
      <c r="AG28" s="170" t="str">
        <f t="shared" si="2"/>
        <v>No</v>
      </c>
      <c r="AH28" s="19">
        <f t="shared" si="3"/>
        <v>0</v>
      </c>
      <c r="AI28" s="19">
        <f t="shared" si="4"/>
        <v>0</v>
      </c>
      <c r="AJ28" s="19">
        <f t="shared" si="5"/>
        <v>0</v>
      </c>
      <c r="AK28" s="19">
        <f t="shared" si="6"/>
        <v>0</v>
      </c>
      <c r="AL28" s="19">
        <f>IF(AB28&gt;2040,Z28+Z28*'Data-CostAssumptions'!$G$5,0)</f>
        <v>2440000</v>
      </c>
    </row>
    <row r="29" spans="1:38" ht="15" customHeight="1" x14ac:dyDescent="0.2">
      <c r="B29" s="11" t="s">
        <v>1211</v>
      </c>
      <c r="C29" s="11">
        <v>12710</v>
      </c>
      <c r="D29" s="13" t="s">
        <v>278</v>
      </c>
      <c r="E29" s="14"/>
      <c r="F29" s="14"/>
      <c r="G29" s="20">
        <v>1853</v>
      </c>
      <c r="H29" s="13" t="s">
        <v>2710</v>
      </c>
      <c r="I29" s="13" t="str">
        <f t="shared" si="7"/>
        <v>SR 816/Oakland Park Bl (Sawgrass Expressway to NW 60 Av)</v>
      </c>
      <c r="J29" s="11" t="s">
        <v>347</v>
      </c>
      <c r="K29" s="13" t="str">
        <f>VLOOKUP(J29,'Data-ProjectTypes'!A$3:B$13,2,FALSE)</f>
        <v>Project</v>
      </c>
      <c r="L29" s="11" t="s">
        <v>824</v>
      </c>
      <c r="M29" s="11" t="s">
        <v>72</v>
      </c>
      <c r="N29" s="11" t="s">
        <v>2624</v>
      </c>
      <c r="O29" s="13"/>
      <c r="P29" s="13"/>
      <c r="Q29" s="15">
        <v>5.0999999999999996</v>
      </c>
      <c r="R29" s="16">
        <v>1400000</v>
      </c>
      <c r="S29" s="12"/>
      <c r="T29" s="12"/>
      <c r="U29" s="12"/>
      <c r="V29" s="12"/>
      <c r="W29" s="12"/>
      <c r="X29" s="12"/>
      <c r="Y29" s="12"/>
      <c r="Z29" s="18">
        <f>ROUND(R29*'Data-CostAssumptions'!$C$8,-3)</f>
        <v>1400000</v>
      </c>
      <c r="AA29" s="11">
        <f t="shared" si="0"/>
        <v>0</v>
      </c>
      <c r="AB29" s="11">
        <v>2041</v>
      </c>
      <c r="AC29" s="11">
        <v>2041</v>
      </c>
      <c r="AD29" s="11">
        <f t="shared" si="1"/>
        <v>2041</v>
      </c>
      <c r="AE29" s="19">
        <f>ROUND((Z29*'Data-CostAssumptions'!$G$5)*(1+'Data-CostAssumptions'!$G$3)^(AB29-'Data-CostAssumptions'!$G$4),-3)</f>
        <v>790000</v>
      </c>
      <c r="AF29" s="19">
        <f>ROUND((Z29)*(1+'Data-CostAssumptions'!$G$3)^(AD29-'Data-CostAssumptions'!$G$4),-3)</f>
        <v>3590000</v>
      </c>
      <c r="AG29" s="170" t="str">
        <f t="shared" si="2"/>
        <v>No</v>
      </c>
      <c r="AH29" s="19">
        <f t="shared" si="3"/>
        <v>0</v>
      </c>
      <c r="AI29" s="19">
        <f t="shared" si="4"/>
        <v>0</v>
      </c>
      <c r="AJ29" s="19">
        <f t="shared" si="5"/>
        <v>0</v>
      </c>
      <c r="AK29" s="19">
        <f t="shared" si="6"/>
        <v>0</v>
      </c>
      <c r="AL29" s="19">
        <f>IF(AB29&gt;2040,Z29+Z29*'Data-CostAssumptions'!$G$5,0)</f>
        <v>1708000</v>
      </c>
    </row>
    <row r="30" spans="1:38" ht="15" customHeight="1" x14ac:dyDescent="0.2">
      <c r="B30" s="11" t="s">
        <v>1211</v>
      </c>
      <c r="C30" s="11">
        <v>12709</v>
      </c>
      <c r="D30" s="13" t="s">
        <v>278</v>
      </c>
      <c r="E30" s="14"/>
      <c r="F30" s="14"/>
      <c r="G30" s="20">
        <v>1854</v>
      </c>
      <c r="H30" s="13" t="s">
        <v>2709</v>
      </c>
      <c r="I30" s="13" t="str">
        <f t="shared" si="7"/>
        <v>SR 817/University Dr (Sunrise Bl to NW 44 St)</v>
      </c>
      <c r="J30" s="11" t="s">
        <v>347</v>
      </c>
      <c r="K30" s="13" t="str">
        <f>VLOOKUP(J30,'Data-ProjectTypes'!A$3:B$13,2,FALSE)</f>
        <v>Project</v>
      </c>
      <c r="L30" s="11" t="s">
        <v>824</v>
      </c>
      <c r="M30" s="11" t="s">
        <v>1830</v>
      </c>
      <c r="N30" s="11" t="s">
        <v>1184</v>
      </c>
      <c r="O30" s="13"/>
      <c r="P30" s="13"/>
      <c r="Q30" s="15">
        <v>2.1</v>
      </c>
      <c r="R30" s="16">
        <v>570000</v>
      </c>
      <c r="S30" s="12"/>
      <c r="T30" s="12"/>
      <c r="U30" s="12"/>
      <c r="V30" s="12"/>
      <c r="W30" s="12"/>
      <c r="X30" s="12"/>
      <c r="Y30" s="12"/>
      <c r="Z30" s="18">
        <f>ROUND(R30*'Data-CostAssumptions'!$C$8,-3)</f>
        <v>570000</v>
      </c>
      <c r="AA30" s="11">
        <f t="shared" si="0"/>
        <v>0</v>
      </c>
      <c r="AB30" s="11">
        <v>2041</v>
      </c>
      <c r="AC30" s="11">
        <v>2041</v>
      </c>
      <c r="AD30" s="11">
        <f t="shared" si="1"/>
        <v>2041</v>
      </c>
      <c r="AE30" s="19">
        <f>ROUND((Z30*'Data-CostAssumptions'!$G$5)*(1+'Data-CostAssumptions'!$G$3)^(AB30-'Data-CostAssumptions'!$G$4),-3)</f>
        <v>322000</v>
      </c>
      <c r="AF30" s="19">
        <f>ROUND((Z30)*(1+'Data-CostAssumptions'!$G$3)^(AD30-'Data-CostAssumptions'!$G$4),-3)</f>
        <v>1461000</v>
      </c>
      <c r="AG30" s="170" t="str">
        <f t="shared" si="2"/>
        <v>No</v>
      </c>
      <c r="AH30" s="19">
        <f t="shared" si="3"/>
        <v>0</v>
      </c>
      <c r="AI30" s="19">
        <f t="shared" si="4"/>
        <v>0</v>
      </c>
      <c r="AJ30" s="19">
        <f t="shared" si="5"/>
        <v>0</v>
      </c>
      <c r="AK30" s="19">
        <f t="shared" si="6"/>
        <v>0</v>
      </c>
      <c r="AL30" s="19">
        <f>IF(AB30&gt;2040,Z30+Z30*'Data-CostAssumptions'!$G$5,0)</f>
        <v>695400</v>
      </c>
    </row>
    <row r="31" spans="1:38" ht="15" customHeight="1" x14ac:dyDescent="0.2">
      <c r="B31" s="11" t="s">
        <v>1211</v>
      </c>
      <c r="C31" s="11">
        <v>12800</v>
      </c>
      <c r="D31" s="13" t="s">
        <v>365</v>
      </c>
      <c r="E31" s="14"/>
      <c r="F31" s="14"/>
      <c r="G31" s="20">
        <v>1070</v>
      </c>
      <c r="H31" s="13" t="s">
        <v>856</v>
      </c>
      <c r="I31" s="13" t="str">
        <f t="shared" si="7"/>
        <v>Cypress Creek Tri-Rail Access Improvements ( to )</v>
      </c>
      <c r="J31" s="11" t="s">
        <v>347</v>
      </c>
      <c r="K31" s="13" t="str">
        <f>VLOOKUP(J31,'Data-ProjectTypes'!A$3:B$13,2,FALSE)</f>
        <v>Project</v>
      </c>
      <c r="L31" s="11" t="s">
        <v>857</v>
      </c>
      <c r="O31" s="13"/>
      <c r="P31" s="13"/>
      <c r="Q31" s="15"/>
      <c r="R31" s="16">
        <v>1500000</v>
      </c>
      <c r="S31" s="12"/>
      <c r="T31" s="12"/>
      <c r="U31" s="12"/>
      <c r="V31" s="12" t="s">
        <v>662</v>
      </c>
      <c r="W31" s="12"/>
      <c r="X31" s="12"/>
      <c r="Y31" s="12"/>
      <c r="Z31" s="18">
        <f>ROUND(R31*'Data-CostAssumptions'!$C$10,-3)</f>
        <v>1500000</v>
      </c>
      <c r="AA31" s="11">
        <f t="shared" si="0"/>
        <v>1</v>
      </c>
      <c r="AB31" s="11">
        <v>2041</v>
      </c>
      <c r="AC31" s="11">
        <v>2041</v>
      </c>
      <c r="AD31" s="11">
        <f t="shared" ref="AD31" si="8">+AC31</f>
        <v>2041</v>
      </c>
      <c r="AE31" s="19">
        <f>ROUND((Z31*'Data-CostAssumptions'!$G$5)*(1+'Data-CostAssumptions'!$G$3)^(AB31-'Data-CostAssumptions'!$G$4),-3)</f>
        <v>846000</v>
      </c>
      <c r="AF31" s="19">
        <f>ROUND((Z31)*(1+'Data-CostAssumptions'!$G$3)^(AD31-'Data-CostAssumptions'!$G$4),-3)</f>
        <v>3846000</v>
      </c>
      <c r="AG31" s="170" t="str">
        <f t="shared" si="2"/>
        <v>No</v>
      </c>
      <c r="AH31" s="19">
        <f t="shared" si="3"/>
        <v>0</v>
      </c>
      <c r="AI31" s="19">
        <f t="shared" si="4"/>
        <v>0</v>
      </c>
      <c r="AJ31" s="19">
        <f t="shared" si="5"/>
        <v>0</v>
      </c>
      <c r="AK31" s="19">
        <f t="shared" si="6"/>
        <v>0</v>
      </c>
      <c r="AL31" s="19">
        <f>IF(AB31&gt;2040,Z31+Z31*'Data-CostAssumptions'!$G$5,0)</f>
        <v>1830000</v>
      </c>
    </row>
    <row r="32" spans="1:38" ht="15" customHeight="1" x14ac:dyDescent="0.2">
      <c r="A32" s="11" t="s">
        <v>1055</v>
      </c>
      <c r="B32" s="11" t="s">
        <v>1211</v>
      </c>
      <c r="C32" s="11">
        <v>13153</v>
      </c>
      <c r="D32" s="13" t="s">
        <v>1732</v>
      </c>
      <c r="E32" s="14"/>
      <c r="F32" s="14"/>
      <c r="G32" s="20">
        <v>1275</v>
      </c>
      <c r="H32" s="13" t="s">
        <v>2786</v>
      </c>
      <c r="I32" s="13" t="str">
        <f t="shared" si="7"/>
        <v>SR 820/Hollywood-Pines Bl/I-95 Transitway (I-75 to Downtown Miami)</v>
      </c>
      <c r="J32" s="11" t="s">
        <v>347</v>
      </c>
      <c r="K32" s="13" t="str">
        <f>VLOOKUP(J32,'Data-ProjectTypes'!A$3:B$13,2,FALSE)</f>
        <v>Project</v>
      </c>
      <c r="L32" s="11" t="s">
        <v>1059</v>
      </c>
      <c r="M32" s="11" t="s">
        <v>31</v>
      </c>
      <c r="N32" s="11" t="s">
        <v>1061</v>
      </c>
      <c r="O32" s="13" t="s">
        <v>270</v>
      </c>
      <c r="P32" s="13" t="s">
        <v>270</v>
      </c>
      <c r="Q32" s="15"/>
      <c r="R32" s="16">
        <v>125000000</v>
      </c>
      <c r="S32" s="12"/>
      <c r="T32" s="12"/>
      <c r="U32" s="12"/>
      <c r="V32" s="12" t="s">
        <v>1190</v>
      </c>
      <c r="W32" s="12"/>
      <c r="X32" s="12"/>
      <c r="Y32" s="12"/>
      <c r="Z32" s="18">
        <f>ROUND(R32*'Data-CostAssumptions'!$C$11,-3)</f>
        <v>125000000</v>
      </c>
      <c r="AA32" s="11">
        <f t="shared" si="0"/>
        <v>1</v>
      </c>
      <c r="AB32" s="11">
        <v>2041</v>
      </c>
      <c r="AC32" s="11">
        <v>2041</v>
      </c>
      <c r="AD32" s="11">
        <f t="shared" si="1"/>
        <v>2041</v>
      </c>
      <c r="AE32" s="19">
        <f>ROUND((Z32*'Data-CostAssumptions'!$G$5)*(1+'Data-CostAssumptions'!$G$3)^(AB32-'Data-CostAssumptions'!$G$4),-3)</f>
        <v>70509000</v>
      </c>
      <c r="AF32" s="19">
        <f>ROUND((Z32)*(1+'Data-CostAssumptions'!$G$3)^(AD32-'Data-CostAssumptions'!$G$4),-3)</f>
        <v>320494000</v>
      </c>
      <c r="AG32" s="170" t="str">
        <f t="shared" si="2"/>
        <v>No</v>
      </c>
      <c r="AH32" s="19">
        <f t="shared" si="3"/>
        <v>0</v>
      </c>
      <c r="AI32" s="19">
        <f t="shared" si="4"/>
        <v>0</v>
      </c>
      <c r="AJ32" s="19">
        <f t="shared" si="5"/>
        <v>0</v>
      </c>
      <c r="AK32" s="19">
        <f t="shared" si="6"/>
        <v>0</v>
      </c>
      <c r="AL32" s="19">
        <f>IF(AB32&gt;2040,Z32+Z32*'Data-CostAssumptions'!$G$5,0)</f>
        <v>152500000</v>
      </c>
    </row>
    <row r="33" spans="1:38" ht="15" customHeight="1" x14ac:dyDescent="0.2">
      <c r="A33" s="11" t="s">
        <v>1057</v>
      </c>
      <c r="B33" s="11" t="s">
        <v>1211</v>
      </c>
      <c r="C33" s="11">
        <v>13155</v>
      </c>
      <c r="D33" s="13" t="s">
        <v>1732</v>
      </c>
      <c r="E33" s="14"/>
      <c r="F33" s="14"/>
      <c r="G33" s="20">
        <v>1277</v>
      </c>
      <c r="H33" s="13" t="s">
        <v>2812</v>
      </c>
      <c r="I33" s="13" t="str">
        <f t="shared" si="7"/>
        <v>SR5/US 1 (Broward County Transit Hub to Aventura Mall Hub)</v>
      </c>
      <c r="J33" s="11" t="s">
        <v>347</v>
      </c>
      <c r="K33" s="13" t="str">
        <f>VLOOKUP(J33,'Data-ProjectTypes'!A$3:B$13,2,FALSE)</f>
        <v>Project</v>
      </c>
      <c r="L33" s="11" t="s">
        <v>1059</v>
      </c>
      <c r="M33" s="11" t="s">
        <v>1043</v>
      </c>
      <c r="N33" s="11" t="s">
        <v>1063</v>
      </c>
      <c r="O33" s="13" t="s">
        <v>270</v>
      </c>
      <c r="P33" s="13" t="s">
        <v>270</v>
      </c>
      <c r="Q33" s="15"/>
      <c r="R33" s="16">
        <v>10000000</v>
      </c>
      <c r="V33" s="85" t="s">
        <v>691</v>
      </c>
      <c r="Y33" s="12" t="s">
        <v>2208</v>
      </c>
      <c r="Z33" s="18">
        <f>ROUND(R33*'Data-CostAssumptions'!$C$13,-3)</f>
        <v>10000000</v>
      </c>
      <c r="AA33" s="11">
        <f t="shared" si="0"/>
        <v>1</v>
      </c>
      <c r="AB33" s="11">
        <v>2041</v>
      </c>
      <c r="AC33" s="11">
        <v>2041</v>
      </c>
      <c r="AD33" s="11">
        <f t="shared" si="1"/>
        <v>2041</v>
      </c>
      <c r="AE33" s="19">
        <f>ROUND((Z33*'Data-CostAssumptions'!$G$5)*(1+'Data-CostAssumptions'!$G$3)^(AB33-'Data-CostAssumptions'!$G$4),-3)</f>
        <v>5641000</v>
      </c>
      <c r="AF33" s="19">
        <f>ROUND((Z33)*(1+'Data-CostAssumptions'!$G$3)^(AD33-'Data-CostAssumptions'!$G$4),-3)</f>
        <v>25639000</v>
      </c>
      <c r="AG33" s="170" t="str">
        <f t="shared" si="2"/>
        <v>No</v>
      </c>
      <c r="AH33" s="19">
        <f t="shared" si="3"/>
        <v>0</v>
      </c>
      <c r="AI33" s="19">
        <f t="shared" si="4"/>
        <v>0</v>
      </c>
      <c r="AJ33" s="19">
        <f t="shared" si="5"/>
        <v>0</v>
      </c>
      <c r="AK33" s="19">
        <f t="shared" si="6"/>
        <v>0</v>
      </c>
      <c r="AL33" s="19">
        <f>IF(AB33&gt;2040,Z33+Z33*'Data-CostAssumptions'!$G$5,0)</f>
        <v>12200000</v>
      </c>
    </row>
    <row r="34" spans="1:38" ht="15" customHeight="1" x14ac:dyDescent="0.2">
      <c r="A34" s="11" t="s">
        <v>1049</v>
      </c>
      <c r="B34" s="11" t="s">
        <v>1211</v>
      </c>
      <c r="C34" s="11">
        <v>13151</v>
      </c>
      <c r="D34" s="84" t="s">
        <v>1732</v>
      </c>
      <c r="E34" s="14"/>
      <c r="F34" s="14"/>
      <c r="G34" s="20">
        <v>1245</v>
      </c>
      <c r="H34" s="13" t="s">
        <v>1214</v>
      </c>
      <c r="I34" s="13" t="str">
        <f t="shared" si="7"/>
        <v>Central Broward East-West Transit (Sawgrass Mills Mall to Downtown &amp; Fort Lauderdale Int'l Airport)</v>
      </c>
      <c r="J34" s="84" t="s">
        <v>347</v>
      </c>
      <c r="K34" s="13" t="str">
        <f>VLOOKUP(J34,'Data-ProjectTypes'!A$3:B$13,2,FALSE)</f>
        <v>Project</v>
      </c>
      <c r="L34" s="85" t="s">
        <v>1054</v>
      </c>
      <c r="M34" s="11" t="s">
        <v>865</v>
      </c>
      <c r="N34" s="84" t="s">
        <v>1051</v>
      </c>
      <c r="O34" s="84" t="s">
        <v>270</v>
      </c>
      <c r="P34" s="85" t="s">
        <v>270</v>
      </c>
      <c r="Q34" s="15"/>
      <c r="R34" s="16">
        <v>1230545000</v>
      </c>
      <c r="V34" s="85" t="s">
        <v>662</v>
      </c>
      <c r="Y34" s="12"/>
      <c r="Z34" s="18">
        <f>ROUND(R34*'Data-CostAssumptions'!$C$10,-3)</f>
        <v>1230545000</v>
      </c>
      <c r="AA34" s="11">
        <f t="shared" ref="AA34:AA65" si="9">IF(V34="",IF(W34="",0,1),1)</f>
        <v>1</v>
      </c>
      <c r="AB34" s="11">
        <v>2041</v>
      </c>
      <c r="AC34" s="11">
        <v>2041</v>
      </c>
      <c r="AD34" s="11">
        <f t="shared" ref="AD34:AD65" si="10">+AC34</f>
        <v>2041</v>
      </c>
      <c r="AE34" s="19">
        <f>ROUND((Z34*'Data-CostAssumptions'!$G$5)*(1+'Data-CostAssumptions'!$G$3)^(AB34-'Data-CostAssumptions'!$G$4),-3)</f>
        <v>694112000</v>
      </c>
      <c r="AF34" s="19">
        <f>ROUND((Z34)*(1+'Data-CostAssumptions'!$G$3)^(AD34-'Data-CostAssumptions'!$G$4),-3)</f>
        <v>3155054000</v>
      </c>
      <c r="AG34" s="170" t="str">
        <f t="shared" ref="AG34:AG65" si="11">IF(MIN(AC34:AD34)&lt;2041,"Yes","No")</f>
        <v>No</v>
      </c>
      <c r="AH34" s="19">
        <f t="shared" ref="AH34:AH65" si="12">IF(AB34&gt;2018,IF(AB34&lt;2021,AE34,0),0)+IF(AC34&gt;2018,IF(AC34&lt;2021,AF34,0),0)</f>
        <v>0</v>
      </c>
      <c r="AI34" s="19">
        <f t="shared" ref="AI34:AI65" si="13">IF(AB34&gt;2020,IF(AB34&lt;2026,AE34,0),0)+IF(AC34&gt;2020,IF(AC34&lt;2026,AF34,0),0)</f>
        <v>0</v>
      </c>
      <c r="AJ34" s="19">
        <f t="shared" ref="AJ34:AJ65" si="14">IF(AB34&gt;2025,IF(AB34&lt;2031,AE34,0),0)+IF(AC34&gt;2025,IF(AC34&lt;2031,AF34,0),0)</f>
        <v>0</v>
      </c>
      <c r="AK34" s="19">
        <f t="shared" ref="AK34:AK65" si="15">IF(AB34&gt;2030,IF(AB34&lt;2041,AE34,0),0)+IF(AC34&gt;2030,IF(AC34&lt;2041,AF34,0),0)</f>
        <v>0</v>
      </c>
      <c r="AL34" s="19">
        <f>IF(AB34&gt;2040,Z34+Z34*'Data-CostAssumptions'!$G$5,0)</f>
        <v>1501264900</v>
      </c>
    </row>
    <row r="35" spans="1:38" ht="15" customHeight="1" x14ac:dyDescent="0.2">
      <c r="A35" s="11" t="s">
        <v>1050</v>
      </c>
      <c r="B35" s="11" t="s">
        <v>1211</v>
      </c>
      <c r="C35" s="11">
        <v>13152</v>
      </c>
      <c r="D35" s="84" t="s">
        <v>1732</v>
      </c>
      <c r="E35" s="14"/>
      <c r="F35" s="14"/>
      <c r="G35" s="20">
        <v>1276</v>
      </c>
      <c r="H35" s="13" t="s">
        <v>2805</v>
      </c>
      <c r="I35" s="13" t="str">
        <f t="shared" si="7"/>
        <v>SR 93/I-75 (Sawgrass Mills Mall to Homestead Extension Florida Turnpike)</v>
      </c>
      <c r="J35" s="84" t="s">
        <v>347</v>
      </c>
      <c r="K35" s="13" t="str">
        <f>VLOOKUP(J35,'Data-ProjectTypes'!A$3:B$13,2,FALSE)</f>
        <v>Project</v>
      </c>
      <c r="L35" s="85" t="s">
        <v>1053</v>
      </c>
      <c r="M35" s="11" t="s">
        <v>865</v>
      </c>
      <c r="N35" s="84" t="s">
        <v>1052</v>
      </c>
      <c r="O35" s="84" t="s">
        <v>270</v>
      </c>
      <c r="P35" s="85" t="s">
        <v>270</v>
      </c>
      <c r="Q35" s="15"/>
      <c r="R35" s="16">
        <v>98549000</v>
      </c>
      <c r="V35" s="33" t="s">
        <v>683</v>
      </c>
      <c r="Y35" s="12" t="s">
        <v>2969</v>
      </c>
      <c r="Z35" s="18">
        <f>ROUND(R35*'Data-CostAssumptions'!$C$12,-3)</f>
        <v>98549000</v>
      </c>
      <c r="AA35" s="11">
        <f t="shared" si="9"/>
        <v>1</v>
      </c>
      <c r="AB35" s="11">
        <v>2041</v>
      </c>
      <c r="AC35" s="11">
        <v>2041</v>
      </c>
      <c r="AD35" s="11">
        <f t="shared" si="10"/>
        <v>2041</v>
      </c>
      <c r="AE35" s="19">
        <f>ROUND((Z35*'Data-CostAssumptions'!$G$5)*(1+'Data-CostAssumptions'!$G$3)^(AB35-'Data-CostAssumptions'!$G$4),-3)</f>
        <v>55588000</v>
      </c>
      <c r="AF35" s="19">
        <f>ROUND((Z35)*(1+'Data-CostAssumptions'!$G$3)^(AD35-'Data-CostAssumptions'!$G$4),-3)</f>
        <v>252675000</v>
      </c>
      <c r="AG35" s="170" t="str">
        <f t="shared" si="11"/>
        <v>No</v>
      </c>
      <c r="AH35" s="19">
        <f t="shared" si="12"/>
        <v>0</v>
      </c>
      <c r="AI35" s="19">
        <f t="shared" si="13"/>
        <v>0</v>
      </c>
      <c r="AJ35" s="19">
        <f t="shared" si="14"/>
        <v>0</v>
      </c>
      <c r="AK35" s="19">
        <f t="shared" si="15"/>
        <v>0</v>
      </c>
      <c r="AL35" s="19">
        <f>IF(AB35&gt;2040,Z35+Z35*'Data-CostAssumptions'!$G$5,0)</f>
        <v>120229780</v>
      </c>
    </row>
    <row r="36" spans="1:38" ht="15" customHeight="1" x14ac:dyDescent="0.2">
      <c r="B36" s="11" t="s">
        <v>1211</v>
      </c>
      <c r="C36" s="11">
        <v>1052</v>
      </c>
      <c r="D36" s="84" t="s">
        <v>420</v>
      </c>
      <c r="E36" s="14"/>
      <c r="F36" s="14">
        <v>206</v>
      </c>
      <c r="G36" s="20">
        <v>966</v>
      </c>
      <c r="H36" s="13" t="s">
        <v>377</v>
      </c>
      <c r="I36" s="13" t="str">
        <f t="shared" si="7"/>
        <v>Shuttle Bus Maintenance/Operations Facility ( to )</v>
      </c>
      <c r="J36" s="84" t="s">
        <v>347</v>
      </c>
      <c r="K36" s="13" t="str">
        <f>VLOOKUP(J36,'Data-ProjectTypes'!A$3:B$13,2,FALSE)</f>
        <v>Project</v>
      </c>
      <c r="L36" s="85" t="s">
        <v>397</v>
      </c>
      <c r="M36" s="85"/>
      <c r="N36" s="84"/>
      <c r="O36" s="84" t="s">
        <v>270</v>
      </c>
      <c r="P36" s="85" t="s">
        <v>270</v>
      </c>
      <c r="Q36" s="15"/>
      <c r="R36" s="23">
        <v>5572604</v>
      </c>
      <c r="V36" s="85"/>
      <c r="Y36" s="12"/>
      <c r="Z36" s="18">
        <f>ROUND(R36*'Data-CostAssumptions'!$C$8,-3)</f>
        <v>5573000</v>
      </c>
      <c r="AA36" s="11">
        <f t="shared" si="9"/>
        <v>0</v>
      </c>
      <c r="AB36" s="11">
        <v>2041</v>
      </c>
      <c r="AC36" s="11">
        <v>2041</v>
      </c>
      <c r="AD36" s="11">
        <f t="shared" si="10"/>
        <v>2041</v>
      </c>
      <c r="AE36" s="19">
        <f>ROUND((Z36*'Data-CostAssumptions'!$G$5)*(1+'Data-CostAssumptions'!$G$3)^(AB36-'Data-CostAssumptions'!$G$4),-3)</f>
        <v>3144000</v>
      </c>
      <c r="AF36" s="19">
        <f>ROUND((Z36)*(1+'Data-CostAssumptions'!$G$3)^(AD36-'Data-CostAssumptions'!$G$4),-3)</f>
        <v>14289000</v>
      </c>
      <c r="AG36" s="170" t="str">
        <f t="shared" si="11"/>
        <v>No</v>
      </c>
      <c r="AH36" s="19">
        <f t="shared" si="12"/>
        <v>0</v>
      </c>
      <c r="AI36" s="19">
        <f t="shared" si="13"/>
        <v>0</v>
      </c>
      <c r="AJ36" s="19">
        <f t="shared" si="14"/>
        <v>0</v>
      </c>
      <c r="AK36" s="19">
        <f t="shared" si="15"/>
        <v>0</v>
      </c>
      <c r="AL36" s="19">
        <f>IF(AB36&gt;2040,Z36+Z36*'Data-CostAssumptions'!$G$5,0)</f>
        <v>6799060</v>
      </c>
    </row>
    <row r="37" spans="1:38" ht="15" customHeight="1" x14ac:dyDescent="0.2">
      <c r="B37" s="11" t="s">
        <v>1211</v>
      </c>
      <c r="C37" s="11">
        <v>10007</v>
      </c>
      <c r="D37" s="13" t="s">
        <v>420</v>
      </c>
      <c r="E37" s="14"/>
      <c r="F37" s="14">
        <v>138</v>
      </c>
      <c r="G37" s="20">
        <v>957</v>
      </c>
      <c r="H37" s="13" t="s">
        <v>382</v>
      </c>
      <c r="I37" s="13" t="str">
        <f t="shared" ref="I37:I68" si="16">IF(M37="@",H37&amp;" ("&amp;M37&amp;"  "&amp;N37&amp;")",H37&amp;" ("&amp;M37&amp;" to "&amp;N37&amp;")")</f>
        <v>New Local Bus Service(8 routes6)/Route Extension/Headway Improvement ( to )</v>
      </c>
      <c r="J37" s="11" t="s">
        <v>347</v>
      </c>
      <c r="K37" s="13" t="str">
        <f>VLOOKUP(J37,'Data-ProjectTypes'!A$3:B$13,2,FALSE)</f>
        <v>Project</v>
      </c>
      <c r="L37" s="11" t="s">
        <v>402</v>
      </c>
      <c r="O37" s="13" t="s">
        <v>365</v>
      </c>
      <c r="P37" s="13" t="s">
        <v>365</v>
      </c>
      <c r="Q37" s="15"/>
      <c r="R37" s="16">
        <v>64815000</v>
      </c>
      <c r="S37" s="12"/>
      <c r="T37" s="12"/>
      <c r="U37" s="12"/>
      <c r="V37" s="12"/>
      <c r="W37" s="12"/>
      <c r="X37" s="12"/>
      <c r="Y37" s="12"/>
      <c r="Z37" s="18">
        <f>ROUND(R37*'Data-CostAssumptions'!$C$8,-3)</f>
        <v>64815000</v>
      </c>
      <c r="AA37" s="11">
        <f t="shared" si="9"/>
        <v>0</v>
      </c>
      <c r="AB37" s="11">
        <v>2041</v>
      </c>
      <c r="AC37" s="11">
        <v>2041</v>
      </c>
      <c r="AD37" s="11">
        <f t="shared" si="10"/>
        <v>2041</v>
      </c>
      <c r="AE37" s="19">
        <f>ROUND((Z37*'Data-CostAssumptions'!$G$5)*(1+'Data-CostAssumptions'!$G$3)^(AB37-'Data-CostAssumptions'!$G$4),-3)</f>
        <v>36560000</v>
      </c>
      <c r="AF37" s="19">
        <f>ROUND((Z37)*(1+'Data-CostAssumptions'!$G$3)^(AD37-'Data-CostAssumptions'!$G$4),-3)</f>
        <v>166182000</v>
      </c>
      <c r="AG37" s="170" t="str">
        <f t="shared" si="11"/>
        <v>No</v>
      </c>
      <c r="AH37" s="19">
        <f t="shared" si="12"/>
        <v>0</v>
      </c>
      <c r="AI37" s="19">
        <f t="shared" si="13"/>
        <v>0</v>
      </c>
      <c r="AJ37" s="19">
        <f t="shared" si="14"/>
        <v>0</v>
      </c>
      <c r="AK37" s="19">
        <f t="shared" si="15"/>
        <v>0</v>
      </c>
      <c r="AL37" s="19">
        <f>IF(AB37&gt;2040,Z37+Z37*'Data-CostAssumptions'!$G$5,0)</f>
        <v>79074300</v>
      </c>
    </row>
    <row r="38" spans="1:38" ht="15" customHeight="1" x14ac:dyDescent="0.2">
      <c r="B38" s="11" t="s">
        <v>1211</v>
      </c>
      <c r="C38" s="11">
        <v>10021</v>
      </c>
      <c r="D38" s="13" t="s">
        <v>420</v>
      </c>
      <c r="E38" s="14" t="s">
        <v>298</v>
      </c>
      <c r="F38" s="14">
        <v>140</v>
      </c>
      <c r="G38" s="20">
        <v>958</v>
      </c>
      <c r="H38" s="13" t="s">
        <v>2052</v>
      </c>
      <c r="I38" s="13" t="str">
        <f t="shared" si="16"/>
        <v>NW 136th Av (@  Sunrise Bl)</v>
      </c>
      <c r="J38" s="11" t="s">
        <v>347</v>
      </c>
      <c r="K38" s="13" t="str">
        <f>VLOOKUP(J38,'Data-ProjectTypes'!A$3:B$13,2,FALSE)</f>
        <v>Project</v>
      </c>
      <c r="L38" s="11" t="s">
        <v>85</v>
      </c>
      <c r="M38" s="11" t="s">
        <v>2835</v>
      </c>
      <c r="N38" s="11" t="s">
        <v>1830</v>
      </c>
      <c r="O38" s="13" t="s">
        <v>365</v>
      </c>
      <c r="P38" s="13" t="s">
        <v>365</v>
      </c>
      <c r="Q38" s="15"/>
      <c r="R38" s="16">
        <v>9426949.8170891684</v>
      </c>
      <c r="S38" s="12"/>
      <c r="T38" s="12"/>
      <c r="U38" s="12"/>
      <c r="V38" s="12"/>
      <c r="W38" s="12"/>
      <c r="X38" s="12"/>
      <c r="Y38" s="12"/>
      <c r="Z38" s="18">
        <f>ROUND(R38*'Data-CostAssumptions'!$C$8,-3)</f>
        <v>9427000</v>
      </c>
      <c r="AA38" s="11">
        <f t="shared" si="9"/>
        <v>0</v>
      </c>
      <c r="AB38" s="11">
        <v>2041</v>
      </c>
      <c r="AC38" s="11">
        <v>2041</v>
      </c>
      <c r="AD38" s="11">
        <v>2041</v>
      </c>
      <c r="AE38" s="19">
        <f>ROUND((Z38*'Data-CostAssumptions'!$G$5)*(1+'Data-CostAssumptions'!$G$3)^(AB38-'Data-CostAssumptions'!$G$4),-3)</f>
        <v>5317000</v>
      </c>
      <c r="AF38" s="19">
        <f>ROUND((Z38)*(1+'Data-CostAssumptions'!$G$3)^(AD38-'Data-CostAssumptions'!$G$4),-3)</f>
        <v>24170000</v>
      </c>
      <c r="AG38" s="170" t="str">
        <f t="shared" si="11"/>
        <v>No</v>
      </c>
      <c r="AH38" s="19">
        <f t="shared" si="12"/>
        <v>0</v>
      </c>
      <c r="AI38" s="19">
        <f t="shared" si="13"/>
        <v>0</v>
      </c>
      <c r="AJ38" s="19">
        <f t="shared" si="14"/>
        <v>0</v>
      </c>
      <c r="AK38" s="19">
        <f t="shared" si="15"/>
        <v>0</v>
      </c>
      <c r="AL38" s="19">
        <f>IF(AB38&gt;2040,Z38+Z38*'Data-CostAssumptions'!$G$5,0)</f>
        <v>11500940</v>
      </c>
    </row>
    <row r="39" spans="1:38" ht="15" customHeight="1" x14ac:dyDescent="0.2">
      <c r="B39" s="11" t="s">
        <v>1211</v>
      </c>
      <c r="C39" s="11">
        <v>10022</v>
      </c>
      <c r="D39" s="13" t="s">
        <v>420</v>
      </c>
      <c r="E39" s="14" t="s">
        <v>298</v>
      </c>
      <c r="F39" s="14">
        <v>140</v>
      </c>
      <c r="G39" s="20">
        <v>962</v>
      </c>
      <c r="H39" s="13" t="s">
        <v>156</v>
      </c>
      <c r="I39" s="13" t="str">
        <f t="shared" si="16"/>
        <v>Red Rd (@  Miramar Bl)</v>
      </c>
      <c r="J39" s="11" t="s">
        <v>347</v>
      </c>
      <c r="K39" s="13" t="str">
        <f>VLOOKUP(J39,'Data-ProjectTypes'!A$3:B$13,2,FALSE)</f>
        <v>Project</v>
      </c>
      <c r="L39" s="11" t="s">
        <v>85</v>
      </c>
      <c r="M39" s="11" t="s">
        <v>2835</v>
      </c>
      <c r="N39" s="11" t="s">
        <v>2918</v>
      </c>
      <c r="O39" s="13" t="s">
        <v>365</v>
      </c>
      <c r="P39" s="13" t="s">
        <v>365</v>
      </c>
      <c r="Q39" s="15"/>
      <c r="R39" s="16">
        <v>9426949.8170891684</v>
      </c>
      <c r="S39" s="12"/>
      <c r="T39" s="12"/>
      <c r="U39" s="12"/>
      <c r="V39" s="12"/>
      <c r="W39" s="12"/>
      <c r="X39" s="12"/>
      <c r="Y39" s="12"/>
      <c r="Z39" s="18">
        <f>ROUND(R39*'Data-CostAssumptions'!$C$8,-3)</f>
        <v>9427000</v>
      </c>
      <c r="AA39" s="11">
        <f t="shared" si="9"/>
        <v>0</v>
      </c>
      <c r="AB39" s="11">
        <v>2041</v>
      </c>
      <c r="AC39" s="11">
        <v>2041</v>
      </c>
      <c r="AD39" s="11">
        <v>2041</v>
      </c>
      <c r="AE39" s="19">
        <f>ROUND((Z39*'Data-CostAssumptions'!$G$5)*(1+'Data-CostAssumptions'!$G$3)^(AB39-'Data-CostAssumptions'!$G$4),-3)</f>
        <v>5317000</v>
      </c>
      <c r="AF39" s="19">
        <f>ROUND((Z39)*(1+'Data-CostAssumptions'!$G$3)^(AD39-'Data-CostAssumptions'!$G$4),-3)</f>
        <v>24170000</v>
      </c>
      <c r="AG39" s="170" t="str">
        <f t="shared" si="11"/>
        <v>No</v>
      </c>
      <c r="AH39" s="19">
        <f t="shared" si="12"/>
        <v>0</v>
      </c>
      <c r="AI39" s="19">
        <f t="shared" si="13"/>
        <v>0</v>
      </c>
      <c r="AJ39" s="19">
        <f t="shared" si="14"/>
        <v>0</v>
      </c>
      <c r="AK39" s="19">
        <f t="shared" si="15"/>
        <v>0</v>
      </c>
      <c r="AL39" s="19">
        <f>IF(AB39&gt;2040,Z39+Z39*'Data-CostAssumptions'!$G$5,0)</f>
        <v>11500940</v>
      </c>
    </row>
    <row r="40" spans="1:38" ht="15" customHeight="1" x14ac:dyDescent="0.2">
      <c r="B40" s="11" t="s">
        <v>1211</v>
      </c>
      <c r="C40" s="11">
        <v>10046</v>
      </c>
      <c r="D40" s="13" t="s">
        <v>420</v>
      </c>
      <c r="E40" s="14" t="s">
        <v>298</v>
      </c>
      <c r="F40" s="14">
        <v>142</v>
      </c>
      <c r="G40" s="20">
        <v>969</v>
      </c>
      <c r="H40" s="13" t="s">
        <v>1424</v>
      </c>
      <c r="I40" s="13" t="str">
        <f t="shared" si="16"/>
        <v>SR 5/US 1 (@  FLL Airport)</v>
      </c>
      <c r="J40" s="11" t="s">
        <v>347</v>
      </c>
      <c r="K40" s="13" t="str">
        <f>VLOOKUP(J40,'Data-ProjectTypes'!A$3:B$13,2,FALSE)</f>
        <v>Project</v>
      </c>
      <c r="L40" s="11" t="s">
        <v>85</v>
      </c>
      <c r="M40" s="11" t="s">
        <v>2835</v>
      </c>
      <c r="N40" s="11" t="s">
        <v>2851</v>
      </c>
      <c r="O40" s="13" t="s">
        <v>365</v>
      </c>
      <c r="P40" s="13" t="s">
        <v>365</v>
      </c>
      <c r="Q40" s="15"/>
      <c r="R40" s="23">
        <v>9426949.8170891684</v>
      </c>
      <c r="S40" s="12"/>
      <c r="T40" s="12"/>
      <c r="U40" s="12"/>
      <c r="V40" s="12"/>
      <c r="W40" s="12"/>
      <c r="X40" s="12"/>
      <c r="Y40" s="12"/>
      <c r="Z40" s="18">
        <f>ROUND(R40*'Data-CostAssumptions'!$C$8,-3)</f>
        <v>9427000</v>
      </c>
      <c r="AA40" s="11">
        <f t="shared" si="9"/>
        <v>0</v>
      </c>
      <c r="AB40" s="11">
        <v>2041</v>
      </c>
      <c r="AC40" s="11">
        <v>2041</v>
      </c>
      <c r="AD40" s="11">
        <v>2041</v>
      </c>
      <c r="AE40" s="19">
        <f>ROUND((Z40*'Data-CostAssumptions'!$G$5)*(1+'Data-CostAssumptions'!$G$3)^(AB40-'Data-CostAssumptions'!$G$4),-3)</f>
        <v>5317000</v>
      </c>
      <c r="AF40" s="19">
        <f>ROUND((Z40)*(1+'Data-CostAssumptions'!$G$3)^(AD40-'Data-CostAssumptions'!$G$4),-3)</f>
        <v>24170000</v>
      </c>
      <c r="AG40" s="170" t="str">
        <f t="shared" si="11"/>
        <v>No</v>
      </c>
      <c r="AH40" s="19">
        <f t="shared" si="12"/>
        <v>0</v>
      </c>
      <c r="AI40" s="19">
        <f t="shared" si="13"/>
        <v>0</v>
      </c>
      <c r="AJ40" s="19">
        <f t="shared" si="14"/>
        <v>0</v>
      </c>
      <c r="AK40" s="19">
        <f t="shared" si="15"/>
        <v>0</v>
      </c>
      <c r="AL40" s="19">
        <f>IF(AB40&gt;2040,Z40+Z40*'Data-CostAssumptions'!$G$5,0)</f>
        <v>11500940</v>
      </c>
    </row>
    <row r="41" spans="1:38" ht="15" customHeight="1" x14ac:dyDescent="0.2">
      <c r="B41" s="11" t="s">
        <v>1211</v>
      </c>
      <c r="C41" s="11">
        <v>10029</v>
      </c>
      <c r="D41" s="13" t="s">
        <v>420</v>
      </c>
      <c r="E41" s="14" t="s">
        <v>298</v>
      </c>
      <c r="F41" s="14">
        <v>141</v>
      </c>
      <c r="G41" s="20">
        <v>971</v>
      </c>
      <c r="H41" s="13" t="s">
        <v>57</v>
      </c>
      <c r="I41" s="13" t="str">
        <f t="shared" si="16"/>
        <v>SR 7/US 441 (@  I-595)</v>
      </c>
      <c r="J41" s="11" t="s">
        <v>347</v>
      </c>
      <c r="K41" s="13" t="str">
        <f>VLOOKUP(J41,'Data-ProjectTypes'!A$3:B$13,2,FALSE)</f>
        <v>Project</v>
      </c>
      <c r="L41" s="11" t="s">
        <v>85</v>
      </c>
      <c r="M41" s="11" t="s">
        <v>2835</v>
      </c>
      <c r="N41" s="11" t="s">
        <v>34</v>
      </c>
      <c r="O41" s="13" t="s">
        <v>365</v>
      </c>
      <c r="P41" s="13" t="s">
        <v>365</v>
      </c>
      <c r="Q41" s="15"/>
      <c r="R41" s="16">
        <v>9426949.8170891684</v>
      </c>
      <c r="S41" s="12"/>
      <c r="T41" s="12"/>
      <c r="U41" s="12"/>
      <c r="V41" s="12"/>
      <c r="W41" s="12"/>
      <c r="X41" s="12"/>
      <c r="Y41" s="12"/>
      <c r="Z41" s="18">
        <f>ROUND(R41*'Data-CostAssumptions'!$C$8,-3)</f>
        <v>9427000</v>
      </c>
      <c r="AA41" s="11">
        <f t="shared" si="9"/>
        <v>0</v>
      </c>
      <c r="AB41" s="11">
        <v>2041</v>
      </c>
      <c r="AC41" s="11">
        <v>2041</v>
      </c>
      <c r="AD41" s="11">
        <v>2041</v>
      </c>
      <c r="AE41" s="19">
        <f>ROUND((Z41*'Data-CostAssumptions'!$G$5)*(1+'Data-CostAssumptions'!$G$3)^(AB41-'Data-CostAssumptions'!$G$4),-3)</f>
        <v>5317000</v>
      </c>
      <c r="AF41" s="19">
        <f>ROUND((Z41)*(1+'Data-CostAssumptions'!$G$3)^(AD41-'Data-CostAssumptions'!$G$4),-3)</f>
        <v>24170000</v>
      </c>
      <c r="AG41" s="170" t="str">
        <f t="shared" si="11"/>
        <v>No</v>
      </c>
      <c r="AH41" s="19">
        <f t="shared" si="12"/>
        <v>0</v>
      </c>
      <c r="AI41" s="19">
        <f t="shared" si="13"/>
        <v>0</v>
      </c>
      <c r="AJ41" s="19">
        <f t="shared" si="14"/>
        <v>0</v>
      </c>
      <c r="AK41" s="19">
        <f t="shared" si="15"/>
        <v>0</v>
      </c>
      <c r="AL41" s="19">
        <f>IF(AB41&gt;2040,Z41+Z41*'Data-CostAssumptions'!$G$5,0)</f>
        <v>11500940</v>
      </c>
    </row>
    <row r="42" spans="1:38" ht="15" customHeight="1" x14ac:dyDescent="0.2">
      <c r="B42" s="11" t="s">
        <v>1211</v>
      </c>
      <c r="C42" s="11">
        <v>10013</v>
      </c>
      <c r="D42" s="13" t="s">
        <v>420</v>
      </c>
      <c r="E42" s="14" t="s">
        <v>298</v>
      </c>
      <c r="F42" s="14">
        <v>140</v>
      </c>
      <c r="G42" s="20">
        <v>982</v>
      </c>
      <c r="H42" s="13" t="s">
        <v>2710</v>
      </c>
      <c r="I42" s="13" t="str">
        <f t="shared" si="16"/>
        <v>SR 816/Oakland Park Bl (@  SR 7/US 441)</v>
      </c>
      <c r="J42" s="11" t="s">
        <v>347</v>
      </c>
      <c r="K42" s="13" t="str">
        <f>VLOOKUP(J42,'Data-ProjectTypes'!A$3:B$13,2,FALSE)</f>
        <v>Project</v>
      </c>
      <c r="L42" s="11" t="s">
        <v>85</v>
      </c>
      <c r="M42" s="11" t="s">
        <v>2835</v>
      </c>
      <c r="N42" s="11" t="s">
        <v>57</v>
      </c>
      <c r="O42" s="13" t="s">
        <v>365</v>
      </c>
      <c r="P42" s="13" t="s">
        <v>365</v>
      </c>
      <c r="Q42" s="15"/>
      <c r="R42" s="16">
        <v>8000000</v>
      </c>
      <c r="S42" s="12"/>
      <c r="T42" s="12"/>
      <c r="U42" s="12"/>
      <c r="V42" s="12"/>
      <c r="W42" s="12"/>
      <c r="X42" s="12"/>
      <c r="Y42" s="12"/>
      <c r="Z42" s="18">
        <f>ROUND(R42*'Data-CostAssumptions'!$C$8,-3)</f>
        <v>8000000</v>
      </c>
      <c r="AA42" s="11">
        <f t="shared" si="9"/>
        <v>0</v>
      </c>
      <c r="AB42" s="11">
        <v>2041</v>
      </c>
      <c r="AC42" s="11">
        <v>2041</v>
      </c>
      <c r="AD42" s="11">
        <v>2041</v>
      </c>
      <c r="AE42" s="19">
        <f>ROUND((Z42*'Data-CostAssumptions'!$G$5)*(1+'Data-CostAssumptions'!$G$3)^(AB42-'Data-CostAssumptions'!$G$4),-3)</f>
        <v>4513000</v>
      </c>
      <c r="AF42" s="19">
        <f>ROUND((Z42)*(1+'Data-CostAssumptions'!$G$3)^(AD42-'Data-CostAssumptions'!$G$4),-3)</f>
        <v>20512000</v>
      </c>
      <c r="AG42" s="170" t="str">
        <f t="shared" si="11"/>
        <v>No</v>
      </c>
      <c r="AH42" s="19">
        <f t="shared" si="12"/>
        <v>0</v>
      </c>
      <c r="AI42" s="19">
        <f t="shared" si="13"/>
        <v>0</v>
      </c>
      <c r="AJ42" s="19">
        <f t="shared" si="14"/>
        <v>0</v>
      </c>
      <c r="AK42" s="19">
        <f t="shared" si="15"/>
        <v>0</v>
      </c>
      <c r="AL42" s="19">
        <f>IF(AB42&gt;2040,Z42+Z42*'Data-CostAssumptions'!$G$5,0)</f>
        <v>9760000</v>
      </c>
    </row>
    <row r="43" spans="1:38" ht="15" customHeight="1" x14ac:dyDescent="0.2">
      <c r="B43" s="11" t="s">
        <v>1211</v>
      </c>
      <c r="C43" s="11">
        <v>10067</v>
      </c>
      <c r="D43" s="13" t="s">
        <v>420</v>
      </c>
      <c r="E43" s="14" t="s">
        <v>298</v>
      </c>
      <c r="F43" s="14">
        <v>144</v>
      </c>
      <c r="G43" s="20">
        <v>989</v>
      </c>
      <c r="H43" s="13" t="s">
        <v>2709</v>
      </c>
      <c r="I43" s="13" t="str">
        <f t="shared" si="16"/>
        <v>SR 817/University Dr (@  Miramar Parkway)</v>
      </c>
      <c r="J43" s="11" t="s">
        <v>347</v>
      </c>
      <c r="K43" s="13" t="str">
        <f>VLOOKUP(J43,'Data-ProjectTypes'!A$3:B$13,2,FALSE)</f>
        <v>Project</v>
      </c>
      <c r="L43" s="11" t="s">
        <v>85</v>
      </c>
      <c r="M43" s="11" t="s">
        <v>2835</v>
      </c>
      <c r="N43" s="11" t="s">
        <v>39</v>
      </c>
      <c r="O43" s="13" t="s">
        <v>365</v>
      </c>
      <c r="P43" s="13" t="s">
        <v>365</v>
      </c>
      <c r="Q43" s="15"/>
      <c r="R43" s="16">
        <v>9426949.8170891684</v>
      </c>
      <c r="S43" s="12"/>
      <c r="T43" s="12"/>
      <c r="U43" s="12"/>
      <c r="V43" s="12"/>
      <c r="W43" s="12"/>
      <c r="X43" s="12"/>
      <c r="Y43" s="12"/>
      <c r="Z43" s="18">
        <f>ROUND(R43*'Data-CostAssumptions'!$C$8,-3)</f>
        <v>9427000</v>
      </c>
      <c r="AA43" s="11">
        <f t="shared" si="9"/>
        <v>0</v>
      </c>
      <c r="AB43" s="11">
        <v>2041</v>
      </c>
      <c r="AC43" s="11">
        <v>2041</v>
      </c>
      <c r="AD43" s="11">
        <v>2041</v>
      </c>
      <c r="AE43" s="19">
        <f>ROUND((Z43*'Data-CostAssumptions'!$G$5)*(1+'Data-CostAssumptions'!$G$3)^(AB43-'Data-CostAssumptions'!$G$4),-3)</f>
        <v>5317000</v>
      </c>
      <c r="AF43" s="19">
        <f>ROUND((Z43)*(1+'Data-CostAssumptions'!$G$3)^(AD43-'Data-CostAssumptions'!$G$4),-3)</f>
        <v>24170000</v>
      </c>
      <c r="AG43" s="170" t="str">
        <f t="shared" si="11"/>
        <v>No</v>
      </c>
      <c r="AH43" s="19">
        <f t="shared" si="12"/>
        <v>0</v>
      </c>
      <c r="AI43" s="19">
        <f t="shared" si="13"/>
        <v>0</v>
      </c>
      <c r="AJ43" s="19">
        <f t="shared" si="14"/>
        <v>0</v>
      </c>
      <c r="AK43" s="19">
        <f t="shared" si="15"/>
        <v>0</v>
      </c>
      <c r="AL43" s="19">
        <f>IF(AB43&gt;2040,Z43+Z43*'Data-CostAssumptions'!$G$5,0)</f>
        <v>11500940</v>
      </c>
    </row>
    <row r="44" spans="1:38" ht="15" customHeight="1" x14ac:dyDescent="0.2">
      <c r="B44" s="11" t="s">
        <v>1211</v>
      </c>
      <c r="C44" s="11">
        <v>10027</v>
      </c>
      <c r="D44" s="84" t="s">
        <v>420</v>
      </c>
      <c r="E44" s="14" t="s">
        <v>298</v>
      </c>
      <c r="F44" s="14">
        <v>141</v>
      </c>
      <c r="G44" s="20">
        <v>992</v>
      </c>
      <c r="H44" s="13" t="s">
        <v>2784</v>
      </c>
      <c r="I44" s="13" t="str">
        <f t="shared" si="16"/>
        <v>SR 818/Griffin Rd (@  CSX/Tri-Rail)</v>
      </c>
      <c r="J44" s="84" t="s">
        <v>347</v>
      </c>
      <c r="K44" s="13" t="str">
        <f>VLOOKUP(J44,'Data-ProjectTypes'!A$3:B$13,2,FALSE)</f>
        <v>Project</v>
      </c>
      <c r="L44" s="85" t="s">
        <v>85</v>
      </c>
      <c r="M44" s="85" t="s">
        <v>2835</v>
      </c>
      <c r="N44" s="84" t="s">
        <v>2904</v>
      </c>
      <c r="O44" s="84" t="s">
        <v>365</v>
      </c>
      <c r="P44" s="85" t="s">
        <v>365</v>
      </c>
      <c r="Q44" s="15"/>
      <c r="R44" s="23">
        <v>9426949.8170891684</v>
      </c>
      <c r="V44" s="85"/>
      <c r="Y44" s="12" t="s">
        <v>2925</v>
      </c>
      <c r="Z44" s="18">
        <f>ROUND(R44*'Data-CostAssumptions'!$C$8,-3)</f>
        <v>9427000</v>
      </c>
      <c r="AA44" s="11">
        <f t="shared" si="9"/>
        <v>0</v>
      </c>
      <c r="AB44" s="11">
        <v>2041</v>
      </c>
      <c r="AC44" s="11">
        <v>2041</v>
      </c>
      <c r="AD44" s="11">
        <v>2041</v>
      </c>
      <c r="AE44" s="19">
        <f>ROUND((Z44*'Data-CostAssumptions'!$G$5)*(1+'Data-CostAssumptions'!$G$3)^(AB44-'Data-CostAssumptions'!$G$4),-3)</f>
        <v>5317000</v>
      </c>
      <c r="AF44" s="19">
        <f>ROUND((Z44)*(1+'Data-CostAssumptions'!$G$3)^(AD44-'Data-CostAssumptions'!$G$4),-3)</f>
        <v>24170000</v>
      </c>
      <c r="AG44" s="170" t="str">
        <f t="shared" si="11"/>
        <v>No</v>
      </c>
      <c r="AH44" s="19">
        <f t="shared" si="12"/>
        <v>0</v>
      </c>
      <c r="AI44" s="19">
        <f t="shared" si="13"/>
        <v>0</v>
      </c>
      <c r="AJ44" s="19">
        <f t="shared" si="14"/>
        <v>0</v>
      </c>
      <c r="AK44" s="19">
        <f t="shared" si="15"/>
        <v>0</v>
      </c>
      <c r="AL44" s="19">
        <f>IF(AB44&gt;2040,Z44+Z44*'Data-CostAssumptions'!$G$5,0)</f>
        <v>11500940</v>
      </c>
    </row>
    <row r="45" spans="1:38" ht="15" customHeight="1" x14ac:dyDescent="0.2">
      <c r="B45" s="11" t="s">
        <v>1211</v>
      </c>
      <c r="C45" s="11">
        <v>10012</v>
      </c>
      <c r="D45" s="13" t="s">
        <v>420</v>
      </c>
      <c r="E45" s="14" t="s">
        <v>298</v>
      </c>
      <c r="F45" s="14">
        <v>140</v>
      </c>
      <c r="G45" s="20">
        <v>998</v>
      </c>
      <c r="H45" s="13" t="s">
        <v>2920</v>
      </c>
      <c r="I45" s="13" t="str">
        <f t="shared" si="16"/>
        <v>SR 820/Hollywood (@  Hollywood Bl/Dixie)</v>
      </c>
      <c r="J45" s="11" t="s">
        <v>347</v>
      </c>
      <c r="K45" s="13" t="str">
        <f>VLOOKUP(J45,'Data-ProjectTypes'!A$3:B$13,2,FALSE)</f>
        <v>Project</v>
      </c>
      <c r="L45" s="11" t="s">
        <v>85</v>
      </c>
      <c r="M45" s="11" t="s">
        <v>2835</v>
      </c>
      <c r="N45" s="11" t="s">
        <v>2905</v>
      </c>
      <c r="O45" s="13" t="s">
        <v>365</v>
      </c>
      <c r="P45" s="13" t="s">
        <v>365</v>
      </c>
      <c r="Q45" s="15"/>
      <c r="R45" s="16">
        <v>10179003.401645176</v>
      </c>
      <c r="S45" s="12"/>
      <c r="T45" s="12"/>
      <c r="U45" s="12"/>
      <c r="V45" s="12"/>
      <c r="W45" s="12"/>
      <c r="X45" s="12"/>
      <c r="Y45" s="12"/>
      <c r="Z45" s="18">
        <f>ROUND(R45*'Data-CostAssumptions'!$C$8,-3)</f>
        <v>10179000</v>
      </c>
      <c r="AA45" s="11">
        <f t="shared" si="9"/>
        <v>0</v>
      </c>
      <c r="AB45" s="11">
        <v>2041</v>
      </c>
      <c r="AC45" s="11">
        <v>2041</v>
      </c>
      <c r="AD45" s="11">
        <v>2041</v>
      </c>
      <c r="AE45" s="19">
        <f>ROUND((Z45*'Data-CostAssumptions'!$G$5)*(1+'Data-CostAssumptions'!$G$3)^(AB45-'Data-CostAssumptions'!$G$4),-3)</f>
        <v>5742000</v>
      </c>
      <c r="AF45" s="19">
        <f>ROUND((Z45)*(1+'Data-CostAssumptions'!$G$3)^(AD45-'Data-CostAssumptions'!$G$4),-3)</f>
        <v>26098000</v>
      </c>
      <c r="AG45" s="170" t="str">
        <f t="shared" si="11"/>
        <v>No</v>
      </c>
      <c r="AH45" s="19">
        <f t="shared" si="12"/>
        <v>0</v>
      </c>
      <c r="AI45" s="19">
        <f t="shared" si="13"/>
        <v>0</v>
      </c>
      <c r="AJ45" s="19">
        <f t="shared" si="14"/>
        <v>0</v>
      </c>
      <c r="AK45" s="19">
        <f t="shared" si="15"/>
        <v>0</v>
      </c>
      <c r="AL45" s="19">
        <f>IF(AB45&gt;2040,Z45+Z45*'Data-CostAssumptions'!$G$5,0)</f>
        <v>12418380</v>
      </c>
    </row>
    <row r="46" spans="1:38" ht="15" customHeight="1" x14ac:dyDescent="0.2">
      <c r="B46" s="11" t="s">
        <v>1211</v>
      </c>
      <c r="C46" s="11">
        <v>10028</v>
      </c>
      <c r="D46" s="13" t="s">
        <v>420</v>
      </c>
      <c r="E46" s="14" t="s">
        <v>298</v>
      </c>
      <c r="F46" s="14">
        <v>141</v>
      </c>
      <c r="G46" s="20">
        <v>1000</v>
      </c>
      <c r="H46" s="13" t="s">
        <v>2813</v>
      </c>
      <c r="I46" s="13" t="str">
        <f t="shared" si="16"/>
        <v>SR 820/Hollywood Bl (@  SR 7/US 441)</v>
      </c>
      <c r="J46" s="11" t="s">
        <v>347</v>
      </c>
      <c r="K46" s="13" t="str">
        <f>VLOOKUP(J46,'Data-ProjectTypes'!A$3:B$13,2,FALSE)</f>
        <v>Project</v>
      </c>
      <c r="L46" s="11" t="s">
        <v>85</v>
      </c>
      <c r="M46" s="11" t="s">
        <v>2835</v>
      </c>
      <c r="N46" s="11" t="s">
        <v>57</v>
      </c>
      <c r="O46" s="13" t="s">
        <v>365</v>
      </c>
      <c r="P46" s="13" t="s">
        <v>365</v>
      </c>
      <c r="Q46" s="15"/>
      <c r="R46" s="16">
        <v>8000000</v>
      </c>
      <c r="V46" s="85"/>
      <c r="Y46" s="12"/>
      <c r="Z46" s="18">
        <f>ROUND(R46*'Data-CostAssumptions'!$C$8,-3)</f>
        <v>8000000</v>
      </c>
      <c r="AA46" s="11">
        <f t="shared" si="9"/>
        <v>0</v>
      </c>
      <c r="AB46" s="11">
        <v>2041</v>
      </c>
      <c r="AC46" s="11">
        <v>2041</v>
      </c>
      <c r="AD46" s="11">
        <v>2041</v>
      </c>
      <c r="AE46" s="19">
        <f>ROUND((Z46*'Data-CostAssumptions'!$G$5)*(1+'Data-CostAssumptions'!$G$3)^(AB46-'Data-CostAssumptions'!$G$4),-3)</f>
        <v>4513000</v>
      </c>
      <c r="AF46" s="19">
        <f>ROUND((Z46)*(1+'Data-CostAssumptions'!$G$3)^(AD46-'Data-CostAssumptions'!$G$4),-3)</f>
        <v>20512000</v>
      </c>
      <c r="AG46" s="170" t="str">
        <f t="shared" si="11"/>
        <v>No</v>
      </c>
      <c r="AH46" s="19">
        <f t="shared" si="12"/>
        <v>0</v>
      </c>
      <c r="AI46" s="19">
        <f t="shared" si="13"/>
        <v>0</v>
      </c>
      <c r="AJ46" s="19">
        <f t="shared" si="14"/>
        <v>0</v>
      </c>
      <c r="AK46" s="19">
        <f t="shared" si="15"/>
        <v>0</v>
      </c>
      <c r="AL46" s="19">
        <f>IF(AB46&gt;2040,Z46+Z46*'Data-CostAssumptions'!$G$5,0)</f>
        <v>9760000</v>
      </c>
    </row>
    <row r="47" spans="1:38" ht="15" customHeight="1" x14ac:dyDescent="0.2">
      <c r="B47" s="11" t="s">
        <v>1211</v>
      </c>
      <c r="C47" s="11">
        <v>10020</v>
      </c>
      <c r="D47" s="13" t="s">
        <v>420</v>
      </c>
      <c r="E47" s="14" t="s">
        <v>298</v>
      </c>
      <c r="F47" s="14">
        <v>140</v>
      </c>
      <c r="G47" s="20">
        <v>999</v>
      </c>
      <c r="H47" s="13" t="s">
        <v>2813</v>
      </c>
      <c r="I47" s="13" t="str">
        <f t="shared" si="16"/>
        <v>SR 820/Hollywood Bl (@  Tri-Rail Station)</v>
      </c>
      <c r="J47" s="11" t="s">
        <v>347</v>
      </c>
      <c r="K47" s="13" t="str">
        <f>VLOOKUP(J47,'Data-ProjectTypes'!A$3:B$13,2,FALSE)</f>
        <v>Project</v>
      </c>
      <c r="L47" s="11" t="s">
        <v>85</v>
      </c>
      <c r="M47" s="11" t="s">
        <v>2835</v>
      </c>
      <c r="N47" s="11" t="s">
        <v>933</v>
      </c>
      <c r="O47" s="13" t="s">
        <v>365</v>
      </c>
      <c r="P47" s="13" t="s">
        <v>365</v>
      </c>
      <c r="Q47" s="15"/>
      <c r="R47" s="16">
        <v>9426949.8170891684</v>
      </c>
      <c r="S47" s="12"/>
      <c r="T47" s="12"/>
      <c r="U47" s="12"/>
      <c r="V47" s="12"/>
      <c r="W47" s="12"/>
      <c r="X47" s="12"/>
      <c r="Y47" s="12"/>
      <c r="Z47" s="18">
        <f>ROUND(R47*'Data-CostAssumptions'!$C$8,-3)</f>
        <v>9427000</v>
      </c>
      <c r="AA47" s="11">
        <f t="shared" si="9"/>
        <v>0</v>
      </c>
      <c r="AB47" s="11">
        <v>2041</v>
      </c>
      <c r="AC47" s="11">
        <v>2041</v>
      </c>
      <c r="AD47" s="11">
        <v>2041</v>
      </c>
      <c r="AE47" s="19">
        <f>ROUND((Z47*'Data-CostAssumptions'!$G$5)*(1+'Data-CostAssumptions'!$G$3)^(AB47-'Data-CostAssumptions'!$G$4),-3)</f>
        <v>5317000</v>
      </c>
      <c r="AF47" s="19">
        <f>ROUND((Z47)*(1+'Data-CostAssumptions'!$G$3)^(AD47-'Data-CostAssumptions'!$G$4),-3)</f>
        <v>24170000</v>
      </c>
      <c r="AG47" s="170" t="str">
        <f t="shared" si="11"/>
        <v>No</v>
      </c>
      <c r="AH47" s="19">
        <f t="shared" si="12"/>
        <v>0</v>
      </c>
      <c r="AI47" s="19">
        <f t="shared" si="13"/>
        <v>0</v>
      </c>
      <c r="AJ47" s="19">
        <f t="shared" si="14"/>
        <v>0</v>
      </c>
      <c r="AK47" s="19">
        <f t="shared" si="15"/>
        <v>0</v>
      </c>
      <c r="AL47" s="19">
        <f>IF(AB47&gt;2040,Z47+Z47*'Data-CostAssumptions'!$G$5,0)</f>
        <v>11500940</v>
      </c>
    </row>
    <row r="48" spans="1:38" ht="15" customHeight="1" x14ac:dyDescent="0.2">
      <c r="B48" s="11" t="s">
        <v>1211</v>
      </c>
      <c r="C48" s="11">
        <v>10014</v>
      </c>
      <c r="D48" s="13" t="s">
        <v>420</v>
      </c>
      <c r="E48" s="14" t="s">
        <v>298</v>
      </c>
      <c r="F48" s="14">
        <v>140</v>
      </c>
      <c r="G48" s="20">
        <v>1015</v>
      </c>
      <c r="H48" s="13" t="s">
        <v>2793</v>
      </c>
      <c r="I48" s="13" t="str">
        <f t="shared" si="16"/>
        <v>SR 834/Sample Rd (@  SR 7/US 441)</v>
      </c>
      <c r="J48" s="11" t="s">
        <v>347</v>
      </c>
      <c r="K48" s="13" t="str">
        <f>VLOOKUP(J48,'Data-ProjectTypes'!A$3:B$13,2,FALSE)</f>
        <v>Project</v>
      </c>
      <c r="L48" s="11" t="s">
        <v>85</v>
      </c>
      <c r="M48" s="11" t="s">
        <v>2835</v>
      </c>
      <c r="N48" s="11" t="s">
        <v>57</v>
      </c>
      <c r="O48" s="13" t="s">
        <v>365</v>
      </c>
      <c r="P48" s="13" t="s">
        <v>365</v>
      </c>
      <c r="Q48" s="15"/>
      <c r="R48" s="23">
        <v>10325069.532431994</v>
      </c>
      <c r="S48" s="12"/>
      <c r="T48" s="12"/>
      <c r="U48" s="12"/>
      <c r="V48" s="12"/>
      <c r="W48" s="12"/>
      <c r="X48" s="12"/>
      <c r="Y48" s="12"/>
      <c r="Z48" s="18">
        <f>ROUND(R48*'Data-CostAssumptions'!$C$8,-3)</f>
        <v>10325000</v>
      </c>
      <c r="AA48" s="11">
        <f t="shared" si="9"/>
        <v>0</v>
      </c>
      <c r="AB48" s="11">
        <v>2041</v>
      </c>
      <c r="AC48" s="11">
        <v>2041</v>
      </c>
      <c r="AD48" s="11">
        <v>2041</v>
      </c>
      <c r="AE48" s="19">
        <f>ROUND((Z48*'Data-CostAssumptions'!$G$5)*(1+'Data-CostAssumptions'!$G$3)^(AB48-'Data-CostAssumptions'!$G$4),-3)</f>
        <v>5824000</v>
      </c>
      <c r="AF48" s="19">
        <f>ROUND((Z48)*(1+'Data-CostAssumptions'!$G$3)^(AD48-'Data-CostAssumptions'!$G$4),-3)</f>
        <v>26473000</v>
      </c>
      <c r="AG48" s="170" t="str">
        <f t="shared" si="11"/>
        <v>No</v>
      </c>
      <c r="AH48" s="19">
        <f t="shared" si="12"/>
        <v>0</v>
      </c>
      <c r="AI48" s="19">
        <f t="shared" si="13"/>
        <v>0</v>
      </c>
      <c r="AJ48" s="19">
        <f t="shared" si="14"/>
        <v>0</v>
      </c>
      <c r="AK48" s="19">
        <f t="shared" si="15"/>
        <v>0</v>
      </c>
      <c r="AL48" s="19">
        <f>IF(AB48&gt;2040,Z48+Z48*'Data-CostAssumptions'!$G$5,0)</f>
        <v>12596500</v>
      </c>
    </row>
    <row r="49" spans="2:1024 1028:6144 6146:8189 8193:9214 9218:13311 13315:14336 14340:16383" ht="15" customHeight="1" x14ac:dyDescent="0.2">
      <c r="B49" s="11" t="s">
        <v>1211</v>
      </c>
      <c r="C49" s="11">
        <v>10015</v>
      </c>
      <c r="D49" s="13" t="s">
        <v>420</v>
      </c>
      <c r="E49" s="14" t="s">
        <v>298</v>
      </c>
      <c r="F49" s="14">
        <v>140</v>
      </c>
      <c r="G49" s="20">
        <v>1016</v>
      </c>
      <c r="H49" s="13" t="s">
        <v>2793</v>
      </c>
      <c r="I49" s="13" t="str">
        <f t="shared" si="16"/>
        <v>SR 834/Sample Rd (@  University Dr)</v>
      </c>
      <c r="J49" s="11" t="s">
        <v>347</v>
      </c>
      <c r="K49" s="13" t="str">
        <f>VLOOKUP(J49,'Data-ProjectTypes'!A$3:B$13,2,FALSE)</f>
        <v>Project</v>
      </c>
      <c r="L49" s="11" t="s">
        <v>85</v>
      </c>
      <c r="M49" s="11" t="s">
        <v>2835</v>
      </c>
      <c r="N49" s="11" t="s">
        <v>1804</v>
      </c>
      <c r="O49" s="13" t="s">
        <v>365</v>
      </c>
      <c r="P49" s="13" t="s">
        <v>365</v>
      </c>
      <c r="Q49" s="15"/>
      <c r="R49" s="16">
        <v>8000000</v>
      </c>
      <c r="S49" s="12"/>
      <c r="T49" s="12"/>
      <c r="U49" s="12"/>
      <c r="V49" s="12"/>
      <c r="W49" s="12"/>
      <c r="X49" s="12"/>
      <c r="Y49" s="12"/>
      <c r="Z49" s="18">
        <f>ROUND(R49*'Data-CostAssumptions'!$C$8,-3)</f>
        <v>8000000</v>
      </c>
      <c r="AA49" s="11">
        <f t="shared" si="9"/>
        <v>0</v>
      </c>
      <c r="AB49" s="11">
        <v>2041</v>
      </c>
      <c r="AC49" s="11">
        <v>2041</v>
      </c>
      <c r="AD49" s="11">
        <v>2041</v>
      </c>
      <c r="AE49" s="19">
        <f>ROUND((Z49*'Data-CostAssumptions'!$G$5)*(1+'Data-CostAssumptions'!$G$3)^(AB49-'Data-CostAssumptions'!$G$4),-3)</f>
        <v>4513000</v>
      </c>
      <c r="AF49" s="19">
        <f>ROUND((Z49)*(1+'Data-CostAssumptions'!$G$3)^(AD49-'Data-CostAssumptions'!$G$4),-3)</f>
        <v>20512000</v>
      </c>
      <c r="AG49" s="170" t="s">
        <v>25</v>
      </c>
      <c r="AH49" s="19">
        <f t="shared" si="12"/>
        <v>0</v>
      </c>
      <c r="AI49" s="19">
        <f t="shared" si="13"/>
        <v>0</v>
      </c>
      <c r="AJ49" s="19">
        <f t="shared" si="14"/>
        <v>0</v>
      </c>
      <c r="AK49" s="19">
        <f t="shared" si="15"/>
        <v>0</v>
      </c>
      <c r="AL49" s="19">
        <f>IF(AB49&gt;2040,Z49+Z49*'Data-CostAssumptions'!$G$5,0)</f>
        <v>9760000</v>
      </c>
    </row>
    <row r="50" spans="2:1024 1028:6144 6146:8189 8193:9214 9218:13311 13315:14336 14340:16383" ht="15" customHeight="1" x14ac:dyDescent="0.2">
      <c r="B50" s="11" t="s">
        <v>1211</v>
      </c>
      <c r="C50" s="11">
        <v>10016</v>
      </c>
      <c r="D50" s="13" t="s">
        <v>420</v>
      </c>
      <c r="E50" s="14" t="s">
        <v>298</v>
      </c>
      <c r="F50" s="14">
        <v>140</v>
      </c>
      <c r="G50" s="20">
        <v>1023</v>
      </c>
      <c r="H50" s="13" t="s">
        <v>2728</v>
      </c>
      <c r="I50" s="13" t="str">
        <f t="shared" si="16"/>
        <v>SR 838/Sunrise Bl (@  SR 7/US 441)</v>
      </c>
      <c r="J50" s="11" t="s">
        <v>347</v>
      </c>
      <c r="K50" s="13" t="str">
        <f>VLOOKUP(J50,'Data-ProjectTypes'!A$3:B$13,2,FALSE)</f>
        <v>Project</v>
      </c>
      <c r="L50" s="11" t="s">
        <v>85</v>
      </c>
      <c r="M50" s="11" t="s">
        <v>2835</v>
      </c>
      <c r="N50" s="11" t="s">
        <v>57</v>
      </c>
      <c r="O50" s="13" t="s">
        <v>365</v>
      </c>
      <c r="P50" s="13" t="s">
        <v>365</v>
      </c>
      <c r="Q50" s="15"/>
      <c r="R50" s="16">
        <v>9426949.8170891684</v>
      </c>
      <c r="S50" s="12"/>
      <c r="T50" s="12"/>
      <c r="U50" s="12"/>
      <c r="V50" s="12"/>
      <c r="W50" s="12"/>
      <c r="X50" s="12"/>
      <c r="Y50" s="12"/>
      <c r="Z50" s="18">
        <f>ROUND(R50*'Data-CostAssumptions'!$C$8,-3)</f>
        <v>9427000</v>
      </c>
      <c r="AA50" s="11">
        <f t="shared" si="9"/>
        <v>0</v>
      </c>
      <c r="AB50" s="11">
        <v>2041</v>
      </c>
      <c r="AC50" s="11">
        <v>2041</v>
      </c>
      <c r="AD50" s="11">
        <v>2041</v>
      </c>
      <c r="AE50" s="19">
        <f>ROUND((Z50*'Data-CostAssumptions'!$G$5)*(1+'Data-CostAssumptions'!$G$3)^(AB50-'Data-CostAssumptions'!$G$4),-3)</f>
        <v>5317000</v>
      </c>
      <c r="AF50" s="19">
        <f>ROUND((Z50)*(1+'Data-CostAssumptions'!$G$3)^(AD50-'Data-CostAssumptions'!$G$4),-3)</f>
        <v>24170000</v>
      </c>
      <c r="AG50" s="170" t="str">
        <f t="shared" si="11"/>
        <v>No</v>
      </c>
      <c r="AH50" s="19">
        <f t="shared" si="12"/>
        <v>0</v>
      </c>
      <c r="AI50" s="19">
        <f t="shared" si="13"/>
        <v>0</v>
      </c>
      <c r="AJ50" s="19">
        <f t="shared" si="14"/>
        <v>0</v>
      </c>
      <c r="AK50" s="19">
        <f t="shared" si="15"/>
        <v>0</v>
      </c>
      <c r="AL50" s="19">
        <f>IF(AB50&gt;2040,Z50+Z50*'Data-CostAssumptions'!$G$5,0)</f>
        <v>11500940</v>
      </c>
    </row>
    <row r="51" spans="2:1024 1028:6144 6146:8189 8193:9214 9218:13311 13315:14336 14340:16383" ht="15" customHeight="1" x14ac:dyDescent="0.2">
      <c r="B51" s="11" t="s">
        <v>1211</v>
      </c>
      <c r="C51" s="11">
        <v>10002</v>
      </c>
      <c r="D51" s="13" t="s">
        <v>420</v>
      </c>
      <c r="E51" s="14" t="s">
        <v>298</v>
      </c>
      <c r="F51" s="14">
        <v>140</v>
      </c>
      <c r="G51" s="20">
        <v>1030</v>
      </c>
      <c r="H51" s="13" t="s">
        <v>2798</v>
      </c>
      <c r="I51" s="13" t="str">
        <f t="shared" si="16"/>
        <v>SR 842/Broward Bl (@  NW/SW 1st Av)</v>
      </c>
      <c r="J51" s="11" t="s">
        <v>347</v>
      </c>
      <c r="K51" s="13" t="str">
        <f>VLOOKUP(J51,'Data-ProjectTypes'!A$3:B$13,2,FALSE)</f>
        <v>Project</v>
      </c>
      <c r="L51" s="11" t="s">
        <v>85</v>
      </c>
      <c r="M51" s="11" t="s">
        <v>2835</v>
      </c>
      <c r="N51" s="11" t="s">
        <v>2919</v>
      </c>
      <c r="O51" s="13" t="s">
        <v>365</v>
      </c>
      <c r="P51" s="13" t="s">
        <v>365</v>
      </c>
      <c r="Q51" s="15"/>
      <c r="R51" s="16">
        <v>1197806.2482169243</v>
      </c>
      <c r="S51" s="12"/>
      <c r="T51" s="12"/>
      <c r="U51" s="12"/>
      <c r="V51" s="12"/>
      <c r="W51" s="12"/>
      <c r="X51" s="12"/>
      <c r="Y51" s="12" t="s">
        <v>2995</v>
      </c>
      <c r="Z51" s="18">
        <f>ROUND(R51*'Data-CostAssumptions'!$C$8,-3)</f>
        <v>1198000</v>
      </c>
      <c r="AA51" s="11">
        <f t="shared" si="9"/>
        <v>0</v>
      </c>
      <c r="AB51" s="11">
        <v>2041</v>
      </c>
      <c r="AC51" s="11">
        <v>2041</v>
      </c>
      <c r="AD51" s="11">
        <v>2041</v>
      </c>
      <c r="AE51" s="19">
        <f>ROUND((Z51*'Data-CostAssumptions'!$G$5)*(1+'Data-CostAssumptions'!$G$3)^(AB51-'Data-CostAssumptions'!$G$4),-3)</f>
        <v>676000</v>
      </c>
      <c r="AF51" s="19">
        <f>ROUND((Z51)*(1+'Data-CostAssumptions'!$G$3)^(AD51-'Data-CostAssumptions'!$G$4),-3)</f>
        <v>3072000</v>
      </c>
      <c r="AG51" s="170" t="str">
        <f t="shared" si="11"/>
        <v>No</v>
      </c>
      <c r="AH51" s="19">
        <f t="shared" si="12"/>
        <v>0</v>
      </c>
      <c r="AI51" s="19">
        <f t="shared" si="13"/>
        <v>0</v>
      </c>
      <c r="AJ51" s="19">
        <f t="shared" si="14"/>
        <v>0</v>
      </c>
      <c r="AK51" s="19">
        <f t="shared" si="15"/>
        <v>0</v>
      </c>
      <c r="AL51" s="19">
        <f>IF(AB51&gt;2040,Z51+Z51*'Data-CostAssumptions'!$G$5,0)</f>
        <v>1461560</v>
      </c>
    </row>
    <row r="52" spans="2:1024 1028:6144 6146:8189 8193:9214 9218:13311 13315:14336 14340:16383" ht="15" customHeight="1" x14ac:dyDescent="0.2">
      <c r="B52" s="11" t="s">
        <v>1211</v>
      </c>
      <c r="C52" s="11">
        <v>10010</v>
      </c>
      <c r="D52" s="84" t="s">
        <v>420</v>
      </c>
      <c r="E52" s="14" t="s">
        <v>298</v>
      </c>
      <c r="F52" s="14">
        <v>140</v>
      </c>
      <c r="G52" s="20">
        <v>1031</v>
      </c>
      <c r="H52" s="13" t="s">
        <v>2798</v>
      </c>
      <c r="I52" s="13" t="str">
        <f t="shared" si="16"/>
        <v>SR 842/Broward Bl (@  SR 9/I-95)</v>
      </c>
      <c r="J52" s="84" t="s">
        <v>347</v>
      </c>
      <c r="K52" s="13" t="str">
        <f>VLOOKUP(J52,'Data-ProjectTypes'!A$3:B$13,2,FALSE)</f>
        <v>Project</v>
      </c>
      <c r="L52" s="85" t="s">
        <v>85</v>
      </c>
      <c r="M52" s="85" t="s">
        <v>2835</v>
      </c>
      <c r="N52" s="84" t="s">
        <v>1445</v>
      </c>
      <c r="O52" s="84" t="s">
        <v>365</v>
      </c>
      <c r="P52" s="85" t="s">
        <v>365</v>
      </c>
      <c r="Q52" s="15"/>
      <c r="R52" s="23">
        <v>10179003.401645176</v>
      </c>
      <c r="V52" s="85"/>
      <c r="Y52" s="12"/>
      <c r="Z52" s="18">
        <f>ROUND(R52*'Data-CostAssumptions'!$C$8,-3)</f>
        <v>10179000</v>
      </c>
      <c r="AA52" s="11">
        <f t="shared" si="9"/>
        <v>0</v>
      </c>
      <c r="AB52" s="11">
        <v>2041</v>
      </c>
      <c r="AC52" s="11">
        <v>2041</v>
      </c>
      <c r="AD52" s="11">
        <v>2041</v>
      </c>
      <c r="AE52" s="14">
        <f>ROUND((Z52*'Data-CostAssumptions'!$G$5)*(1+'Data-CostAssumptions'!$G$3)^(AB52-'Data-CostAssumptions'!$G$4),-3)</f>
        <v>5742000</v>
      </c>
      <c r="AF52" s="14">
        <f>ROUND((Z52)*(1+'Data-CostAssumptions'!$G$3)^(AD52-'Data-CostAssumptions'!$G$4),-3)</f>
        <v>26098000</v>
      </c>
      <c r="AG52" s="170" t="str">
        <f t="shared" si="11"/>
        <v>No</v>
      </c>
      <c r="AH52" s="19">
        <f t="shared" si="12"/>
        <v>0</v>
      </c>
      <c r="AI52" s="19">
        <f t="shared" si="13"/>
        <v>0</v>
      </c>
      <c r="AJ52" s="19">
        <f t="shared" si="14"/>
        <v>0</v>
      </c>
      <c r="AK52" s="19">
        <f t="shared" si="15"/>
        <v>0</v>
      </c>
      <c r="AL52" s="19">
        <f>IF(AB52&gt;2040,Z52+Z52*'Data-CostAssumptions'!$G$5,0)</f>
        <v>12418380</v>
      </c>
      <c r="AN52" s="13"/>
      <c r="AO52" s="13"/>
      <c r="AP52" s="15"/>
      <c r="AQ52" s="16"/>
      <c r="AR52" s="12"/>
      <c r="AS52" s="12"/>
      <c r="AT52" s="12"/>
      <c r="AU52" s="12"/>
      <c r="AV52" s="12"/>
      <c r="AW52" s="12"/>
      <c r="AX52" s="12"/>
      <c r="AY52" s="18"/>
      <c r="BC52" s="13"/>
      <c r="BD52" s="14"/>
      <c r="BE52" s="14"/>
      <c r="BF52" s="20"/>
      <c r="BG52" s="13"/>
      <c r="BH52" s="13"/>
      <c r="BJ52" s="13"/>
      <c r="BN52" s="13"/>
      <c r="BO52" s="13"/>
      <c r="BP52" s="15"/>
      <c r="BQ52" s="16"/>
      <c r="BR52" s="12"/>
      <c r="BS52" s="12"/>
      <c r="BT52" s="12"/>
      <c r="BU52" s="12"/>
      <c r="BV52" s="12"/>
      <c r="BW52" s="12"/>
      <c r="BX52" s="12"/>
      <c r="BY52" s="18"/>
      <c r="CC52" s="13"/>
      <c r="CD52" s="14"/>
      <c r="CE52" s="14"/>
      <c r="CF52" s="20"/>
      <c r="CG52" s="13"/>
      <c r="CH52" s="13"/>
      <c r="CJ52" s="13"/>
      <c r="CN52" s="13"/>
      <c r="CO52" s="13"/>
      <c r="CP52" s="15"/>
      <c r="CQ52" s="16"/>
      <c r="CR52" s="12"/>
      <c r="CS52" s="12"/>
      <c r="CT52" s="12"/>
      <c r="CU52" s="12"/>
      <c r="CV52" s="12"/>
      <c r="CW52" s="12"/>
      <c r="CX52" s="12"/>
      <c r="CY52" s="18"/>
      <c r="DC52" s="13"/>
      <c r="DD52" s="14"/>
      <c r="DE52" s="14"/>
      <c r="DF52" s="20"/>
      <c r="DG52" s="13"/>
      <c r="DH52" s="13"/>
      <c r="DJ52" s="13"/>
      <c r="DN52" s="13"/>
      <c r="DO52" s="13"/>
      <c r="DP52" s="15"/>
      <c r="DQ52" s="16"/>
      <c r="DR52" s="12"/>
      <c r="DS52" s="12"/>
      <c r="DT52" s="12"/>
      <c r="DU52" s="12"/>
      <c r="DV52" s="12"/>
      <c r="DW52" s="12"/>
      <c r="DX52" s="12"/>
      <c r="DY52" s="18"/>
      <c r="EC52" s="13"/>
      <c r="ED52" s="14"/>
      <c r="EE52" s="14"/>
      <c r="EF52" s="20"/>
      <c r="EG52" s="13"/>
      <c r="EH52" s="13"/>
      <c r="EJ52" s="13"/>
      <c r="EN52" s="13"/>
      <c r="EO52" s="13"/>
      <c r="EP52" s="15"/>
      <c r="EQ52" s="16"/>
      <c r="ER52" s="12"/>
      <c r="ES52" s="12"/>
      <c r="ET52" s="12"/>
      <c r="EU52" s="12"/>
      <c r="EV52" s="12"/>
      <c r="EW52" s="12"/>
      <c r="EX52" s="12"/>
      <c r="EY52" s="18"/>
      <c r="FC52" s="13"/>
      <c r="FD52" s="14"/>
      <c r="FE52" s="14"/>
      <c r="FF52" s="20"/>
      <c r="FG52" s="13"/>
      <c r="FH52" s="13"/>
      <c r="FJ52" s="13"/>
      <c r="FN52" s="13"/>
      <c r="FO52" s="13"/>
      <c r="FP52" s="15"/>
      <c r="FQ52" s="16"/>
      <c r="FR52" s="12"/>
      <c r="FS52" s="12"/>
      <c r="FT52" s="12"/>
      <c r="FU52" s="12"/>
      <c r="FV52" s="12"/>
      <c r="FW52" s="12"/>
      <c r="FX52" s="12"/>
      <c r="FY52" s="18"/>
      <c r="GC52" s="13"/>
      <c r="GD52" s="14"/>
      <c r="GE52" s="14"/>
      <c r="GF52" s="20"/>
      <c r="GG52" s="13"/>
      <c r="GH52" s="13"/>
      <c r="GJ52" s="13"/>
      <c r="GN52" s="13"/>
      <c r="GO52" s="13"/>
      <c r="GP52" s="15"/>
      <c r="GQ52" s="16"/>
      <c r="GR52" s="12"/>
      <c r="GS52" s="12"/>
      <c r="GT52" s="12"/>
      <c r="GU52" s="12"/>
      <c r="GV52" s="12"/>
      <c r="GW52" s="12"/>
      <c r="GX52" s="12"/>
      <c r="GY52" s="18"/>
      <c r="HC52" s="13"/>
      <c r="HD52" s="14"/>
      <c r="HE52" s="14"/>
      <c r="HF52" s="20"/>
      <c r="HG52" s="13"/>
      <c r="HH52" s="13"/>
      <c r="HJ52" s="13"/>
      <c r="HN52" s="13"/>
      <c r="HO52" s="13"/>
      <c r="HP52" s="15"/>
      <c r="HQ52" s="16"/>
      <c r="HR52" s="12"/>
      <c r="HS52" s="12"/>
      <c r="HT52" s="12"/>
      <c r="HU52" s="12"/>
      <c r="HV52" s="12"/>
      <c r="HW52" s="12"/>
      <c r="HX52" s="12"/>
      <c r="HY52" s="18"/>
      <c r="IC52" s="13"/>
      <c r="ID52" s="14"/>
      <c r="IE52" s="14"/>
      <c r="IF52" s="20"/>
      <c r="IG52" s="13"/>
      <c r="IH52" s="13"/>
      <c r="IJ52" s="13"/>
      <c r="IN52" s="13"/>
      <c r="IO52" s="13"/>
      <c r="IP52" s="15"/>
      <c r="IQ52" s="16"/>
      <c r="IR52" s="12"/>
      <c r="IS52" s="12"/>
      <c r="IT52" s="12"/>
      <c r="IU52" s="12"/>
      <c r="IV52" s="12"/>
      <c r="IW52" s="12"/>
      <c r="IX52" s="12"/>
      <c r="IY52" s="18"/>
      <c r="JC52" s="13"/>
      <c r="JD52" s="14"/>
      <c r="JE52" s="14"/>
      <c r="JF52" s="20"/>
      <c r="JG52" s="13"/>
      <c r="JH52" s="13"/>
      <c r="JJ52" s="13"/>
      <c r="JN52" s="13"/>
      <c r="JO52" s="13"/>
      <c r="JP52" s="15"/>
      <c r="JQ52" s="16"/>
      <c r="JR52" s="12"/>
      <c r="JS52" s="12"/>
      <c r="JT52" s="12"/>
      <c r="JU52" s="12"/>
      <c r="JV52" s="12"/>
      <c r="JW52" s="12"/>
      <c r="JX52" s="12"/>
      <c r="JY52" s="18"/>
      <c r="KC52" s="13"/>
      <c r="KD52" s="14"/>
      <c r="KE52" s="14"/>
      <c r="KF52" s="20"/>
      <c r="KG52" s="13"/>
      <c r="KH52" s="13"/>
      <c r="KJ52" s="13"/>
      <c r="KN52" s="13"/>
      <c r="KO52" s="13"/>
      <c r="KP52" s="15"/>
      <c r="KQ52" s="16"/>
      <c r="KR52" s="12"/>
      <c r="KS52" s="12"/>
      <c r="KT52" s="12"/>
      <c r="KU52" s="12"/>
      <c r="KV52" s="12"/>
      <c r="KW52" s="12"/>
      <c r="KX52" s="12"/>
      <c r="KY52" s="18"/>
      <c r="LC52" s="13"/>
      <c r="LD52" s="14"/>
      <c r="LE52" s="14"/>
      <c r="LF52" s="20"/>
      <c r="LG52" s="13"/>
      <c r="LH52" s="13"/>
      <c r="LJ52" s="13"/>
      <c r="LN52" s="13"/>
      <c r="LO52" s="13"/>
      <c r="LP52" s="15"/>
      <c r="LQ52" s="16"/>
      <c r="LR52" s="12"/>
      <c r="LS52" s="12"/>
      <c r="LT52" s="12"/>
      <c r="LU52" s="12"/>
      <c r="LV52" s="12"/>
      <c r="LW52" s="12"/>
      <c r="LX52" s="12"/>
      <c r="LY52" s="18"/>
      <c r="MC52" s="13"/>
      <c r="MD52" s="14"/>
      <c r="ME52" s="14"/>
      <c r="MF52" s="20"/>
      <c r="MG52" s="13"/>
      <c r="MH52" s="13"/>
      <c r="MJ52" s="13"/>
      <c r="MN52" s="13"/>
      <c r="MO52" s="13"/>
      <c r="MP52" s="15"/>
      <c r="MQ52" s="16"/>
      <c r="MR52" s="12"/>
      <c r="MS52" s="12"/>
      <c r="MT52" s="12"/>
      <c r="MU52" s="12"/>
      <c r="MV52" s="12"/>
      <c r="MW52" s="12"/>
      <c r="MX52" s="12"/>
      <c r="MY52" s="18"/>
      <c r="NC52" s="13"/>
      <c r="ND52" s="14"/>
      <c r="NE52" s="14"/>
      <c r="NF52" s="20"/>
      <c r="NG52" s="13"/>
      <c r="NH52" s="13"/>
      <c r="NJ52" s="13"/>
      <c r="NN52" s="13"/>
      <c r="NO52" s="13"/>
      <c r="NP52" s="15"/>
      <c r="NQ52" s="16"/>
      <c r="NR52" s="12"/>
      <c r="NS52" s="12"/>
      <c r="NT52" s="12"/>
      <c r="NU52" s="12"/>
      <c r="NV52" s="12"/>
      <c r="NW52" s="12"/>
      <c r="NX52" s="12"/>
      <c r="NY52" s="18"/>
      <c r="OC52" s="13"/>
      <c r="OD52" s="14"/>
      <c r="OE52" s="14"/>
      <c r="OF52" s="20"/>
      <c r="OG52" s="13"/>
      <c r="OH52" s="13"/>
      <c r="OJ52" s="13"/>
      <c r="ON52" s="13"/>
      <c r="OO52" s="13"/>
      <c r="OP52" s="15"/>
      <c r="OQ52" s="16"/>
      <c r="OR52" s="12"/>
      <c r="OS52" s="12"/>
      <c r="OT52" s="12"/>
      <c r="OU52" s="12"/>
      <c r="OV52" s="12"/>
      <c r="OW52" s="12"/>
      <c r="OX52" s="12"/>
      <c r="OY52" s="18"/>
      <c r="PC52" s="13"/>
      <c r="PD52" s="14"/>
      <c r="PE52" s="14"/>
      <c r="PF52" s="20"/>
      <c r="PG52" s="13"/>
      <c r="PH52" s="13"/>
      <c r="PJ52" s="13"/>
      <c r="PN52" s="13"/>
      <c r="PO52" s="13"/>
      <c r="PP52" s="15"/>
      <c r="PQ52" s="16"/>
      <c r="PR52" s="12"/>
      <c r="PS52" s="12"/>
      <c r="PT52" s="12"/>
      <c r="PU52" s="12"/>
      <c r="PV52" s="12"/>
      <c r="PW52" s="12"/>
      <c r="PX52" s="12"/>
      <c r="PY52" s="18"/>
      <c r="QC52" s="13"/>
      <c r="QD52" s="14"/>
      <c r="QE52" s="14"/>
      <c r="QF52" s="20"/>
      <c r="QG52" s="13"/>
      <c r="QH52" s="13"/>
      <c r="QJ52" s="13"/>
      <c r="QN52" s="13"/>
      <c r="QO52" s="13"/>
      <c r="QP52" s="15"/>
      <c r="QQ52" s="16"/>
      <c r="QR52" s="12"/>
      <c r="QS52" s="12"/>
      <c r="QT52" s="12"/>
      <c r="QU52" s="12"/>
      <c r="QV52" s="12"/>
      <c r="QW52" s="12"/>
      <c r="QX52" s="12"/>
      <c r="QY52" s="18"/>
      <c r="RC52" s="13"/>
      <c r="RD52" s="14"/>
      <c r="RE52" s="14"/>
      <c r="RF52" s="20"/>
      <c r="RG52" s="13"/>
      <c r="RH52" s="13"/>
      <c r="RJ52" s="13"/>
      <c r="RN52" s="13"/>
      <c r="RO52" s="13"/>
      <c r="RP52" s="15"/>
      <c r="RQ52" s="16"/>
      <c r="RR52" s="12"/>
      <c r="RS52" s="12"/>
      <c r="RT52" s="12"/>
      <c r="RU52" s="12"/>
      <c r="RV52" s="12"/>
      <c r="RW52" s="12"/>
      <c r="RX52" s="12"/>
      <c r="RY52" s="18"/>
      <c r="SC52" s="13"/>
      <c r="SD52" s="14"/>
      <c r="SE52" s="14"/>
      <c r="SF52" s="20"/>
      <c r="SG52" s="13"/>
      <c r="SH52" s="13"/>
      <c r="SJ52" s="13"/>
      <c r="SN52" s="13"/>
      <c r="SO52" s="13"/>
      <c r="SP52" s="15"/>
      <c r="SQ52" s="16"/>
      <c r="SR52" s="12"/>
      <c r="SS52" s="12"/>
      <c r="ST52" s="12"/>
      <c r="SU52" s="12"/>
      <c r="SV52" s="12"/>
      <c r="SW52" s="12"/>
      <c r="SX52" s="12"/>
      <c r="SY52" s="18"/>
      <c r="TC52" s="13"/>
      <c r="TD52" s="14"/>
      <c r="TE52" s="14"/>
      <c r="TF52" s="20"/>
      <c r="TG52" s="13"/>
      <c r="TH52" s="13"/>
      <c r="TJ52" s="13"/>
      <c r="TN52" s="13"/>
      <c r="TO52" s="13"/>
      <c r="TP52" s="15"/>
      <c r="TQ52" s="16"/>
      <c r="TR52" s="12"/>
      <c r="TS52" s="12"/>
      <c r="TT52" s="12"/>
      <c r="TU52" s="12"/>
      <c r="TV52" s="12"/>
      <c r="TW52" s="12"/>
      <c r="TX52" s="12"/>
      <c r="TY52" s="18"/>
      <c r="UC52" s="13"/>
      <c r="UD52" s="14"/>
      <c r="UE52" s="14"/>
      <c r="UF52" s="20"/>
      <c r="UG52" s="13"/>
      <c r="UH52" s="13"/>
      <c r="UJ52" s="13"/>
      <c r="UN52" s="13"/>
      <c r="UO52" s="13"/>
      <c r="UP52" s="15"/>
      <c r="UQ52" s="16"/>
      <c r="UR52" s="12"/>
      <c r="US52" s="12"/>
      <c r="UT52" s="12"/>
      <c r="UU52" s="12"/>
      <c r="UV52" s="12"/>
      <c r="UW52" s="12"/>
      <c r="UX52" s="12"/>
      <c r="UY52" s="18"/>
      <c r="VC52" s="13"/>
      <c r="VD52" s="14"/>
      <c r="VE52" s="14"/>
      <c r="VF52" s="20"/>
      <c r="VG52" s="13"/>
      <c r="VH52" s="13"/>
      <c r="VJ52" s="13"/>
      <c r="VN52" s="13"/>
      <c r="VO52" s="13"/>
      <c r="VP52" s="15"/>
      <c r="VQ52" s="16"/>
      <c r="VR52" s="12"/>
      <c r="VS52" s="12"/>
      <c r="VT52" s="12"/>
      <c r="VU52" s="12"/>
      <c r="VV52" s="12"/>
      <c r="VW52" s="12"/>
      <c r="VX52" s="12"/>
      <c r="VY52" s="18"/>
      <c r="WC52" s="13"/>
      <c r="WD52" s="14"/>
      <c r="WE52" s="14"/>
      <c r="WF52" s="20"/>
      <c r="WG52" s="13"/>
      <c r="WH52" s="13"/>
      <c r="WJ52" s="13"/>
      <c r="WN52" s="13"/>
      <c r="WO52" s="13"/>
      <c r="WP52" s="15"/>
      <c r="WQ52" s="16"/>
      <c r="WR52" s="12"/>
      <c r="WS52" s="12"/>
      <c r="WT52" s="12"/>
      <c r="WU52" s="12"/>
      <c r="WV52" s="12"/>
      <c r="WW52" s="12"/>
      <c r="WX52" s="12"/>
      <c r="WY52" s="18"/>
      <c r="XC52" s="13"/>
      <c r="XD52" s="14"/>
      <c r="XE52" s="14"/>
      <c r="XF52" s="20"/>
      <c r="XG52" s="13"/>
      <c r="XH52" s="13"/>
      <c r="XJ52" s="13"/>
      <c r="XN52" s="13"/>
      <c r="XO52" s="13"/>
      <c r="XP52" s="15"/>
      <c r="XQ52" s="16"/>
      <c r="XR52" s="12"/>
      <c r="XS52" s="12"/>
      <c r="XT52" s="12"/>
      <c r="XU52" s="12"/>
      <c r="XV52" s="12"/>
      <c r="XW52" s="12"/>
      <c r="XX52" s="12"/>
      <c r="XY52" s="18"/>
      <c r="YC52" s="13"/>
      <c r="YD52" s="14"/>
      <c r="YE52" s="14"/>
      <c r="YF52" s="20"/>
      <c r="YG52" s="13"/>
      <c r="YH52" s="13"/>
      <c r="YJ52" s="13"/>
      <c r="YN52" s="13"/>
      <c r="YO52" s="13"/>
      <c r="YP52" s="15"/>
      <c r="YQ52" s="16"/>
      <c r="YR52" s="12"/>
      <c r="YS52" s="12"/>
      <c r="YT52" s="12"/>
      <c r="YU52" s="12"/>
      <c r="YV52" s="12"/>
      <c r="YW52" s="12"/>
      <c r="YX52" s="12"/>
      <c r="YY52" s="18"/>
      <c r="ZC52" s="13"/>
      <c r="ZD52" s="14"/>
      <c r="ZE52" s="14"/>
      <c r="ZF52" s="20"/>
      <c r="ZG52" s="13"/>
      <c r="ZH52" s="13"/>
      <c r="ZJ52" s="13"/>
      <c r="ZN52" s="13"/>
      <c r="ZO52" s="13"/>
      <c r="ZP52" s="15"/>
      <c r="ZQ52" s="16"/>
      <c r="ZR52" s="12"/>
      <c r="ZS52" s="12"/>
      <c r="ZT52" s="12"/>
      <c r="ZU52" s="12"/>
      <c r="ZV52" s="12"/>
      <c r="ZW52" s="12"/>
      <c r="ZX52" s="12"/>
      <c r="ZY52" s="18"/>
      <c r="AAC52" s="13"/>
      <c r="AAD52" s="14"/>
      <c r="AAE52" s="14"/>
      <c r="AAF52" s="20"/>
      <c r="AAG52" s="13"/>
      <c r="AAH52" s="13"/>
      <c r="AAJ52" s="13"/>
      <c r="AAN52" s="13"/>
      <c r="AAO52" s="13"/>
      <c r="AAP52" s="15"/>
      <c r="AAQ52" s="16"/>
      <c r="AAR52" s="12"/>
      <c r="AAS52" s="12"/>
      <c r="AAT52" s="12"/>
      <c r="AAU52" s="12"/>
      <c r="AAV52" s="12"/>
      <c r="AAW52" s="12"/>
      <c r="AAX52" s="12"/>
      <c r="AAY52" s="18"/>
      <c r="ABC52" s="13"/>
      <c r="ABD52" s="14"/>
      <c r="ABE52" s="14"/>
      <c r="ABF52" s="20"/>
      <c r="ABG52" s="13"/>
      <c r="ABH52" s="13"/>
      <c r="ABJ52" s="13"/>
      <c r="ABN52" s="13"/>
      <c r="ABO52" s="13"/>
      <c r="ABP52" s="15"/>
      <c r="ABQ52" s="16"/>
      <c r="ABR52" s="12"/>
      <c r="ABS52" s="12"/>
      <c r="ABT52" s="12"/>
      <c r="ABU52" s="12"/>
      <c r="ABV52" s="12"/>
      <c r="ABW52" s="12"/>
      <c r="ABX52" s="12"/>
      <c r="ABY52" s="18"/>
      <c r="ACC52" s="13"/>
      <c r="ACD52" s="14"/>
      <c r="ACE52" s="14"/>
      <c r="ACF52" s="20"/>
      <c r="ACG52" s="13"/>
      <c r="ACH52" s="13"/>
      <c r="ACJ52" s="13"/>
      <c r="ACN52" s="13"/>
      <c r="ACO52" s="13"/>
      <c r="ACP52" s="15"/>
      <c r="ACQ52" s="16"/>
      <c r="ACR52" s="12"/>
      <c r="ACS52" s="12"/>
      <c r="ACT52" s="12"/>
      <c r="ACU52" s="12"/>
      <c r="ACV52" s="12"/>
      <c r="ACW52" s="12"/>
      <c r="ACX52" s="12"/>
      <c r="ACY52" s="18"/>
      <c r="ADC52" s="13"/>
      <c r="ADD52" s="14"/>
      <c r="ADE52" s="14"/>
      <c r="ADF52" s="20"/>
      <c r="ADG52" s="13"/>
      <c r="ADH52" s="13"/>
      <c r="ADJ52" s="13"/>
      <c r="ADN52" s="13"/>
      <c r="ADO52" s="13"/>
      <c r="ADP52" s="15"/>
      <c r="ADQ52" s="16"/>
      <c r="ADR52" s="12"/>
      <c r="ADS52" s="12"/>
      <c r="ADT52" s="12"/>
      <c r="ADU52" s="12"/>
      <c r="ADV52" s="12"/>
      <c r="ADW52" s="12"/>
      <c r="ADX52" s="12"/>
      <c r="ADY52" s="18"/>
      <c r="AEC52" s="13"/>
      <c r="AED52" s="14"/>
      <c r="AEE52" s="14"/>
      <c r="AEF52" s="20"/>
      <c r="AEG52" s="13"/>
      <c r="AEH52" s="13"/>
      <c r="AEJ52" s="13"/>
      <c r="AEN52" s="13"/>
      <c r="AEO52" s="13"/>
      <c r="AEP52" s="15"/>
      <c r="AEQ52" s="16"/>
      <c r="AER52" s="12"/>
      <c r="AES52" s="12"/>
      <c r="AET52" s="12"/>
      <c r="AEU52" s="12"/>
      <c r="AEV52" s="12"/>
      <c r="AEW52" s="12"/>
      <c r="AEX52" s="12"/>
      <c r="AEY52" s="18"/>
      <c r="AFC52" s="13"/>
      <c r="AFD52" s="14"/>
      <c r="AFE52" s="14"/>
      <c r="AFF52" s="20"/>
      <c r="AFG52" s="13"/>
      <c r="AFH52" s="13"/>
      <c r="AFJ52" s="13"/>
      <c r="AFN52" s="13"/>
      <c r="AFO52" s="13"/>
      <c r="AFP52" s="15"/>
      <c r="AFQ52" s="16"/>
      <c r="AFR52" s="12"/>
      <c r="AFS52" s="12"/>
      <c r="AFT52" s="12"/>
      <c r="AFU52" s="12"/>
      <c r="AFV52" s="12"/>
      <c r="AFW52" s="12"/>
      <c r="AFX52" s="12"/>
      <c r="AFY52" s="18"/>
      <c r="AGC52" s="13"/>
      <c r="AGD52" s="14"/>
      <c r="AGE52" s="14"/>
      <c r="AGF52" s="20"/>
      <c r="AGG52" s="13"/>
      <c r="AGH52" s="13"/>
      <c r="AGJ52" s="13"/>
      <c r="AGN52" s="13"/>
      <c r="AGO52" s="13"/>
      <c r="AGP52" s="15"/>
      <c r="AGQ52" s="16"/>
      <c r="AGR52" s="12"/>
      <c r="AGS52" s="12"/>
      <c r="AGT52" s="12"/>
      <c r="AGU52" s="12"/>
      <c r="AGV52" s="12"/>
      <c r="AGW52" s="12"/>
      <c r="AGX52" s="12"/>
      <c r="AGY52" s="18"/>
      <c r="AHC52" s="13"/>
      <c r="AHD52" s="14"/>
      <c r="AHE52" s="14"/>
      <c r="AHF52" s="20"/>
      <c r="AHG52" s="13"/>
      <c r="AHH52" s="13"/>
      <c r="AHJ52" s="13"/>
      <c r="AHN52" s="13"/>
      <c r="AHO52" s="13"/>
      <c r="AHP52" s="15"/>
      <c r="AHQ52" s="16"/>
      <c r="AHR52" s="12"/>
      <c r="AHS52" s="12"/>
      <c r="AHT52" s="12"/>
      <c r="AHU52" s="12"/>
      <c r="AHV52" s="12"/>
      <c r="AHW52" s="12"/>
      <c r="AHX52" s="12"/>
      <c r="AHY52" s="18"/>
      <c r="AIC52" s="13"/>
      <c r="AID52" s="14"/>
      <c r="AIE52" s="14"/>
      <c r="AIF52" s="20"/>
      <c r="AIG52" s="13"/>
      <c r="AIH52" s="13"/>
      <c r="AIJ52" s="13"/>
      <c r="AIN52" s="13"/>
      <c r="AIO52" s="13"/>
      <c r="AIP52" s="15"/>
      <c r="AIQ52" s="16"/>
      <c r="AIR52" s="12"/>
      <c r="AIS52" s="12"/>
      <c r="AIT52" s="12"/>
      <c r="AIU52" s="12"/>
      <c r="AIV52" s="12"/>
      <c r="AIW52" s="12"/>
      <c r="AIX52" s="12"/>
      <c r="AIY52" s="18"/>
      <c r="AJC52" s="13"/>
      <c r="AJD52" s="14"/>
      <c r="AJE52" s="14"/>
      <c r="AJF52" s="20"/>
      <c r="AJG52" s="13"/>
      <c r="AJH52" s="13"/>
      <c r="AJJ52" s="13"/>
      <c r="AJN52" s="13"/>
      <c r="AJO52" s="13"/>
      <c r="AJP52" s="15"/>
      <c r="AJQ52" s="16"/>
      <c r="AJR52" s="12"/>
      <c r="AJS52" s="12"/>
      <c r="AJT52" s="12"/>
      <c r="AJU52" s="12"/>
      <c r="AJV52" s="12"/>
      <c r="AJW52" s="12"/>
      <c r="AJX52" s="12"/>
      <c r="AJY52" s="18"/>
      <c r="AKC52" s="13"/>
      <c r="AKD52" s="14"/>
      <c r="AKE52" s="14"/>
      <c r="AKF52" s="20"/>
      <c r="AKG52" s="13"/>
      <c r="AKH52" s="13"/>
      <c r="AKJ52" s="13"/>
      <c r="AKN52" s="13"/>
      <c r="AKO52" s="13"/>
      <c r="AKP52" s="15"/>
      <c r="AKQ52" s="16"/>
      <c r="AKR52" s="12"/>
      <c r="AKS52" s="12"/>
      <c r="AKT52" s="12"/>
      <c r="AKU52" s="12"/>
      <c r="AKV52" s="12"/>
      <c r="AKW52" s="12"/>
      <c r="AKX52" s="12"/>
      <c r="AKY52" s="18"/>
      <c r="ALC52" s="13"/>
      <c r="ALD52" s="14"/>
      <c r="ALE52" s="14"/>
      <c r="ALF52" s="20"/>
      <c r="ALG52" s="13"/>
      <c r="ALH52" s="13"/>
      <c r="ALJ52" s="13"/>
      <c r="ALN52" s="13"/>
      <c r="ALO52" s="13"/>
      <c r="ALP52" s="15"/>
      <c r="ALQ52" s="16"/>
      <c r="ALR52" s="12"/>
      <c r="ALS52" s="12"/>
      <c r="ALT52" s="12"/>
      <c r="ALU52" s="12"/>
      <c r="ALV52" s="12"/>
      <c r="ALW52" s="12"/>
      <c r="ALX52" s="12"/>
      <c r="ALY52" s="18"/>
      <c r="AMC52" s="13"/>
      <c r="AMD52" s="14"/>
      <c r="AME52" s="14"/>
      <c r="AMF52" s="20"/>
      <c r="AMG52" s="13"/>
      <c r="AMH52" s="13"/>
      <c r="AMJ52" s="13"/>
      <c r="AMN52" s="13"/>
      <c r="AMO52" s="13"/>
      <c r="AMP52" s="15"/>
      <c r="AMQ52" s="16"/>
      <c r="AMR52" s="12"/>
      <c r="AMS52" s="12"/>
      <c r="AMT52" s="12"/>
      <c r="AMU52" s="12"/>
      <c r="AMV52" s="12"/>
      <c r="AMW52" s="12"/>
      <c r="AMX52" s="12"/>
      <c r="AMY52" s="18"/>
      <c r="ANC52" s="13"/>
      <c r="AND52" s="14"/>
      <c r="ANE52" s="14"/>
      <c r="ANF52" s="20"/>
      <c r="ANG52" s="13"/>
      <c r="ANH52" s="13"/>
      <c r="ANJ52" s="13"/>
      <c r="ANN52" s="13"/>
      <c r="ANO52" s="13"/>
      <c r="ANP52" s="15"/>
      <c r="ANQ52" s="16"/>
      <c r="ANR52" s="12"/>
      <c r="ANS52" s="12"/>
      <c r="ANT52" s="12"/>
      <c r="ANU52" s="12"/>
      <c r="ANV52" s="12"/>
      <c r="ANW52" s="12"/>
      <c r="ANX52" s="12"/>
      <c r="ANY52" s="18"/>
      <c r="AOC52" s="13"/>
      <c r="AOD52" s="14"/>
      <c r="AOE52" s="14"/>
      <c r="AOF52" s="20"/>
      <c r="AOG52" s="13"/>
      <c r="AOH52" s="13"/>
      <c r="AOJ52" s="13"/>
      <c r="AON52" s="13"/>
      <c r="AOO52" s="13"/>
      <c r="AOP52" s="15"/>
      <c r="AOQ52" s="16"/>
      <c r="AOR52" s="12"/>
      <c r="AOS52" s="12"/>
      <c r="AOT52" s="12"/>
      <c r="AOU52" s="12"/>
      <c r="AOV52" s="12"/>
      <c r="AOW52" s="12"/>
      <c r="AOX52" s="12"/>
      <c r="AOY52" s="18"/>
      <c r="APC52" s="13"/>
      <c r="APD52" s="14"/>
      <c r="APE52" s="14"/>
      <c r="APF52" s="20"/>
      <c r="APG52" s="13"/>
      <c r="APH52" s="13"/>
      <c r="APJ52" s="13"/>
      <c r="APN52" s="13"/>
      <c r="APO52" s="13"/>
      <c r="APP52" s="15"/>
      <c r="APQ52" s="16"/>
      <c r="APR52" s="12"/>
      <c r="APS52" s="12"/>
      <c r="APT52" s="12"/>
      <c r="APU52" s="12"/>
      <c r="APV52" s="12"/>
      <c r="APW52" s="12"/>
      <c r="APX52" s="12"/>
      <c r="APY52" s="18"/>
      <c r="AQC52" s="13"/>
      <c r="AQD52" s="14"/>
      <c r="AQE52" s="14"/>
      <c r="AQF52" s="20"/>
      <c r="AQG52" s="13"/>
      <c r="AQH52" s="13"/>
      <c r="AQJ52" s="13"/>
      <c r="AQN52" s="13"/>
      <c r="AQO52" s="13"/>
      <c r="AQP52" s="15"/>
      <c r="AQQ52" s="16"/>
      <c r="AQR52" s="12"/>
      <c r="AQS52" s="12"/>
      <c r="AQT52" s="12"/>
      <c r="AQU52" s="12"/>
      <c r="AQV52" s="12"/>
      <c r="AQW52" s="12"/>
      <c r="AQX52" s="12"/>
      <c r="AQY52" s="18"/>
      <c r="ARC52" s="13"/>
      <c r="ARD52" s="14"/>
      <c r="ARE52" s="14"/>
      <c r="ARF52" s="20"/>
      <c r="ARG52" s="13"/>
      <c r="ARH52" s="13"/>
      <c r="ARJ52" s="13"/>
      <c r="ARN52" s="13"/>
      <c r="ARO52" s="13"/>
      <c r="ARP52" s="15"/>
      <c r="ARQ52" s="16"/>
      <c r="ARR52" s="12"/>
      <c r="ARS52" s="12"/>
      <c r="ART52" s="12"/>
      <c r="ARU52" s="12"/>
      <c r="ARV52" s="12"/>
      <c r="ARW52" s="12"/>
      <c r="ARX52" s="12"/>
      <c r="ARY52" s="18"/>
      <c r="ASC52" s="13"/>
      <c r="ASD52" s="14"/>
      <c r="ASE52" s="14"/>
      <c r="ASF52" s="20"/>
      <c r="ASG52" s="13"/>
      <c r="ASH52" s="13"/>
      <c r="ASJ52" s="13"/>
      <c r="ASN52" s="13"/>
      <c r="ASO52" s="13"/>
      <c r="ASP52" s="15"/>
      <c r="ASQ52" s="16"/>
      <c r="ASR52" s="12"/>
      <c r="ASS52" s="12"/>
      <c r="AST52" s="12"/>
      <c r="ASU52" s="12"/>
      <c r="ASV52" s="12"/>
      <c r="ASW52" s="12"/>
      <c r="ASX52" s="12"/>
      <c r="ASY52" s="18"/>
      <c r="ATC52" s="13"/>
      <c r="ATD52" s="14"/>
      <c r="ATE52" s="14"/>
      <c r="ATF52" s="20"/>
      <c r="ATG52" s="13"/>
      <c r="ATH52" s="13"/>
      <c r="ATJ52" s="13"/>
      <c r="ATN52" s="13"/>
      <c r="ATO52" s="13"/>
      <c r="ATP52" s="15"/>
      <c r="ATQ52" s="16"/>
      <c r="ATR52" s="12"/>
      <c r="ATS52" s="12"/>
      <c r="ATT52" s="12"/>
      <c r="ATU52" s="12"/>
      <c r="ATV52" s="12"/>
      <c r="ATW52" s="12"/>
      <c r="ATX52" s="12"/>
      <c r="ATY52" s="18"/>
      <c r="AUC52" s="13"/>
      <c r="AUD52" s="14"/>
      <c r="AUE52" s="14"/>
      <c r="AUF52" s="20"/>
      <c r="AUG52" s="13"/>
      <c r="AUH52" s="13"/>
      <c r="AUJ52" s="13"/>
      <c r="AUN52" s="13"/>
      <c r="AUO52" s="13"/>
      <c r="AUP52" s="15"/>
      <c r="AUQ52" s="16"/>
      <c r="AUR52" s="12"/>
      <c r="AUS52" s="12"/>
      <c r="AUT52" s="12"/>
      <c r="AUU52" s="12"/>
      <c r="AUV52" s="12"/>
      <c r="AUW52" s="12"/>
      <c r="AUX52" s="12"/>
      <c r="AUY52" s="18"/>
      <c r="AVC52" s="13"/>
      <c r="AVD52" s="14"/>
      <c r="AVE52" s="14"/>
      <c r="AVF52" s="20"/>
      <c r="AVG52" s="13"/>
      <c r="AVH52" s="13"/>
      <c r="AVJ52" s="13"/>
      <c r="AVN52" s="13"/>
      <c r="AVO52" s="13"/>
      <c r="AVP52" s="15"/>
      <c r="AVQ52" s="16"/>
      <c r="AVR52" s="12"/>
      <c r="AVS52" s="12"/>
      <c r="AVT52" s="12"/>
      <c r="AVU52" s="12"/>
      <c r="AVV52" s="12"/>
      <c r="AVW52" s="12"/>
      <c r="AVX52" s="12"/>
      <c r="AVY52" s="18"/>
      <c r="AWC52" s="13"/>
      <c r="AWD52" s="14"/>
      <c r="AWE52" s="14"/>
      <c r="AWF52" s="20"/>
      <c r="AWG52" s="13"/>
      <c r="AWH52" s="13"/>
      <c r="AWJ52" s="13"/>
      <c r="AWN52" s="13"/>
      <c r="AWO52" s="13"/>
      <c r="AWP52" s="15"/>
      <c r="AWQ52" s="16"/>
      <c r="AWR52" s="12"/>
      <c r="AWS52" s="12"/>
      <c r="AWT52" s="12"/>
      <c r="AWU52" s="12"/>
      <c r="AWV52" s="12"/>
      <c r="AWW52" s="12"/>
      <c r="AWX52" s="12"/>
      <c r="AWY52" s="18"/>
      <c r="AXC52" s="13"/>
      <c r="AXD52" s="14"/>
      <c r="AXE52" s="14"/>
      <c r="AXF52" s="20"/>
      <c r="AXG52" s="13"/>
      <c r="AXH52" s="13"/>
      <c r="AXJ52" s="13"/>
      <c r="AXN52" s="13"/>
      <c r="AXO52" s="13"/>
      <c r="AXP52" s="15"/>
      <c r="AXQ52" s="16"/>
      <c r="AXR52" s="12"/>
      <c r="AXS52" s="12"/>
      <c r="AXT52" s="12"/>
      <c r="AXU52" s="12"/>
      <c r="AXV52" s="12"/>
      <c r="AXW52" s="12"/>
      <c r="AXX52" s="12"/>
      <c r="AXY52" s="18"/>
      <c r="AYC52" s="13"/>
      <c r="AYD52" s="14"/>
      <c r="AYE52" s="14"/>
      <c r="AYF52" s="20"/>
      <c r="AYG52" s="13"/>
      <c r="AYH52" s="13"/>
      <c r="AYJ52" s="13"/>
      <c r="AYN52" s="13"/>
      <c r="AYO52" s="13"/>
      <c r="AYP52" s="15"/>
      <c r="AYQ52" s="16"/>
      <c r="AYR52" s="12"/>
      <c r="AYS52" s="12"/>
      <c r="AYT52" s="12"/>
      <c r="AYU52" s="12"/>
      <c r="AYV52" s="12"/>
      <c r="AYW52" s="12"/>
      <c r="AYX52" s="12"/>
      <c r="AYY52" s="18"/>
      <c r="AZC52" s="13"/>
      <c r="AZD52" s="14"/>
      <c r="AZE52" s="14"/>
      <c r="AZF52" s="20"/>
      <c r="AZG52" s="13"/>
      <c r="AZH52" s="13"/>
      <c r="AZJ52" s="13"/>
      <c r="AZN52" s="13"/>
      <c r="AZO52" s="13"/>
      <c r="AZP52" s="15"/>
      <c r="AZQ52" s="16"/>
      <c r="AZR52" s="12"/>
      <c r="AZS52" s="12"/>
      <c r="AZT52" s="12"/>
      <c r="AZU52" s="12"/>
      <c r="AZV52" s="12"/>
      <c r="AZW52" s="12"/>
      <c r="AZX52" s="12"/>
      <c r="AZY52" s="18"/>
      <c r="BAC52" s="13"/>
      <c r="BAD52" s="14"/>
      <c r="BAE52" s="14"/>
      <c r="BAF52" s="20"/>
      <c r="BAG52" s="13"/>
      <c r="BAH52" s="13"/>
      <c r="BAJ52" s="13"/>
      <c r="BAN52" s="13"/>
      <c r="BAO52" s="13"/>
      <c r="BAP52" s="15"/>
      <c r="BAQ52" s="16"/>
      <c r="BAR52" s="12"/>
      <c r="BAS52" s="12"/>
      <c r="BAT52" s="12"/>
      <c r="BAU52" s="12"/>
      <c r="BAV52" s="12"/>
      <c r="BAW52" s="12"/>
      <c r="BAX52" s="12"/>
      <c r="BAY52" s="18"/>
      <c r="BBC52" s="13"/>
      <c r="BBD52" s="14"/>
      <c r="BBE52" s="14"/>
      <c r="BBF52" s="20"/>
      <c r="BBG52" s="13"/>
      <c r="BBH52" s="13"/>
      <c r="BBJ52" s="13"/>
      <c r="BBN52" s="13"/>
      <c r="BBO52" s="13"/>
      <c r="BBP52" s="15"/>
      <c r="BBQ52" s="16"/>
      <c r="BBR52" s="12"/>
      <c r="BBS52" s="12"/>
      <c r="BBT52" s="12"/>
      <c r="BBU52" s="12"/>
      <c r="BBV52" s="12"/>
      <c r="BBW52" s="12"/>
      <c r="BBX52" s="12"/>
      <c r="BBY52" s="18"/>
      <c r="BCC52" s="13"/>
      <c r="BCD52" s="14"/>
      <c r="BCE52" s="14"/>
      <c r="BCF52" s="20"/>
      <c r="BCG52" s="13"/>
      <c r="BCH52" s="13"/>
      <c r="BCJ52" s="13"/>
      <c r="BCN52" s="13"/>
      <c r="BCO52" s="13"/>
      <c r="BCP52" s="15"/>
      <c r="BCQ52" s="16"/>
      <c r="BCR52" s="12"/>
      <c r="BCS52" s="12"/>
      <c r="BCT52" s="12"/>
      <c r="BCU52" s="12"/>
      <c r="BCV52" s="12"/>
      <c r="BCW52" s="12"/>
      <c r="BCX52" s="12"/>
      <c r="BCY52" s="18"/>
      <c r="BDC52" s="13"/>
      <c r="BDD52" s="14"/>
      <c r="BDE52" s="14"/>
      <c r="BDF52" s="20"/>
      <c r="BDG52" s="13"/>
      <c r="BDH52" s="13"/>
      <c r="BDJ52" s="13"/>
      <c r="BDN52" s="13"/>
      <c r="BDO52" s="13"/>
      <c r="BDP52" s="15"/>
      <c r="BDQ52" s="16"/>
      <c r="BDR52" s="12"/>
      <c r="BDS52" s="12"/>
      <c r="BDT52" s="12"/>
      <c r="BDU52" s="12"/>
      <c r="BDV52" s="12"/>
      <c r="BDW52" s="12"/>
      <c r="BDX52" s="12"/>
      <c r="BDY52" s="18"/>
      <c r="BEC52" s="13"/>
      <c r="BED52" s="14"/>
      <c r="BEE52" s="14"/>
      <c r="BEF52" s="20"/>
      <c r="BEG52" s="13"/>
      <c r="BEH52" s="13"/>
      <c r="BEJ52" s="13"/>
      <c r="BEN52" s="13"/>
      <c r="BEO52" s="13"/>
      <c r="BEP52" s="15"/>
      <c r="BEQ52" s="16"/>
      <c r="BER52" s="12"/>
      <c r="BES52" s="12"/>
      <c r="BET52" s="12"/>
      <c r="BEU52" s="12"/>
      <c r="BEV52" s="12"/>
      <c r="BEW52" s="12"/>
      <c r="BEX52" s="12"/>
      <c r="BEY52" s="18"/>
      <c r="BFC52" s="13"/>
      <c r="BFD52" s="14"/>
      <c r="BFE52" s="14"/>
      <c r="BFF52" s="20"/>
      <c r="BFG52" s="13"/>
      <c r="BFH52" s="13"/>
      <c r="BFJ52" s="13"/>
      <c r="BFN52" s="13"/>
      <c r="BFO52" s="13"/>
      <c r="BFP52" s="15"/>
      <c r="BFQ52" s="16"/>
      <c r="BFR52" s="12"/>
      <c r="BFS52" s="12"/>
      <c r="BFT52" s="12"/>
      <c r="BFU52" s="12"/>
      <c r="BFV52" s="12"/>
      <c r="BFW52" s="12"/>
      <c r="BFX52" s="12"/>
      <c r="BFY52" s="18"/>
      <c r="BGC52" s="13"/>
      <c r="BGD52" s="14"/>
      <c r="BGE52" s="14"/>
      <c r="BGF52" s="20"/>
      <c r="BGG52" s="13"/>
      <c r="BGH52" s="13"/>
      <c r="BGJ52" s="13"/>
      <c r="BGN52" s="13"/>
      <c r="BGO52" s="13"/>
      <c r="BGP52" s="15"/>
      <c r="BGQ52" s="16"/>
      <c r="BGR52" s="12"/>
      <c r="BGS52" s="12"/>
      <c r="BGT52" s="12"/>
      <c r="BGU52" s="12"/>
      <c r="BGV52" s="12"/>
      <c r="BGW52" s="12"/>
      <c r="BGX52" s="12"/>
      <c r="BGY52" s="18"/>
      <c r="BHC52" s="13"/>
      <c r="BHD52" s="14"/>
      <c r="BHE52" s="14"/>
      <c r="BHF52" s="20"/>
      <c r="BHG52" s="13"/>
      <c r="BHH52" s="13"/>
      <c r="BHJ52" s="13"/>
      <c r="BHN52" s="13"/>
      <c r="BHO52" s="13"/>
      <c r="BHP52" s="15"/>
      <c r="BHQ52" s="16"/>
      <c r="BHR52" s="12"/>
      <c r="BHS52" s="12"/>
      <c r="BHT52" s="12"/>
      <c r="BHU52" s="12"/>
      <c r="BHV52" s="12"/>
      <c r="BHW52" s="12"/>
      <c r="BHX52" s="12"/>
      <c r="BHY52" s="18"/>
      <c r="BIC52" s="13"/>
      <c r="BID52" s="14"/>
      <c r="BIE52" s="14"/>
      <c r="BIF52" s="20"/>
      <c r="BIG52" s="13"/>
      <c r="BIH52" s="13"/>
      <c r="BIJ52" s="13"/>
      <c r="BIN52" s="13"/>
      <c r="BIO52" s="13"/>
      <c r="BIP52" s="15"/>
      <c r="BIQ52" s="16"/>
      <c r="BIR52" s="12"/>
      <c r="BIS52" s="12"/>
      <c r="BIT52" s="12"/>
      <c r="BIU52" s="12"/>
      <c r="BIV52" s="12"/>
      <c r="BIW52" s="12"/>
      <c r="BIX52" s="12"/>
      <c r="BIY52" s="18"/>
      <c r="BJC52" s="13"/>
      <c r="BJD52" s="14"/>
      <c r="BJE52" s="14"/>
      <c r="BJF52" s="20"/>
      <c r="BJG52" s="13"/>
      <c r="BJH52" s="13"/>
      <c r="BJJ52" s="13"/>
      <c r="BJN52" s="13"/>
      <c r="BJO52" s="13"/>
      <c r="BJP52" s="15"/>
      <c r="BJQ52" s="16"/>
      <c r="BJR52" s="12"/>
      <c r="BJS52" s="12"/>
      <c r="BJT52" s="12"/>
      <c r="BJU52" s="12"/>
      <c r="BJV52" s="12"/>
      <c r="BJW52" s="12"/>
      <c r="BJX52" s="12"/>
      <c r="BJY52" s="18"/>
      <c r="BKC52" s="13"/>
      <c r="BKD52" s="14"/>
      <c r="BKE52" s="14"/>
      <c r="BKF52" s="20"/>
      <c r="BKG52" s="13"/>
      <c r="BKH52" s="13"/>
      <c r="BKJ52" s="13"/>
      <c r="BKN52" s="13"/>
      <c r="BKO52" s="13"/>
      <c r="BKP52" s="15"/>
      <c r="BKQ52" s="16"/>
      <c r="BKR52" s="12"/>
      <c r="BKS52" s="12"/>
      <c r="BKT52" s="12"/>
      <c r="BKU52" s="12"/>
      <c r="BKV52" s="12"/>
      <c r="BKW52" s="12"/>
      <c r="BKX52" s="12"/>
      <c r="BKY52" s="18"/>
      <c r="BLC52" s="13"/>
      <c r="BLD52" s="14"/>
      <c r="BLE52" s="14"/>
      <c r="BLF52" s="20"/>
      <c r="BLG52" s="13"/>
      <c r="BLH52" s="13"/>
      <c r="BLJ52" s="13"/>
      <c r="BLN52" s="13"/>
      <c r="BLO52" s="13"/>
      <c r="BLP52" s="15"/>
      <c r="BLQ52" s="16"/>
      <c r="BLR52" s="12"/>
      <c r="BLS52" s="12"/>
      <c r="BLT52" s="12"/>
      <c r="BLU52" s="12"/>
      <c r="BLV52" s="12"/>
      <c r="BLW52" s="12"/>
      <c r="BLX52" s="12"/>
      <c r="BLY52" s="18"/>
      <c r="BMC52" s="13"/>
      <c r="BMD52" s="14"/>
      <c r="BME52" s="14"/>
      <c r="BMF52" s="20"/>
      <c r="BMG52" s="13"/>
      <c r="BMH52" s="13"/>
      <c r="BMJ52" s="13"/>
      <c r="BMN52" s="13"/>
      <c r="BMO52" s="13"/>
      <c r="BMP52" s="15"/>
      <c r="BMQ52" s="16"/>
      <c r="BMR52" s="12"/>
      <c r="BMS52" s="12"/>
      <c r="BMT52" s="12"/>
      <c r="BMU52" s="12"/>
      <c r="BMV52" s="12"/>
      <c r="BMW52" s="12"/>
      <c r="BMX52" s="12"/>
      <c r="BMY52" s="18"/>
      <c r="BNC52" s="13"/>
      <c r="BND52" s="14"/>
      <c r="BNE52" s="14"/>
      <c r="BNF52" s="20"/>
      <c r="BNG52" s="13"/>
      <c r="BNH52" s="13"/>
      <c r="BNJ52" s="13"/>
      <c r="BNN52" s="13"/>
      <c r="BNO52" s="13"/>
      <c r="BNP52" s="15"/>
      <c r="BNQ52" s="16"/>
      <c r="BNR52" s="12"/>
      <c r="BNS52" s="12"/>
      <c r="BNT52" s="12"/>
      <c r="BNU52" s="12"/>
      <c r="BNV52" s="12"/>
      <c r="BNW52" s="12"/>
      <c r="BNX52" s="12"/>
      <c r="BNY52" s="18"/>
      <c r="BOC52" s="13"/>
      <c r="BOD52" s="14"/>
      <c r="BOE52" s="14"/>
      <c r="BOF52" s="20"/>
      <c r="BOG52" s="13"/>
      <c r="BOH52" s="13"/>
      <c r="BOJ52" s="13"/>
      <c r="BON52" s="13"/>
      <c r="BOO52" s="13"/>
      <c r="BOP52" s="15"/>
      <c r="BOQ52" s="16"/>
      <c r="BOR52" s="12"/>
      <c r="BOS52" s="12"/>
      <c r="BOT52" s="12"/>
      <c r="BOU52" s="12"/>
      <c r="BOV52" s="12"/>
      <c r="BOW52" s="12"/>
      <c r="BOX52" s="12"/>
      <c r="BOY52" s="18"/>
      <c r="BPC52" s="13"/>
      <c r="BPD52" s="14"/>
      <c r="BPE52" s="14"/>
      <c r="BPF52" s="20"/>
      <c r="BPG52" s="13"/>
      <c r="BPH52" s="13"/>
      <c r="BPJ52" s="13"/>
      <c r="BPN52" s="13"/>
      <c r="BPO52" s="13"/>
      <c r="BPP52" s="15"/>
      <c r="BPQ52" s="16"/>
      <c r="BPR52" s="12"/>
      <c r="BPS52" s="12"/>
      <c r="BPT52" s="12"/>
      <c r="BPU52" s="12"/>
      <c r="BPV52" s="12"/>
      <c r="BPW52" s="12"/>
      <c r="BPX52" s="12"/>
      <c r="BPY52" s="18"/>
      <c r="BQC52" s="13"/>
      <c r="BQD52" s="14"/>
      <c r="BQE52" s="14"/>
      <c r="BQF52" s="20"/>
      <c r="BQG52" s="13"/>
      <c r="BQH52" s="13"/>
      <c r="BQJ52" s="13"/>
      <c r="BQN52" s="13"/>
      <c r="BQO52" s="13"/>
      <c r="BQP52" s="15"/>
      <c r="BQQ52" s="16"/>
      <c r="BQR52" s="12"/>
      <c r="BQS52" s="12"/>
      <c r="BQT52" s="12"/>
      <c r="BQU52" s="12"/>
      <c r="BQV52" s="12"/>
      <c r="BQW52" s="12"/>
      <c r="BQX52" s="12"/>
      <c r="BQY52" s="18"/>
      <c r="BRC52" s="13"/>
      <c r="BRD52" s="14"/>
      <c r="BRE52" s="14"/>
      <c r="BRF52" s="20"/>
      <c r="BRG52" s="13"/>
      <c r="BRH52" s="13"/>
      <c r="BRJ52" s="13"/>
      <c r="BRN52" s="13"/>
      <c r="BRO52" s="13"/>
      <c r="BRP52" s="15"/>
      <c r="BRQ52" s="16"/>
      <c r="BRR52" s="12"/>
      <c r="BRS52" s="12"/>
      <c r="BRT52" s="12"/>
      <c r="BRU52" s="12"/>
      <c r="BRV52" s="12"/>
      <c r="BRW52" s="12"/>
      <c r="BRX52" s="12"/>
      <c r="BRY52" s="18"/>
      <c r="BSC52" s="13"/>
      <c r="BSD52" s="14"/>
      <c r="BSE52" s="14"/>
      <c r="BSF52" s="20"/>
      <c r="BSG52" s="13"/>
      <c r="BSH52" s="13"/>
      <c r="BSJ52" s="13"/>
      <c r="BSN52" s="13"/>
      <c r="BSO52" s="13"/>
      <c r="BSP52" s="15"/>
      <c r="BSQ52" s="16"/>
      <c r="BSR52" s="12"/>
      <c r="BSS52" s="12"/>
      <c r="BST52" s="12"/>
      <c r="BSU52" s="12"/>
      <c r="BSV52" s="12"/>
      <c r="BSW52" s="12"/>
      <c r="BSX52" s="12"/>
      <c r="BSY52" s="18"/>
      <c r="BTC52" s="13"/>
      <c r="BTD52" s="14"/>
      <c r="BTE52" s="14"/>
      <c r="BTF52" s="20"/>
      <c r="BTG52" s="13"/>
      <c r="BTH52" s="13"/>
      <c r="BTJ52" s="13"/>
      <c r="BTN52" s="13"/>
      <c r="BTO52" s="13"/>
      <c r="BTP52" s="15"/>
      <c r="BTQ52" s="16"/>
      <c r="BTR52" s="12"/>
      <c r="BTS52" s="12"/>
      <c r="BTT52" s="12"/>
      <c r="BTU52" s="12"/>
      <c r="BTV52" s="12"/>
      <c r="BTW52" s="12"/>
      <c r="BTX52" s="12"/>
      <c r="BTY52" s="18"/>
      <c r="BUC52" s="13"/>
      <c r="BUD52" s="14"/>
      <c r="BUE52" s="14"/>
      <c r="BUF52" s="20"/>
      <c r="BUG52" s="13"/>
      <c r="BUH52" s="13"/>
      <c r="BUJ52" s="13"/>
      <c r="BUN52" s="13"/>
      <c r="BUO52" s="13"/>
      <c r="BUP52" s="15"/>
      <c r="BUQ52" s="16"/>
      <c r="BUR52" s="12"/>
      <c r="BUS52" s="12"/>
      <c r="BUT52" s="12"/>
      <c r="BUU52" s="12"/>
      <c r="BUV52" s="12"/>
      <c r="BUW52" s="12"/>
      <c r="BUX52" s="12"/>
      <c r="BUY52" s="18"/>
      <c r="BVC52" s="13"/>
      <c r="BVD52" s="14"/>
      <c r="BVE52" s="14"/>
      <c r="BVF52" s="20"/>
      <c r="BVG52" s="13"/>
      <c r="BVH52" s="13"/>
      <c r="BVJ52" s="13"/>
      <c r="BVN52" s="13"/>
      <c r="BVO52" s="13"/>
      <c r="BVP52" s="15"/>
      <c r="BVQ52" s="16"/>
      <c r="BVR52" s="12"/>
      <c r="BVS52" s="12"/>
      <c r="BVT52" s="12"/>
      <c r="BVU52" s="12"/>
      <c r="BVV52" s="12"/>
      <c r="BVW52" s="12"/>
      <c r="BVX52" s="12"/>
      <c r="BVY52" s="18"/>
      <c r="BWC52" s="13"/>
      <c r="BWD52" s="14"/>
      <c r="BWE52" s="14"/>
      <c r="BWF52" s="20"/>
      <c r="BWG52" s="13"/>
      <c r="BWH52" s="13"/>
      <c r="BWJ52" s="13"/>
      <c r="BWN52" s="13"/>
      <c r="BWO52" s="13"/>
      <c r="BWP52" s="15"/>
      <c r="BWQ52" s="16"/>
      <c r="BWR52" s="12"/>
      <c r="BWS52" s="12"/>
      <c r="BWT52" s="12"/>
      <c r="BWU52" s="12"/>
      <c r="BWV52" s="12"/>
      <c r="BWW52" s="12"/>
      <c r="BWX52" s="12"/>
      <c r="BWY52" s="18"/>
      <c r="BXC52" s="13"/>
      <c r="BXD52" s="14"/>
      <c r="BXE52" s="14"/>
      <c r="BXF52" s="20"/>
      <c r="BXG52" s="13"/>
      <c r="BXH52" s="13"/>
      <c r="BXJ52" s="13"/>
      <c r="BXN52" s="13"/>
      <c r="BXO52" s="13"/>
      <c r="BXP52" s="15"/>
      <c r="BXQ52" s="16"/>
      <c r="BXR52" s="12"/>
      <c r="BXS52" s="12"/>
      <c r="BXT52" s="12"/>
      <c r="BXU52" s="12"/>
      <c r="BXV52" s="12"/>
      <c r="BXW52" s="12"/>
      <c r="BXX52" s="12"/>
      <c r="BXY52" s="18"/>
      <c r="BYC52" s="13"/>
      <c r="BYD52" s="14"/>
      <c r="BYE52" s="14"/>
      <c r="BYF52" s="20"/>
      <c r="BYG52" s="13"/>
      <c r="BYH52" s="13"/>
      <c r="BYJ52" s="13"/>
      <c r="BYN52" s="13"/>
      <c r="BYO52" s="13"/>
      <c r="BYP52" s="15"/>
      <c r="BYQ52" s="16"/>
      <c r="BYR52" s="12"/>
      <c r="BYS52" s="12"/>
      <c r="BYT52" s="12"/>
      <c r="BYU52" s="12"/>
      <c r="BYV52" s="12"/>
      <c r="BYW52" s="12"/>
      <c r="BYX52" s="12"/>
      <c r="BYY52" s="18"/>
      <c r="BZC52" s="13"/>
      <c r="BZD52" s="14"/>
      <c r="BZE52" s="14"/>
      <c r="BZF52" s="20"/>
      <c r="BZG52" s="13"/>
      <c r="BZH52" s="13"/>
      <c r="BZJ52" s="13"/>
      <c r="BZN52" s="13"/>
      <c r="BZO52" s="13"/>
      <c r="BZP52" s="15"/>
      <c r="BZQ52" s="16"/>
      <c r="BZR52" s="12"/>
      <c r="BZS52" s="12"/>
      <c r="BZT52" s="12"/>
      <c r="BZU52" s="12"/>
      <c r="BZV52" s="12"/>
      <c r="BZW52" s="12"/>
      <c r="BZX52" s="12"/>
      <c r="BZY52" s="18"/>
      <c r="CAC52" s="13"/>
      <c r="CAD52" s="14"/>
      <c r="CAE52" s="14"/>
      <c r="CAF52" s="20"/>
      <c r="CAG52" s="13"/>
      <c r="CAH52" s="13"/>
      <c r="CAJ52" s="13"/>
      <c r="CAN52" s="13"/>
      <c r="CAO52" s="13"/>
      <c r="CAP52" s="15"/>
      <c r="CAQ52" s="16"/>
      <c r="CAR52" s="12"/>
      <c r="CAS52" s="12"/>
      <c r="CAT52" s="12"/>
      <c r="CAU52" s="12"/>
      <c r="CAV52" s="12"/>
      <c r="CAW52" s="12"/>
      <c r="CAX52" s="12"/>
      <c r="CAY52" s="18"/>
      <c r="CBC52" s="13"/>
      <c r="CBD52" s="14"/>
      <c r="CBE52" s="14"/>
      <c r="CBF52" s="20"/>
      <c r="CBG52" s="13"/>
      <c r="CBH52" s="13"/>
      <c r="CBJ52" s="13"/>
      <c r="CBN52" s="13"/>
      <c r="CBO52" s="13"/>
      <c r="CBP52" s="15"/>
      <c r="CBQ52" s="16"/>
      <c r="CBR52" s="12"/>
      <c r="CBS52" s="12"/>
      <c r="CBT52" s="12"/>
      <c r="CBU52" s="12"/>
      <c r="CBV52" s="12"/>
      <c r="CBW52" s="12"/>
      <c r="CBX52" s="12"/>
      <c r="CBY52" s="18"/>
      <c r="CCC52" s="13"/>
      <c r="CCD52" s="14"/>
      <c r="CCE52" s="14"/>
      <c r="CCF52" s="20"/>
      <c r="CCG52" s="13"/>
      <c r="CCH52" s="13"/>
      <c r="CCJ52" s="13"/>
      <c r="CCN52" s="13"/>
      <c r="CCO52" s="13"/>
      <c r="CCP52" s="15"/>
      <c r="CCQ52" s="16"/>
      <c r="CCR52" s="12"/>
      <c r="CCS52" s="12"/>
      <c r="CCT52" s="12"/>
      <c r="CCU52" s="12"/>
      <c r="CCV52" s="12"/>
      <c r="CCW52" s="12"/>
      <c r="CCX52" s="12"/>
      <c r="CCY52" s="18"/>
      <c r="CDC52" s="13"/>
      <c r="CDD52" s="14"/>
      <c r="CDE52" s="14"/>
      <c r="CDF52" s="20"/>
      <c r="CDG52" s="13"/>
      <c r="CDH52" s="13"/>
      <c r="CDJ52" s="13"/>
      <c r="CDN52" s="13"/>
      <c r="CDO52" s="13"/>
      <c r="CDP52" s="15"/>
      <c r="CDQ52" s="16"/>
      <c r="CDR52" s="12"/>
      <c r="CDS52" s="12"/>
      <c r="CDT52" s="12"/>
      <c r="CDU52" s="12"/>
      <c r="CDV52" s="12"/>
      <c r="CDW52" s="12"/>
      <c r="CDX52" s="12"/>
      <c r="CDY52" s="18"/>
      <c r="CEC52" s="13"/>
      <c r="CED52" s="14"/>
      <c r="CEE52" s="14"/>
      <c r="CEF52" s="20"/>
      <c r="CEG52" s="13"/>
      <c r="CEH52" s="13"/>
      <c r="CEJ52" s="13"/>
      <c r="CEN52" s="13"/>
      <c r="CEO52" s="13"/>
      <c r="CEP52" s="15"/>
      <c r="CEQ52" s="16"/>
      <c r="CER52" s="12"/>
      <c r="CES52" s="12"/>
      <c r="CET52" s="12"/>
      <c r="CEU52" s="12"/>
      <c r="CEV52" s="12"/>
      <c r="CEW52" s="12"/>
      <c r="CEX52" s="12"/>
      <c r="CEY52" s="18"/>
      <c r="CFC52" s="13"/>
      <c r="CFD52" s="14"/>
      <c r="CFE52" s="14"/>
      <c r="CFF52" s="20"/>
      <c r="CFG52" s="13"/>
      <c r="CFH52" s="13"/>
      <c r="CFJ52" s="13"/>
      <c r="CFN52" s="13"/>
      <c r="CFO52" s="13"/>
      <c r="CFP52" s="15"/>
      <c r="CFQ52" s="16"/>
      <c r="CFR52" s="12"/>
      <c r="CFS52" s="12"/>
      <c r="CFT52" s="12"/>
      <c r="CFU52" s="12"/>
      <c r="CFV52" s="12"/>
      <c r="CFW52" s="12"/>
      <c r="CFX52" s="12"/>
      <c r="CFY52" s="18"/>
      <c r="CGC52" s="13"/>
      <c r="CGD52" s="14"/>
      <c r="CGE52" s="14"/>
      <c r="CGF52" s="20"/>
      <c r="CGG52" s="13"/>
      <c r="CGH52" s="13"/>
      <c r="CGJ52" s="13"/>
      <c r="CGN52" s="13"/>
      <c r="CGO52" s="13"/>
      <c r="CGP52" s="15"/>
      <c r="CGQ52" s="16"/>
      <c r="CGR52" s="12"/>
      <c r="CGS52" s="12"/>
      <c r="CGT52" s="12"/>
      <c r="CGU52" s="12"/>
      <c r="CGV52" s="12"/>
      <c r="CGW52" s="12"/>
      <c r="CGX52" s="12"/>
      <c r="CGY52" s="18"/>
      <c r="CHC52" s="13"/>
      <c r="CHD52" s="14"/>
      <c r="CHE52" s="14"/>
      <c r="CHF52" s="20"/>
      <c r="CHG52" s="13"/>
      <c r="CHH52" s="13"/>
      <c r="CHJ52" s="13"/>
      <c r="CHN52" s="13"/>
      <c r="CHO52" s="13"/>
      <c r="CHP52" s="15"/>
      <c r="CHQ52" s="16"/>
      <c r="CHR52" s="12"/>
      <c r="CHS52" s="12"/>
      <c r="CHT52" s="12"/>
      <c r="CHU52" s="12"/>
      <c r="CHV52" s="12"/>
      <c r="CHW52" s="12"/>
      <c r="CHX52" s="12"/>
      <c r="CHY52" s="18"/>
      <c r="CIC52" s="13"/>
      <c r="CID52" s="14"/>
      <c r="CIE52" s="14"/>
      <c r="CIF52" s="20"/>
      <c r="CIG52" s="13"/>
      <c r="CIH52" s="13"/>
      <c r="CIJ52" s="13"/>
      <c r="CIN52" s="13"/>
      <c r="CIO52" s="13"/>
      <c r="CIP52" s="15"/>
      <c r="CIQ52" s="16"/>
      <c r="CIR52" s="12"/>
      <c r="CIS52" s="12"/>
      <c r="CIT52" s="12"/>
      <c r="CIU52" s="12"/>
      <c r="CIV52" s="12"/>
      <c r="CIW52" s="12"/>
      <c r="CIX52" s="12"/>
      <c r="CIY52" s="18"/>
      <c r="CJC52" s="13"/>
      <c r="CJD52" s="14"/>
      <c r="CJE52" s="14"/>
      <c r="CJF52" s="20"/>
      <c r="CJG52" s="13"/>
      <c r="CJH52" s="13"/>
      <c r="CJJ52" s="13"/>
      <c r="CJN52" s="13"/>
      <c r="CJO52" s="13"/>
      <c r="CJP52" s="15"/>
      <c r="CJQ52" s="16"/>
      <c r="CJR52" s="12"/>
      <c r="CJS52" s="12"/>
      <c r="CJT52" s="12"/>
      <c r="CJU52" s="12"/>
      <c r="CJV52" s="12"/>
      <c r="CJW52" s="12"/>
      <c r="CJX52" s="12"/>
      <c r="CJY52" s="18"/>
      <c r="CKC52" s="13"/>
      <c r="CKD52" s="14"/>
      <c r="CKE52" s="14"/>
      <c r="CKF52" s="20"/>
      <c r="CKG52" s="13"/>
      <c r="CKH52" s="13"/>
      <c r="CKJ52" s="13"/>
      <c r="CKN52" s="13"/>
      <c r="CKO52" s="13"/>
      <c r="CKP52" s="15"/>
      <c r="CKQ52" s="16"/>
      <c r="CKR52" s="12"/>
      <c r="CKS52" s="12"/>
      <c r="CKT52" s="12"/>
      <c r="CKU52" s="12"/>
      <c r="CKV52" s="12"/>
      <c r="CKW52" s="12"/>
      <c r="CKX52" s="12"/>
      <c r="CKY52" s="18"/>
      <c r="CLC52" s="13"/>
      <c r="CLD52" s="14"/>
      <c r="CLE52" s="14"/>
      <c r="CLF52" s="20"/>
      <c r="CLG52" s="13"/>
      <c r="CLH52" s="13"/>
      <c r="CLJ52" s="13"/>
      <c r="CLN52" s="13"/>
      <c r="CLO52" s="13"/>
      <c r="CLP52" s="15"/>
      <c r="CLQ52" s="16"/>
      <c r="CLR52" s="12"/>
      <c r="CLS52" s="12"/>
      <c r="CLT52" s="12"/>
      <c r="CLU52" s="12"/>
      <c r="CLV52" s="12"/>
      <c r="CLW52" s="12"/>
      <c r="CLX52" s="12"/>
      <c r="CLY52" s="18"/>
      <c r="CMC52" s="13"/>
      <c r="CMD52" s="14"/>
      <c r="CME52" s="14"/>
      <c r="CMF52" s="20"/>
      <c r="CMG52" s="13"/>
      <c r="CMH52" s="13"/>
      <c r="CMJ52" s="13"/>
      <c r="CMN52" s="13"/>
      <c r="CMO52" s="13"/>
      <c r="CMP52" s="15"/>
      <c r="CMQ52" s="16"/>
      <c r="CMR52" s="12"/>
      <c r="CMS52" s="12"/>
      <c r="CMT52" s="12"/>
      <c r="CMU52" s="12"/>
      <c r="CMV52" s="12"/>
      <c r="CMW52" s="12"/>
      <c r="CMX52" s="12"/>
      <c r="CMY52" s="18"/>
      <c r="CNC52" s="13"/>
      <c r="CND52" s="14"/>
      <c r="CNE52" s="14"/>
      <c r="CNF52" s="20"/>
      <c r="CNG52" s="13"/>
      <c r="CNH52" s="13"/>
      <c r="CNJ52" s="13"/>
      <c r="CNN52" s="13"/>
      <c r="CNO52" s="13"/>
      <c r="CNP52" s="15"/>
      <c r="CNQ52" s="16"/>
      <c r="CNR52" s="12"/>
      <c r="CNS52" s="12"/>
      <c r="CNT52" s="12"/>
      <c r="CNU52" s="12"/>
      <c r="CNV52" s="12"/>
      <c r="CNW52" s="12"/>
      <c r="CNX52" s="12"/>
      <c r="CNY52" s="18"/>
      <c r="COC52" s="13"/>
      <c r="COD52" s="14"/>
      <c r="COE52" s="14"/>
      <c r="COF52" s="20"/>
      <c r="COG52" s="13"/>
      <c r="COH52" s="13"/>
      <c r="COJ52" s="13"/>
      <c r="CON52" s="13"/>
      <c r="COO52" s="13"/>
      <c r="COP52" s="15"/>
      <c r="COQ52" s="16"/>
      <c r="COR52" s="12"/>
      <c r="COS52" s="12"/>
      <c r="COT52" s="12"/>
      <c r="COU52" s="12"/>
      <c r="COV52" s="12"/>
      <c r="COW52" s="12"/>
      <c r="COX52" s="12"/>
      <c r="COY52" s="18"/>
      <c r="CPC52" s="13"/>
      <c r="CPD52" s="14"/>
      <c r="CPE52" s="14"/>
      <c r="CPF52" s="20"/>
      <c r="CPG52" s="13"/>
      <c r="CPH52" s="13"/>
      <c r="CPJ52" s="13"/>
      <c r="CPN52" s="13"/>
      <c r="CPO52" s="13"/>
      <c r="CPP52" s="15"/>
      <c r="CPQ52" s="16"/>
      <c r="CPR52" s="12"/>
      <c r="CPS52" s="12"/>
      <c r="CPT52" s="12"/>
      <c r="CPU52" s="12"/>
      <c r="CPV52" s="12"/>
      <c r="CPW52" s="12"/>
      <c r="CPX52" s="12"/>
      <c r="CPY52" s="18"/>
      <c r="CQC52" s="13"/>
      <c r="CQD52" s="14"/>
      <c r="CQE52" s="14"/>
      <c r="CQF52" s="20"/>
      <c r="CQG52" s="13"/>
      <c r="CQH52" s="13"/>
      <c r="CQJ52" s="13"/>
      <c r="CQN52" s="13"/>
      <c r="CQO52" s="13"/>
      <c r="CQP52" s="15"/>
      <c r="CQQ52" s="16"/>
      <c r="CQR52" s="12"/>
      <c r="CQS52" s="12"/>
      <c r="CQT52" s="12"/>
      <c r="CQU52" s="12"/>
      <c r="CQV52" s="12"/>
      <c r="CQW52" s="12"/>
      <c r="CQX52" s="12"/>
      <c r="CQY52" s="18"/>
      <c r="CRC52" s="13"/>
      <c r="CRD52" s="14"/>
      <c r="CRE52" s="14"/>
      <c r="CRF52" s="20"/>
      <c r="CRG52" s="13"/>
      <c r="CRH52" s="13"/>
      <c r="CRJ52" s="13"/>
      <c r="CRN52" s="13"/>
      <c r="CRO52" s="13"/>
      <c r="CRP52" s="15"/>
      <c r="CRQ52" s="16"/>
      <c r="CRR52" s="12"/>
      <c r="CRS52" s="12"/>
      <c r="CRT52" s="12"/>
      <c r="CRU52" s="12"/>
      <c r="CRV52" s="12"/>
      <c r="CRW52" s="12"/>
      <c r="CRX52" s="12"/>
      <c r="CRY52" s="18"/>
      <c r="CSC52" s="13"/>
      <c r="CSD52" s="14"/>
      <c r="CSE52" s="14"/>
      <c r="CSF52" s="20"/>
      <c r="CSG52" s="13"/>
      <c r="CSH52" s="13"/>
      <c r="CSJ52" s="13"/>
      <c r="CSN52" s="13"/>
      <c r="CSO52" s="13"/>
      <c r="CSP52" s="15"/>
      <c r="CSQ52" s="16"/>
      <c r="CSR52" s="12"/>
      <c r="CSS52" s="12"/>
      <c r="CST52" s="12"/>
      <c r="CSU52" s="12"/>
      <c r="CSV52" s="12"/>
      <c r="CSW52" s="12"/>
      <c r="CSX52" s="12"/>
      <c r="CSY52" s="18"/>
      <c r="CTC52" s="13"/>
      <c r="CTD52" s="14"/>
      <c r="CTE52" s="14"/>
      <c r="CTF52" s="20"/>
      <c r="CTG52" s="13"/>
      <c r="CTH52" s="13"/>
      <c r="CTJ52" s="13"/>
      <c r="CTN52" s="13"/>
      <c r="CTO52" s="13"/>
      <c r="CTP52" s="15"/>
      <c r="CTQ52" s="16"/>
      <c r="CTR52" s="12"/>
      <c r="CTS52" s="12"/>
      <c r="CTT52" s="12"/>
      <c r="CTU52" s="12"/>
      <c r="CTV52" s="12"/>
      <c r="CTW52" s="12"/>
      <c r="CTX52" s="12"/>
      <c r="CTY52" s="18"/>
      <c r="CUC52" s="13"/>
      <c r="CUD52" s="14"/>
      <c r="CUE52" s="14"/>
      <c r="CUF52" s="20"/>
      <c r="CUG52" s="13"/>
      <c r="CUH52" s="13"/>
      <c r="CUJ52" s="13"/>
      <c r="CUN52" s="13"/>
      <c r="CUO52" s="13"/>
      <c r="CUP52" s="15"/>
      <c r="CUQ52" s="16"/>
      <c r="CUR52" s="12"/>
      <c r="CUS52" s="12"/>
      <c r="CUT52" s="12"/>
      <c r="CUU52" s="12"/>
      <c r="CUV52" s="12"/>
      <c r="CUW52" s="12"/>
      <c r="CUX52" s="12"/>
      <c r="CUY52" s="18"/>
      <c r="CVC52" s="13"/>
      <c r="CVD52" s="14"/>
      <c r="CVE52" s="14"/>
      <c r="CVF52" s="20"/>
      <c r="CVG52" s="13"/>
      <c r="CVH52" s="13"/>
      <c r="CVJ52" s="13"/>
      <c r="CVN52" s="13"/>
      <c r="CVO52" s="13"/>
      <c r="CVP52" s="15"/>
      <c r="CVQ52" s="16"/>
      <c r="CVR52" s="12"/>
      <c r="CVS52" s="12"/>
      <c r="CVT52" s="12"/>
      <c r="CVU52" s="12"/>
      <c r="CVV52" s="12"/>
      <c r="CVW52" s="12"/>
      <c r="CVX52" s="12"/>
      <c r="CVY52" s="18"/>
      <c r="CWC52" s="13"/>
      <c r="CWD52" s="14"/>
      <c r="CWE52" s="14"/>
      <c r="CWF52" s="20"/>
      <c r="CWG52" s="13"/>
      <c r="CWH52" s="13"/>
      <c r="CWJ52" s="13"/>
      <c r="CWN52" s="13"/>
      <c r="CWO52" s="13"/>
      <c r="CWP52" s="15"/>
      <c r="CWQ52" s="16"/>
      <c r="CWR52" s="12"/>
      <c r="CWS52" s="12"/>
      <c r="CWT52" s="12"/>
      <c r="CWU52" s="12"/>
      <c r="CWV52" s="12"/>
      <c r="CWW52" s="12"/>
      <c r="CWX52" s="12"/>
      <c r="CWY52" s="18"/>
      <c r="CXC52" s="13"/>
      <c r="CXD52" s="14"/>
      <c r="CXE52" s="14"/>
      <c r="CXF52" s="20"/>
      <c r="CXG52" s="13"/>
      <c r="CXH52" s="13"/>
      <c r="CXJ52" s="13"/>
      <c r="CXN52" s="13"/>
      <c r="CXO52" s="13"/>
      <c r="CXP52" s="15"/>
      <c r="CXQ52" s="16"/>
      <c r="CXR52" s="12"/>
      <c r="CXS52" s="12"/>
      <c r="CXT52" s="12"/>
      <c r="CXU52" s="12"/>
      <c r="CXV52" s="12"/>
      <c r="CXW52" s="12"/>
      <c r="CXX52" s="12"/>
      <c r="CXY52" s="18"/>
      <c r="CYC52" s="13"/>
      <c r="CYD52" s="14"/>
      <c r="CYE52" s="14"/>
      <c r="CYF52" s="20"/>
      <c r="CYG52" s="13"/>
      <c r="CYH52" s="13"/>
      <c r="CYJ52" s="13"/>
      <c r="CYN52" s="13"/>
      <c r="CYO52" s="13"/>
      <c r="CYP52" s="15"/>
      <c r="CYQ52" s="16"/>
      <c r="CYR52" s="12"/>
      <c r="CYS52" s="12"/>
      <c r="CYT52" s="12"/>
      <c r="CYU52" s="12"/>
      <c r="CYV52" s="12"/>
      <c r="CYW52" s="12"/>
      <c r="CYX52" s="12"/>
      <c r="CYY52" s="18"/>
      <c r="CZC52" s="13"/>
      <c r="CZD52" s="14"/>
      <c r="CZE52" s="14"/>
      <c r="CZF52" s="20"/>
      <c r="CZG52" s="13"/>
      <c r="CZH52" s="13"/>
      <c r="CZJ52" s="13"/>
      <c r="CZN52" s="13"/>
      <c r="CZO52" s="13"/>
      <c r="CZP52" s="15"/>
      <c r="CZQ52" s="16"/>
      <c r="CZR52" s="12"/>
      <c r="CZS52" s="12"/>
      <c r="CZT52" s="12"/>
      <c r="CZU52" s="12"/>
      <c r="CZV52" s="12"/>
      <c r="CZW52" s="12"/>
      <c r="CZX52" s="12"/>
      <c r="CZY52" s="18"/>
      <c r="DAC52" s="13"/>
      <c r="DAD52" s="14"/>
      <c r="DAE52" s="14"/>
      <c r="DAF52" s="20"/>
      <c r="DAG52" s="13"/>
      <c r="DAH52" s="13"/>
      <c r="DAJ52" s="13"/>
      <c r="DAN52" s="13"/>
      <c r="DAO52" s="13"/>
      <c r="DAP52" s="15"/>
      <c r="DAQ52" s="16"/>
      <c r="DAR52" s="12"/>
      <c r="DAS52" s="12"/>
      <c r="DAT52" s="12"/>
      <c r="DAU52" s="12"/>
      <c r="DAV52" s="12"/>
      <c r="DAW52" s="12"/>
      <c r="DAX52" s="12"/>
      <c r="DAY52" s="18"/>
      <c r="DBC52" s="13"/>
      <c r="DBD52" s="14"/>
      <c r="DBE52" s="14"/>
      <c r="DBF52" s="20"/>
      <c r="DBG52" s="13"/>
      <c r="DBH52" s="13"/>
      <c r="DBJ52" s="13"/>
      <c r="DBN52" s="13"/>
      <c r="DBO52" s="13"/>
      <c r="DBP52" s="15"/>
      <c r="DBQ52" s="16"/>
      <c r="DBR52" s="12"/>
      <c r="DBS52" s="12"/>
      <c r="DBT52" s="12"/>
      <c r="DBU52" s="12"/>
      <c r="DBV52" s="12"/>
      <c r="DBW52" s="12"/>
      <c r="DBX52" s="12"/>
      <c r="DBY52" s="18"/>
      <c r="DCC52" s="13"/>
      <c r="DCD52" s="14"/>
      <c r="DCE52" s="14"/>
      <c r="DCF52" s="20"/>
      <c r="DCG52" s="13"/>
      <c r="DCH52" s="13"/>
      <c r="DCJ52" s="13"/>
      <c r="DCN52" s="13"/>
      <c r="DCO52" s="13"/>
      <c r="DCP52" s="15"/>
      <c r="DCQ52" s="16"/>
      <c r="DCR52" s="12"/>
      <c r="DCS52" s="12"/>
      <c r="DCT52" s="12"/>
      <c r="DCU52" s="12"/>
      <c r="DCV52" s="12"/>
      <c r="DCW52" s="12"/>
      <c r="DCX52" s="12"/>
      <c r="DCY52" s="18"/>
      <c r="DDC52" s="13"/>
      <c r="DDD52" s="14"/>
      <c r="DDE52" s="14"/>
      <c r="DDF52" s="20"/>
      <c r="DDG52" s="13"/>
      <c r="DDH52" s="13"/>
      <c r="DDJ52" s="13"/>
      <c r="DDN52" s="13"/>
      <c r="DDO52" s="13"/>
      <c r="DDP52" s="15"/>
      <c r="DDQ52" s="16"/>
      <c r="DDR52" s="12"/>
      <c r="DDS52" s="12"/>
      <c r="DDT52" s="12"/>
      <c r="DDU52" s="12"/>
      <c r="DDV52" s="12"/>
      <c r="DDW52" s="12"/>
      <c r="DDX52" s="12"/>
      <c r="DDY52" s="18"/>
      <c r="DEC52" s="13"/>
      <c r="DED52" s="14"/>
      <c r="DEE52" s="14"/>
      <c r="DEF52" s="20"/>
      <c r="DEG52" s="13"/>
      <c r="DEH52" s="13"/>
      <c r="DEJ52" s="13"/>
      <c r="DEN52" s="13"/>
      <c r="DEO52" s="13"/>
      <c r="DEP52" s="15"/>
      <c r="DEQ52" s="16"/>
      <c r="DER52" s="12"/>
      <c r="DES52" s="12"/>
      <c r="DET52" s="12"/>
      <c r="DEU52" s="12"/>
      <c r="DEV52" s="12"/>
      <c r="DEW52" s="12"/>
      <c r="DEX52" s="12"/>
      <c r="DEY52" s="18"/>
      <c r="DFC52" s="13"/>
      <c r="DFD52" s="14"/>
      <c r="DFE52" s="14"/>
      <c r="DFF52" s="20"/>
      <c r="DFG52" s="13"/>
      <c r="DFH52" s="13"/>
      <c r="DFJ52" s="13"/>
      <c r="DFN52" s="13"/>
      <c r="DFO52" s="13"/>
      <c r="DFP52" s="15"/>
      <c r="DFQ52" s="16"/>
      <c r="DFR52" s="12"/>
      <c r="DFS52" s="12"/>
      <c r="DFT52" s="12"/>
      <c r="DFU52" s="12"/>
      <c r="DFV52" s="12"/>
      <c r="DFW52" s="12"/>
      <c r="DFX52" s="12"/>
      <c r="DFY52" s="18"/>
      <c r="DGC52" s="13"/>
      <c r="DGD52" s="14"/>
      <c r="DGE52" s="14"/>
      <c r="DGF52" s="20"/>
      <c r="DGG52" s="13"/>
      <c r="DGH52" s="13"/>
      <c r="DGJ52" s="13"/>
      <c r="DGN52" s="13"/>
      <c r="DGO52" s="13"/>
      <c r="DGP52" s="15"/>
      <c r="DGQ52" s="16"/>
      <c r="DGR52" s="12"/>
      <c r="DGS52" s="12"/>
      <c r="DGT52" s="12"/>
      <c r="DGU52" s="12"/>
      <c r="DGV52" s="12"/>
      <c r="DGW52" s="12"/>
      <c r="DGX52" s="12"/>
      <c r="DGY52" s="18"/>
      <c r="DHC52" s="13"/>
      <c r="DHD52" s="14"/>
      <c r="DHE52" s="14"/>
      <c r="DHF52" s="20"/>
      <c r="DHG52" s="13"/>
      <c r="DHH52" s="13"/>
      <c r="DHJ52" s="13"/>
      <c r="DHN52" s="13"/>
      <c r="DHO52" s="13"/>
      <c r="DHP52" s="15"/>
      <c r="DHQ52" s="16"/>
      <c r="DHR52" s="12"/>
      <c r="DHS52" s="12"/>
      <c r="DHT52" s="12"/>
      <c r="DHU52" s="12"/>
      <c r="DHV52" s="12"/>
      <c r="DHW52" s="12"/>
      <c r="DHX52" s="12"/>
      <c r="DHY52" s="18"/>
      <c r="DIC52" s="13"/>
      <c r="DID52" s="14"/>
      <c r="DIE52" s="14"/>
      <c r="DIF52" s="20"/>
      <c r="DIG52" s="13"/>
      <c r="DIH52" s="13"/>
      <c r="DIJ52" s="13"/>
      <c r="DIN52" s="13"/>
      <c r="DIO52" s="13"/>
      <c r="DIP52" s="15"/>
      <c r="DIQ52" s="16"/>
      <c r="DIR52" s="12"/>
      <c r="DIS52" s="12"/>
      <c r="DIT52" s="12"/>
      <c r="DIU52" s="12"/>
      <c r="DIV52" s="12"/>
      <c r="DIW52" s="12"/>
      <c r="DIX52" s="12"/>
      <c r="DIY52" s="18"/>
      <c r="DJC52" s="13"/>
      <c r="DJD52" s="14"/>
      <c r="DJE52" s="14"/>
      <c r="DJF52" s="20"/>
      <c r="DJG52" s="13"/>
      <c r="DJH52" s="13"/>
      <c r="DJJ52" s="13"/>
      <c r="DJN52" s="13"/>
      <c r="DJO52" s="13"/>
      <c r="DJP52" s="15"/>
      <c r="DJQ52" s="16"/>
      <c r="DJR52" s="12"/>
      <c r="DJS52" s="12"/>
      <c r="DJT52" s="12"/>
      <c r="DJU52" s="12"/>
      <c r="DJV52" s="12"/>
      <c r="DJW52" s="12"/>
      <c r="DJX52" s="12"/>
      <c r="DJY52" s="18"/>
      <c r="DKC52" s="13"/>
      <c r="DKD52" s="14"/>
      <c r="DKE52" s="14"/>
      <c r="DKF52" s="20"/>
      <c r="DKG52" s="13"/>
      <c r="DKH52" s="13"/>
      <c r="DKJ52" s="13"/>
      <c r="DKN52" s="13"/>
      <c r="DKO52" s="13"/>
      <c r="DKP52" s="15"/>
      <c r="DKQ52" s="16"/>
      <c r="DKR52" s="12"/>
      <c r="DKS52" s="12"/>
      <c r="DKT52" s="12"/>
      <c r="DKU52" s="12"/>
      <c r="DKV52" s="12"/>
      <c r="DKW52" s="12"/>
      <c r="DKX52" s="12"/>
      <c r="DKY52" s="18"/>
      <c r="DLC52" s="13"/>
      <c r="DLD52" s="14"/>
      <c r="DLE52" s="14"/>
      <c r="DLF52" s="20"/>
      <c r="DLG52" s="13"/>
      <c r="DLH52" s="13"/>
      <c r="DLJ52" s="13"/>
      <c r="DLN52" s="13"/>
      <c r="DLO52" s="13"/>
      <c r="DLP52" s="15"/>
      <c r="DLQ52" s="16"/>
      <c r="DLR52" s="12"/>
      <c r="DLS52" s="12"/>
      <c r="DLT52" s="12"/>
      <c r="DLU52" s="12"/>
      <c r="DLV52" s="12"/>
      <c r="DLW52" s="12"/>
      <c r="DLX52" s="12"/>
      <c r="DLY52" s="18"/>
      <c r="DMC52" s="13"/>
      <c r="DMD52" s="14"/>
      <c r="DME52" s="14"/>
      <c r="DMF52" s="20"/>
      <c r="DMG52" s="13"/>
      <c r="DMH52" s="13"/>
      <c r="DMJ52" s="13"/>
      <c r="DMN52" s="13"/>
      <c r="DMO52" s="13"/>
      <c r="DMP52" s="15"/>
      <c r="DMQ52" s="16"/>
      <c r="DMR52" s="12"/>
      <c r="DMS52" s="12"/>
      <c r="DMT52" s="12"/>
      <c r="DMU52" s="12"/>
      <c r="DMV52" s="12"/>
      <c r="DMW52" s="12"/>
      <c r="DMX52" s="12"/>
      <c r="DMY52" s="18"/>
      <c r="DNC52" s="13"/>
      <c r="DND52" s="14"/>
      <c r="DNE52" s="14"/>
      <c r="DNF52" s="20"/>
      <c r="DNG52" s="13"/>
      <c r="DNH52" s="13"/>
      <c r="DNJ52" s="13"/>
      <c r="DNN52" s="13"/>
      <c r="DNO52" s="13"/>
      <c r="DNP52" s="15"/>
      <c r="DNQ52" s="16"/>
      <c r="DNR52" s="12"/>
      <c r="DNS52" s="12"/>
      <c r="DNT52" s="12"/>
      <c r="DNU52" s="12"/>
      <c r="DNV52" s="12"/>
      <c r="DNW52" s="12"/>
      <c r="DNX52" s="12"/>
      <c r="DNY52" s="18"/>
      <c r="DOC52" s="13"/>
      <c r="DOD52" s="14"/>
      <c r="DOE52" s="14"/>
      <c r="DOF52" s="20"/>
      <c r="DOG52" s="13"/>
      <c r="DOH52" s="13"/>
      <c r="DOJ52" s="13"/>
      <c r="DON52" s="13"/>
      <c r="DOO52" s="13"/>
      <c r="DOP52" s="15"/>
      <c r="DOQ52" s="16"/>
      <c r="DOR52" s="12"/>
      <c r="DOS52" s="12"/>
      <c r="DOT52" s="12"/>
      <c r="DOU52" s="12"/>
      <c r="DOV52" s="12"/>
      <c r="DOW52" s="12"/>
      <c r="DOX52" s="12"/>
      <c r="DOY52" s="18"/>
      <c r="DPC52" s="13"/>
      <c r="DPD52" s="14"/>
      <c r="DPE52" s="14"/>
      <c r="DPF52" s="20"/>
      <c r="DPG52" s="13"/>
      <c r="DPH52" s="13"/>
      <c r="DPJ52" s="13"/>
      <c r="DPN52" s="13"/>
      <c r="DPO52" s="13"/>
      <c r="DPP52" s="15"/>
      <c r="DPQ52" s="16"/>
      <c r="DPR52" s="12"/>
      <c r="DPS52" s="12"/>
      <c r="DPT52" s="12"/>
      <c r="DPU52" s="12"/>
      <c r="DPV52" s="12"/>
      <c r="DPW52" s="12"/>
      <c r="DPX52" s="12"/>
      <c r="DPY52" s="18"/>
      <c r="DQC52" s="13"/>
      <c r="DQD52" s="14"/>
      <c r="DQE52" s="14"/>
      <c r="DQF52" s="20"/>
      <c r="DQG52" s="13"/>
      <c r="DQH52" s="13"/>
      <c r="DQJ52" s="13"/>
      <c r="DQN52" s="13"/>
      <c r="DQO52" s="13"/>
      <c r="DQP52" s="15"/>
      <c r="DQQ52" s="16"/>
      <c r="DQR52" s="12"/>
      <c r="DQS52" s="12"/>
      <c r="DQT52" s="12"/>
      <c r="DQU52" s="12"/>
      <c r="DQV52" s="12"/>
      <c r="DQW52" s="12"/>
      <c r="DQX52" s="12"/>
      <c r="DQY52" s="18"/>
      <c r="DRC52" s="13"/>
      <c r="DRD52" s="14"/>
      <c r="DRE52" s="14"/>
      <c r="DRF52" s="20"/>
      <c r="DRG52" s="13"/>
      <c r="DRH52" s="13"/>
      <c r="DRJ52" s="13"/>
      <c r="DRN52" s="13"/>
      <c r="DRO52" s="13"/>
      <c r="DRP52" s="15"/>
      <c r="DRQ52" s="16"/>
      <c r="DRR52" s="12"/>
      <c r="DRS52" s="12"/>
      <c r="DRT52" s="12"/>
      <c r="DRU52" s="12"/>
      <c r="DRV52" s="12"/>
      <c r="DRW52" s="12"/>
      <c r="DRX52" s="12"/>
      <c r="DRY52" s="18"/>
      <c r="DSC52" s="13"/>
      <c r="DSD52" s="14"/>
      <c r="DSE52" s="14"/>
      <c r="DSF52" s="20"/>
      <c r="DSG52" s="13"/>
      <c r="DSH52" s="13"/>
      <c r="DSJ52" s="13"/>
      <c r="DSN52" s="13"/>
      <c r="DSO52" s="13"/>
      <c r="DSP52" s="15"/>
      <c r="DSQ52" s="16"/>
      <c r="DSR52" s="12"/>
      <c r="DSS52" s="12"/>
      <c r="DST52" s="12"/>
      <c r="DSU52" s="12"/>
      <c r="DSV52" s="12"/>
      <c r="DSW52" s="12"/>
      <c r="DSX52" s="12"/>
      <c r="DSY52" s="18"/>
      <c r="DTC52" s="13"/>
      <c r="DTD52" s="14"/>
      <c r="DTE52" s="14"/>
      <c r="DTF52" s="20"/>
      <c r="DTG52" s="13"/>
      <c r="DTH52" s="13"/>
      <c r="DTJ52" s="13"/>
      <c r="DTN52" s="13"/>
      <c r="DTO52" s="13"/>
      <c r="DTP52" s="15"/>
      <c r="DTQ52" s="16"/>
      <c r="DTR52" s="12"/>
      <c r="DTS52" s="12"/>
      <c r="DTT52" s="12"/>
      <c r="DTU52" s="12"/>
      <c r="DTV52" s="12"/>
      <c r="DTW52" s="12"/>
      <c r="DTX52" s="12"/>
      <c r="DTY52" s="18"/>
      <c r="DUC52" s="13"/>
      <c r="DUD52" s="14"/>
      <c r="DUE52" s="14"/>
      <c r="DUF52" s="20"/>
      <c r="DUG52" s="13"/>
      <c r="DUH52" s="13"/>
      <c r="DUJ52" s="13"/>
      <c r="DUN52" s="13"/>
      <c r="DUO52" s="13"/>
      <c r="DUP52" s="15"/>
      <c r="DUQ52" s="16"/>
      <c r="DUR52" s="12"/>
      <c r="DUS52" s="12"/>
      <c r="DUT52" s="12"/>
      <c r="DUU52" s="12"/>
      <c r="DUV52" s="12"/>
      <c r="DUW52" s="12"/>
      <c r="DUX52" s="12"/>
      <c r="DUY52" s="18"/>
      <c r="DVC52" s="13"/>
      <c r="DVD52" s="14"/>
      <c r="DVE52" s="14"/>
      <c r="DVF52" s="20"/>
      <c r="DVG52" s="13"/>
      <c r="DVH52" s="13"/>
      <c r="DVJ52" s="13"/>
      <c r="DVN52" s="13"/>
      <c r="DVO52" s="13"/>
      <c r="DVP52" s="15"/>
      <c r="DVQ52" s="16"/>
      <c r="DVR52" s="12"/>
      <c r="DVS52" s="12"/>
      <c r="DVT52" s="12"/>
      <c r="DVU52" s="12"/>
      <c r="DVV52" s="12"/>
      <c r="DVW52" s="12"/>
      <c r="DVX52" s="12"/>
      <c r="DVY52" s="18"/>
      <c r="DWC52" s="13"/>
      <c r="DWD52" s="14"/>
      <c r="DWE52" s="14"/>
      <c r="DWF52" s="20"/>
      <c r="DWG52" s="13"/>
      <c r="DWH52" s="13"/>
      <c r="DWJ52" s="13"/>
      <c r="DWN52" s="13"/>
      <c r="DWO52" s="13"/>
      <c r="DWP52" s="15"/>
      <c r="DWQ52" s="16"/>
      <c r="DWR52" s="12"/>
      <c r="DWS52" s="12"/>
      <c r="DWT52" s="12"/>
      <c r="DWU52" s="12"/>
      <c r="DWV52" s="12"/>
      <c r="DWW52" s="12"/>
      <c r="DWX52" s="12"/>
      <c r="DWY52" s="18"/>
      <c r="DXC52" s="13"/>
      <c r="DXD52" s="14"/>
      <c r="DXE52" s="14"/>
      <c r="DXF52" s="20"/>
      <c r="DXG52" s="13"/>
      <c r="DXH52" s="13"/>
      <c r="DXJ52" s="13"/>
      <c r="DXN52" s="13"/>
      <c r="DXO52" s="13"/>
      <c r="DXP52" s="15"/>
      <c r="DXQ52" s="16"/>
      <c r="DXR52" s="12"/>
      <c r="DXS52" s="12"/>
      <c r="DXT52" s="12"/>
      <c r="DXU52" s="12"/>
      <c r="DXV52" s="12"/>
      <c r="DXW52" s="12"/>
      <c r="DXX52" s="12"/>
      <c r="DXY52" s="18"/>
      <c r="DYC52" s="13"/>
      <c r="DYD52" s="14"/>
      <c r="DYE52" s="14"/>
      <c r="DYF52" s="20"/>
      <c r="DYG52" s="13"/>
      <c r="DYH52" s="13"/>
      <c r="DYJ52" s="13"/>
      <c r="DYN52" s="13"/>
      <c r="DYO52" s="13"/>
      <c r="DYP52" s="15"/>
      <c r="DYQ52" s="16"/>
      <c r="DYR52" s="12"/>
      <c r="DYS52" s="12"/>
      <c r="DYT52" s="12"/>
      <c r="DYU52" s="12"/>
      <c r="DYV52" s="12"/>
      <c r="DYW52" s="12"/>
      <c r="DYX52" s="12"/>
      <c r="DYY52" s="18"/>
      <c r="DZC52" s="13"/>
      <c r="DZD52" s="14"/>
      <c r="DZE52" s="14"/>
      <c r="DZF52" s="20"/>
      <c r="DZG52" s="13"/>
      <c r="DZH52" s="13"/>
      <c r="DZJ52" s="13"/>
      <c r="DZN52" s="13"/>
      <c r="DZO52" s="13"/>
      <c r="DZP52" s="15"/>
      <c r="DZQ52" s="16"/>
      <c r="DZR52" s="12"/>
      <c r="DZS52" s="12"/>
      <c r="DZT52" s="12"/>
      <c r="DZU52" s="12"/>
      <c r="DZV52" s="12"/>
      <c r="DZW52" s="12"/>
      <c r="DZX52" s="12"/>
      <c r="DZY52" s="18"/>
      <c r="EAC52" s="13"/>
      <c r="EAD52" s="14"/>
      <c r="EAE52" s="14"/>
      <c r="EAF52" s="20"/>
      <c r="EAG52" s="13"/>
      <c r="EAH52" s="13"/>
      <c r="EAJ52" s="13"/>
      <c r="EAN52" s="13"/>
      <c r="EAO52" s="13"/>
      <c r="EAP52" s="15"/>
      <c r="EAQ52" s="16"/>
      <c r="EAR52" s="12"/>
      <c r="EAS52" s="12"/>
      <c r="EAT52" s="12"/>
      <c r="EAU52" s="12"/>
      <c r="EAV52" s="12"/>
      <c r="EAW52" s="12"/>
      <c r="EAX52" s="12"/>
      <c r="EAY52" s="18"/>
      <c r="EBC52" s="13"/>
      <c r="EBD52" s="14"/>
      <c r="EBE52" s="14"/>
      <c r="EBF52" s="20"/>
      <c r="EBG52" s="13"/>
      <c r="EBH52" s="13"/>
      <c r="EBJ52" s="13"/>
      <c r="EBN52" s="13"/>
      <c r="EBO52" s="13"/>
      <c r="EBP52" s="15"/>
      <c r="EBQ52" s="16"/>
      <c r="EBR52" s="12"/>
      <c r="EBS52" s="12"/>
      <c r="EBT52" s="12"/>
      <c r="EBU52" s="12"/>
      <c r="EBV52" s="12"/>
      <c r="EBW52" s="12"/>
      <c r="EBX52" s="12"/>
      <c r="EBY52" s="18"/>
      <c r="ECC52" s="13"/>
      <c r="ECD52" s="14"/>
      <c r="ECE52" s="14"/>
      <c r="ECF52" s="20"/>
      <c r="ECG52" s="13"/>
      <c r="ECH52" s="13"/>
      <c r="ECJ52" s="13"/>
      <c r="ECN52" s="13"/>
      <c r="ECO52" s="13"/>
      <c r="ECP52" s="15"/>
      <c r="ECQ52" s="16"/>
      <c r="ECR52" s="12"/>
      <c r="ECS52" s="12"/>
      <c r="ECT52" s="12"/>
      <c r="ECU52" s="12"/>
      <c r="ECV52" s="12"/>
      <c r="ECW52" s="12"/>
      <c r="ECX52" s="12"/>
      <c r="ECY52" s="18"/>
      <c r="EDC52" s="13"/>
      <c r="EDD52" s="14"/>
      <c r="EDE52" s="14"/>
      <c r="EDF52" s="20"/>
      <c r="EDG52" s="13"/>
      <c r="EDH52" s="13"/>
      <c r="EDJ52" s="13"/>
      <c r="EDN52" s="13"/>
      <c r="EDO52" s="13"/>
      <c r="EDP52" s="15"/>
      <c r="EDQ52" s="16"/>
      <c r="EDR52" s="12"/>
      <c r="EDS52" s="12"/>
      <c r="EDT52" s="12"/>
      <c r="EDU52" s="12"/>
      <c r="EDV52" s="12"/>
      <c r="EDW52" s="12"/>
      <c r="EDX52" s="12"/>
      <c r="EDY52" s="18"/>
      <c r="EEC52" s="13"/>
      <c r="EED52" s="14"/>
      <c r="EEE52" s="14"/>
      <c r="EEF52" s="20"/>
      <c r="EEG52" s="13"/>
      <c r="EEH52" s="13"/>
      <c r="EEJ52" s="13"/>
      <c r="EEN52" s="13"/>
      <c r="EEO52" s="13"/>
      <c r="EEP52" s="15"/>
      <c r="EEQ52" s="16"/>
      <c r="EER52" s="12"/>
      <c r="EES52" s="12"/>
      <c r="EET52" s="12"/>
      <c r="EEU52" s="12"/>
      <c r="EEV52" s="12"/>
      <c r="EEW52" s="12"/>
      <c r="EEX52" s="12"/>
      <c r="EEY52" s="18"/>
      <c r="EFC52" s="13"/>
      <c r="EFD52" s="14"/>
      <c r="EFE52" s="14"/>
      <c r="EFF52" s="20"/>
      <c r="EFG52" s="13"/>
      <c r="EFH52" s="13"/>
      <c r="EFJ52" s="13"/>
      <c r="EFN52" s="13"/>
      <c r="EFO52" s="13"/>
      <c r="EFP52" s="15"/>
      <c r="EFQ52" s="16"/>
      <c r="EFR52" s="12"/>
      <c r="EFS52" s="12"/>
      <c r="EFT52" s="12"/>
      <c r="EFU52" s="12"/>
      <c r="EFV52" s="12"/>
      <c r="EFW52" s="12"/>
      <c r="EFX52" s="12"/>
      <c r="EFY52" s="18"/>
      <c r="EGC52" s="13"/>
      <c r="EGD52" s="14"/>
      <c r="EGE52" s="14"/>
      <c r="EGF52" s="20"/>
      <c r="EGG52" s="13"/>
      <c r="EGH52" s="13"/>
      <c r="EGJ52" s="13"/>
      <c r="EGN52" s="13"/>
      <c r="EGO52" s="13"/>
      <c r="EGP52" s="15"/>
      <c r="EGQ52" s="16"/>
      <c r="EGR52" s="12"/>
      <c r="EGS52" s="12"/>
      <c r="EGT52" s="12"/>
      <c r="EGU52" s="12"/>
      <c r="EGV52" s="12"/>
      <c r="EGW52" s="12"/>
      <c r="EGX52" s="12"/>
      <c r="EGY52" s="18"/>
      <c r="EHC52" s="13"/>
      <c r="EHD52" s="14"/>
      <c r="EHE52" s="14"/>
      <c r="EHF52" s="20"/>
      <c r="EHG52" s="13"/>
      <c r="EHH52" s="13"/>
      <c r="EHJ52" s="13"/>
      <c r="EHN52" s="13"/>
      <c r="EHO52" s="13"/>
      <c r="EHP52" s="15"/>
      <c r="EHQ52" s="16"/>
      <c r="EHR52" s="12"/>
      <c r="EHS52" s="12"/>
      <c r="EHT52" s="12"/>
      <c r="EHU52" s="12"/>
      <c r="EHV52" s="12"/>
      <c r="EHW52" s="12"/>
      <c r="EHX52" s="12"/>
      <c r="EHY52" s="18"/>
      <c r="EIC52" s="13"/>
      <c r="EID52" s="14"/>
      <c r="EIE52" s="14"/>
      <c r="EIF52" s="20"/>
      <c r="EIG52" s="13"/>
      <c r="EIH52" s="13"/>
      <c r="EIJ52" s="13"/>
      <c r="EIN52" s="13"/>
      <c r="EIO52" s="13"/>
      <c r="EIP52" s="15"/>
      <c r="EIQ52" s="16"/>
      <c r="EIR52" s="12"/>
      <c r="EIS52" s="12"/>
      <c r="EIT52" s="12"/>
      <c r="EIU52" s="12"/>
      <c r="EIV52" s="12"/>
      <c r="EIW52" s="12"/>
      <c r="EIX52" s="12"/>
      <c r="EIY52" s="18"/>
      <c r="EJC52" s="13"/>
      <c r="EJD52" s="14"/>
      <c r="EJE52" s="14"/>
      <c r="EJF52" s="20"/>
      <c r="EJG52" s="13"/>
      <c r="EJH52" s="13"/>
      <c r="EJJ52" s="13"/>
      <c r="EJN52" s="13"/>
      <c r="EJO52" s="13"/>
      <c r="EJP52" s="15"/>
      <c r="EJQ52" s="16"/>
      <c r="EJR52" s="12"/>
      <c r="EJS52" s="12"/>
      <c r="EJT52" s="12"/>
      <c r="EJU52" s="12"/>
      <c r="EJV52" s="12"/>
      <c r="EJW52" s="12"/>
      <c r="EJX52" s="12"/>
      <c r="EJY52" s="18"/>
      <c r="EKC52" s="13"/>
      <c r="EKD52" s="14"/>
      <c r="EKE52" s="14"/>
      <c r="EKF52" s="20"/>
      <c r="EKG52" s="13"/>
      <c r="EKH52" s="13"/>
      <c r="EKJ52" s="13"/>
      <c r="EKN52" s="13"/>
      <c r="EKO52" s="13"/>
      <c r="EKP52" s="15"/>
      <c r="EKQ52" s="16"/>
      <c r="EKR52" s="12"/>
      <c r="EKS52" s="12"/>
      <c r="EKT52" s="12"/>
      <c r="EKU52" s="12"/>
      <c r="EKV52" s="12"/>
      <c r="EKW52" s="12"/>
      <c r="EKX52" s="12"/>
      <c r="EKY52" s="18"/>
      <c r="ELC52" s="13"/>
      <c r="ELD52" s="14"/>
      <c r="ELE52" s="14"/>
      <c r="ELF52" s="20"/>
      <c r="ELG52" s="13"/>
      <c r="ELH52" s="13"/>
      <c r="ELJ52" s="13"/>
      <c r="ELN52" s="13"/>
      <c r="ELO52" s="13"/>
      <c r="ELP52" s="15"/>
      <c r="ELQ52" s="16"/>
      <c r="ELR52" s="12"/>
      <c r="ELS52" s="12"/>
      <c r="ELT52" s="12"/>
      <c r="ELU52" s="12"/>
      <c r="ELV52" s="12"/>
      <c r="ELW52" s="12"/>
      <c r="ELX52" s="12"/>
      <c r="ELY52" s="18"/>
      <c r="EMC52" s="13"/>
      <c r="EMD52" s="14"/>
      <c r="EME52" s="14"/>
      <c r="EMF52" s="20"/>
      <c r="EMG52" s="13"/>
      <c r="EMH52" s="13"/>
      <c r="EMJ52" s="13"/>
      <c r="EMN52" s="13"/>
      <c r="EMO52" s="13"/>
      <c r="EMP52" s="15"/>
      <c r="EMQ52" s="16"/>
      <c r="EMR52" s="12"/>
      <c r="EMS52" s="12"/>
      <c r="EMT52" s="12"/>
      <c r="EMU52" s="12"/>
      <c r="EMV52" s="12"/>
      <c r="EMW52" s="12"/>
      <c r="EMX52" s="12"/>
      <c r="EMY52" s="18"/>
      <c r="ENC52" s="13"/>
      <c r="END52" s="14"/>
      <c r="ENE52" s="14"/>
      <c r="ENF52" s="20"/>
      <c r="ENG52" s="13"/>
      <c r="ENH52" s="13"/>
      <c r="ENJ52" s="13"/>
      <c r="ENN52" s="13"/>
      <c r="ENO52" s="13"/>
      <c r="ENP52" s="15"/>
      <c r="ENQ52" s="16"/>
      <c r="ENR52" s="12"/>
      <c r="ENS52" s="12"/>
      <c r="ENT52" s="12"/>
      <c r="ENU52" s="12"/>
      <c r="ENV52" s="12"/>
      <c r="ENW52" s="12"/>
      <c r="ENX52" s="12"/>
      <c r="ENY52" s="18"/>
      <c r="EOC52" s="13"/>
      <c r="EOD52" s="14"/>
      <c r="EOE52" s="14"/>
      <c r="EOF52" s="20"/>
      <c r="EOG52" s="13"/>
      <c r="EOH52" s="13"/>
      <c r="EOJ52" s="13"/>
      <c r="EON52" s="13"/>
      <c r="EOO52" s="13"/>
      <c r="EOP52" s="15"/>
      <c r="EOQ52" s="16"/>
      <c r="EOR52" s="12"/>
      <c r="EOS52" s="12"/>
      <c r="EOT52" s="12"/>
      <c r="EOU52" s="12"/>
      <c r="EOV52" s="12"/>
      <c r="EOW52" s="12"/>
      <c r="EOX52" s="12"/>
      <c r="EOY52" s="18"/>
      <c r="EPC52" s="13"/>
      <c r="EPD52" s="14"/>
      <c r="EPE52" s="14"/>
      <c r="EPF52" s="20"/>
      <c r="EPG52" s="13"/>
      <c r="EPH52" s="13"/>
      <c r="EPJ52" s="13"/>
      <c r="EPN52" s="13"/>
      <c r="EPO52" s="13"/>
      <c r="EPP52" s="15"/>
      <c r="EPQ52" s="16"/>
      <c r="EPR52" s="12"/>
      <c r="EPS52" s="12"/>
      <c r="EPT52" s="12"/>
      <c r="EPU52" s="12"/>
      <c r="EPV52" s="12"/>
      <c r="EPW52" s="12"/>
      <c r="EPX52" s="12"/>
      <c r="EPY52" s="18"/>
      <c r="EQC52" s="13"/>
      <c r="EQD52" s="14"/>
      <c r="EQE52" s="14"/>
      <c r="EQF52" s="20"/>
      <c r="EQG52" s="13"/>
      <c r="EQH52" s="13"/>
      <c r="EQJ52" s="13"/>
      <c r="EQN52" s="13"/>
      <c r="EQO52" s="13"/>
      <c r="EQP52" s="15"/>
      <c r="EQQ52" s="16"/>
      <c r="EQR52" s="12"/>
      <c r="EQS52" s="12"/>
      <c r="EQT52" s="12"/>
      <c r="EQU52" s="12"/>
      <c r="EQV52" s="12"/>
      <c r="EQW52" s="12"/>
      <c r="EQX52" s="12"/>
      <c r="EQY52" s="18"/>
      <c r="ERC52" s="13"/>
      <c r="ERD52" s="14"/>
      <c r="ERE52" s="14"/>
      <c r="ERF52" s="20"/>
      <c r="ERG52" s="13"/>
      <c r="ERH52" s="13"/>
      <c r="ERJ52" s="13"/>
      <c r="ERN52" s="13"/>
      <c r="ERO52" s="13"/>
      <c r="ERP52" s="15"/>
      <c r="ERQ52" s="16"/>
      <c r="ERR52" s="12"/>
      <c r="ERS52" s="12"/>
      <c r="ERT52" s="12"/>
      <c r="ERU52" s="12"/>
      <c r="ERV52" s="12"/>
      <c r="ERW52" s="12"/>
      <c r="ERX52" s="12"/>
      <c r="ERY52" s="18"/>
      <c r="ESC52" s="13"/>
      <c r="ESD52" s="14"/>
      <c r="ESE52" s="14"/>
      <c r="ESF52" s="20"/>
      <c r="ESG52" s="13"/>
      <c r="ESH52" s="13"/>
      <c r="ESJ52" s="13"/>
      <c r="ESN52" s="13"/>
      <c r="ESO52" s="13"/>
      <c r="ESP52" s="15"/>
      <c r="ESQ52" s="16"/>
      <c r="ESR52" s="12"/>
      <c r="ESS52" s="12"/>
      <c r="EST52" s="12"/>
      <c r="ESU52" s="12"/>
      <c r="ESV52" s="12"/>
      <c r="ESW52" s="12"/>
      <c r="ESX52" s="12"/>
      <c r="ESY52" s="18"/>
      <c r="ETC52" s="13"/>
      <c r="ETD52" s="14"/>
      <c r="ETE52" s="14"/>
      <c r="ETF52" s="20"/>
      <c r="ETG52" s="13"/>
      <c r="ETH52" s="13"/>
      <c r="ETJ52" s="13"/>
      <c r="ETN52" s="13"/>
      <c r="ETO52" s="13"/>
      <c r="ETP52" s="15"/>
      <c r="ETQ52" s="16"/>
      <c r="ETR52" s="12"/>
      <c r="ETS52" s="12"/>
      <c r="ETT52" s="12"/>
      <c r="ETU52" s="12"/>
      <c r="ETV52" s="12"/>
      <c r="ETW52" s="12"/>
      <c r="ETX52" s="12"/>
      <c r="ETY52" s="18"/>
      <c r="EUC52" s="13"/>
      <c r="EUD52" s="14"/>
      <c r="EUE52" s="14"/>
      <c r="EUF52" s="20"/>
      <c r="EUG52" s="13"/>
      <c r="EUH52" s="13"/>
      <c r="EUJ52" s="13"/>
      <c r="EUN52" s="13"/>
      <c r="EUO52" s="13"/>
      <c r="EUP52" s="15"/>
      <c r="EUQ52" s="16"/>
      <c r="EUR52" s="12"/>
      <c r="EUS52" s="12"/>
      <c r="EUT52" s="12"/>
      <c r="EUU52" s="12"/>
      <c r="EUV52" s="12"/>
      <c r="EUW52" s="12"/>
      <c r="EUX52" s="12"/>
      <c r="EUY52" s="18"/>
      <c r="EVC52" s="13"/>
      <c r="EVD52" s="14"/>
      <c r="EVE52" s="14"/>
      <c r="EVF52" s="20"/>
      <c r="EVG52" s="13"/>
      <c r="EVH52" s="13"/>
      <c r="EVJ52" s="13"/>
      <c r="EVN52" s="13"/>
      <c r="EVO52" s="13"/>
      <c r="EVP52" s="15"/>
      <c r="EVQ52" s="16"/>
      <c r="EVR52" s="12"/>
      <c r="EVS52" s="12"/>
      <c r="EVT52" s="12"/>
      <c r="EVU52" s="12"/>
      <c r="EVV52" s="12"/>
      <c r="EVW52" s="12"/>
      <c r="EVX52" s="12"/>
      <c r="EVY52" s="18"/>
      <c r="EWC52" s="13"/>
      <c r="EWD52" s="14"/>
      <c r="EWE52" s="14"/>
      <c r="EWF52" s="20"/>
      <c r="EWG52" s="13"/>
      <c r="EWH52" s="13"/>
      <c r="EWJ52" s="13"/>
      <c r="EWN52" s="13"/>
      <c r="EWO52" s="13"/>
      <c r="EWP52" s="15"/>
      <c r="EWQ52" s="16"/>
      <c r="EWR52" s="12"/>
      <c r="EWS52" s="12"/>
      <c r="EWT52" s="12"/>
      <c r="EWU52" s="12"/>
      <c r="EWV52" s="12"/>
      <c r="EWW52" s="12"/>
      <c r="EWX52" s="12"/>
      <c r="EWY52" s="18"/>
      <c r="EXC52" s="13"/>
      <c r="EXD52" s="14"/>
      <c r="EXE52" s="14"/>
      <c r="EXF52" s="20"/>
      <c r="EXG52" s="13"/>
      <c r="EXH52" s="13"/>
      <c r="EXJ52" s="13"/>
      <c r="EXN52" s="13"/>
      <c r="EXO52" s="13"/>
      <c r="EXP52" s="15"/>
      <c r="EXQ52" s="16"/>
      <c r="EXR52" s="12"/>
      <c r="EXS52" s="12"/>
      <c r="EXT52" s="12"/>
      <c r="EXU52" s="12"/>
      <c r="EXV52" s="12"/>
      <c r="EXW52" s="12"/>
      <c r="EXX52" s="12"/>
      <c r="EXY52" s="18"/>
      <c r="EYC52" s="13"/>
      <c r="EYD52" s="14"/>
      <c r="EYE52" s="14"/>
      <c r="EYF52" s="20"/>
      <c r="EYG52" s="13"/>
      <c r="EYH52" s="13"/>
      <c r="EYJ52" s="13"/>
      <c r="EYN52" s="13"/>
      <c r="EYO52" s="13"/>
      <c r="EYP52" s="15"/>
      <c r="EYQ52" s="16"/>
      <c r="EYR52" s="12"/>
      <c r="EYS52" s="12"/>
      <c r="EYT52" s="12"/>
      <c r="EYU52" s="12"/>
      <c r="EYV52" s="12"/>
      <c r="EYW52" s="12"/>
      <c r="EYX52" s="12"/>
      <c r="EYY52" s="18"/>
      <c r="EZC52" s="13"/>
      <c r="EZD52" s="14"/>
      <c r="EZE52" s="14"/>
      <c r="EZF52" s="20"/>
      <c r="EZG52" s="13"/>
      <c r="EZH52" s="13"/>
      <c r="EZJ52" s="13"/>
      <c r="EZN52" s="13"/>
      <c r="EZO52" s="13"/>
      <c r="EZP52" s="15"/>
      <c r="EZQ52" s="16"/>
      <c r="EZR52" s="12"/>
      <c r="EZS52" s="12"/>
      <c r="EZT52" s="12"/>
      <c r="EZU52" s="12"/>
      <c r="EZV52" s="12"/>
      <c r="EZW52" s="12"/>
      <c r="EZX52" s="12"/>
      <c r="EZY52" s="18"/>
      <c r="FAC52" s="13"/>
      <c r="FAD52" s="14"/>
      <c r="FAE52" s="14"/>
      <c r="FAF52" s="20"/>
      <c r="FAG52" s="13"/>
      <c r="FAH52" s="13"/>
      <c r="FAJ52" s="13"/>
      <c r="FAN52" s="13"/>
      <c r="FAO52" s="13"/>
      <c r="FAP52" s="15"/>
      <c r="FAQ52" s="16"/>
      <c r="FAR52" s="12"/>
      <c r="FAS52" s="12"/>
      <c r="FAT52" s="12"/>
      <c r="FAU52" s="12"/>
      <c r="FAV52" s="12"/>
      <c r="FAW52" s="12"/>
      <c r="FAX52" s="12"/>
      <c r="FAY52" s="18"/>
      <c r="FBC52" s="13"/>
      <c r="FBD52" s="14"/>
      <c r="FBE52" s="14"/>
      <c r="FBF52" s="20"/>
      <c r="FBG52" s="13"/>
      <c r="FBH52" s="13"/>
      <c r="FBJ52" s="13"/>
      <c r="FBN52" s="13"/>
      <c r="FBO52" s="13"/>
      <c r="FBP52" s="15"/>
      <c r="FBQ52" s="16"/>
      <c r="FBR52" s="12"/>
      <c r="FBS52" s="12"/>
      <c r="FBT52" s="12"/>
      <c r="FBU52" s="12"/>
      <c r="FBV52" s="12"/>
      <c r="FBW52" s="12"/>
      <c r="FBX52" s="12"/>
      <c r="FBY52" s="18"/>
      <c r="FCC52" s="13"/>
      <c r="FCD52" s="14"/>
      <c r="FCE52" s="14"/>
      <c r="FCF52" s="20"/>
      <c r="FCG52" s="13"/>
      <c r="FCH52" s="13"/>
      <c r="FCJ52" s="13"/>
      <c r="FCN52" s="13"/>
      <c r="FCO52" s="13"/>
      <c r="FCP52" s="15"/>
      <c r="FCQ52" s="16"/>
      <c r="FCR52" s="12"/>
      <c r="FCS52" s="12"/>
      <c r="FCT52" s="12"/>
      <c r="FCU52" s="12"/>
      <c r="FCV52" s="12"/>
      <c r="FCW52" s="12"/>
      <c r="FCX52" s="12"/>
      <c r="FCY52" s="18"/>
      <c r="FDC52" s="13"/>
      <c r="FDD52" s="14"/>
      <c r="FDE52" s="14"/>
      <c r="FDF52" s="20"/>
      <c r="FDG52" s="13"/>
      <c r="FDH52" s="13"/>
      <c r="FDJ52" s="13"/>
      <c r="FDN52" s="13"/>
      <c r="FDO52" s="13"/>
      <c r="FDP52" s="15"/>
      <c r="FDQ52" s="16"/>
      <c r="FDR52" s="12"/>
      <c r="FDS52" s="12"/>
      <c r="FDT52" s="12"/>
      <c r="FDU52" s="12"/>
      <c r="FDV52" s="12"/>
      <c r="FDW52" s="12"/>
      <c r="FDX52" s="12"/>
      <c r="FDY52" s="18"/>
      <c r="FEC52" s="13"/>
      <c r="FED52" s="14"/>
      <c r="FEE52" s="14"/>
      <c r="FEF52" s="20"/>
      <c r="FEG52" s="13"/>
      <c r="FEH52" s="13"/>
      <c r="FEJ52" s="13"/>
      <c r="FEN52" s="13"/>
      <c r="FEO52" s="13"/>
      <c r="FEP52" s="15"/>
      <c r="FEQ52" s="16"/>
      <c r="FER52" s="12"/>
      <c r="FES52" s="12"/>
      <c r="FET52" s="12"/>
      <c r="FEU52" s="12"/>
      <c r="FEV52" s="12"/>
      <c r="FEW52" s="12"/>
      <c r="FEX52" s="12"/>
      <c r="FEY52" s="18"/>
      <c r="FFC52" s="13"/>
      <c r="FFD52" s="14"/>
      <c r="FFE52" s="14"/>
      <c r="FFF52" s="20"/>
      <c r="FFG52" s="13"/>
      <c r="FFH52" s="13"/>
      <c r="FFJ52" s="13"/>
      <c r="FFN52" s="13"/>
      <c r="FFO52" s="13"/>
      <c r="FFP52" s="15"/>
      <c r="FFQ52" s="16"/>
      <c r="FFR52" s="12"/>
      <c r="FFS52" s="12"/>
      <c r="FFT52" s="12"/>
      <c r="FFU52" s="12"/>
      <c r="FFV52" s="12"/>
      <c r="FFW52" s="12"/>
      <c r="FFX52" s="12"/>
      <c r="FFY52" s="18"/>
      <c r="FGC52" s="13"/>
      <c r="FGD52" s="14"/>
      <c r="FGE52" s="14"/>
      <c r="FGF52" s="20"/>
      <c r="FGG52" s="13"/>
      <c r="FGH52" s="13"/>
      <c r="FGJ52" s="13"/>
      <c r="FGN52" s="13"/>
      <c r="FGO52" s="13"/>
      <c r="FGP52" s="15"/>
      <c r="FGQ52" s="16"/>
      <c r="FGR52" s="12"/>
      <c r="FGS52" s="12"/>
      <c r="FGT52" s="12"/>
      <c r="FGU52" s="12"/>
      <c r="FGV52" s="12"/>
      <c r="FGW52" s="12"/>
      <c r="FGX52" s="12"/>
      <c r="FGY52" s="18"/>
      <c r="FHC52" s="13"/>
      <c r="FHD52" s="14"/>
      <c r="FHE52" s="14"/>
      <c r="FHF52" s="20"/>
      <c r="FHG52" s="13"/>
      <c r="FHH52" s="13"/>
      <c r="FHJ52" s="13"/>
      <c r="FHN52" s="13"/>
      <c r="FHO52" s="13"/>
      <c r="FHP52" s="15"/>
      <c r="FHQ52" s="16"/>
      <c r="FHR52" s="12"/>
      <c r="FHS52" s="12"/>
      <c r="FHT52" s="12"/>
      <c r="FHU52" s="12"/>
      <c r="FHV52" s="12"/>
      <c r="FHW52" s="12"/>
      <c r="FHX52" s="12"/>
      <c r="FHY52" s="18"/>
      <c r="FIC52" s="13"/>
      <c r="FID52" s="14"/>
      <c r="FIE52" s="14"/>
      <c r="FIF52" s="20"/>
      <c r="FIG52" s="13"/>
      <c r="FIH52" s="13"/>
      <c r="FIJ52" s="13"/>
      <c r="FIN52" s="13"/>
      <c r="FIO52" s="13"/>
      <c r="FIP52" s="15"/>
      <c r="FIQ52" s="16"/>
      <c r="FIR52" s="12"/>
      <c r="FIS52" s="12"/>
      <c r="FIT52" s="12"/>
      <c r="FIU52" s="12"/>
      <c r="FIV52" s="12"/>
      <c r="FIW52" s="12"/>
      <c r="FIX52" s="12"/>
      <c r="FIY52" s="18"/>
      <c r="FJC52" s="13"/>
      <c r="FJD52" s="14"/>
      <c r="FJE52" s="14"/>
      <c r="FJF52" s="20"/>
      <c r="FJG52" s="13"/>
      <c r="FJH52" s="13"/>
      <c r="FJJ52" s="13"/>
      <c r="FJN52" s="13"/>
      <c r="FJO52" s="13"/>
      <c r="FJP52" s="15"/>
      <c r="FJQ52" s="16"/>
      <c r="FJR52" s="12"/>
      <c r="FJS52" s="12"/>
      <c r="FJT52" s="12"/>
      <c r="FJU52" s="12"/>
      <c r="FJV52" s="12"/>
      <c r="FJW52" s="12"/>
      <c r="FJX52" s="12"/>
      <c r="FJY52" s="18"/>
      <c r="FKC52" s="13"/>
      <c r="FKD52" s="14"/>
      <c r="FKE52" s="14"/>
      <c r="FKF52" s="20"/>
      <c r="FKG52" s="13"/>
      <c r="FKH52" s="13"/>
      <c r="FKJ52" s="13"/>
      <c r="FKN52" s="13"/>
      <c r="FKO52" s="13"/>
      <c r="FKP52" s="15"/>
      <c r="FKQ52" s="16"/>
      <c r="FKR52" s="12"/>
      <c r="FKS52" s="12"/>
      <c r="FKT52" s="12"/>
      <c r="FKU52" s="12"/>
      <c r="FKV52" s="12"/>
      <c r="FKW52" s="12"/>
      <c r="FKX52" s="12"/>
      <c r="FKY52" s="18"/>
      <c r="FLC52" s="13"/>
      <c r="FLD52" s="14"/>
      <c r="FLE52" s="14"/>
      <c r="FLF52" s="20"/>
      <c r="FLG52" s="13"/>
      <c r="FLH52" s="13"/>
      <c r="FLJ52" s="13"/>
      <c r="FLN52" s="13"/>
      <c r="FLO52" s="13"/>
      <c r="FLP52" s="15"/>
      <c r="FLQ52" s="16"/>
      <c r="FLR52" s="12"/>
      <c r="FLS52" s="12"/>
      <c r="FLT52" s="12"/>
      <c r="FLU52" s="12"/>
      <c r="FLV52" s="12"/>
      <c r="FLW52" s="12"/>
      <c r="FLX52" s="12"/>
      <c r="FLY52" s="18"/>
      <c r="FMC52" s="13"/>
      <c r="FMD52" s="14"/>
      <c r="FME52" s="14"/>
      <c r="FMF52" s="20"/>
      <c r="FMG52" s="13"/>
      <c r="FMH52" s="13"/>
      <c r="FMJ52" s="13"/>
      <c r="FMN52" s="13"/>
      <c r="FMO52" s="13"/>
      <c r="FMP52" s="15"/>
      <c r="FMQ52" s="16"/>
      <c r="FMR52" s="12"/>
      <c r="FMS52" s="12"/>
      <c r="FMT52" s="12"/>
      <c r="FMU52" s="12"/>
      <c r="FMV52" s="12"/>
      <c r="FMW52" s="12"/>
      <c r="FMX52" s="12"/>
      <c r="FMY52" s="18"/>
      <c r="FNC52" s="13"/>
      <c r="FND52" s="14"/>
      <c r="FNE52" s="14"/>
      <c r="FNF52" s="20"/>
      <c r="FNG52" s="13"/>
      <c r="FNH52" s="13"/>
      <c r="FNJ52" s="13"/>
      <c r="FNN52" s="13"/>
      <c r="FNO52" s="13"/>
      <c r="FNP52" s="15"/>
      <c r="FNQ52" s="16"/>
      <c r="FNR52" s="12"/>
      <c r="FNS52" s="12"/>
      <c r="FNT52" s="12"/>
      <c r="FNU52" s="12"/>
      <c r="FNV52" s="12"/>
      <c r="FNW52" s="12"/>
      <c r="FNX52" s="12"/>
      <c r="FNY52" s="18"/>
      <c r="FOC52" s="13"/>
      <c r="FOD52" s="14"/>
      <c r="FOE52" s="14"/>
      <c r="FOF52" s="20"/>
      <c r="FOG52" s="13"/>
      <c r="FOH52" s="13"/>
      <c r="FOJ52" s="13"/>
      <c r="FON52" s="13"/>
      <c r="FOO52" s="13"/>
      <c r="FOP52" s="15"/>
      <c r="FOQ52" s="16"/>
      <c r="FOR52" s="12"/>
      <c r="FOS52" s="12"/>
      <c r="FOT52" s="12"/>
      <c r="FOU52" s="12"/>
      <c r="FOV52" s="12"/>
      <c r="FOW52" s="12"/>
      <c r="FOX52" s="12"/>
      <c r="FOY52" s="18"/>
      <c r="FPC52" s="13"/>
      <c r="FPD52" s="14"/>
      <c r="FPE52" s="14"/>
      <c r="FPF52" s="20"/>
      <c r="FPG52" s="13"/>
      <c r="FPH52" s="13"/>
      <c r="FPJ52" s="13"/>
      <c r="FPN52" s="13"/>
      <c r="FPO52" s="13"/>
      <c r="FPP52" s="15"/>
      <c r="FPQ52" s="16"/>
      <c r="FPR52" s="12"/>
      <c r="FPS52" s="12"/>
      <c r="FPT52" s="12"/>
      <c r="FPU52" s="12"/>
      <c r="FPV52" s="12"/>
      <c r="FPW52" s="12"/>
      <c r="FPX52" s="12"/>
      <c r="FPY52" s="18"/>
      <c r="FQC52" s="13"/>
      <c r="FQD52" s="14"/>
      <c r="FQE52" s="14"/>
      <c r="FQF52" s="20"/>
      <c r="FQG52" s="13"/>
      <c r="FQH52" s="13"/>
      <c r="FQJ52" s="13"/>
      <c r="FQN52" s="13"/>
      <c r="FQO52" s="13"/>
      <c r="FQP52" s="15"/>
      <c r="FQQ52" s="16"/>
      <c r="FQR52" s="12"/>
      <c r="FQS52" s="12"/>
      <c r="FQT52" s="12"/>
      <c r="FQU52" s="12"/>
      <c r="FQV52" s="12"/>
      <c r="FQW52" s="12"/>
      <c r="FQX52" s="12"/>
      <c r="FQY52" s="18"/>
      <c r="FRC52" s="13"/>
      <c r="FRD52" s="14"/>
      <c r="FRE52" s="14"/>
      <c r="FRF52" s="20"/>
      <c r="FRG52" s="13"/>
      <c r="FRH52" s="13"/>
      <c r="FRJ52" s="13"/>
      <c r="FRN52" s="13"/>
      <c r="FRO52" s="13"/>
      <c r="FRP52" s="15"/>
      <c r="FRQ52" s="16"/>
      <c r="FRR52" s="12"/>
      <c r="FRS52" s="12"/>
      <c r="FRT52" s="12"/>
      <c r="FRU52" s="12"/>
      <c r="FRV52" s="12"/>
      <c r="FRW52" s="12"/>
      <c r="FRX52" s="12"/>
      <c r="FRY52" s="18"/>
      <c r="FSC52" s="13"/>
      <c r="FSD52" s="14"/>
      <c r="FSE52" s="14"/>
      <c r="FSF52" s="20"/>
      <c r="FSG52" s="13"/>
      <c r="FSH52" s="13"/>
      <c r="FSJ52" s="13"/>
      <c r="FSN52" s="13"/>
      <c r="FSO52" s="13"/>
      <c r="FSP52" s="15"/>
      <c r="FSQ52" s="16"/>
      <c r="FSR52" s="12"/>
      <c r="FSS52" s="12"/>
      <c r="FST52" s="12"/>
      <c r="FSU52" s="12"/>
      <c r="FSV52" s="12"/>
      <c r="FSW52" s="12"/>
      <c r="FSX52" s="12"/>
      <c r="FSY52" s="18"/>
      <c r="FTC52" s="13"/>
      <c r="FTD52" s="14"/>
      <c r="FTE52" s="14"/>
      <c r="FTF52" s="20"/>
      <c r="FTG52" s="13"/>
      <c r="FTH52" s="13"/>
      <c r="FTJ52" s="13"/>
      <c r="FTN52" s="13"/>
      <c r="FTO52" s="13"/>
      <c r="FTP52" s="15"/>
      <c r="FTQ52" s="16"/>
      <c r="FTR52" s="12"/>
      <c r="FTS52" s="12"/>
      <c r="FTT52" s="12"/>
      <c r="FTU52" s="12"/>
      <c r="FTV52" s="12"/>
      <c r="FTW52" s="12"/>
      <c r="FTX52" s="12"/>
      <c r="FTY52" s="18"/>
      <c r="FUC52" s="13"/>
      <c r="FUD52" s="14"/>
      <c r="FUE52" s="14"/>
      <c r="FUF52" s="20"/>
      <c r="FUG52" s="13"/>
      <c r="FUH52" s="13"/>
      <c r="FUJ52" s="13"/>
      <c r="FUN52" s="13"/>
      <c r="FUO52" s="13"/>
      <c r="FUP52" s="15"/>
      <c r="FUQ52" s="16"/>
      <c r="FUR52" s="12"/>
      <c r="FUS52" s="12"/>
      <c r="FUT52" s="12"/>
      <c r="FUU52" s="12"/>
      <c r="FUV52" s="12"/>
      <c r="FUW52" s="12"/>
      <c r="FUX52" s="12"/>
      <c r="FUY52" s="18"/>
      <c r="FVC52" s="13"/>
      <c r="FVD52" s="14"/>
      <c r="FVE52" s="14"/>
      <c r="FVF52" s="20"/>
      <c r="FVG52" s="13"/>
      <c r="FVH52" s="13"/>
      <c r="FVJ52" s="13"/>
      <c r="FVN52" s="13"/>
      <c r="FVO52" s="13"/>
      <c r="FVP52" s="15"/>
      <c r="FVQ52" s="16"/>
      <c r="FVR52" s="12"/>
      <c r="FVS52" s="12"/>
      <c r="FVT52" s="12"/>
      <c r="FVU52" s="12"/>
      <c r="FVV52" s="12"/>
      <c r="FVW52" s="12"/>
      <c r="FVX52" s="12"/>
      <c r="FVY52" s="18"/>
      <c r="FWC52" s="13"/>
      <c r="FWD52" s="14"/>
      <c r="FWE52" s="14"/>
      <c r="FWF52" s="20"/>
      <c r="FWG52" s="13"/>
      <c r="FWH52" s="13"/>
      <c r="FWJ52" s="13"/>
      <c r="FWN52" s="13"/>
      <c r="FWO52" s="13"/>
      <c r="FWP52" s="15"/>
      <c r="FWQ52" s="16"/>
      <c r="FWR52" s="12"/>
      <c r="FWS52" s="12"/>
      <c r="FWT52" s="12"/>
      <c r="FWU52" s="12"/>
      <c r="FWV52" s="12"/>
      <c r="FWW52" s="12"/>
      <c r="FWX52" s="12"/>
      <c r="FWY52" s="18"/>
      <c r="FXC52" s="13"/>
      <c r="FXD52" s="14"/>
      <c r="FXE52" s="14"/>
      <c r="FXF52" s="20"/>
      <c r="FXG52" s="13"/>
      <c r="FXH52" s="13"/>
      <c r="FXJ52" s="13"/>
      <c r="FXN52" s="13"/>
      <c r="FXO52" s="13"/>
      <c r="FXP52" s="15"/>
      <c r="FXQ52" s="16"/>
      <c r="FXR52" s="12"/>
      <c r="FXS52" s="12"/>
      <c r="FXT52" s="12"/>
      <c r="FXU52" s="12"/>
      <c r="FXV52" s="12"/>
      <c r="FXW52" s="12"/>
      <c r="FXX52" s="12"/>
      <c r="FXY52" s="18"/>
      <c r="FYC52" s="13"/>
      <c r="FYD52" s="14"/>
      <c r="FYE52" s="14"/>
      <c r="FYF52" s="20"/>
      <c r="FYG52" s="13"/>
      <c r="FYH52" s="13"/>
      <c r="FYJ52" s="13"/>
      <c r="FYN52" s="13"/>
      <c r="FYO52" s="13"/>
      <c r="FYP52" s="15"/>
      <c r="FYQ52" s="16"/>
      <c r="FYR52" s="12"/>
      <c r="FYS52" s="12"/>
      <c r="FYT52" s="12"/>
      <c r="FYU52" s="12"/>
      <c r="FYV52" s="12"/>
      <c r="FYW52" s="12"/>
      <c r="FYX52" s="12"/>
      <c r="FYY52" s="18"/>
      <c r="FZC52" s="13"/>
      <c r="FZD52" s="14"/>
      <c r="FZE52" s="14"/>
      <c r="FZF52" s="20"/>
      <c r="FZG52" s="13"/>
      <c r="FZH52" s="13"/>
      <c r="FZJ52" s="13"/>
      <c r="FZN52" s="13"/>
      <c r="FZO52" s="13"/>
      <c r="FZP52" s="15"/>
      <c r="FZQ52" s="16"/>
      <c r="FZR52" s="12"/>
      <c r="FZS52" s="12"/>
      <c r="FZT52" s="12"/>
      <c r="FZU52" s="12"/>
      <c r="FZV52" s="12"/>
      <c r="FZW52" s="12"/>
      <c r="FZX52" s="12"/>
      <c r="FZY52" s="18"/>
      <c r="GAC52" s="13"/>
      <c r="GAD52" s="14"/>
      <c r="GAE52" s="14"/>
      <c r="GAF52" s="20"/>
      <c r="GAG52" s="13"/>
      <c r="GAH52" s="13"/>
      <c r="GAJ52" s="13"/>
      <c r="GAN52" s="13"/>
      <c r="GAO52" s="13"/>
      <c r="GAP52" s="15"/>
      <c r="GAQ52" s="16"/>
      <c r="GAR52" s="12"/>
      <c r="GAS52" s="12"/>
      <c r="GAT52" s="12"/>
      <c r="GAU52" s="12"/>
      <c r="GAV52" s="12"/>
      <c r="GAW52" s="12"/>
      <c r="GAX52" s="12"/>
      <c r="GAY52" s="18"/>
      <c r="GBC52" s="13"/>
      <c r="GBD52" s="14"/>
      <c r="GBE52" s="14"/>
      <c r="GBF52" s="20"/>
      <c r="GBG52" s="13"/>
      <c r="GBH52" s="13"/>
      <c r="GBJ52" s="13"/>
      <c r="GBN52" s="13"/>
      <c r="GBO52" s="13"/>
      <c r="GBP52" s="15"/>
      <c r="GBQ52" s="16"/>
      <c r="GBR52" s="12"/>
      <c r="GBS52" s="12"/>
      <c r="GBT52" s="12"/>
      <c r="GBU52" s="12"/>
      <c r="GBV52" s="12"/>
      <c r="GBW52" s="12"/>
      <c r="GBX52" s="12"/>
      <c r="GBY52" s="18"/>
      <c r="GCC52" s="13"/>
      <c r="GCD52" s="14"/>
      <c r="GCE52" s="14"/>
      <c r="GCF52" s="20"/>
      <c r="GCG52" s="13"/>
      <c r="GCH52" s="13"/>
      <c r="GCJ52" s="13"/>
      <c r="GCN52" s="13"/>
      <c r="GCO52" s="13"/>
      <c r="GCP52" s="15"/>
      <c r="GCQ52" s="16"/>
      <c r="GCR52" s="12"/>
      <c r="GCS52" s="12"/>
      <c r="GCT52" s="12"/>
      <c r="GCU52" s="12"/>
      <c r="GCV52" s="12"/>
      <c r="GCW52" s="12"/>
      <c r="GCX52" s="12"/>
      <c r="GCY52" s="18"/>
      <c r="GDC52" s="13"/>
      <c r="GDD52" s="14"/>
      <c r="GDE52" s="14"/>
      <c r="GDF52" s="20"/>
      <c r="GDG52" s="13"/>
      <c r="GDH52" s="13"/>
      <c r="GDJ52" s="13"/>
      <c r="GDN52" s="13"/>
      <c r="GDO52" s="13"/>
      <c r="GDP52" s="15"/>
      <c r="GDQ52" s="16"/>
      <c r="GDR52" s="12"/>
      <c r="GDS52" s="12"/>
      <c r="GDT52" s="12"/>
      <c r="GDU52" s="12"/>
      <c r="GDV52" s="12"/>
      <c r="GDW52" s="12"/>
      <c r="GDX52" s="12"/>
      <c r="GDY52" s="18"/>
      <c r="GEC52" s="13"/>
      <c r="GED52" s="14"/>
      <c r="GEE52" s="14"/>
      <c r="GEF52" s="20"/>
      <c r="GEG52" s="13"/>
      <c r="GEH52" s="13"/>
      <c r="GEJ52" s="13"/>
      <c r="GEN52" s="13"/>
      <c r="GEO52" s="13"/>
      <c r="GEP52" s="15"/>
      <c r="GEQ52" s="16"/>
      <c r="GER52" s="12"/>
      <c r="GES52" s="12"/>
      <c r="GET52" s="12"/>
      <c r="GEU52" s="12"/>
      <c r="GEV52" s="12"/>
      <c r="GEW52" s="12"/>
      <c r="GEX52" s="12"/>
      <c r="GEY52" s="18"/>
      <c r="GFC52" s="13"/>
      <c r="GFD52" s="14"/>
      <c r="GFE52" s="14"/>
      <c r="GFF52" s="20"/>
      <c r="GFG52" s="13"/>
      <c r="GFH52" s="13"/>
      <c r="GFJ52" s="13"/>
      <c r="GFN52" s="13"/>
      <c r="GFO52" s="13"/>
      <c r="GFP52" s="15"/>
      <c r="GFQ52" s="16"/>
      <c r="GFR52" s="12"/>
      <c r="GFS52" s="12"/>
      <c r="GFT52" s="12"/>
      <c r="GFU52" s="12"/>
      <c r="GFV52" s="12"/>
      <c r="GFW52" s="12"/>
      <c r="GFX52" s="12"/>
      <c r="GFY52" s="18"/>
      <c r="GGC52" s="13"/>
      <c r="GGD52" s="14"/>
      <c r="GGE52" s="14"/>
      <c r="GGF52" s="20"/>
      <c r="GGG52" s="13"/>
      <c r="GGH52" s="13"/>
      <c r="GGJ52" s="13"/>
      <c r="GGN52" s="13"/>
      <c r="GGO52" s="13"/>
      <c r="GGP52" s="15"/>
      <c r="GGQ52" s="16"/>
      <c r="GGR52" s="12"/>
      <c r="GGS52" s="12"/>
      <c r="GGT52" s="12"/>
      <c r="GGU52" s="12"/>
      <c r="GGV52" s="12"/>
      <c r="GGW52" s="12"/>
      <c r="GGX52" s="12"/>
      <c r="GGY52" s="18"/>
      <c r="GHC52" s="13"/>
      <c r="GHD52" s="14"/>
      <c r="GHE52" s="14"/>
      <c r="GHF52" s="20"/>
      <c r="GHG52" s="13"/>
      <c r="GHH52" s="13"/>
      <c r="GHJ52" s="13"/>
      <c r="GHN52" s="13"/>
      <c r="GHO52" s="13"/>
      <c r="GHP52" s="15"/>
      <c r="GHQ52" s="16"/>
      <c r="GHR52" s="12"/>
      <c r="GHS52" s="12"/>
      <c r="GHT52" s="12"/>
      <c r="GHU52" s="12"/>
      <c r="GHV52" s="12"/>
      <c r="GHW52" s="12"/>
      <c r="GHX52" s="12"/>
      <c r="GHY52" s="18"/>
      <c r="GIC52" s="13"/>
      <c r="GID52" s="14"/>
      <c r="GIE52" s="14"/>
      <c r="GIF52" s="20"/>
      <c r="GIG52" s="13"/>
      <c r="GIH52" s="13"/>
      <c r="GIJ52" s="13"/>
      <c r="GIN52" s="13"/>
      <c r="GIO52" s="13"/>
      <c r="GIP52" s="15"/>
      <c r="GIQ52" s="16"/>
      <c r="GIR52" s="12"/>
      <c r="GIS52" s="12"/>
      <c r="GIT52" s="12"/>
      <c r="GIU52" s="12"/>
      <c r="GIV52" s="12"/>
      <c r="GIW52" s="12"/>
      <c r="GIX52" s="12"/>
      <c r="GIY52" s="18"/>
      <c r="GJC52" s="13"/>
      <c r="GJD52" s="14"/>
      <c r="GJE52" s="14"/>
      <c r="GJF52" s="20"/>
      <c r="GJG52" s="13"/>
      <c r="GJH52" s="13"/>
      <c r="GJJ52" s="13"/>
      <c r="GJN52" s="13"/>
      <c r="GJO52" s="13"/>
      <c r="GJP52" s="15"/>
      <c r="GJQ52" s="16"/>
      <c r="GJR52" s="12"/>
      <c r="GJS52" s="12"/>
      <c r="GJT52" s="12"/>
      <c r="GJU52" s="12"/>
      <c r="GJV52" s="12"/>
      <c r="GJW52" s="12"/>
      <c r="GJX52" s="12"/>
      <c r="GJY52" s="18"/>
      <c r="GKC52" s="13"/>
      <c r="GKD52" s="14"/>
      <c r="GKE52" s="14"/>
      <c r="GKF52" s="20"/>
      <c r="GKG52" s="13"/>
      <c r="GKH52" s="13"/>
      <c r="GKJ52" s="13"/>
      <c r="GKN52" s="13"/>
      <c r="GKO52" s="13"/>
      <c r="GKP52" s="15"/>
      <c r="GKQ52" s="16"/>
      <c r="GKR52" s="12"/>
      <c r="GKS52" s="12"/>
      <c r="GKT52" s="12"/>
      <c r="GKU52" s="12"/>
      <c r="GKV52" s="12"/>
      <c r="GKW52" s="12"/>
      <c r="GKX52" s="12"/>
      <c r="GKY52" s="18"/>
      <c r="GLC52" s="13"/>
      <c r="GLD52" s="14"/>
      <c r="GLE52" s="14"/>
      <c r="GLF52" s="20"/>
      <c r="GLG52" s="13"/>
      <c r="GLH52" s="13"/>
      <c r="GLJ52" s="13"/>
      <c r="GLN52" s="13"/>
      <c r="GLO52" s="13"/>
      <c r="GLP52" s="15"/>
      <c r="GLQ52" s="16"/>
      <c r="GLR52" s="12"/>
      <c r="GLS52" s="12"/>
      <c r="GLT52" s="12"/>
      <c r="GLU52" s="12"/>
      <c r="GLV52" s="12"/>
      <c r="GLW52" s="12"/>
      <c r="GLX52" s="12"/>
      <c r="GLY52" s="18"/>
      <c r="GMC52" s="13"/>
      <c r="GMD52" s="14"/>
      <c r="GME52" s="14"/>
      <c r="GMF52" s="20"/>
      <c r="GMG52" s="13"/>
      <c r="GMH52" s="13"/>
      <c r="GMJ52" s="13"/>
      <c r="GMN52" s="13"/>
      <c r="GMO52" s="13"/>
      <c r="GMP52" s="15"/>
      <c r="GMQ52" s="16"/>
      <c r="GMR52" s="12"/>
      <c r="GMS52" s="12"/>
      <c r="GMT52" s="12"/>
      <c r="GMU52" s="12"/>
      <c r="GMV52" s="12"/>
      <c r="GMW52" s="12"/>
      <c r="GMX52" s="12"/>
      <c r="GMY52" s="18"/>
      <c r="GNC52" s="13"/>
      <c r="GND52" s="14"/>
      <c r="GNE52" s="14"/>
      <c r="GNF52" s="20"/>
      <c r="GNG52" s="13"/>
      <c r="GNH52" s="13"/>
      <c r="GNJ52" s="13"/>
      <c r="GNN52" s="13"/>
      <c r="GNO52" s="13"/>
      <c r="GNP52" s="15"/>
      <c r="GNQ52" s="16"/>
      <c r="GNR52" s="12"/>
      <c r="GNS52" s="12"/>
      <c r="GNT52" s="12"/>
      <c r="GNU52" s="12"/>
      <c r="GNV52" s="12"/>
      <c r="GNW52" s="12"/>
      <c r="GNX52" s="12"/>
      <c r="GNY52" s="18"/>
      <c r="GOC52" s="13"/>
      <c r="GOD52" s="14"/>
      <c r="GOE52" s="14"/>
      <c r="GOF52" s="20"/>
      <c r="GOG52" s="13"/>
      <c r="GOH52" s="13"/>
      <c r="GOJ52" s="13"/>
      <c r="GON52" s="13"/>
      <c r="GOO52" s="13"/>
      <c r="GOP52" s="15"/>
      <c r="GOQ52" s="16"/>
      <c r="GOR52" s="12"/>
      <c r="GOS52" s="12"/>
      <c r="GOT52" s="12"/>
      <c r="GOU52" s="12"/>
      <c r="GOV52" s="12"/>
      <c r="GOW52" s="12"/>
      <c r="GOX52" s="12"/>
      <c r="GOY52" s="18"/>
      <c r="GPC52" s="13"/>
      <c r="GPD52" s="14"/>
      <c r="GPE52" s="14"/>
      <c r="GPF52" s="20"/>
      <c r="GPG52" s="13"/>
      <c r="GPH52" s="13"/>
      <c r="GPJ52" s="13"/>
      <c r="GPN52" s="13"/>
      <c r="GPO52" s="13"/>
      <c r="GPP52" s="15"/>
      <c r="GPQ52" s="16"/>
      <c r="GPR52" s="12"/>
      <c r="GPS52" s="12"/>
      <c r="GPT52" s="12"/>
      <c r="GPU52" s="12"/>
      <c r="GPV52" s="12"/>
      <c r="GPW52" s="12"/>
      <c r="GPX52" s="12"/>
      <c r="GPY52" s="18"/>
      <c r="GQC52" s="13"/>
      <c r="GQD52" s="14"/>
      <c r="GQE52" s="14"/>
      <c r="GQF52" s="20"/>
      <c r="GQG52" s="13"/>
      <c r="GQH52" s="13"/>
      <c r="GQJ52" s="13"/>
      <c r="GQN52" s="13"/>
      <c r="GQO52" s="13"/>
      <c r="GQP52" s="15"/>
      <c r="GQQ52" s="16"/>
      <c r="GQR52" s="12"/>
      <c r="GQS52" s="12"/>
      <c r="GQT52" s="12"/>
      <c r="GQU52" s="12"/>
      <c r="GQV52" s="12"/>
      <c r="GQW52" s="12"/>
      <c r="GQX52" s="12"/>
      <c r="GQY52" s="18"/>
      <c r="GRC52" s="13"/>
      <c r="GRD52" s="14"/>
      <c r="GRE52" s="14"/>
      <c r="GRF52" s="20"/>
      <c r="GRG52" s="13"/>
      <c r="GRH52" s="13"/>
      <c r="GRJ52" s="13"/>
      <c r="GRN52" s="13"/>
      <c r="GRO52" s="13"/>
      <c r="GRP52" s="15"/>
      <c r="GRQ52" s="16"/>
      <c r="GRR52" s="12"/>
      <c r="GRS52" s="12"/>
      <c r="GRT52" s="12"/>
      <c r="GRU52" s="12"/>
      <c r="GRV52" s="12"/>
      <c r="GRW52" s="12"/>
      <c r="GRX52" s="12"/>
      <c r="GRY52" s="18"/>
      <c r="GSC52" s="13"/>
      <c r="GSD52" s="14"/>
      <c r="GSE52" s="14"/>
      <c r="GSF52" s="20"/>
      <c r="GSG52" s="13"/>
      <c r="GSH52" s="13"/>
      <c r="GSJ52" s="13"/>
      <c r="GSN52" s="13"/>
      <c r="GSO52" s="13"/>
      <c r="GSP52" s="15"/>
      <c r="GSQ52" s="16"/>
      <c r="GSR52" s="12"/>
      <c r="GSS52" s="12"/>
      <c r="GST52" s="12"/>
      <c r="GSU52" s="12"/>
      <c r="GSV52" s="12"/>
      <c r="GSW52" s="12"/>
      <c r="GSX52" s="12"/>
      <c r="GSY52" s="18"/>
      <c r="GTC52" s="13"/>
      <c r="GTD52" s="14"/>
      <c r="GTE52" s="14"/>
      <c r="GTF52" s="20"/>
      <c r="GTG52" s="13"/>
      <c r="GTH52" s="13"/>
      <c r="GTJ52" s="13"/>
      <c r="GTN52" s="13"/>
      <c r="GTO52" s="13"/>
      <c r="GTP52" s="15"/>
      <c r="GTQ52" s="16"/>
      <c r="GTR52" s="12"/>
      <c r="GTS52" s="12"/>
      <c r="GTT52" s="12"/>
      <c r="GTU52" s="12"/>
      <c r="GTV52" s="12"/>
      <c r="GTW52" s="12"/>
      <c r="GTX52" s="12"/>
      <c r="GTY52" s="18"/>
      <c r="GUC52" s="13"/>
      <c r="GUD52" s="14"/>
      <c r="GUE52" s="14"/>
      <c r="GUF52" s="20"/>
      <c r="GUG52" s="13"/>
      <c r="GUH52" s="13"/>
      <c r="GUJ52" s="13"/>
      <c r="GUN52" s="13"/>
      <c r="GUO52" s="13"/>
      <c r="GUP52" s="15"/>
      <c r="GUQ52" s="16"/>
      <c r="GUR52" s="12"/>
      <c r="GUS52" s="12"/>
      <c r="GUT52" s="12"/>
      <c r="GUU52" s="12"/>
      <c r="GUV52" s="12"/>
      <c r="GUW52" s="12"/>
      <c r="GUX52" s="12"/>
      <c r="GUY52" s="18"/>
      <c r="GVC52" s="13"/>
      <c r="GVD52" s="14"/>
      <c r="GVE52" s="14"/>
      <c r="GVF52" s="20"/>
      <c r="GVG52" s="13"/>
      <c r="GVH52" s="13"/>
      <c r="GVJ52" s="13"/>
      <c r="GVN52" s="13"/>
      <c r="GVO52" s="13"/>
      <c r="GVP52" s="15"/>
      <c r="GVQ52" s="16"/>
      <c r="GVR52" s="12"/>
      <c r="GVS52" s="12"/>
      <c r="GVT52" s="12"/>
      <c r="GVU52" s="12"/>
      <c r="GVV52" s="12"/>
      <c r="GVW52" s="12"/>
      <c r="GVX52" s="12"/>
      <c r="GVY52" s="18"/>
      <c r="GWC52" s="13"/>
      <c r="GWD52" s="14"/>
      <c r="GWE52" s="14"/>
      <c r="GWF52" s="20"/>
      <c r="GWG52" s="13"/>
      <c r="GWH52" s="13"/>
      <c r="GWJ52" s="13"/>
      <c r="GWN52" s="13"/>
      <c r="GWO52" s="13"/>
      <c r="GWP52" s="15"/>
      <c r="GWQ52" s="16"/>
      <c r="GWR52" s="12"/>
      <c r="GWS52" s="12"/>
      <c r="GWT52" s="12"/>
      <c r="GWU52" s="12"/>
      <c r="GWV52" s="12"/>
      <c r="GWW52" s="12"/>
      <c r="GWX52" s="12"/>
      <c r="GWY52" s="18"/>
      <c r="GXC52" s="13"/>
      <c r="GXD52" s="14"/>
      <c r="GXE52" s="14"/>
      <c r="GXF52" s="20"/>
      <c r="GXG52" s="13"/>
      <c r="GXH52" s="13"/>
      <c r="GXJ52" s="13"/>
      <c r="GXN52" s="13"/>
      <c r="GXO52" s="13"/>
      <c r="GXP52" s="15"/>
      <c r="GXQ52" s="16"/>
      <c r="GXR52" s="12"/>
      <c r="GXS52" s="12"/>
      <c r="GXT52" s="12"/>
      <c r="GXU52" s="12"/>
      <c r="GXV52" s="12"/>
      <c r="GXW52" s="12"/>
      <c r="GXX52" s="12"/>
      <c r="GXY52" s="18"/>
      <c r="GYC52" s="13"/>
      <c r="GYD52" s="14"/>
      <c r="GYE52" s="14"/>
      <c r="GYF52" s="20"/>
      <c r="GYG52" s="13"/>
      <c r="GYH52" s="13"/>
      <c r="GYJ52" s="13"/>
      <c r="GYN52" s="13"/>
      <c r="GYO52" s="13"/>
      <c r="GYP52" s="15"/>
      <c r="GYQ52" s="16"/>
      <c r="GYR52" s="12"/>
      <c r="GYS52" s="12"/>
      <c r="GYT52" s="12"/>
      <c r="GYU52" s="12"/>
      <c r="GYV52" s="12"/>
      <c r="GYW52" s="12"/>
      <c r="GYX52" s="12"/>
      <c r="GYY52" s="18"/>
      <c r="GZC52" s="13"/>
      <c r="GZD52" s="14"/>
      <c r="GZE52" s="14"/>
      <c r="GZF52" s="20"/>
      <c r="GZG52" s="13"/>
      <c r="GZH52" s="13"/>
      <c r="GZJ52" s="13"/>
      <c r="GZN52" s="13"/>
      <c r="GZO52" s="13"/>
      <c r="GZP52" s="15"/>
      <c r="GZQ52" s="16"/>
      <c r="GZR52" s="12"/>
      <c r="GZS52" s="12"/>
      <c r="GZT52" s="12"/>
      <c r="GZU52" s="12"/>
      <c r="GZV52" s="12"/>
      <c r="GZW52" s="12"/>
      <c r="GZX52" s="12"/>
      <c r="GZY52" s="18"/>
      <c r="HAC52" s="13"/>
      <c r="HAD52" s="14"/>
      <c r="HAE52" s="14"/>
      <c r="HAF52" s="20"/>
      <c r="HAG52" s="13"/>
      <c r="HAH52" s="13"/>
      <c r="HAJ52" s="13"/>
      <c r="HAN52" s="13"/>
      <c r="HAO52" s="13"/>
      <c r="HAP52" s="15"/>
      <c r="HAQ52" s="16"/>
      <c r="HAR52" s="12"/>
      <c r="HAS52" s="12"/>
      <c r="HAT52" s="12"/>
      <c r="HAU52" s="12"/>
      <c r="HAV52" s="12"/>
      <c r="HAW52" s="12"/>
      <c r="HAX52" s="12"/>
      <c r="HAY52" s="18"/>
      <c r="HBC52" s="13"/>
      <c r="HBD52" s="14"/>
      <c r="HBE52" s="14"/>
      <c r="HBF52" s="20"/>
      <c r="HBG52" s="13"/>
      <c r="HBH52" s="13"/>
      <c r="HBJ52" s="13"/>
      <c r="HBN52" s="13"/>
      <c r="HBO52" s="13"/>
      <c r="HBP52" s="15"/>
      <c r="HBQ52" s="16"/>
      <c r="HBR52" s="12"/>
      <c r="HBS52" s="12"/>
      <c r="HBT52" s="12"/>
      <c r="HBU52" s="12"/>
      <c r="HBV52" s="12"/>
      <c r="HBW52" s="12"/>
      <c r="HBX52" s="12"/>
      <c r="HBY52" s="18"/>
      <c r="HCC52" s="13"/>
      <c r="HCD52" s="14"/>
      <c r="HCE52" s="14"/>
      <c r="HCF52" s="20"/>
      <c r="HCG52" s="13"/>
      <c r="HCH52" s="13"/>
      <c r="HCJ52" s="13"/>
      <c r="HCN52" s="13"/>
      <c r="HCO52" s="13"/>
      <c r="HCP52" s="15"/>
      <c r="HCQ52" s="16"/>
      <c r="HCR52" s="12"/>
      <c r="HCS52" s="12"/>
      <c r="HCT52" s="12"/>
      <c r="HCU52" s="12"/>
      <c r="HCV52" s="12"/>
      <c r="HCW52" s="12"/>
      <c r="HCX52" s="12"/>
      <c r="HCY52" s="18"/>
      <c r="HDC52" s="13"/>
      <c r="HDD52" s="14"/>
      <c r="HDE52" s="14"/>
      <c r="HDF52" s="20"/>
      <c r="HDG52" s="13"/>
      <c r="HDH52" s="13"/>
      <c r="HDJ52" s="13"/>
      <c r="HDN52" s="13"/>
      <c r="HDO52" s="13"/>
      <c r="HDP52" s="15"/>
      <c r="HDQ52" s="16"/>
      <c r="HDR52" s="12"/>
      <c r="HDS52" s="12"/>
      <c r="HDT52" s="12"/>
      <c r="HDU52" s="12"/>
      <c r="HDV52" s="12"/>
      <c r="HDW52" s="12"/>
      <c r="HDX52" s="12"/>
      <c r="HDY52" s="18"/>
      <c r="HEC52" s="13"/>
      <c r="HED52" s="14"/>
      <c r="HEE52" s="14"/>
      <c r="HEF52" s="20"/>
      <c r="HEG52" s="13"/>
      <c r="HEH52" s="13"/>
      <c r="HEJ52" s="13"/>
      <c r="HEN52" s="13"/>
      <c r="HEO52" s="13"/>
      <c r="HEP52" s="15"/>
      <c r="HEQ52" s="16"/>
      <c r="HER52" s="12"/>
      <c r="HES52" s="12"/>
      <c r="HET52" s="12"/>
      <c r="HEU52" s="12"/>
      <c r="HEV52" s="12"/>
      <c r="HEW52" s="12"/>
      <c r="HEX52" s="12"/>
      <c r="HEY52" s="18"/>
      <c r="HFC52" s="13"/>
      <c r="HFD52" s="14"/>
      <c r="HFE52" s="14"/>
      <c r="HFF52" s="20"/>
      <c r="HFG52" s="13"/>
      <c r="HFH52" s="13"/>
      <c r="HFJ52" s="13"/>
      <c r="HFN52" s="13"/>
      <c r="HFO52" s="13"/>
      <c r="HFP52" s="15"/>
      <c r="HFQ52" s="16"/>
      <c r="HFR52" s="12"/>
      <c r="HFS52" s="12"/>
      <c r="HFT52" s="12"/>
      <c r="HFU52" s="12"/>
      <c r="HFV52" s="12"/>
      <c r="HFW52" s="12"/>
      <c r="HFX52" s="12"/>
      <c r="HFY52" s="18"/>
      <c r="HGC52" s="13"/>
      <c r="HGD52" s="14"/>
      <c r="HGE52" s="14"/>
      <c r="HGF52" s="20"/>
      <c r="HGG52" s="13"/>
      <c r="HGH52" s="13"/>
      <c r="HGJ52" s="13"/>
      <c r="HGN52" s="13"/>
      <c r="HGO52" s="13"/>
      <c r="HGP52" s="15"/>
      <c r="HGQ52" s="16"/>
      <c r="HGR52" s="12"/>
      <c r="HGS52" s="12"/>
      <c r="HGT52" s="12"/>
      <c r="HGU52" s="12"/>
      <c r="HGV52" s="12"/>
      <c r="HGW52" s="12"/>
      <c r="HGX52" s="12"/>
      <c r="HGY52" s="18"/>
      <c r="HHC52" s="13"/>
      <c r="HHD52" s="14"/>
      <c r="HHE52" s="14"/>
      <c r="HHF52" s="20"/>
      <c r="HHG52" s="13"/>
      <c r="HHH52" s="13"/>
      <c r="HHJ52" s="13"/>
      <c r="HHN52" s="13"/>
      <c r="HHO52" s="13"/>
      <c r="HHP52" s="15"/>
      <c r="HHQ52" s="16"/>
      <c r="HHR52" s="12"/>
      <c r="HHS52" s="12"/>
      <c r="HHT52" s="12"/>
      <c r="HHU52" s="12"/>
      <c r="HHV52" s="12"/>
      <c r="HHW52" s="12"/>
      <c r="HHX52" s="12"/>
      <c r="HHY52" s="18"/>
      <c r="HIC52" s="13"/>
      <c r="HID52" s="14"/>
      <c r="HIE52" s="14"/>
      <c r="HIF52" s="20"/>
      <c r="HIG52" s="13"/>
      <c r="HIH52" s="13"/>
      <c r="HIJ52" s="13"/>
      <c r="HIN52" s="13"/>
      <c r="HIO52" s="13"/>
      <c r="HIP52" s="15"/>
      <c r="HIQ52" s="16"/>
      <c r="HIR52" s="12"/>
      <c r="HIS52" s="12"/>
      <c r="HIT52" s="12"/>
      <c r="HIU52" s="12"/>
      <c r="HIV52" s="12"/>
      <c r="HIW52" s="12"/>
      <c r="HIX52" s="12"/>
      <c r="HIY52" s="18"/>
      <c r="HJC52" s="13"/>
      <c r="HJD52" s="14"/>
      <c r="HJE52" s="14"/>
      <c r="HJF52" s="20"/>
      <c r="HJG52" s="13"/>
      <c r="HJH52" s="13"/>
      <c r="HJJ52" s="13"/>
      <c r="HJN52" s="13"/>
      <c r="HJO52" s="13"/>
      <c r="HJP52" s="15"/>
      <c r="HJQ52" s="16"/>
      <c r="HJR52" s="12"/>
      <c r="HJS52" s="12"/>
      <c r="HJT52" s="12"/>
      <c r="HJU52" s="12"/>
      <c r="HJV52" s="12"/>
      <c r="HJW52" s="12"/>
      <c r="HJX52" s="12"/>
      <c r="HJY52" s="18"/>
      <c r="HKC52" s="13"/>
      <c r="HKD52" s="14"/>
      <c r="HKE52" s="14"/>
      <c r="HKF52" s="20"/>
      <c r="HKG52" s="13"/>
      <c r="HKH52" s="13"/>
      <c r="HKJ52" s="13"/>
      <c r="HKN52" s="13"/>
      <c r="HKO52" s="13"/>
      <c r="HKP52" s="15"/>
      <c r="HKQ52" s="16"/>
      <c r="HKR52" s="12"/>
      <c r="HKS52" s="12"/>
      <c r="HKT52" s="12"/>
      <c r="HKU52" s="12"/>
      <c r="HKV52" s="12"/>
      <c r="HKW52" s="12"/>
      <c r="HKX52" s="12"/>
      <c r="HKY52" s="18"/>
      <c r="HLC52" s="13"/>
      <c r="HLD52" s="14"/>
      <c r="HLE52" s="14"/>
      <c r="HLF52" s="20"/>
      <c r="HLG52" s="13"/>
      <c r="HLH52" s="13"/>
      <c r="HLJ52" s="13"/>
      <c r="HLN52" s="13"/>
      <c r="HLO52" s="13"/>
      <c r="HLP52" s="15"/>
      <c r="HLQ52" s="16"/>
      <c r="HLR52" s="12"/>
      <c r="HLS52" s="12"/>
      <c r="HLT52" s="12"/>
      <c r="HLU52" s="12"/>
      <c r="HLV52" s="12"/>
      <c r="HLW52" s="12"/>
      <c r="HLX52" s="12"/>
      <c r="HLY52" s="18"/>
      <c r="HMC52" s="13"/>
      <c r="HMD52" s="14"/>
      <c r="HME52" s="14"/>
      <c r="HMF52" s="20"/>
      <c r="HMG52" s="13"/>
      <c r="HMH52" s="13"/>
      <c r="HMJ52" s="13"/>
      <c r="HMN52" s="13"/>
      <c r="HMO52" s="13"/>
      <c r="HMP52" s="15"/>
      <c r="HMQ52" s="16"/>
      <c r="HMR52" s="12"/>
      <c r="HMS52" s="12"/>
      <c r="HMT52" s="12"/>
      <c r="HMU52" s="12"/>
      <c r="HMV52" s="12"/>
      <c r="HMW52" s="12"/>
      <c r="HMX52" s="12"/>
      <c r="HMY52" s="18"/>
      <c r="HNC52" s="13"/>
      <c r="HND52" s="14"/>
      <c r="HNE52" s="14"/>
      <c r="HNF52" s="20"/>
      <c r="HNG52" s="13"/>
      <c r="HNH52" s="13"/>
      <c r="HNJ52" s="13"/>
      <c r="HNN52" s="13"/>
      <c r="HNO52" s="13"/>
      <c r="HNP52" s="15"/>
      <c r="HNQ52" s="16"/>
      <c r="HNR52" s="12"/>
      <c r="HNS52" s="12"/>
      <c r="HNT52" s="12"/>
      <c r="HNU52" s="12"/>
      <c r="HNV52" s="12"/>
      <c r="HNW52" s="12"/>
      <c r="HNX52" s="12"/>
      <c r="HNY52" s="18"/>
      <c r="HOC52" s="13"/>
      <c r="HOD52" s="14"/>
      <c r="HOE52" s="14"/>
      <c r="HOF52" s="20"/>
      <c r="HOG52" s="13"/>
      <c r="HOH52" s="13"/>
      <c r="HOJ52" s="13"/>
      <c r="HON52" s="13"/>
      <c r="HOO52" s="13"/>
      <c r="HOP52" s="15"/>
      <c r="HOQ52" s="16"/>
      <c r="HOR52" s="12"/>
      <c r="HOS52" s="12"/>
      <c r="HOT52" s="12"/>
      <c r="HOU52" s="12"/>
      <c r="HOV52" s="12"/>
      <c r="HOW52" s="12"/>
      <c r="HOX52" s="12"/>
      <c r="HOY52" s="18"/>
      <c r="HPC52" s="13"/>
      <c r="HPD52" s="14"/>
      <c r="HPE52" s="14"/>
      <c r="HPF52" s="20"/>
      <c r="HPG52" s="13"/>
      <c r="HPH52" s="13"/>
      <c r="HPJ52" s="13"/>
      <c r="HPN52" s="13"/>
      <c r="HPO52" s="13"/>
      <c r="HPP52" s="15"/>
      <c r="HPQ52" s="16"/>
      <c r="HPR52" s="12"/>
      <c r="HPS52" s="12"/>
      <c r="HPT52" s="12"/>
      <c r="HPU52" s="12"/>
      <c r="HPV52" s="12"/>
      <c r="HPW52" s="12"/>
      <c r="HPX52" s="12"/>
      <c r="HPY52" s="18"/>
      <c r="HQC52" s="13"/>
      <c r="HQD52" s="14"/>
      <c r="HQE52" s="14"/>
      <c r="HQF52" s="20"/>
      <c r="HQG52" s="13"/>
      <c r="HQH52" s="13"/>
      <c r="HQJ52" s="13"/>
      <c r="HQN52" s="13"/>
      <c r="HQO52" s="13"/>
      <c r="HQP52" s="15"/>
      <c r="HQQ52" s="16"/>
      <c r="HQR52" s="12"/>
      <c r="HQS52" s="12"/>
      <c r="HQT52" s="12"/>
      <c r="HQU52" s="12"/>
      <c r="HQV52" s="12"/>
      <c r="HQW52" s="12"/>
      <c r="HQX52" s="12"/>
      <c r="HQY52" s="18"/>
      <c r="HRC52" s="13"/>
      <c r="HRD52" s="14"/>
      <c r="HRE52" s="14"/>
      <c r="HRF52" s="20"/>
      <c r="HRG52" s="13"/>
      <c r="HRH52" s="13"/>
      <c r="HRJ52" s="13"/>
      <c r="HRN52" s="13"/>
      <c r="HRO52" s="13"/>
      <c r="HRP52" s="15"/>
      <c r="HRQ52" s="16"/>
      <c r="HRR52" s="12"/>
      <c r="HRS52" s="12"/>
      <c r="HRT52" s="12"/>
      <c r="HRU52" s="12"/>
      <c r="HRV52" s="12"/>
      <c r="HRW52" s="12"/>
      <c r="HRX52" s="12"/>
      <c r="HRY52" s="18"/>
      <c r="HSC52" s="13"/>
      <c r="HSD52" s="14"/>
      <c r="HSE52" s="14"/>
      <c r="HSF52" s="20"/>
      <c r="HSG52" s="13"/>
      <c r="HSH52" s="13"/>
      <c r="HSJ52" s="13"/>
      <c r="HSN52" s="13"/>
      <c r="HSO52" s="13"/>
      <c r="HSP52" s="15"/>
      <c r="HSQ52" s="16"/>
      <c r="HSR52" s="12"/>
      <c r="HSS52" s="12"/>
      <c r="HST52" s="12"/>
      <c r="HSU52" s="12"/>
      <c r="HSV52" s="12"/>
      <c r="HSW52" s="12"/>
      <c r="HSX52" s="12"/>
      <c r="HSY52" s="18"/>
      <c r="HTC52" s="13"/>
      <c r="HTD52" s="14"/>
      <c r="HTE52" s="14"/>
      <c r="HTF52" s="20"/>
      <c r="HTG52" s="13"/>
      <c r="HTH52" s="13"/>
      <c r="HTJ52" s="13"/>
      <c r="HTN52" s="13"/>
      <c r="HTO52" s="13"/>
      <c r="HTP52" s="15"/>
      <c r="HTQ52" s="16"/>
      <c r="HTR52" s="12"/>
      <c r="HTS52" s="12"/>
      <c r="HTT52" s="12"/>
      <c r="HTU52" s="12"/>
      <c r="HTV52" s="12"/>
      <c r="HTW52" s="12"/>
      <c r="HTX52" s="12"/>
      <c r="HTY52" s="18"/>
      <c r="HUC52" s="13"/>
      <c r="HUD52" s="14"/>
      <c r="HUE52" s="14"/>
      <c r="HUF52" s="20"/>
      <c r="HUG52" s="13"/>
      <c r="HUH52" s="13"/>
      <c r="HUJ52" s="13"/>
      <c r="HUN52" s="13"/>
      <c r="HUO52" s="13"/>
      <c r="HUP52" s="15"/>
      <c r="HUQ52" s="16"/>
      <c r="HUR52" s="12"/>
      <c r="HUS52" s="12"/>
      <c r="HUT52" s="12"/>
      <c r="HUU52" s="12"/>
      <c r="HUV52" s="12"/>
      <c r="HUW52" s="12"/>
      <c r="HUX52" s="12"/>
      <c r="HUY52" s="18"/>
      <c r="HVC52" s="13"/>
      <c r="HVD52" s="14"/>
      <c r="HVE52" s="14"/>
      <c r="HVF52" s="20"/>
      <c r="HVG52" s="13"/>
      <c r="HVH52" s="13"/>
      <c r="HVJ52" s="13"/>
      <c r="HVN52" s="13"/>
      <c r="HVO52" s="13"/>
      <c r="HVP52" s="15"/>
      <c r="HVQ52" s="16"/>
      <c r="HVR52" s="12"/>
      <c r="HVS52" s="12"/>
      <c r="HVT52" s="12"/>
      <c r="HVU52" s="12"/>
      <c r="HVV52" s="12"/>
      <c r="HVW52" s="12"/>
      <c r="HVX52" s="12"/>
      <c r="HVY52" s="18"/>
      <c r="HWC52" s="13"/>
      <c r="HWD52" s="14"/>
      <c r="HWE52" s="14"/>
      <c r="HWF52" s="20"/>
      <c r="HWG52" s="13"/>
      <c r="HWH52" s="13"/>
      <c r="HWJ52" s="13"/>
      <c r="HWN52" s="13"/>
      <c r="HWO52" s="13"/>
      <c r="HWP52" s="15"/>
      <c r="HWQ52" s="16"/>
      <c r="HWR52" s="12"/>
      <c r="HWS52" s="12"/>
      <c r="HWT52" s="12"/>
      <c r="HWU52" s="12"/>
      <c r="HWV52" s="12"/>
      <c r="HWW52" s="12"/>
      <c r="HWX52" s="12"/>
      <c r="HWY52" s="18"/>
      <c r="HXC52" s="13"/>
      <c r="HXD52" s="14"/>
      <c r="HXE52" s="14"/>
      <c r="HXF52" s="20"/>
      <c r="HXG52" s="13"/>
      <c r="HXH52" s="13"/>
      <c r="HXJ52" s="13"/>
      <c r="HXN52" s="13"/>
      <c r="HXO52" s="13"/>
      <c r="HXP52" s="15"/>
      <c r="HXQ52" s="16"/>
      <c r="HXR52" s="12"/>
      <c r="HXS52" s="12"/>
      <c r="HXT52" s="12"/>
      <c r="HXU52" s="12"/>
      <c r="HXV52" s="12"/>
      <c r="HXW52" s="12"/>
      <c r="HXX52" s="12"/>
      <c r="HXY52" s="18"/>
      <c r="HYC52" s="13"/>
      <c r="HYD52" s="14"/>
      <c r="HYE52" s="14"/>
      <c r="HYF52" s="20"/>
      <c r="HYG52" s="13"/>
      <c r="HYH52" s="13"/>
      <c r="HYJ52" s="13"/>
      <c r="HYN52" s="13"/>
      <c r="HYO52" s="13"/>
      <c r="HYP52" s="15"/>
      <c r="HYQ52" s="16"/>
      <c r="HYR52" s="12"/>
      <c r="HYS52" s="12"/>
      <c r="HYT52" s="12"/>
      <c r="HYU52" s="12"/>
      <c r="HYV52" s="12"/>
      <c r="HYW52" s="12"/>
      <c r="HYX52" s="12"/>
      <c r="HYY52" s="18"/>
      <c r="HZC52" s="13"/>
      <c r="HZD52" s="14"/>
      <c r="HZE52" s="14"/>
      <c r="HZF52" s="20"/>
      <c r="HZG52" s="13"/>
      <c r="HZH52" s="13"/>
      <c r="HZJ52" s="13"/>
      <c r="HZN52" s="13"/>
      <c r="HZO52" s="13"/>
      <c r="HZP52" s="15"/>
      <c r="HZQ52" s="16"/>
      <c r="HZR52" s="12"/>
      <c r="HZS52" s="12"/>
      <c r="HZT52" s="12"/>
      <c r="HZU52" s="12"/>
      <c r="HZV52" s="12"/>
      <c r="HZW52" s="12"/>
      <c r="HZX52" s="12"/>
      <c r="HZY52" s="18"/>
      <c r="IAC52" s="13"/>
      <c r="IAD52" s="14"/>
      <c r="IAE52" s="14"/>
      <c r="IAF52" s="20"/>
      <c r="IAG52" s="13"/>
      <c r="IAH52" s="13"/>
      <c r="IAJ52" s="13"/>
      <c r="IAN52" s="13"/>
      <c r="IAO52" s="13"/>
      <c r="IAP52" s="15"/>
      <c r="IAQ52" s="16"/>
      <c r="IAR52" s="12"/>
      <c r="IAS52" s="12"/>
      <c r="IAT52" s="12"/>
      <c r="IAU52" s="12"/>
      <c r="IAV52" s="12"/>
      <c r="IAW52" s="12"/>
      <c r="IAX52" s="12"/>
      <c r="IAY52" s="18"/>
      <c r="IBC52" s="13"/>
      <c r="IBD52" s="14"/>
      <c r="IBE52" s="14"/>
      <c r="IBF52" s="20"/>
      <c r="IBG52" s="13"/>
      <c r="IBH52" s="13"/>
      <c r="IBJ52" s="13"/>
      <c r="IBN52" s="13"/>
      <c r="IBO52" s="13"/>
      <c r="IBP52" s="15"/>
      <c r="IBQ52" s="16"/>
      <c r="IBR52" s="12"/>
      <c r="IBS52" s="12"/>
      <c r="IBT52" s="12"/>
      <c r="IBU52" s="12"/>
      <c r="IBV52" s="12"/>
      <c r="IBW52" s="12"/>
      <c r="IBX52" s="12"/>
      <c r="IBY52" s="18"/>
      <c r="ICC52" s="13"/>
      <c r="ICD52" s="14"/>
      <c r="ICE52" s="14"/>
      <c r="ICF52" s="20"/>
      <c r="ICG52" s="13"/>
      <c r="ICH52" s="13"/>
      <c r="ICJ52" s="13"/>
      <c r="ICN52" s="13"/>
      <c r="ICO52" s="13"/>
      <c r="ICP52" s="15"/>
      <c r="ICQ52" s="16"/>
      <c r="ICR52" s="12"/>
      <c r="ICS52" s="12"/>
      <c r="ICT52" s="12"/>
      <c r="ICU52" s="12"/>
      <c r="ICV52" s="12"/>
      <c r="ICW52" s="12"/>
      <c r="ICX52" s="12"/>
      <c r="ICY52" s="18"/>
      <c r="IDC52" s="13"/>
      <c r="IDD52" s="14"/>
      <c r="IDE52" s="14"/>
      <c r="IDF52" s="20"/>
      <c r="IDG52" s="13"/>
      <c r="IDH52" s="13"/>
      <c r="IDJ52" s="13"/>
      <c r="IDN52" s="13"/>
      <c r="IDO52" s="13"/>
      <c r="IDP52" s="15"/>
      <c r="IDQ52" s="16"/>
      <c r="IDR52" s="12"/>
      <c r="IDS52" s="12"/>
      <c r="IDT52" s="12"/>
      <c r="IDU52" s="12"/>
      <c r="IDV52" s="12"/>
      <c r="IDW52" s="12"/>
      <c r="IDX52" s="12"/>
      <c r="IDY52" s="18"/>
      <c r="IEC52" s="13"/>
      <c r="IED52" s="14"/>
      <c r="IEE52" s="14"/>
      <c r="IEF52" s="20"/>
      <c r="IEG52" s="13"/>
      <c r="IEH52" s="13"/>
      <c r="IEJ52" s="13"/>
      <c r="IEN52" s="13"/>
      <c r="IEO52" s="13"/>
      <c r="IEP52" s="15"/>
      <c r="IEQ52" s="16"/>
      <c r="IER52" s="12"/>
      <c r="IES52" s="12"/>
      <c r="IET52" s="12"/>
      <c r="IEU52" s="12"/>
      <c r="IEV52" s="12"/>
      <c r="IEW52" s="12"/>
      <c r="IEX52" s="12"/>
      <c r="IEY52" s="18"/>
      <c r="IFC52" s="13"/>
      <c r="IFD52" s="14"/>
      <c r="IFE52" s="14"/>
      <c r="IFF52" s="20"/>
      <c r="IFG52" s="13"/>
      <c r="IFH52" s="13"/>
      <c r="IFJ52" s="13"/>
      <c r="IFN52" s="13"/>
      <c r="IFO52" s="13"/>
      <c r="IFP52" s="15"/>
      <c r="IFQ52" s="16"/>
      <c r="IFR52" s="12"/>
      <c r="IFS52" s="12"/>
      <c r="IFT52" s="12"/>
      <c r="IFU52" s="12"/>
      <c r="IFV52" s="12"/>
      <c r="IFW52" s="12"/>
      <c r="IFX52" s="12"/>
      <c r="IFY52" s="18"/>
      <c r="IGC52" s="13"/>
      <c r="IGD52" s="14"/>
      <c r="IGE52" s="14"/>
      <c r="IGF52" s="20"/>
      <c r="IGG52" s="13"/>
      <c r="IGH52" s="13"/>
      <c r="IGJ52" s="13"/>
      <c r="IGN52" s="13"/>
      <c r="IGO52" s="13"/>
      <c r="IGP52" s="15"/>
      <c r="IGQ52" s="16"/>
      <c r="IGR52" s="12"/>
      <c r="IGS52" s="12"/>
      <c r="IGT52" s="12"/>
      <c r="IGU52" s="12"/>
      <c r="IGV52" s="12"/>
      <c r="IGW52" s="12"/>
      <c r="IGX52" s="12"/>
      <c r="IGY52" s="18"/>
      <c r="IHC52" s="13"/>
      <c r="IHD52" s="14"/>
      <c r="IHE52" s="14"/>
      <c r="IHF52" s="20"/>
      <c r="IHG52" s="13"/>
      <c r="IHH52" s="13"/>
      <c r="IHJ52" s="13"/>
      <c r="IHN52" s="13"/>
      <c r="IHO52" s="13"/>
      <c r="IHP52" s="15"/>
      <c r="IHQ52" s="16"/>
      <c r="IHR52" s="12"/>
      <c r="IHS52" s="12"/>
      <c r="IHT52" s="12"/>
      <c r="IHU52" s="12"/>
      <c r="IHV52" s="12"/>
      <c r="IHW52" s="12"/>
      <c r="IHX52" s="12"/>
      <c r="IHY52" s="18"/>
      <c r="IIC52" s="13"/>
      <c r="IID52" s="14"/>
      <c r="IIE52" s="14"/>
      <c r="IIF52" s="20"/>
      <c r="IIG52" s="13"/>
      <c r="IIH52" s="13"/>
      <c r="IIJ52" s="13"/>
      <c r="IIN52" s="13"/>
      <c r="IIO52" s="13"/>
      <c r="IIP52" s="15"/>
      <c r="IIQ52" s="16"/>
      <c r="IIR52" s="12"/>
      <c r="IIS52" s="12"/>
      <c r="IIT52" s="12"/>
      <c r="IIU52" s="12"/>
      <c r="IIV52" s="12"/>
      <c r="IIW52" s="12"/>
      <c r="IIX52" s="12"/>
      <c r="IIY52" s="18"/>
      <c r="IJC52" s="13"/>
      <c r="IJD52" s="14"/>
      <c r="IJE52" s="14"/>
      <c r="IJF52" s="20"/>
      <c r="IJG52" s="13"/>
      <c r="IJH52" s="13"/>
      <c r="IJJ52" s="13"/>
      <c r="IJN52" s="13"/>
      <c r="IJO52" s="13"/>
      <c r="IJP52" s="15"/>
      <c r="IJQ52" s="16"/>
      <c r="IJR52" s="12"/>
      <c r="IJS52" s="12"/>
      <c r="IJT52" s="12"/>
      <c r="IJU52" s="12"/>
      <c r="IJV52" s="12"/>
      <c r="IJW52" s="12"/>
      <c r="IJX52" s="12"/>
      <c r="IJY52" s="18"/>
      <c r="IKC52" s="13"/>
      <c r="IKD52" s="14"/>
      <c r="IKE52" s="14"/>
      <c r="IKF52" s="20"/>
      <c r="IKG52" s="13"/>
      <c r="IKH52" s="13"/>
      <c r="IKJ52" s="13"/>
      <c r="IKN52" s="13"/>
      <c r="IKO52" s="13"/>
      <c r="IKP52" s="15"/>
      <c r="IKQ52" s="16"/>
      <c r="IKR52" s="12"/>
      <c r="IKS52" s="12"/>
      <c r="IKT52" s="12"/>
      <c r="IKU52" s="12"/>
      <c r="IKV52" s="12"/>
      <c r="IKW52" s="12"/>
      <c r="IKX52" s="12"/>
      <c r="IKY52" s="18"/>
      <c r="ILC52" s="13"/>
      <c r="ILD52" s="14"/>
      <c r="ILE52" s="14"/>
      <c r="ILF52" s="20"/>
      <c r="ILG52" s="13"/>
      <c r="ILH52" s="13"/>
      <c r="ILJ52" s="13"/>
      <c r="ILN52" s="13"/>
      <c r="ILO52" s="13"/>
      <c r="ILP52" s="15"/>
      <c r="ILQ52" s="16"/>
      <c r="ILR52" s="12"/>
      <c r="ILS52" s="12"/>
      <c r="ILT52" s="12"/>
      <c r="ILU52" s="12"/>
      <c r="ILV52" s="12"/>
      <c r="ILW52" s="12"/>
      <c r="ILX52" s="12"/>
      <c r="ILY52" s="18"/>
      <c r="IMC52" s="13"/>
      <c r="IMD52" s="14"/>
      <c r="IME52" s="14"/>
      <c r="IMF52" s="20"/>
      <c r="IMG52" s="13"/>
      <c r="IMH52" s="13"/>
      <c r="IMJ52" s="13"/>
      <c r="IMN52" s="13"/>
      <c r="IMO52" s="13"/>
      <c r="IMP52" s="15"/>
      <c r="IMQ52" s="16"/>
      <c r="IMR52" s="12"/>
      <c r="IMS52" s="12"/>
      <c r="IMT52" s="12"/>
      <c r="IMU52" s="12"/>
      <c r="IMV52" s="12"/>
      <c r="IMW52" s="12"/>
      <c r="IMX52" s="12"/>
      <c r="IMY52" s="18"/>
      <c r="INC52" s="13"/>
      <c r="IND52" s="14"/>
      <c r="INE52" s="14"/>
      <c r="INF52" s="20"/>
      <c r="ING52" s="13"/>
      <c r="INH52" s="13"/>
      <c r="INJ52" s="13"/>
      <c r="INN52" s="13"/>
      <c r="INO52" s="13"/>
      <c r="INP52" s="15"/>
      <c r="INQ52" s="16"/>
      <c r="INR52" s="12"/>
      <c r="INS52" s="12"/>
      <c r="INT52" s="12"/>
      <c r="INU52" s="12"/>
      <c r="INV52" s="12"/>
      <c r="INW52" s="12"/>
      <c r="INX52" s="12"/>
      <c r="INY52" s="18"/>
      <c r="IOC52" s="13"/>
      <c r="IOD52" s="14"/>
      <c r="IOE52" s="14"/>
      <c r="IOF52" s="20"/>
      <c r="IOG52" s="13"/>
      <c r="IOH52" s="13"/>
      <c r="IOJ52" s="13"/>
      <c r="ION52" s="13"/>
      <c r="IOO52" s="13"/>
      <c r="IOP52" s="15"/>
      <c r="IOQ52" s="16"/>
      <c r="IOR52" s="12"/>
      <c r="IOS52" s="12"/>
      <c r="IOT52" s="12"/>
      <c r="IOU52" s="12"/>
      <c r="IOV52" s="12"/>
      <c r="IOW52" s="12"/>
      <c r="IOX52" s="12"/>
      <c r="IOY52" s="18"/>
      <c r="IPC52" s="13"/>
      <c r="IPD52" s="14"/>
      <c r="IPE52" s="14"/>
      <c r="IPF52" s="20"/>
      <c r="IPG52" s="13"/>
      <c r="IPH52" s="13"/>
      <c r="IPJ52" s="13"/>
      <c r="IPN52" s="13"/>
      <c r="IPO52" s="13"/>
      <c r="IPP52" s="15"/>
      <c r="IPQ52" s="16"/>
      <c r="IPR52" s="12"/>
      <c r="IPS52" s="12"/>
      <c r="IPT52" s="12"/>
      <c r="IPU52" s="12"/>
      <c r="IPV52" s="12"/>
      <c r="IPW52" s="12"/>
      <c r="IPX52" s="12"/>
      <c r="IPY52" s="18"/>
      <c r="IQC52" s="13"/>
      <c r="IQD52" s="14"/>
      <c r="IQE52" s="14"/>
      <c r="IQF52" s="20"/>
      <c r="IQG52" s="13"/>
      <c r="IQH52" s="13"/>
      <c r="IQJ52" s="13"/>
      <c r="IQN52" s="13"/>
      <c r="IQO52" s="13"/>
      <c r="IQP52" s="15"/>
      <c r="IQQ52" s="16"/>
      <c r="IQR52" s="12"/>
      <c r="IQS52" s="12"/>
      <c r="IQT52" s="12"/>
      <c r="IQU52" s="12"/>
      <c r="IQV52" s="12"/>
      <c r="IQW52" s="12"/>
      <c r="IQX52" s="12"/>
      <c r="IQY52" s="18"/>
      <c r="IRC52" s="13"/>
      <c r="IRD52" s="14"/>
      <c r="IRE52" s="14"/>
      <c r="IRF52" s="20"/>
      <c r="IRG52" s="13"/>
      <c r="IRH52" s="13"/>
      <c r="IRJ52" s="13"/>
      <c r="IRN52" s="13"/>
      <c r="IRO52" s="13"/>
      <c r="IRP52" s="15"/>
      <c r="IRQ52" s="16"/>
      <c r="IRR52" s="12"/>
      <c r="IRS52" s="12"/>
      <c r="IRT52" s="12"/>
      <c r="IRU52" s="12"/>
      <c r="IRV52" s="12"/>
      <c r="IRW52" s="12"/>
      <c r="IRX52" s="12"/>
      <c r="IRY52" s="18"/>
      <c r="ISC52" s="13"/>
      <c r="ISD52" s="14"/>
      <c r="ISE52" s="14"/>
      <c r="ISF52" s="20"/>
      <c r="ISG52" s="13"/>
      <c r="ISH52" s="13"/>
      <c r="ISJ52" s="13"/>
      <c r="ISN52" s="13"/>
      <c r="ISO52" s="13"/>
      <c r="ISP52" s="15"/>
      <c r="ISQ52" s="16"/>
      <c r="ISR52" s="12"/>
      <c r="ISS52" s="12"/>
      <c r="IST52" s="12"/>
      <c r="ISU52" s="12"/>
      <c r="ISV52" s="12"/>
      <c r="ISW52" s="12"/>
      <c r="ISX52" s="12"/>
      <c r="ISY52" s="18"/>
      <c r="ITC52" s="13"/>
      <c r="ITD52" s="14"/>
      <c r="ITE52" s="14"/>
      <c r="ITF52" s="20"/>
      <c r="ITG52" s="13"/>
      <c r="ITH52" s="13"/>
      <c r="ITJ52" s="13"/>
      <c r="ITN52" s="13"/>
      <c r="ITO52" s="13"/>
      <c r="ITP52" s="15"/>
      <c r="ITQ52" s="16"/>
      <c r="ITR52" s="12"/>
      <c r="ITS52" s="12"/>
      <c r="ITT52" s="12"/>
      <c r="ITU52" s="12"/>
      <c r="ITV52" s="12"/>
      <c r="ITW52" s="12"/>
      <c r="ITX52" s="12"/>
      <c r="ITY52" s="18"/>
      <c r="IUC52" s="13"/>
      <c r="IUD52" s="14"/>
      <c r="IUE52" s="14"/>
      <c r="IUF52" s="20"/>
      <c r="IUG52" s="13"/>
      <c r="IUH52" s="13"/>
      <c r="IUJ52" s="13"/>
      <c r="IUN52" s="13"/>
      <c r="IUO52" s="13"/>
      <c r="IUP52" s="15"/>
      <c r="IUQ52" s="16"/>
      <c r="IUR52" s="12"/>
      <c r="IUS52" s="12"/>
      <c r="IUT52" s="12"/>
      <c r="IUU52" s="12"/>
      <c r="IUV52" s="12"/>
      <c r="IUW52" s="12"/>
      <c r="IUX52" s="12"/>
      <c r="IUY52" s="18"/>
      <c r="IVC52" s="13"/>
      <c r="IVD52" s="14"/>
      <c r="IVE52" s="14"/>
      <c r="IVF52" s="20"/>
      <c r="IVG52" s="13"/>
      <c r="IVH52" s="13"/>
      <c r="IVJ52" s="13"/>
      <c r="IVN52" s="13"/>
      <c r="IVO52" s="13"/>
      <c r="IVP52" s="15"/>
      <c r="IVQ52" s="16"/>
      <c r="IVR52" s="12"/>
      <c r="IVS52" s="12"/>
      <c r="IVT52" s="12"/>
      <c r="IVU52" s="12"/>
      <c r="IVV52" s="12"/>
      <c r="IVW52" s="12"/>
      <c r="IVX52" s="12"/>
      <c r="IVY52" s="18"/>
      <c r="IWC52" s="13"/>
      <c r="IWD52" s="14"/>
      <c r="IWE52" s="14"/>
      <c r="IWF52" s="20"/>
      <c r="IWG52" s="13"/>
      <c r="IWH52" s="13"/>
      <c r="IWJ52" s="13"/>
      <c r="IWN52" s="13"/>
      <c r="IWO52" s="13"/>
      <c r="IWP52" s="15"/>
      <c r="IWQ52" s="16"/>
      <c r="IWR52" s="12"/>
      <c r="IWS52" s="12"/>
      <c r="IWT52" s="12"/>
      <c r="IWU52" s="12"/>
      <c r="IWV52" s="12"/>
      <c r="IWW52" s="12"/>
      <c r="IWX52" s="12"/>
      <c r="IWY52" s="18"/>
      <c r="IXC52" s="13"/>
      <c r="IXD52" s="14"/>
      <c r="IXE52" s="14"/>
      <c r="IXF52" s="20"/>
      <c r="IXG52" s="13"/>
      <c r="IXH52" s="13"/>
      <c r="IXJ52" s="13"/>
      <c r="IXN52" s="13"/>
      <c r="IXO52" s="13"/>
      <c r="IXP52" s="15"/>
      <c r="IXQ52" s="16"/>
      <c r="IXR52" s="12"/>
      <c r="IXS52" s="12"/>
      <c r="IXT52" s="12"/>
      <c r="IXU52" s="12"/>
      <c r="IXV52" s="12"/>
      <c r="IXW52" s="12"/>
      <c r="IXX52" s="12"/>
      <c r="IXY52" s="18"/>
      <c r="IYC52" s="13"/>
      <c r="IYD52" s="14"/>
      <c r="IYE52" s="14"/>
      <c r="IYF52" s="20"/>
      <c r="IYG52" s="13"/>
      <c r="IYH52" s="13"/>
      <c r="IYJ52" s="13"/>
      <c r="IYN52" s="13"/>
      <c r="IYO52" s="13"/>
      <c r="IYP52" s="15"/>
      <c r="IYQ52" s="16"/>
      <c r="IYR52" s="12"/>
      <c r="IYS52" s="12"/>
      <c r="IYT52" s="12"/>
      <c r="IYU52" s="12"/>
      <c r="IYV52" s="12"/>
      <c r="IYW52" s="12"/>
      <c r="IYX52" s="12"/>
      <c r="IYY52" s="18"/>
      <c r="IZC52" s="13"/>
      <c r="IZD52" s="14"/>
      <c r="IZE52" s="14"/>
      <c r="IZF52" s="20"/>
      <c r="IZG52" s="13"/>
      <c r="IZH52" s="13"/>
      <c r="IZJ52" s="13"/>
      <c r="IZN52" s="13"/>
      <c r="IZO52" s="13"/>
      <c r="IZP52" s="15"/>
      <c r="IZQ52" s="16"/>
      <c r="IZR52" s="12"/>
      <c r="IZS52" s="12"/>
      <c r="IZT52" s="12"/>
      <c r="IZU52" s="12"/>
      <c r="IZV52" s="12"/>
      <c r="IZW52" s="12"/>
      <c r="IZX52" s="12"/>
      <c r="IZY52" s="18"/>
      <c r="JAC52" s="13"/>
      <c r="JAD52" s="14"/>
      <c r="JAE52" s="14"/>
      <c r="JAF52" s="20"/>
      <c r="JAG52" s="13"/>
      <c r="JAH52" s="13"/>
      <c r="JAJ52" s="13"/>
      <c r="JAN52" s="13"/>
      <c r="JAO52" s="13"/>
      <c r="JAP52" s="15"/>
      <c r="JAQ52" s="16"/>
      <c r="JAR52" s="12"/>
      <c r="JAS52" s="12"/>
      <c r="JAT52" s="12"/>
      <c r="JAU52" s="12"/>
      <c r="JAV52" s="12"/>
      <c r="JAW52" s="12"/>
      <c r="JAX52" s="12"/>
      <c r="JAY52" s="18"/>
      <c r="JBC52" s="13"/>
      <c r="JBD52" s="14"/>
      <c r="JBE52" s="14"/>
      <c r="JBF52" s="20"/>
      <c r="JBG52" s="13"/>
      <c r="JBH52" s="13"/>
      <c r="JBJ52" s="13"/>
      <c r="JBN52" s="13"/>
      <c r="JBO52" s="13"/>
      <c r="JBP52" s="15"/>
      <c r="JBQ52" s="16"/>
      <c r="JBR52" s="12"/>
      <c r="JBS52" s="12"/>
      <c r="JBT52" s="12"/>
      <c r="JBU52" s="12"/>
      <c r="JBV52" s="12"/>
      <c r="JBW52" s="12"/>
      <c r="JBX52" s="12"/>
      <c r="JBY52" s="18"/>
      <c r="JCC52" s="13"/>
      <c r="JCD52" s="14"/>
      <c r="JCE52" s="14"/>
      <c r="JCF52" s="20"/>
      <c r="JCG52" s="13"/>
      <c r="JCH52" s="13"/>
      <c r="JCJ52" s="13"/>
      <c r="JCN52" s="13"/>
      <c r="JCO52" s="13"/>
      <c r="JCP52" s="15"/>
      <c r="JCQ52" s="16"/>
      <c r="JCR52" s="12"/>
      <c r="JCS52" s="12"/>
      <c r="JCT52" s="12"/>
      <c r="JCU52" s="12"/>
      <c r="JCV52" s="12"/>
      <c r="JCW52" s="12"/>
      <c r="JCX52" s="12"/>
      <c r="JCY52" s="18"/>
      <c r="JDC52" s="13"/>
      <c r="JDD52" s="14"/>
      <c r="JDE52" s="14"/>
      <c r="JDF52" s="20"/>
      <c r="JDG52" s="13"/>
      <c r="JDH52" s="13"/>
      <c r="JDJ52" s="13"/>
      <c r="JDN52" s="13"/>
      <c r="JDO52" s="13"/>
      <c r="JDP52" s="15"/>
      <c r="JDQ52" s="16"/>
      <c r="JDR52" s="12"/>
      <c r="JDS52" s="12"/>
      <c r="JDT52" s="12"/>
      <c r="JDU52" s="12"/>
      <c r="JDV52" s="12"/>
      <c r="JDW52" s="12"/>
      <c r="JDX52" s="12"/>
      <c r="JDY52" s="18"/>
      <c r="JEC52" s="13"/>
      <c r="JED52" s="14"/>
      <c r="JEE52" s="14"/>
      <c r="JEF52" s="20"/>
      <c r="JEG52" s="13"/>
      <c r="JEH52" s="13"/>
      <c r="JEJ52" s="13"/>
      <c r="JEN52" s="13"/>
      <c r="JEO52" s="13"/>
      <c r="JEP52" s="15"/>
      <c r="JEQ52" s="16"/>
      <c r="JER52" s="12"/>
      <c r="JES52" s="12"/>
      <c r="JET52" s="12"/>
      <c r="JEU52" s="12"/>
      <c r="JEV52" s="12"/>
      <c r="JEW52" s="12"/>
      <c r="JEX52" s="12"/>
      <c r="JEY52" s="18"/>
      <c r="JFC52" s="13"/>
      <c r="JFD52" s="14"/>
      <c r="JFE52" s="14"/>
      <c r="JFF52" s="20"/>
      <c r="JFG52" s="13"/>
      <c r="JFH52" s="13"/>
      <c r="JFJ52" s="13"/>
      <c r="JFN52" s="13"/>
      <c r="JFO52" s="13"/>
      <c r="JFP52" s="15"/>
      <c r="JFQ52" s="16"/>
      <c r="JFR52" s="12"/>
      <c r="JFS52" s="12"/>
      <c r="JFT52" s="12"/>
      <c r="JFU52" s="12"/>
      <c r="JFV52" s="12"/>
      <c r="JFW52" s="12"/>
      <c r="JFX52" s="12"/>
      <c r="JFY52" s="18"/>
      <c r="JGC52" s="13"/>
      <c r="JGD52" s="14"/>
      <c r="JGE52" s="14"/>
      <c r="JGF52" s="20"/>
      <c r="JGG52" s="13"/>
      <c r="JGH52" s="13"/>
      <c r="JGJ52" s="13"/>
      <c r="JGN52" s="13"/>
      <c r="JGO52" s="13"/>
      <c r="JGP52" s="15"/>
      <c r="JGQ52" s="16"/>
      <c r="JGR52" s="12"/>
      <c r="JGS52" s="12"/>
      <c r="JGT52" s="12"/>
      <c r="JGU52" s="12"/>
      <c r="JGV52" s="12"/>
      <c r="JGW52" s="12"/>
      <c r="JGX52" s="12"/>
      <c r="JGY52" s="18"/>
      <c r="JHC52" s="13"/>
      <c r="JHD52" s="14"/>
      <c r="JHE52" s="14"/>
      <c r="JHF52" s="20"/>
      <c r="JHG52" s="13"/>
      <c r="JHH52" s="13"/>
      <c r="JHJ52" s="13"/>
      <c r="JHN52" s="13"/>
      <c r="JHO52" s="13"/>
      <c r="JHP52" s="15"/>
      <c r="JHQ52" s="16"/>
      <c r="JHR52" s="12"/>
      <c r="JHS52" s="12"/>
      <c r="JHT52" s="12"/>
      <c r="JHU52" s="12"/>
      <c r="JHV52" s="12"/>
      <c r="JHW52" s="12"/>
      <c r="JHX52" s="12"/>
      <c r="JHY52" s="18"/>
      <c r="JIC52" s="13"/>
      <c r="JID52" s="14"/>
      <c r="JIE52" s="14"/>
      <c r="JIF52" s="20"/>
      <c r="JIG52" s="13"/>
      <c r="JIH52" s="13"/>
      <c r="JIJ52" s="13"/>
      <c r="JIN52" s="13"/>
      <c r="JIO52" s="13"/>
      <c r="JIP52" s="15"/>
      <c r="JIQ52" s="16"/>
      <c r="JIR52" s="12"/>
      <c r="JIS52" s="12"/>
      <c r="JIT52" s="12"/>
      <c r="JIU52" s="12"/>
      <c r="JIV52" s="12"/>
      <c r="JIW52" s="12"/>
      <c r="JIX52" s="12"/>
      <c r="JIY52" s="18"/>
      <c r="JJC52" s="13"/>
      <c r="JJD52" s="14"/>
      <c r="JJE52" s="14"/>
      <c r="JJF52" s="20"/>
      <c r="JJG52" s="13"/>
      <c r="JJH52" s="13"/>
      <c r="JJJ52" s="13"/>
      <c r="JJN52" s="13"/>
      <c r="JJO52" s="13"/>
      <c r="JJP52" s="15"/>
      <c r="JJQ52" s="16"/>
      <c r="JJR52" s="12"/>
      <c r="JJS52" s="12"/>
      <c r="JJT52" s="12"/>
      <c r="JJU52" s="12"/>
      <c r="JJV52" s="12"/>
      <c r="JJW52" s="12"/>
      <c r="JJX52" s="12"/>
      <c r="JJY52" s="18"/>
      <c r="JKC52" s="13"/>
      <c r="JKD52" s="14"/>
      <c r="JKE52" s="14"/>
      <c r="JKF52" s="20"/>
      <c r="JKG52" s="13"/>
      <c r="JKH52" s="13"/>
      <c r="JKJ52" s="13"/>
      <c r="JKN52" s="13"/>
      <c r="JKO52" s="13"/>
      <c r="JKP52" s="15"/>
      <c r="JKQ52" s="16"/>
      <c r="JKR52" s="12"/>
      <c r="JKS52" s="12"/>
      <c r="JKT52" s="12"/>
      <c r="JKU52" s="12"/>
      <c r="JKV52" s="12"/>
      <c r="JKW52" s="12"/>
      <c r="JKX52" s="12"/>
      <c r="JKY52" s="18"/>
      <c r="JLC52" s="13"/>
      <c r="JLD52" s="14"/>
      <c r="JLE52" s="14"/>
      <c r="JLF52" s="20"/>
      <c r="JLG52" s="13"/>
      <c r="JLH52" s="13"/>
      <c r="JLJ52" s="13"/>
      <c r="JLN52" s="13"/>
      <c r="JLO52" s="13"/>
      <c r="JLP52" s="15"/>
      <c r="JLQ52" s="16"/>
      <c r="JLR52" s="12"/>
      <c r="JLS52" s="12"/>
      <c r="JLT52" s="12"/>
      <c r="JLU52" s="12"/>
      <c r="JLV52" s="12"/>
      <c r="JLW52" s="12"/>
      <c r="JLX52" s="12"/>
      <c r="JLY52" s="18"/>
      <c r="JMC52" s="13"/>
      <c r="JMD52" s="14"/>
      <c r="JME52" s="14"/>
      <c r="JMF52" s="20"/>
      <c r="JMG52" s="13"/>
      <c r="JMH52" s="13"/>
      <c r="JMJ52" s="13"/>
      <c r="JMN52" s="13"/>
      <c r="JMO52" s="13"/>
      <c r="JMP52" s="15"/>
      <c r="JMQ52" s="16"/>
      <c r="JMR52" s="12"/>
      <c r="JMS52" s="12"/>
      <c r="JMT52" s="12"/>
      <c r="JMU52" s="12"/>
      <c r="JMV52" s="12"/>
      <c r="JMW52" s="12"/>
      <c r="JMX52" s="12"/>
      <c r="JMY52" s="18"/>
      <c r="JNC52" s="13"/>
      <c r="JND52" s="14"/>
      <c r="JNE52" s="14"/>
      <c r="JNF52" s="20"/>
      <c r="JNG52" s="13"/>
      <c r="JNH52" s="13"/>
      <c r="JNJ52" s="13"/>
      <c r="JNN52" s="13"/>
      <c r="JNO52" s="13"/>
      <c r="JNP52" s="15"/>
      <c r="JNQ52" s="16"/>
      <c r="JNR52" s="12"/>
      <c r="JNS52" s="12"/>
      <c r="JNT52" s="12"/>
      <c r="JNU52" s="12"/>
      <c r="JNV52" s="12"/>
      <c r="JNW52" s="12"/>
      <c r="JNX52" s="12"/>
      <c r="JNY52" s="18"/>
      <c r="JOC52" s="13"/>
      <c r="JOD52" s="14"/>
      <c r="JOE52" s="14"/>
      <c r="JOF52" s="20"/>
      <c r="JOG52" s="13"/>
      <c r="JOH52" s="13"/>
      <c r="JOJ52" s="13"/>
      <c r="JON52" s="13"/>
      <c r="JOO52" s="13"/>
      <c r="JOP52" s="15"/>
      <c r="JOQ52" s="16"/>
      <c r="JOR52" s="12"/>
      <c r="JOS52" s="12"/>
      <c r="JOT52" s="12"/>
      <c r="JOU52" s="12"/>
      <c r="JOV52" s="12"/>
      <c r="JOW52" s="12"/>
      <c r="JOX52" s="12"/>
      <c r="JOY52" s="18"/>
      <c r="JPC52" s="13"/>
      <c r="JPD52" s="14"/>
      <c r="JPE52" s="14"/>
      <c r="JPF52" s="20"/>
      <c r="JPG52" s="13"/>
      <c r="JPH52" s="13"/>
      <c r="JPJ52" s="13"/>
      <c r="JPN52" s="13"/>
      <c r="JPO52" s="13"/>
      <c r="JPP52" s="15"/>
      <c r="JPQ52" s="16"/>
      <c r="JPR52" s="12"/>
      <c r="JPS52" s="12"/>
      <c r="JPT52" s="12"/>
      <c r="JPU52" s="12"/>
      <c r="JPV52" s="12"/>
      <c r="JPW52" s="12"/>
      <c r="JPX52" s="12"/>
      <c r="JPY52" s="18"/>
      <c r="JQC52" s="13"/>
      <c r="JQD52" s="14"/>
      <c r="JQE52" s="14"/>
      <c r="JQF52" s="20"/>
      <c r="JQG52" s="13"/>
      <c r="JQH52" s="13"/>
      <c r="JQJ52" s="13"/>
      <c r="JQN52" s="13"/>
      <c r="JQO52" s="13"/>
      <c r="JQP52" s="15"/>
      <c r="JQQ52" s="16"/>
      <c r="JQR52" s="12"/>
      <c r="JQS52" s="12"/>
      <c r="JQT52" s="12"/>
      <c r="JQU52" s="12"/>
      <c r="JQV52" s="12"/>
      <c r="JQW52" s="12"/>
      <c r="JQX52" s="12"/>
      <c r="JQY52" s="18"/>
      <c r="JRC52" s="13"/>
      <c r="JRD52" s="14"/>
      <c r="JRE52" s="14"/>
      <c r="JRF52" s="20"/>
      <c r="JRG52" s="13"/>
      <c r="JRH52" s="13"/>
      <c r="JRJ52" s="13"/>
      <c r="JRN52" s="13"/>
      <c r="JRO52" s="13"/>
      <c r="JRP52" s="15"/>
      <c r="JRQ52" s="16"/>
      <c r="JRR52" s="12"/>
      <c r="JRS52" s="12"/>
      <c r="JRT52" s="12"/>
      <c r="JRU52" s="12"/>
      <c r="JRV52" s="12"/>
      <c r="JRW52" s="12"/>
      <c r="JRX52" s="12"/>
      <c r="JRY52" s="18"/>
      <c r="JSC52" s="13"/>
      <c r="JSD52" s="14"/>
      <c r="JSE52" s="14"/>
      <c r="JSF52" s="20"/>
      <c r="JSG52" s="13"/>
      <c r="JSH52" s="13"/>
      <c r="JSJ52" s="13"/>
      <c r="JSN52" s="13"/>
      <c r="JSO52" s="13"/>
      <c r="JSP52" s="15"/>
      <c r="JSQ52" s="16"/>
      <c r="JSR52" s="12"/>
      <c r="JSS52" s="12"/>
      <c r="JST52" s="12"/>
      <c r="JSU52" s="12"/>
      <c r="JSV52" s="12"/>
      <c r="JSW52" s="12"/>
      <c r="JSX52" s="12"/>
      <c r="JSY52" s="18"/>
      <c r="JTC52" s="13"/>
      <c r="JTD52" s="14"/>
      <c r="JTE52" s="14"/>
      <c r="JTF52" s="20"/>
      <c r="JTG52" s="13"/>
      <c r="JTH52" s="13"/>
      <c r="JTJ52" s="13"/>
      <c r="JTN52" s="13"/>
      <c r="JTO52" s="13"/>
      <c r="JTP52" s="15"/>
      <c r="JTQ52" s="16"/>
      <c r="JTR52" s="12"/>
      <c r="JTS52" s="12"/>
      <c r="JTT52" s="12"/>
      <c r="JTU52" s="12"/>
      <c r="JTV52" s="12"/>
      <c r="JTW52" s="12"/>
      <c r="JTX52" s="12"/>
      <c r="JTY52" s="18"/>
      <c r="JUC52" s="13"/>
      <c r="JUD52" s="14"/>
      <c r="JUE52" s="14"/>
      <c r="JUF52" s="20"/>
      <c r="JUG52" s="13"/>
      <c r="JUH52" s="13"/>
      <c r="JUJ52" s="13"/>
      <c r="JUN52" s="13"/>
      <c r="JUO52" s="13"/>
      <c r="JUP52" s="15"/>
      <c r="JUQ52" s="16"/>
      <c r="JUR52" s="12"/>
      <c r="JUS52" s="12"/>
      <c r="JUT52" s="12"/>
      <c r="JUU52" s="12"/>
      <c r="JUV52" s="12"/>
      <c r="JUW52" s="12"/>
      <c r="JUX52" s="12"/>
      <c r="JUY52" s="18"/>
      <c r="JVC52" s="13"/>
      <c r="JVD52" s="14"/>
      <c r="JVE52" s="14"/>
      <c r="JVF52" s="20"/>
      <c r="JVG52" s="13"/>
      <c r="JVH52" s="13"/>
      <c r="JVJ52" s="13"/>
      <c r="JVN52" s="13"/>
      <c r="JVO52" s="13"/>
      <c r="JVP52" s="15"/>
      <c r="JVQ52" s="16"/>
      <c r="JVR52" s="12"/>
      <c r="JVS52" s="12"/>
      <c r="JVT52" s="12"/>
      <c r="JVU52" s="12"/>
      <c r="JVV52" s="12"/>
      <c r="JVW52" s="12"/>
      <c r="JVX52" s="12"/>
      <c r="JVY52" s="18"/>
      <c r="JWC52" s="13"/>
      <c r="JWD52" s="14"/>
      <c r="JWE52" s="14"/>
      <c r="JWF52" s="20"/>
      <c r="JWG52" s="13"/>
      <c r="JWH52" s="13"/>
      <c r="JWJ52" s="13"/>
      <c r="JWN52" s="13"/>
      <c r="JWO52" s="13"/>
      <c r="JWP52" s="15"/>
      <c r="JWQ52" s="16"/>
      <c r="JWR52" s="12"/>
      <c r="JWS52" s="12"/>
      <c r="JWT52" s="12"/>
      <c r="JWU52" s="12"/>
      <c r="JWV52" s="12"/>
      <c r="JWW52" s="12"/>
      <c r="JWX52" s="12"/>
      <c r="JWY52" s="18"/>
      <c r="JXC52" s="13"/>
      <c r="JXD52" s="14"/>
      <c r="JXE52" s="14"/>
      <c r="JXF52" s="20"/>
      <c r="JXG52" s="13"/>
      <c r="JXH52" s="13"/>
      <c r="JXJ52" s="13"/>
      <c r="JXN52" s="13"/>
      <c r="JXO52" s="13"/>
      <c r="JXP52" s="15"/>
      <c r="JXQ52" s="16"/>
      <c r="JXR52" s="12"/>
      <c r="JXS52" s="12"/>
      <c r="JXT52" s="12"/>
      <c r="JXU52" s="12"/>
      <c r="JXV52" s="12"/>
      <c r="JXW52" s="12"/>
      <c r="JXX52" s="12"/>
      <c r="JXY52" s="18"/>
      <c r="JYC52" s="13"/>
      <c r="JYD52" s="14"/>
      <c r="JYE52" s="14"/>
      <c r="JYF52" s="20"/>
      <c r="JYG52" s="13"/>
      <c r="JYH52" s="13"/>
      <c r="JYJ52" s="13"/>
      <c r="JYN52" s="13"/>
      <c r="JYO52" s="13"/>
      <c r="JYP52" s="15"/>
      <c r="JYQ52" s="16"/>
      <c r="JYR52" s="12"/>
      <c r="JYS52" s="12"/>
      <c r="JYT52" s="12"/>
      <c r="JYU52" s="12"/>
      <c r="JYV52" s="12"/>
      <c r="JYW52" s="12"/>
      <c r="JYX52" s="12"/>
      <c r="JYY52" s="18"/>
      <c r="JZC52" s="13"/>
      <c r="JZD52" s="14"/>
      <c r="JZE52" s="14"/>
      <c r="JZF52" s="20"/>
      <c r="JZG52" s="13"/>
      <c r="JZH52" s="13"/>
      <c r="JZJ52" s="13"/>
      <c r="JZN52" s="13"/>
      <c r="JZO52" s="13"/>
      <c r="JZP52" s="15"/>
      <c r="JZQ52" s="16"/>
      <c r="JZR52" s="12"/>
      <c r="JZS52" s="12"/>
      <c r="JZT52" s="12"/>
      <c r="JZU52" s="12"/>
      <c r="JZV52" s="12"/>
      <c r="JZW52" s="12"/>
      <c r="JZX52" s="12"/>
      <c r="JZY52" s="18"/>
      <c r="KAC52" s="13"/>
      <c r="KAD52" s="14"/>
      <c r="KAE52" s="14"/>
      <c r="KAF52" s="20"/>
      <c r="KAG52" s="13"/>
      <c r="KAH52" s="13"/>
      <c r="KAJ52" s="13"/>
      <c r="KAN52" s="13"/>
      <c r="KAO52" s="13"/>
      <c r="KAP52" s="15"/>
      <c r="KAQ52" s="16"/>
      <c r="KAR52" s="12"/>
      <c r="KAS52" s="12"/>
      <c r="KAT52" s="12"/>
      <c r="KAU52" s="12"/>
      <c r="KAV52" s="12"/>
      <c r="KAW52" s="12"/>
      <c r="KAX52" s="12"/>
      <c r="KAY52" s="18"/>
      <c r="KBC52" s="13"/>
      <c r="KBD52" s="14"/>
      <c r="KBE52" s="14"/>
      <c r="KBF52" s="20"/>
      <c r="KBG52" s="13"/>
      <c r="KBH52" s="13"/>
      <c r="KBJ52" s="13"/>
      <c r="KBN52" s="13"/>
      <c r="KBO52" s="13"/>
      <c r="KBP52" s="15"/>
      <c r="KBQ52" s="16"/>
      <c r="KBR52" s="12"/>
      <c r="KBS52" s="12"/>
      <c r="KBT52" s="12"/>
      <c r="KBU52" s="12"/>
      <c r="KBV52" s="12"/>
      <c r="KBW52" s="12"/>
      <c r="KBX52" s="12"/>
      <c r="KBY52" s="18"/>
      <c r="KCC52" s="13"/>
      <c r="KCD52" s="14"/>
      <c r="KCE52" s="14"/>
      <c r="KCF52" s="20"/>
      <c r="KCG52" s="13"/>
      <c r="KCH52" s="13"/>
      <c r="KCJ52" s="13"/>
      <c r="KCN52" s="13"/>
      <c r="KCO52" s="13"/>
      <c r="KCP52" s="15"/>
      <c r="KCQ52" s="16"/>
      <c r="KCR52" s="12"/>
      <c r="KCS52" s="12"/>
      <c r="KCT52" s="12"/>
      <c r="KCU52" s="12"/>
      <c r="KCV52" s="12"/>
      <c r="KCW52" s="12"/>
      <c r="KCX52" s="12"/>
      <c r="KCY52" s="18"/>
      <c r="KDC52" s="13"/>
      <c r="KDD52" s="14"/>
      <c r="KDE52" s="14"/>
      <c r="KDF52" s="20"/>
      <c r="KDG52" s="13"/>
      <c r="KDH52" s="13"/>
      <c r="KDJ52" s="13"/>
      <c r="KDN52" s="13"/>
      <c r="KDO52" s="13"/>
      <c r="KDP52" s="15"/>
      <c r="KDQ52" s="16"/>
      <c r="KDR52" s="12"/>
      <c r="KDS52" s="12"/>
      <c r="KDT52" s="12"/>
      <c r="KDU52" s="12"/>
      <c r="KDV52" s="12"/>
      <c r="KDW52" s="12"/>
      <c r="KDX52" s="12"/>
      <c r="KDY52" s="18"/>
      <c r="KEC52" s="13"/>
      <c r="KED52" s="14"/>
      <c r="KEE52" s="14"/>
      <c r="KEF52" s="20"/>
      <c r="KEG52" s="13"/>
      <c r="KEH52" s="13"/>
      <c r="KEJ52" s="13"/>
      <c r="KEN52" s="13"/>
      <c r="KEO52" s="13"/>
      <c r="KEP52" s="15"/>
      <c r="KEQ52" s="16"/>
      <c r="KER52" s="12"/>
      <c r="KES52" s="12"/>
      <c r="KET52" s="12"/>
      <c r="KEU52" s="12"/>
      <c r="KEV52" s="12"/>
      <c r="KEW52" s="12"/>
      <c r="KEX52" s="12"/>
      <c r="KEY52" s="18"/>
      <c r="KFC52" s="13"/>
      <c r="KFD52" s="14"/>
      <c r="KFE52" s="14"/>
      <c r="KFF52" s="20"/>
      <c r="KFG52" s="13"/>
      <c r="KFH52" s="13"/>
      <c r="KFJ52" s="13"/>
      <c r="KFN52" s="13"/>
      <c r="KFO52" s="13"/>
      <c r="KFP52" s="15"/>
      <c r="KFQ52" s="16"/>
      <c r="KFR52" s="12"/>
      <c r="KFS52" s="12"/>
      <c r="KFT52" s="12"/>
      <c r="KFU52" s="12"/>
      <c r="KFV52" s="12"/>
      <c r="KFW52" s="12"/>
      <c r="KFX52" s="12"/>
      <c r="KFY52" s="18"/>
      <c r="KGC52" s="13"/>
      <c r="KGD52" s="14"/>
      <c r="KGE52" s="14"/>
      <c r="KGF52" s="20"/>
      <c r="KGG52" s="13"/>
      <c r="KGH52" s="13"/>
      <c r="KGJ52" s="13"/>
      <c r="KGN52" s="13"/>
      <c r="KGO52" s="13"/>
      <c r="KGP52" s="15"/>
      <c r="KGQ52" s="16"/>
      <c r="KGR52" s="12"/>
      <c r="KGS52" s="12"/>
      <c r="KGT52" s="12"/>
      <c r="KGU52" s="12"/>
      <c r="KGV52" s="12"/>
      <c r="KGW52" s="12"/>
      <c r="KGX52" s="12"/>
      <c r="KGY52" s="18"/>
      <c r="KHC52" s="13"/>
      <c r="KHD52" s="14"/>
      <c r="KHE52" s="14"/>
      <c r="KHF52" s="20"/>
      <c r="KHG52" s="13"/>
      <c r="KHH52" s="13"/>
      <c r="KHJ52" s="13"/>
      <c r="KHN52" s="13"/>
      <c r="KHO52" s="13"/>
      <c r="KHP52" s="15"/>
      <c r="KHQ52" s="16"/>
      <c r="KHR52" s="12"/>
      <c r="KHS52" s="12"/>
      <c r="KHT52" s="12"/>
      <c r="KHU52" s="12"/>
      <c r="KHV52" s="12"/>
      <c r="KHW52" s="12"/>
      <c r="KHX52" s="12"/>
      <c r="KHY52" s="18"/>
      <c r="KIC52" s="13"/>
      <c r="KID52" s="14"/>
      <c r="KIE52" s="14"/>
      <c r="KIF52" s="20"/>
      <c r="KIG52" s="13"/>
      <c r="KIH52" s="13"/>
      <c r="KIJ52" s="13"/>
      <c r="KIN52" s="13"/>
      <c r="KIO52" s="13"/>
      <c r="KIP52" s="15"/>
      <c r="KIQ52" s="16"/>
      <c r="KIR52" s="12"/>
      <c r="KIS52" s="12"/>
      <c r="KIT52" s="12"/>
      <c r="KIU52" s="12"/>
      <c r="KIV52" s="12"/>
      <c r="KIW52" s="12"/>
      <c r="KIX52" s="12"/>
      <c r="KIY52" s="18"/>
      <c r="KJC52" s="13"/>
      <c r="KJD52" s="14"/>
      <c r="KJE52" s="14"/>
      <c r="KJF52" s="20"/>
      <c r="KJG52" s="13"/>
      <c r="KJH52" s="13"/>
      <c r="KJJ52" s="13"/>
      <c r="KJN52" s="13"/>
      <c r="KJO52" s="13"/>
      <c r="KJP52" s="15"/>
      <c r="KJQ52" s="16"/>
      <c r="KJR52" s="12"/>
      <c r="KJS52" s="12"/>
      <c r="KJT52" s="12"/>
      <c r="KJU52" s="12"/>
      <c r="KJV52" s="12"/>
      <c r="KJW52" s="12"/>
      <c r="KJX52" s="12"/>
      <c r="KJY52" s="18"/>
      <c r="KKC52" s="13"/>
      <c r="KKD52" s="14"/>
      <c r="KKE52" s="14"/>
      <c r="KKF52" s="20"/>
      <c r="KKG52" s="13"/>
      <c r="KKH52" s="13"/>
      <c r="KKJ52" s="13"/>
      <c r="KKN52" s="13"/>
      <c r="KKO52" s="13"/>
      <c r="KKP52" s="15"/>
      <c r="KKQ52" s="16"/>
      <c r="KKR52" s="12"/>
      <c r="KKS52" s="12"/>
      <c r="KKT52" s="12"/>
      <c r="KKU52" s="12"/>
      <c r="KKV52" s="12"/>
      <c r="KKW52" s="12"/>
      <c r="KKX52" s="12"/>
      <c r="KKY52" s="18"/>
      <c r="KLC52" s="13"/>
      <c r="KLD52" s="14"/>
      <c r="KLE52" s="14"/>
      <c r="KLF52" s="20"/>
      <c r="KLG52" s="13"/>
      <c r="KLH52" s="13"/>
      <c r="KLJ52" s="13"/>
      <c r="KLN52" s="13"/>
      <c r="KLO52" s="13"/>
      <c r="KLP52" s="15"/>
      <c r="KLQ52" s="16"/>
      <c r="KLR52" s="12"/>
      <c r="KLS52" s="12"/>
      <c r="KLT52" s="12"/>
      <c r="KLU52" s="12"/>
      <c r="KLV52" s="12"/>
      <c r="KLW52" s="12"/>
      <c r="KLX52" s="12"/>
      <c r="KLY52" s="18"/>
      <c r="KMC52" s="13"/>
      <c r="KMD52" s="14"/>
      <c r="KME52" s="14"/>
      <c r="KMF52" s="20"/>
      <c r="KMG52" s="13"/>
      <c r="KMH52" s="13"/>
      <c r="KMJ52" s="13"/>
      <c r="KMN52" s="13"/>
      <c r="KMO52" s="13"/>
      <c r="KMP52" s="15"/>
      <c r="KMQ52" s="16"/>
      <c r="KMR52" s="12"/>
      <c r="KMS52" s="12"/>
      <c r="KMT52" s="12"/>
      <c r="KMU52" s="12"/>
      <c r="KMV52" s="12"/>
      <c r="KMW52" s="12"/>
      <c r="KMX52" s="12"/>
      <c r="KMY52" s="18"/>
      <c r="KNC52" s="13"/>
      <c r="KND52" s="14"/>
      <c r="KNE52" s="14"/>
      <c r="KNF52" s="20"/>
      <c r="KNG52" s="13"/>
      <c r="KNH52" s="13"/>
      <c r="KNJ52" s="13"/>
      <c r="KNN52" s="13"/>
      <c r="KNO52" s="13"/>
      <c r="KNP52" s="15"/>
      <c r="KNQ52" s="16"/>
      <c r="KNR52" s="12"/>
      <c r="KNS52" s="12"/>
      <c r="KNT52" s="12"/>
      <c r="KNU52" s="12"/>
      <c r="KNV52" s="12"/>
      <c r="KNW52" s="12"/>
      <c r="KNX52" s="12"/>
      <c r="KNY52" s="18"/>
      <c r="KOC52" s="13"/>
      <c r="KOD52" s="14"/>
      <c r="KOE52" s="14"/>
      <c r="KOF52" s="20"/>
      <c r="KOG52" s="13"/>
      <c r="KOH52" s="13"/>
      <c r="KOJ52" s="13"/>
      <c r="KON52" s="13"/>
      <c r="KOO52" s="13"/>
      <c r="KOP52" s="15"/>
      <c r="KOQ52" s="16"/>
      <c r="KOR52" s="12"/>
      <c r="KOS52" s="12"/>
      <c r="KOT52" s="12"/>
      <c r="KOU52" s="12"/>
      <c r="KOV52" s="12"/>
      <c r="KOW52" s="12"/>
      <c r="KOX52" s="12"/>
      <c r="KOY52" s="18"/>
      <c r="KPC52" s="13"/>
      <c r="KPD52" s="14"/>
      <c r="KPE52" s="14"/>
      <c r="KPF52" s="20"/>
      <c r="KPG52" s="13"/>
      <c r="KPH52" s="13"/>
      <c r="KPJ52" s="13"/>
      <c r="KPN52" s="13"/>
      <c r="KPO52" s="13"/>
      <c r="KPP52" s="15"/>
      <c r="KPQ52" s="16"/>
      <c r="KPR52" s="12"/>
      <c r="KPS52" s="12"/>
      <c r="KPT52" s="12"/>
      <c r="KPU52" s="12"/>
      <c r="KPV52" s="12"/>
      <c r="KPW52" s="12"/>
      <c r="KPX52" s="12"/>
      <c r="KPY52" s="18"/>
      <c r="KQC52" s="13"/>
      <c r="KQD52" s="14"/>
      <c r="KQE52" s="14"/>
      <c r="KQF52" s="20"/>
      <c r="KQG52" s="13"/>
      <c r="KQH52" s="13"/>
      <c r="KQJ52" s="13"/>
      <c r="KQN52" s="13"/>
      <c r="KQO52" s="13"/>
      <c r="KQP52" s="15"/>
      <c r="KQQ52" s="16"/>
      <c r="KQR52" s="12"/>
      <c r="KQS52" s="12"/>
      <c r="KQT52" s="12"/>
      <c r="KQU52" s="12"/>
      <c r="KQV52" s="12"/>
      <c r="KQW52" s="12"/>
      <c r="KQX52" s="12"/>
      <c r="KQY52" s="18"/>
      <c r="KRC52" s="13"/>
      <c r="KRD52" s="14"/>
      <c r="KRE52" s="14"/>
      <c r="KRF52" s="20"/>
      <c r="KRG52" s="13"/>
      <c r="KRH52" s="13"/>
      <c r="KRJ52" s="13"/>
      <c r="KRN52" s="13"/>
      <c r="KRO52" s="13"/>
      <c r="KRP52" s="15"/>
      <c r="KRQ52" s="16"/>
      <c r="KRR52" s="12"/>
      <c r="KRS52" s="12"/>
      <c r="KRT52" s="12"/>
      <c r="KRU52" s="12"/>
      <c r="KRV52" s="12"/>
      <c r="KRW52" s="12"/>
      <c r="KRX52" s="12"/>
      <c r="KRY52" s="18"/>
      <c r="KSC52" s="13"/>
      <c r="KSD52" s="14"/>
      <c r="KSE52" s="14"/>
      <c r="KSF52" s="20"/>
      <c r="KSG52" s="13"/>
      <c r="KSH52" s="13"/>
      <c r="KSJ52" s="13"/>
      <c r="KSN52" s="13"/>
      <c r="KSO52" s="13"/>
      <c r="KSP52" s="15"/>
      <c r="KSQ52" s="16"/>
      <c r="KSR52" s="12"/>
      <c r="KSS52" s="12"/>
      <c r="KST52" s="12"/>
      <c r="KSU52" s="12"/>
      <c r="KSV52" s="12"/>
      <c r="KSW52" s="12"/>
      <c r="KSX52" s="12"/>
      <c r="KSY52" s="18"/>
      <c r="KTC52" s="13"/>
      <c r="KTD52" s="14"/>
      <c r="KTE52" s="14"/>
      <c r="KTF52" s="20"/>
      <c r="KTG52" s="13"/>
      <c r="KTH52" s="13"/>
      <c r="KTJ52" s="13"/>
      <c r="KTN52" s="13"/>
      <c r="KTO52" s="13"/>
      <c r="KTP52" s="15"/>
      <c r="KTQ52" s="16"/>
      <c r="KTR52" s="12"/>
      <c r="KTS52" s="12"/>
      <c r="KTT52" s="12"/>
      <c r="KTU52" s="12"/>
      <c r="KTV52" s="12"/>
      <c r="KTW52" s="12"/>
      <c r="KTX52" s="12"/>
      <c r="KTY52" s="18"/>
      <c r="KUC52" s="13"/>
      <c r="KUD52" s="14"/>
      <c r="KUE52" s="14"/>
      <c r="KUF52" s="20"/>
      <c r="KUG52" s="13"/>
      <c r="KUH52" s="13"/>
      <c r="KUJ52" s="13"/>
      <c r="KUN52" s="13"/>
      <c r="KUO52" s="13"/>
      <c r="KUP52" s="15"/>
      <c r="KUQ52" s="16"/>
      <c r="KUR52" s="12"/>
      <c r="KUS52" s="12"/>
      <c r="KUT52" s="12"/>
      <c r="KUU52" s="12"/>
      <c r="KUV52" s="12"/>
      <c r="KUW52" s="12"/>
      <c r="KUX52" s="12"/>
      <c r="KUY52" s="18"/>
      <c r="KVC52" s="13"/>
      <c r="KVD52" s="14"/>
      <c r="KVE52" s="14"/>
      <c r="KVF52" s="20"/>
      <c r="KVG52" s="13"/>
      <c r="KVH52" s="13"/>
      <c r="KVJ52" s="13"/>
      <c r="KVN52" s="13"/>
      <c r="KVO52" s="13"/>
      <c r="KVP52" s="15"/>
      <c r="KVQ52" s="16"/>
      <c r="KVR52" s="12"/>
      <c r="KVS52" s="12"/>
      <c r="KVT52" s="12"/>
      <c r="KVU52" s="12"/>
      <c r="KVV52" s="12"/>
      <c r="KVW52" s="12"/>
      <c r="KVX52" s="12"/>
      <c r="KVY52" s="18"/>
      <c r="KWC52" s="13"/>
      <c r="KWD52" s="14"/>
      <c r="KWE52" s="14"/>
      <c r="KWF52" s="20"/>
      <c r="KWG52" s="13"/>
      <c r="KWH52" s="13"/>
      <c r="KWJ52" s="13"/>
      <c r="KWN52" s="13"/>
      <c r="KWO52" s="13"/>
      <c r="KWP52" s="15"/>
      <c r="KWQ52" s="16"/>
      <c r="KWR52" s="12"/>
      <c r="KWS52" s="12"/>
      <c r="KWT52" s="12"/>
      <c r="KWU52" s="12"/>
      <c r="KWV52" s="12"/>
      <c r="KWW52" s="12"/>
      <c r="KWX52" s="12"/>
      <c r="KWY52" s="18"/>
      <c r="KXC52" s="13"/>
      <c r="KXD52" s="14"/>
      <c r="KXE52" s="14"/>
      <c r="KXF52" s="20"/>
      <c r="KXG52" s="13"/>
      <c r="KXH52" s="13"/>
      <c r="KXJ52" s="13"/>
      <c r="KXN52" s="13"/>
      <c r="KXO52" s="13"/>
      <c r="KXP52" s="15"/>
      <c r="KXQ52" s="16"/>
      <c r="KXR52" s="12"/>
      <c r="KXS52" s="12"/>
      <c r="KXT52" s="12"/>
      <c r="KXU52" s="12"/>
      <c r="KXV52" s="12"/>
      <c r="KXW52" s="12"/>
      <c r="KXX52" s="12"/>
      <c r="KXY52" s="18"/>
      <c r="KYC52" s="13"/>
      <c r="KYD52" s="14"/>
      <c r="KYE52" s="14"/>
      <c r="KYF52" s="20"/>
      <c r="KYG52" s="13"/>
      <c r="KYH52" s="13"/>
      <c r="KYJ52" s="13"/>
      <c r="KYN52" s="13"/>
      <c r="KYO52" s="13"/>
      <c r="KYP52" s="15"/>
      <c r="KYQ52" s="16"/>
      <c r="KYR52" s="12"/>
      <c r="KYS52" s="12"/>
      <c r="KYT52" s="12"/>
      <c r="KYU52" s="12"/>
      <c r="KYV52" s="12"/>
      <c r="KYW52" s="12"/>
      <c r="KYX52" s="12"/>
      <c r="KYY52" s="18"/>
      <c r="KZC52" s="13"/>
      <c r="KZD52" s="14"/>
      <c r="KZE52" s="14"/>
      <c r="KZF52" s="20"/>
      <c r="KZG52" s="13"/>
      <c r="KZH52" s="13"/>
      <c r="KZJ52" s="13"/>
      <c r="KZN52" s="13"/>
      <c r="KZO52" s="13"/>
      <c r="KZP52" s="15"/>
      <c r="KZQ52" s="16"/>
      <c r="KZR52" s="12"/>
      <c r="KZS52" s="12"/>
      <c r="KZT52" s="12"/>
      <c r="KZU52" s="12"/>
      <c r="KZV52" s="12"/>
      <c r="KZW52" s="12"/>
      <c r="KZX52" s="12"/>
      <c r="KZY52" s="18"/>
      <c r="LAC52" s="13"/>
      <c r="LAD52" s="14"/>
      <c r="LAE52" s="14"/>
      <c r="LAF52" s="20"/>
      <c r="LAG52" s="13"/>
      <c r="LAH52" s="13"/>
      <c r="LAJ52" s="13"/>
      <c r="LAN52" s="13"/>
      <c r="LAO52" s="13"/>
      <c r="LAP52" s="15"/>
      <c r="LAQ52" s="16"/>
      <c r="LAR52" s="12"/>
      <c r="LAS52" s="12"/>
      <c r="LAT52" s="12"/>
      <c r="LAU52" s="12"/>
      <c r="LAV52" s="12"/>
      <c r="LAW52" s="12"/>
      <c r="LAX52" s="12"/>
      <c r="LAY52" s="18"/>
      <c r="LBC52" s="13"/>
      <c r="LBD52" s="14"/>
      <c r="LBE52" s="14"/>
      <c r="LBF52" s="20"/>
      <c r="LBG52" s="13"/>
      <c r="LBH52" s="13"/>
      <c r="LBJ52" s="13"/>
      <c r="LBN52" s="13"/>
      <c r="LBO52" s="13"/>
      <c r="LBP52" s="15"/>
      <c r="LBQ52" s="16"/>
      <c r="LBR52" s="12"/>
      <c r="LBS52" s="12"/>
      <c r="LBT52" s="12"/>
      <c r="LBU52" s="12"/>
      <c r="LBV52" s="12"/>
      <c r="LBW52" s="12"/>
      <c r="LBX52" s="12"/>
      <c r="LBY52" s="18"/>
      <c r="LCC52" s="13"/>
      <c r="LCD52" s="14"/>
      <c r="LCE52" s="14"/>
      <c r="LCF52" s="20"/>
      <c r="LCG52" s="13"/>
      <c r="LCH52" s="13"/>
      <c r="LCJ52" s="13"/>
      <c r="LCN52" s="13"/>
      <c r="LCO52" s="13"/>
      <c r="LCP52" s="15"/>
      <c r="LCQ52" s="16"/>
      <c r="LCR52" s="12"/>
      <c r="LCS52" s="12"/>
      <c r="LCT52" s="12"/>
      <c r="LCU52" s="12"/>
      <c r="LCV52" s="12"/>
      <c r="LCW52" s="12"/>
      <c r="LCX52" s="12"/>
      <c r="LCY52" s="18"/>
      <c r="LDC52" s="13"/>
      <c r="LDD52" s="14"/>
      <c r="LDE52" s="14"/>
      <c r="LDF52" s="20"/>
      <c r="LDG52" s="13"/>
      <c r="LDH52" s="13"/>
      <c r="LDJ52" s="13"/>
      <c r="LDN52" s="13"/>
      <c r="LDO52" s="13"/>
      <c r="LDP52" s="15"/>
      <c r="LDQ52" s="16"/>
      <c r="LDR52" s="12"/>
      <c r="LDS52" s="12"/>
      <c r="LDT52" s="12"/>
      <c r="LDU52" s="12"/>
      <c r="LDV52" s="12"/>
      <c r="LDW52" s="12"/>
      <c r="LDX52" s="12"/>
      <c r="LDY52" s="18"/>
      <c r="LEC52" s="13"/>
      <c r="LED52" s="14"/>
      <c r="LEE52" s="14"/>
      <c r="LEF52" s="20"/>
      <c r="LEG52" s="13"/>
      <c r="LEH52" s="13"/>
      <c r="LEJ52" s="13"/>
      <c r="LEN52" s="13"/>
      <c r="LEO52" s="13"/>
      <c r="LEP52" s="15"/>
      <c r="LEQ52" s="16"/>
      <c r="LER52" s="12"/>
      <c r="LES52" s="12"/>
      <c r="LET52" s="12"/>
      <c r="LEU52" s="12"/>
      <c r="LEV52" s="12"/>
      <c r="LEW52" s="12"/>
      <c r="LEX52" s="12"/>
      <c r="LEY52" s="18"/>
      <c r="LFC52" s="13"/>
      <c r="LFD52" s="14"/>
      <c r="LFE52" s="14"/>
      <c r="LFF52" s="20"/>
      <c r="LFG52" s="13"/>
      <c r="LFH52" s="13"/>
      <c r="LFJ52" s="13"/>
      <c r="LFN52" s="13"/>
      <c r="LFO52" s="13"/>
      <c r="LFP52" s="15"/>
      <c r="LFQ52" s="16"/>
      <c r="LFR52" s="12"/>
      <c r="LFS52" s="12"/>
      <c r="LFT52" s="12"/>
      <c r="LFU52" s="12"/>
      <c r="LFV52" s="12"/>
      <c r="LFW52" s="12"/>
      <c r="LFX52" s="12"/>
      <c r="LFY52" s="18"/>
      <c r="LGC52" s="13"/>
      <c r="LGD52" s="14"/>
      <c r="LGE52" s="14"/>
      <c r="LGF52" s="20"/>
      <c r="LGG52" s="13"/>
      <c r="LGH52" s="13"/>
      <c r="LGJ52" s="13"/>
      <c r="LGN52" s="13"/>
      <c r="LGO52" s="13"/>
      <c r="LGP52" s="15"/>
      <c r="LGQ52" s="16"/>
      <c r="LGR52" s="12"/>
      <c r="LGS52" s="12"/>
      <c r="LGT52" s="12"/>
      <c r="LGU52" s="12"/>
      <c r="LGV52" s="12"/>
      <c r="LGW52" s="12"/>
      <c r="LGX52" s="12"/>
      <c r="LGY52" s="18"/>
      <c r="LHC52" s="13"/>
      <c r="LHD52" s="14"/>
      <c r="LHE52" s="14"/>
      <c r="LHF52" s="20"/>
      <c r="LHG52" s="13"/>
      <c r="LHH52" s="13"/>
      <c r="LHJ52" s="13"/>
      <c r="LHN52" s="13"/>
      <c r="LHO52" s="13"/>
      <c r="LHP52" s="15"/>
      <c r="LHQ52" s="16"/>
      <c r="LHR52" s="12"/>
      <c r="LHS52" s="12"/>
      <c r="LHT52" s="12"/>
      <c r="LHU52" s="12"/>
      <c r="LHV52" s="12"/>
      <c r="LHW52" s="12"/>
      <c r="LHX52" s="12"/>
      <c r="LHY52" s="18"/>
      <c r="LIC52" s="13"/>
      <c r="LID52" s="14"/>
      <c r="LIE52" s="14"/>
      <c r="LIF52" s="20"/>
      <c r="LIG52" s="13"/>
      <c r="LIH52" s="13"/>
      <c r="LIJ52" s="13"/>
      <c r="LIN52" s="13"/>
      <c r="LIO52" s="13"/>
      <c r="LIP52" s="15"/>
      <c r="LIQ52" s="16"/>
      <c r="LIR52" s="12"/>
      <c r="LIS52" s="12"/>
      <c r="LIT52" s="12"/>
      <c r="LIU52" s="12"/>
      <c r="LIV52" s="12"/>
      <c r="LIW52" s="12"/>
      <c r="LIX52" s="12"/>
      <c r="LIY52" s="18"/>
      <c r="LJC52" s="13"/>
      <c r="LJD52" s="14"/>
      <c r="LJE52" s="14"/>
      <c r="LJF52" s="20"/>
      <c r="LJG52" s="13"/>
      <c r="LJH52" s="13"/>
      <c r="LJJ52" s="13"/>
      <c r="LJN52" s="13"/>
      <c r="LJO52" s="13"/>
      <c r="LJP52" s="15"/>
      <c r="LJQ52" s="16"/>
      <c r="LJR52" s="12"/>
      <c r="LJS52" s="12"/>
      <c r="LJT52" s="12"/>
      <c r="LJU52" s="12"/>
      <c r="LJV52" s="12"/>
      <c r="LJW52" s="12"/>
      <c r="LJX52" s="12"/>
      <c r="LJY52" s="18"/>
      <c r="LKC52" s="13"/>
      <c r="LKD52" s="14"/>
      <c r="LKE52" s="14"/>
      <c r="LKF52" s="20"/>
      <c r="LKG52" s="13"/>
      <c r="LKH52" s="13"/>
      <c r="LKJ52" s="13"/>
      <c r="LKN52" s="13"/>
      <c r="LKO52" s="13"/>
      <c r="LKP52" s="15"/>
      <c r="LKQ52" s="16"/>
      <c r="LKR52" s="12"/>
      <c r="LKS52" s="12"/>
      <c r="LKT52" s="12"/>
      <c r="LKU52" s="12"/>
      <c r="LKV52" s="12"/>
      <c r="LKW52" s="12"/>
      <c r="LKX52" s="12"/>
      <c r="LKY52" s="18"/>
      <c r="LLC52" s="13"/>
      <c r="LLD52" s="14"/>
      <c r="LLE52" s="14"/>
      <c r="LLF52" s="20"/>
      <c r="LLG52" s="13"/>
      <c r="LLH52" s="13"/>
      <c r="LLJ52" s="13"/>
      <c r="LLN52" s="13"/>
      <c r="LLO52" s="13"/>
      <c r="LLP52" s="15"/>
      <c r="LLQ52" s="16"/>
      <c r="LLR52" s="12"/>
      <c r="LLS52" s="12"/>
      <c r="LLT52" s="12"/>
      <c r="LLU52" s="12"/>
      <c r="LLV52" s="12"/>
      <c r="LLW52" s="12"/>
      <c r="LLX52" s="12"/>
      <c r="LLY52" s="18"/>
      <c r="LMC52" s="13"/>
      <c r="LMD52" s="14"/>
      <c r="LME52" s="14"/>
      <c r="LMF52" s="20"/>
      <c r="LMG52" s="13"/>
      <c r="LMH52" s="13"/>
      <c r="LMJ52" s="13"/>
      <c r="LMN52" s="13"/>
      <c r="LMO52" s="13"/>
      <c r="LMP52" s="15"/>
      <c r="LMQ52" s="16"/>
      <c r="LMR52" s="12"/>
      <c r="LMS52" s="12"/>
      <c r="LMT52" s="12"/>
      <c r="LMU52" s="12"/>
      <c r="LMV52" s="12"/>
      <c r="LMW52" s="12"/>
      <c r="LMX52" s="12"/>
      <c r="LMY52" s="18"/>
      <c r="LNC52" s="13"/>
      <c r="LND52" s="14"/>
      <c r="LNE52" s="14"/>
      <c r="LNF52" s="20"/>
      <c r="LNG52" s="13"/>
      <c r="LNH52" s="13"/>
      <c r="LNJ52" s="13"/>
      <c r="LNN52" s="13"/>
      <c r="LNO52" s="13"/>
      <c r="LNP52" s="15"/>
      <c r="LNQ52" s="16"/>
      <c r="LNR52" s="12"/>
      <c r="LNS52" s="12"/>
      <c r="LNT52" s="12"/>
      <c r="LNU52" s="12"/>
      <c r="LNV52" s="12"/>
      <c r="LNW52" s="12"/>
      <c r="LNX52" s="12"/>
      <c r="LNY52" s="18"/>
      <c r="LOC52" s="13"/>
      <c r="LOD52" s="14"/>
      <c r="LOE52" s="14"/>
      <c r="LOF52" s="20"/>
      <c r="LOG52" s="13"/>
      <c r="LOH52" s="13"/>
      <c r="LOJ52" s="13"/>
      <c r="LON52" s="13"/>
      <c r="LOO52" s="13"/>
      <c r="LOP52" s="15"/>
      <c r="LOQ52" s="16"/>
      <c r="LOR52" s="12"/>
      <c r="LOS52" s="12"/>
      <c r="LOT52" s="12"/>
      <c r="LOU52" s="12"/>
      <c r="LOV52" s="12"/>
      <c r="LOW52" s="12"/>
      <c r="LOX52" s="12"/>
      <c r="LOY52" s="18"/>
      <c r="LPC52" s="13"/>
      <c r="LPD52" s="14"/>
      <c r="LPE52" s="14"/>
      <c r="LPF52" s="20"/>
      <c r="LPG52" s="13"/>
      <c r="LPH52" s="13"/>
      <c r="LPJ52" s="13"/>
      <c r="LPN52" s="13"/>
      <c r="LPO52" s="13"/>
      <c r="LPP52" s="15"/>
      <c r="LPQ52" s="16"/>
      <c r="LPR52" s="12"/>
      <c r="LPS52" s="12"/>
      <c r="LPT52" s="12"/>
      <c r="LPU52" s="12"/>
      <c r="LPV52" s="12"/>
      <c r="LPW52" s="12"/>
      <c r="LPX52" s="12"/>
      <c r="LPY52" s="18"/>
      <c r="LQC52" s="13"/>
      <c r="LQD52" s="14"/>
      <c r="LQE52" s="14"/>
      <c r="LQF52" s="20"/>
      <c r="LQG52" s="13"/>
      <c r="LQH52" s="13"/>
      <c r="LQJ52" s="13"/>
      <c r="LQN52" s="13"/>
      <c r="LQO52" s="13"/>
      <c r="LQP52" s="15"/>
      <c r="LQQ52" s="16"/>
      <c r="LQR52" s="12"/>
      <c r="LQS52" s="12"/>
      <c r="LQT52" s="12"/>
      <c r="LQU52" s="12"/>
      <c r="LQV52" s="12"/>
      <c r="LQW52" s="12"/>
      <c r="LQX52" s="12"/>
      <c r="LQY52" s="18"/>
      <c r="LRC52" s="13"/>
      <c r="LRD52" s="14"/>
      <c r="LRE52" s="14"/>
      <c r="LRF52" s="20"/>
      <c r="LRG52" s="13"/>
      <c r="LRH52" s="13"/>
      <c r="LRJ52" s="13"/>
      <c r="LRN52" s="13"/>
      <c r="LRO52" s="13"/>
      <c r="LRP52" s="15"/>
      <c r="LRQ52" s="16"/>
      <c r="LRR52" s="12"/>
      <c r="LRS52" s="12"/>
      <c r="LRT52" s="12"/>
      <c r="LRU52" s="12"/>
      <c r="LRV52" s="12"/>
      <c r="LRW52" s="12"/>
      <c r="LRX52" s="12"/>
      <c r="LRY52" s="18"/>
      <c r="LSC52" s="13"/>
      <c r="LSD52" s="14"/>
      <c r="LSE52" s="14"/>
      <c r="LSF52" s="20"/>
      <c r="LSG52" s="13"/>
      <c r="LSH52" s="13"/>
      <c r="LSJ52" s="13"/>
      <c r="LSN52" s="13"/>
      <c r="LSO52" s="13"/>
      <c r="LSP52" s="15"/>
      <c r="LSQ52" s="16"/>
      <c r="LSR52" s="12"/>
      <c r="LSS52" s="12"/>
      <c r="LST52" s="12"/>
      <c r="LSU52" s="12"/>
      <c r="LSV52" s="12"/>
      <c r="LSW52" s="12"/>
      <c r="LSX52" s="12"/>
      <c r="LSY52" s="18"/>
      <c r="LTC52" s="13"/>
      <c r="LTD52" s="14"/>
      <c r="LTE52" s="14"/>
      <c r="LTF52" s="20"/>
      <c r="LTG52" s="13"/>
      <c r="LTH52" s="13"/>
      <c r="LTJ52" s="13"/>
      <c r="LTN52" s="13"/>
      <c r="LTO52" s="13"/>
      <c r="LTP52" s="15"/>
      <c r="LTQ52" s="16"/>
      <c r="LTR52" s="12"/>
      <c r="LTS52" s="12"/>
      <c r="LTT52" s="12"/>
      <c r="LTU52" s="12"/>
      <c r="LTV52" s="12"/>
      <c r="LTW52" s="12"/>
      <c r="LTX52" s="12"/>
      <c r="LTY52" s="18"/>
      <c r="LUC52" s="13"/>
      <c r="LUD52" s="14"/>
      <c r="LUE52" s="14"/>
      <c r="LUF52" s="20"/>
      <c r="LUG52" s="13"/>
      <c r="LUH52" s="13"/>
      <c r="LUJ52" s="13"/>
      <c r="LUN52" s="13"/>
      <c r="LUO52" s="13"/>
      <c r="LUP52" s="15"/>
      <c r="LUQ52" s="16"/>
      <c r="LUR52" s="12"/>
      <c r="LUS52" s="12"/>
      <c r="LUT52" s="12"/>
      <c r="LUU52" s="12"/>
      <c r="LUV52" s="12"/>
      <c r="LUW52" s="12"/>
      <c r="LUX52" s="12"/>
      <c r="LUY52" s="18"/>
      <c r="LVC52" s="13"/>
      <c r="LVD52" s="14"/>
      <c r="LVE52" s="14"/>
      <c r="LVF52" s="20"/>
      <c r="LVG52" s="13"/>
      <c r="LVH52" s="13"/>
      <c r="LVJ52" s="13"/>
      <c r="LVN52" s="13"/>
      <c r="LVO52" s="13"/>
      <c r="LVP52" s="15"/>
      <c r="LVQ52" s="16"/>
      <c r="LVR52" s="12"/>
      <c r="LVS52" s="12"/>
      <c r="LVT52" s="12"/>
      <c r="LVU52" s="12"/>
      <c r="LVV52" s="12"/>
      <c r="LVW52" s="12"/>
      <c r="LVX52" s="12"/>
      <c r="LVY52" s="18"/>
      <c r="LWC52" s="13"/>
      <c r="LWD52" s="14"/>
      <c r="LWE52" s="14"/>
      <c r="LWF52" s="20"/>
      <c r="LWG52" s="13"/>
      <c r="LWH52" s="13"/>
      <c r="LWJ52" s="13"/>
      <c r="LWN52" s="13"/>
      <c r="LWO52" s="13"/>
      <c r="LWP52" s="15"/>
      <c r="LWQ52" s="16"/>
      <c r="LWR52" s="12"/>
      <c r="LWS52" s="12"/>
      <c r="LWT52" s="12"/>
      <c r="LWU52" s="12"/>
      <c r="LWV52" s="12"/>
      <c r="LWW52" s="12"/>
      <c r="LWX52" s="12"/>
      <c r="LWY52" s="18"/>
      <c r="LXC52" s="13"/>
      <c r="LXD52" s="14"/>
      <c r="LXE52" s="14"/>
      <c r="LXF52" s="20"/>
      <c r="LXG52" s="13"/>
      <c r="LXH52" s="13"/>
      <c r="LXJ52" s="13"/>
      <c r="LXN52" s="13"/>
      <c r="LXO52" s="13"/>
      <c r="LXP52" s="15"/>
      <c r="LXQ52" s="16"/>
      <c r="LXR52" s="12"/>
      <c r="LXS52" s="12"/>
      <c r="LXT52" s="12"/>
      <c r="LXU52" s="12"/>
      <c r="LXV52" s="12"/>
      <c r="LXW52" s="12"/>
      <c r="LXX52" s="12"/>
      <c r="LXY52" s="18"/>
      <c r="LYC52" s="13"/>
      <c r="LYD52" s="14"/>
      <c r="LYE52" s="14"/>
      <c r="LYF52" s="20"/>
      <c r="LYG52" s="13"/>
      <c r="LYH52" s="13"/>
      <c r="LYJ52" s="13"/>
      <c r="LYN52" s="13"/>
      <c r="LYO52" s="13"/>
      <c r="LYP52" s="15"/>
      <c r="LYQ52" s="16"/>
      <c r="LYR52" s="12"/>
      <c r="LYS52" s="12"/>
      <c r="LYT52" s="12"/>
      <c r="LYU52" s="12"/>
      <c r="LYV52" s="12"/>
      <c r="LYW52" s="12"/>
      <c r="LYX52" s="12"/>
      <c r="LYY52" s="18"/>
      <c r="LZC52" s="13"/>
      <c r="LZD52" s="14"/>
      <c r="LZE52" s="14"/>
      <c r="LZF52" s="20"/>
      <c r="LZG52" s="13"/>
      <c r="LZH52" s="13"/>
      <c r="LZJ52" s="13"/>
      <c r="LZN52" s="13"/>
      <c r="LZO52" s="13"/>
      <c r="LZP52" s="15"/>
      <c r="LZQ52" s="16"/>
      <c r="LZR52" s="12"/>
      <c r="LZS52" s="12"/>
      <c r="LZT52" s="12"/>
      <c r="LZU52" s="12"/>
      <c r="LZV52" s="12"/>
      <c r="LZW52" s="12"/>
      <c r="LZX52" s="12"/>
      <c r="LZY52" s="18"/>
      <c r="MAC52" s="13"/>
      <c r="MAD52" s="14"/>
      <c r="MAE52" s="14"/>
      <c r="MAF52" s="20"/>
      <c r="MAG52" s="13"/>
      <c r="MAH52" s="13"/>
      <c r="MAJ52" s="13"/>
      <c r="MAN52" s="13"/>
      <c r="MAO52" s="13"/>
      <c r="MAP52" s="15"/>
      <c r="MAQ52" s="16"/>
      <c r="MAR52" s="12"/>
      <c r="MAS52" s="12"/>
      <c r="MAT52" s="12"/>
      <c r="MAU52" s="12"/>
      <c r="MAV52" s="12"/>
      <c r="MAW52" s="12"/>
      <c r="MAX52" s="12"/>
      <c r="MAY52" s="18"/>
      <c r="MBC52" s="13"/>
      <c r="MBD52" s="14"/>
      <c r="MBE52" s="14"/>
      <c r="MBF52" s="20"/>
      <c r="MBG52" s="13"/>
      <c r="MBH52" s="13"/>
      <c r="MBJ52" s="13"/>
      <c r="MBN52" s="13"/>
      <c r="MBO52" s="13"/>
      <c r="MBP52" s="15"/>
      <c r="MBQ52" s="16"/>
      <c r="MBR52" s="12"/>
      <c r="MBS52" s="12"/>
      <c r="MBT52" s="12"/>
      <c r="MBU52" s="12"/>
      <c r="MBV52" s="12"/>
      <c r="MBW52" s="12"/>
      <c r="MBX52" s="12"/>
      <c r="MBY52" s="18"/>
      <c r="MCC52" s="13"/>
      <c r="MCD52" s="14"/>
      <c r="MCE52" s="14"/>
      <c r="MCF52" s="20"/>
      <c r="MCG52" s="13"/>
      <c r="MCH52" s="13"/>
      <c r="MCJ52" s="13"/>
      <c r="MCN52" s="13"/>
      <c r="MCO52" s="13"/>
      <c r="MCP52" s="15"/>
      <c r="MCQ52" s="16"/>
      <c r="MCR52" s="12"/>
      <c r="MCS52" s="12"/>
      <c r="MCT52" s="12"/>
      <c r="MCU52" s="12"/>
      <c r="MCV52" s="12"/>
      <c r="MCW52" s="12"/>
      <c r="MCX52" s="12"/>
      <c r="MCY52" s="18"/>
      <c r="MDC52" s="13"/>
      <c r="MDD52" s="14"/>
      <c r="MDE52" s="14"/>
      <c r="MDF52" s="20"/>
      <c r="MDG52" s="13"/>
      <c r="MDH52" s="13"/>
      <c r="MDJ52" s="13"/>
      <c r="MDN52" s="13"/>
      <c r="MDO52" s="13"/>
      <c r="MDP52" s="15"/>
      <c r="MDQ52" s="16"/>
      <c r="MDR52" s="12"/>
      <c r="MDS52" s="12"/>
      <c r="MDT52" s="12"/>
      <c r="MDU52" s="12"/>
      <c r="MDV52" s="12"/>
      <c r="MDW52" s="12"/>
      <c r="MDX52" s="12"/>
      <c r="MDY52" s="18"/>
      <c r="MEC52" s="13"/>
      <c r="MED52" s="14"/>
      <c r="MEE52" s="14"/>
      <c r="MEF52" s="20"/>
      <c r="MEG52" s="13"/>
      <c r="MEH52" s="13"/>
      <c r="MEJ52" s="13"/>
      <c r="MEN52" s="13"/>
      <c r="MEO52" s="13"/>
      <c r="MEP52" s="15"/>
      <c r="MEQ52" s="16"/>
      <c r="MER52" s="12"/>
      <c r="MES52" s="12"/>
      <c r="MET52" s="12"/>
      <c r="MEU52" s="12"/>
      <c r="MEV52" s="12"/>
      <c r="MEW52" s="12"/>
      <c r="MEX52" s="12"/>
      <c r="MEY52" s="18"/>
      <c r="MFC52" s="13"/>
      <c r="MFD52" s="14"/>
      <c r="MFE52" s="14"/>
      <c r="MFF52" s="20"/>
      <c r="MFG52" s="13"/>
      <c r="MFH52" s="13"/>
      <c r="MFJ52" s="13"/>
      <c r="MFN52" s="13"/>
      <c r="MFO52" s="13"/>
      <c r="MFP52" s="15"/>
      <c r="MFQ52" s="16"/>
      <c r="MFR52" s="12"/>
      <c r="MFS52" s="12"/>
      <c r="MFT52" s="12"/>
      <c r="MFU52" s="12"/>
      <c r="MFV52" s="12"/>
      <c r="MFW52" s="12"/>
      <c r="MFX52" s="12"/>
      <c r="MFY52" s="18"/>
      <c r="MGC52" s="13"/>
      <c r="MGD52" s="14"/>
      <c r="MGE52" s="14"/>
      <c r="MGF52" s="20"/>
      <c r="MGG52" s="13"/>
      <c r="MGH52" s="13"/>
      <c r="MGJ52" s="13"/>
      <c r="MGN52" s="13"/>
      <c r="MGO52" s="13"/>
      <c r="MGP52" s="15"/>
      <c r="MGQ52" s="16"/>
      <c r="MGR52" s="12"/>
      <c r="MGS52" s="12"/>
      <c r="MGT52" s="12"/>
      <c r="MGU52" s="12"/>
      <c r="MGV52" s="12"/>
      <c r="MGW52" s="12"/>
      <c r="MGX52" s="12"/>
      <c r="MGY52" s="18"/>
      <c r="MHC52" s="13"/>
      <c r="MHD52" s="14"/>
      <c r="MHE52" s="14"/>
      <c r="MHF52" s="20"/>
      <c r="MHG52" s="13"/>
      <c r="MHH52" s="13"/>
      <c r="MHJ52" s="13"/>
      <c r="MHN52" s="13"/>
      <c r="MHO52" s="13"/>
      <c r="MHP52" s="15"/>
      <c r="MHQ52" s="16"/>
      <c r="MHR52" s="12"/>
      <c r="MHS52" s="12"/>
      <c r="MHT52" s="12"/>
      <c r="MHU52" s="12"/>
      <c r="MHV52" s="12"/>
      <c r="MHW52" s="12"/>
      <c r="MHX52" s="12"/>
      <c r="MHY52" s="18"/>
      <c r="MIC52" s="13"/>
      <c r="MID52" s="14"/>
      <c r="MIE52" s="14"/>
      <c r="MIF52" s="20"/>
      <c r="MIG52" s="13"/>
      <c r="MIH52" s="13"/>
      <c r="MIJ52" s="13"/>
      <c r="MIN52" s="13"/>
      <c r="MIO52" s="13"/>
      <c r="MIP52" s="15"/>
      <c r="MIQ52" s="16"/>
      <c r="MIR52" s="12"/>
      <c r="MIS52" s="12"/>
      <c r="MIT52" s="12"/>
      <c r="MIU52" s="12"/>
      <c r="MIV52" s="12"/>
      <c r="MIW52" s="12"/>
      <c r="MIX52" s="12"/>
      <c r="MIY52" s="18"/>
      <c r="MJC52" s="13"/>
      <c r="MJD52" s="14"/>
      <c r="MJE52" s="14"/>
      <c r="MJF52" s="20"/>
      <c r="MJG52" s="13"/>
      <c r="MJH52" s="13"/>
      <c r="MJJ52" s="13"/>
      <c r="MJN52" s="13"/>
      <c r="MJO52" s="13"/>
      <c r="MJP52" s="15"/>
      <c r="MJQ52" s="16"/>
      <c r="MJR52" s="12"/>
      <c r="MJS52" s="12"/>
      <c r="MJT52" s="12"/>
      <c r="MJU52" s="12"/>
      <c r="MJV52" s="12"/>
      <c r="MJW52" s="12"/>
      <c r="MJX52" s="12"/>
      <c r="MJY52" s="18"/>
      <c r="MKC52" s="13"/>
      <c r="MKD52" s="14"/>
      <c r="MKE52" s="14"/>
      <c r="MKF52" s="20"/>
      <c r="MKG52" s="13"/>
      <c r="MKH52" s="13"/>
      <c r="MKJ52" s="13"/>
      <c r="MKN52" s="13"/>
      <c r="MKO52" s="13"/>
      <c r="MKP52" s="15"/>
      <c r="MKQ52" s="16"/>
      <c r="MKR52" s="12"/>
      <c r="MKS52" s="12"/>
      <c r="MKT52" s="12"/>
      <c r="MKU52" s="12"/>
      <c r="MKV52" s="12"/>
      <c r="MKW52" s="12"/>
      <c r="MKX52" s="12"/>
      <c r="MKY52" s="18"/>
      <c r="MLC52" s="13"/>
      <c r="MLD52" s="14"/>
      <c r="MLE52" s="14"/>
      <c r="MLF52" s="20"/>
      <c r="MLG52" s="13"/>
      <c r="MLH52" s="13"/>
      <c r="MLJ52" s="13"/>
      <c r="MLN52" s="13"/>
      <c r="MLO52" s="13"/>
      <c r="MLP52" s="15"/>
      <c r="MLQ52" s="16"/>
      <c r="MLR52" s="12"/>
      <c r="MLS52" s="12"/>
      <c r="MLT52" s="12"/>
      <c r="MLU52" s="12"/>
      <c r="MLV52" s="12"/>
      <c r="MLW52" s="12"/>
      <c r="MLX52" s="12"/>
      <c r="MLY52" s="18"/>
      <c r="MMC52" s="13"/>
      <c r="MMD52" s="14"/>
      <c r="MME52" s="14"/>
      <c r="MMF52" s="20"/>
      <c r="MMG52" s="13"/>
      <c r="MMH52" s="13"/>
      <c r="MMJ52" s="13"/>
      <c r="MMN52" s="13"/>
      <c r="MMO52" s="13"/>
      <c r="MMP52" s="15"/>
      <c r="MMQ52" s="16"/>
      <c r="MMR52" s="12"/>
      <c r="MMS52" s="12"/>
      <c r="MMT52" s="12"/>
      <c r="MMU52" s="12"/>
      <c r="MMV52" s="12"/>
      <c r="MMW52" s="12"/>
      <c r="MMX52" s="12"/>
      <c r="MMY52" s="18"/>
      <c r="MNC52" s="13"/>
      <c r="MND52" s="14"/>
      <c r="MNE52" s="14"/>
      <c r="MNF52" s="20"/>
      <c r="MNG52" s="13"/>
      <c r="MNH52" s="13"/>
      <c r="MNJ52" s="13"/>
      <c r="MNN52" s="13"/>
      <c r="MNO52" s="13"/>
      <c r="MNP52" s="15"/>
      <c r="MNQ52" s="16"/>
      <c r="MNR52" s="12"/>
      <c r="MNS52" s="12"/>
      <c r="MNT52" s="12"/>
      <c r="MNU52" s="12"/>
      <c r="MNV52" s="12"/>
      <c r="MNW52" s="12"/>
      <c r="MNX52" s="12"/>
      <c r="MNY52" s="18"/>
      <c r="MOC52" s="13"/>
      <c r="MOD52" s="14"/>
      <c r="MOE52" s="14"/>
      <c r="MOF52" s="20"/>
      <c r="MOG52" s="13"/>
      <c r="MOH52" s="13"/>
      <c r="MOJ52" s="13"/>
      <c r="MON52" s="13"/>
      <c r="MOO52" s="13"/>
      <c r="MOP52" s="15"/>
      <c r="MOQ52" s="16"/>
      <c r="MOR52" s="12"/>
      <c r="MOS52" s="12"/>
      <c r="MOT52" s="12"/>
      <c r="MOU52" s="12"/>
      <c r="MOV52" s="12"/>
      <c r="MOW52" s="12"/>
      <c r="MOX52" s="12"/>
      <c r="MOY52" s="18"/>
      <c r="MPC52" s="13"/>
      <c r="MPD52" s="14"/>
      <c r="MPE52" s="14"/>
      <c r="MPF52" s="20"/>
      <c r="MPG52" s="13"/>
      <c r="MPH52" s="13"/>
      <c r="MPJ52" s="13"/>
      <c r="MPN52" s="13"/>
      <c r="MPO52" s="13"/>
      <c r="MPP52" s="15"/>
      <c r="MPQ52" s="16"/>
      <c r="MPR52" s="12"/>
      <c r="MPS52" s="12"/>
      <c r="MPT52" s="12"/>
      <c r="MPU52" s="12"/>
      <c r="MPV52" s="12"/>
      <c r="MPW52" s="12"/>
      <c r="MPX52" s="12"/>
      <c r="MPY52" s="18"/>
      <c r="MQC52" s="13"/>
      <c r="MQD52" s="14"/>
      <c r="MQE52" s="14"/>
      <c r="MQF52" s="20"/>
      <c r="MQG52" s="13"/>
      <c r="MQH52" s="13"/>
      <c r="MQJ52" s="13"/>
      <c r="MQN52" s="13"/>
      <c r="MQO52" s="13"/>
      <c r="MQP52" s="15"/>
      <c r="MQQ52" s="16"/>
      <c r="MQR52" s="12"/>
      <c r="MQS52" s="12"/>
      <c r="MQT52" s="12"/>
      <c r="MQU52" s="12"/>
      <c r="MQV52" s="12"/>
      <c r="MQW52" s="12"/>
      <c r="MQX52" s="12"/>
      <c r="MQY52" s="18"/>
      <c r="MRC52" s="13"/>
      <c r="MRD52" s="14"/>
      <c r="MRE52" s="14"/>
      <c r="MRF52" s="20"/>
      <c r="MRG52" s="13"/>
      <c r="MRH52" s="13"/>
      <c r="MRJ52" s="13"/>
      <c r="MRN52" s="13"/>
      <c r="MRO52" s="13"/>
      <c r="MRP52" s="15"/>
      <c r="MRQ52" s="16"/>
      <c r="MRR52" s="12"/>
      <c r="MRS52" s="12"/>
      <c r="MRT52" s="12"/>
      <c r="MRU52" s="12"/>
      <c r="MRV52" s="12"/>
      <c r="MRW52" s="12"/>
      <c r="MRX52" s="12"/>
      <c r="MRY52" s="18"/>
      <c r="MSC52" s="13"/>
      <c r="MSD52" s="14"/>
      <c r="MSE52" s="14"/>
      <c r="MSF52" s="20"/>
      <c r="MSG52" s="13"/>
      <c r="MSH52" s="13"/>
      <c r="MSJ52" s="13"/>
      <c r="MSN52" s="13"/>
      <c r="MSO52" s="13"/>
      <c r="MSP52" s="15"/>
      <c r="MSQ52" s="16"/>
      <c r="MSR52" s="12"/>
      <c r="MSS52" s="12"/>
      <c r="MST52" s="12"/>
      <c r="MSU52" s="12"/>
      <c r="MSV52" s="12"/>
      <c r="MSW52" s="12"/>
      <c r="MSX52" s="12"/>
      <c r="MSY52" s="18"/>
      <c r="MTC52" s="13"/>
      <c r="MTD52" s="14"/>
      <c r="MTE52" s="14"/>
      <c r="MTF52" s="20"/>
      <c r="MTG52" s="13"/>
      <c r="MTH52" s="13"/>
      <c r="MTJ52" s="13"/>
      <c r="MTN52" s="13"/>
      <c r="MTO52" s="13"/>
      <c r="MTP52" s="15"/>
      <c r="MTQ52" s="16"/>
      <c r="MTR52" s="12"/>
      <c r="MTS52" s="12"/>
      <c r="MTT52" s="12"/>
      <c r="MTU52" s="12"/>
      <c r="MTV52" s="12"/>
      <c r="MTW52" s="12"/>
      <c r="MTX52" s="12"/>
      <c r="MTY52" s="18"/>
      <c r="MUC52" s="13"/>
      <c r="MUD52" s="14"/>
      <c r="MUE52" s="14"/>
      <c r="MUF52" s="20"/>
      <c r="MUG52" s="13"/>
      <c r="MUH52" s="13"/>
      <c r="MUJ52" s="13"/>
      <c r="MUN52" s="13"/>
      <c r="MUO52" s="13"/>
      <c r="MUP52" s="15"/>
      <c r="MUQ52" s="16"/>
      <c r="MUR52" s="12"/>
      <c r="MUS52" s="12"/>
      <c r="MUT52" s="12"/>
      <c r="MUU52" s="12"/>
      <c r="MUV52" s="12"/>
      <c r="MUW52" s="12"/>
      <c r="MUX52" s="12"/>
      <c r="MUY52" s="18"/>
      <c r="MVC52" s="13"/>
      <c r="MVD52" s="14"/>
      <c r="MVE52" s="14"/>
      <c r="MVF52" s="20"/>
      <c r="MVG52" s="13"/>
      <c r="MVH52" s="13"/>
      <c r="MVJ52" s="13"/>
      <c r="MVN52" s="13"/>
      <c r="MVO52" s="13"/>
      <c r="MVP52" s="15"/>
      <c r="MVQ52" s="16"/>
      <c r="MVR52" s="12"/>
      <c r="MVS52" s="12"/>
      <c r="MVT52" s="12"/>
      <c r="MVU52" s="12"/>
      <c r="MVV52" s="12"/>
      <c r="MVW52" s="12"/>
      <c r="MVX52" s="12"/>
      <c r="MVY52" s="18"/>
      <c r="MWC52" s="13"/>
      <c r="MWD52" s="14"/>
      <c r="MWE52" s="14"/>
      <c r="MWF52" s="20"/>
      <c r="MWG52" s="13"/>
      <c r="MWH52" s="13"/>
      <c r="MWJ52" s="13"/>
      <c r="MWN52" s="13"/>
      <c r="MWO52" s="13"/>
      <c r="MWP52" s="15"/>
      <c r="MWQ52" s="16"/>
      <c r="MWR52" s="12"/>
      <c r="MWS52" s="12"/>
      <c r="MWT52" s="12"/>
      <c r="MWU52" s="12"/>
      <c r="MWV52" s="12"/>
      <c r="MWW52" s="12"/>
      <c r="MWX52" s="12"/>
      <c r="MWY52" s="18"/>
      <c r="MXC52" s="13"/>
      <c r="MXD52" s="14"/>
      <c r="MXE52" s="14"/>
      <c r="MXF52" s="20"/>
      <c r="MXG52" s="13"/>
      <c r="MXH52" s="13"/>
      <c r="MXJ52" s="13"/>
      <c r="MXN52" s="13"/>
      <c r="MXO52" s="13"/>
      <c r="MXP52" s="15"/>
      <c r="MXQ52" s="16"/>
      <c r="MXR52" s="12"/>
      <c r="MXS52" s="12"/>
      <c r="MXT52" s="12"/>
      <c r="MXU52" s="12"/>
      <c r="MXV52" s="12"/>
      <c r="MXW52" s="12"/>
      <c r="MXX52" s="12"/>
      <c r="MXY52" s="18"/>
      <c r="MYC52" s="13"/>
      <c r="MYD52" s="14"/>
      <c r="MYE52" s="14"/>
      <c r="MYF52" s="20"/>
      <c r="MYG52" s="13"/>
      <c r="MYH52" s="13"/>
      <c r="MYJ52" s="13"/>
      <c r="MYN52" s="13"/>
      <c r="MYO52" s="13"/>
      <c r="MYP52" s="15"/>
      <c r="MYQ52" s="16"/>
      <c r="MYR52" s="12"/>
      <c r="MYS52" s="12"/>
      <c r="MYT52" s="12"/>
      <c r="MYU52" s="12"/>
      <c r="MYV52" s="12"/>
      <c r="MYW52" s="12"/>
      <c r="MYX52" s="12"/>
      <c r="MYY52" s="18"/>
      <c r="MZC52" s="13"/>
      <c r="MZD52" s="14"/>
      <c r="MZE52" s="14"/>
      <c r="MZF52" s="20"/>
      <c r="MZG52" s="13"/>
      <c r="MZH52" s="13"/>
      <c r="MZJ52" s="13"/>
      <c r="MZN52" s="13"/>
      <c r="MZO52" s="13"/>
      <c r="MZP52" s="15"/>
      <c r="MZQ52" s="16"/>
      <c r="MZR52" s="12"/>
      <c r="MZS52" s="12"/>
      <c r="MZT52" s="12"/>
      <c r="MZU52" s="12"/>
      <c r="MZV52" s="12"/>
      <c r="MZW52" s="12"/>
      <c r="MZX52" s="12"/>
      <c r="MZY52" s="18"/>
      <c r="NAC52" s="13"/>
      <c r="NAD52" s="14"/>
      <c r="NAE52" s="14"/>
      <c r="NAF52" s="20"/>
      <c r="NAG52" s="13"/>
      <c r="NAH52" s="13"/>
      <c r="NAJ52" s="13"/>
      <c r="NAN52" s="13"/>
      <c r="NAO52" s="13"/>
      <c r="NAP52" s="15"/>
      <c r="NAQ52" s="16"/>
      <c r="NAR52" s="12"/>
      <c r="NAS52" s="12"/>
      <c r="NAT52" s="12"/>
      <c r="NAU52" s="12"/>
      <c r="NAV52" s="12"/>
      <c r="NAW52" s="12"/>
      <c r="NAX52" s="12"/>
      <c r="NAY52" s="18"/>
      <c r="NBC52" s="13"/>
      <c r="NBD52" s="14"/>
      <c r="NBE52" s="14"/>
      <c r="NBF52" s="20"/>
      <c r="NBG52" s="13"/>
      <c r="NBH52" s="13"/>
      <c r="NBJ52" s="13"/>
      <c r="NBN52" s="13"/>
      <c r="NBO52" s="13"/>
      <c r="NBP52" s="15"/>
      <c r="NBQ52" s="16"/>
      <c r="NBR52" s="12"/>
      <c r="NBS52" s="12"/>
      <c r="NBT52" s="12"/>
      <c r="NBU52" s="12"/>
      <c r="NBV52" s="12"/>
      <c r="NBW52" s="12"/>
      <c r="NBX52" s="12"/>
      <c r="NBY52" s="18"/>
      <c r="NCC52" s="13"/>
      <c r="NCD52" s="14"/>
      <c r="NCE52" s="14"/>
      <c r="NCF52" s="20"/>
      <c r="NCG52" s="13"/>
      <c r="NCH52" s="13"/>
      <c r="NCJ52" s="13"/>
      <c r="NCN52" s="13"/>
      <c r="NCO52" s="13"/>
      <c r="NCP52" s="15"/>
      <c r="NCQ52" s="16"/>
      <c r="NCR52" s="12"/>
      <c r="NCS52" s="12"/>
      <c r="NCT52" s="12"/>
      <c r="NCU52" s="12"/>
      <c r="NCV52" s="12"/>
      <c r="NCW52" s="12"/>
      <c r="NCX52" s="12"/>
      <c r="NCY52" s="18"/>
      <c r="NDC52" s="13"/>
      <c r="NDD52" s="14"/>
      <c r="NDE52" s="14"/>
      <c r="NDF52" s="20"/>
      <c r="NDG52" s="13"/>
      <c r="NDH52" s="13"/>
      <c r="NDJ52" s="13"/>
      <c r="NDN52" s="13"/>
      <c r="NDO52" s="13"/>
      <c r="NDP52" s="15"/>
      <c r="NDQ52" s="16"/>
      <c r="NDR52" s="12"/>
      <c r="NDS52" s="12"/>
      <c r="NDT52" s="12"/>
      <c r="NDU52" s="12"/>
      <c r="NDV52" s="12"/>
      <c r="NDW52" s="12"/>
      <c r="NDX52" s="12"/>
      <c r="NDY52" s="18"/>
      <c r="NEC52" s="13"/>
      <c r="NED52" s="14"/>
      <c r="NEE52" s="14"/>
      <c r="NEF52" s="20"/>
      <c r="NEG52" s="13"/>
      <c r="NEH52" s="13"/>
      <c r="NEJ52" s="13"/>
      <c r="NEN52" s="13"/>
      <c r="NEO52" s="13"/>
      <c r="NEP52" s="15"/>
      <c r="NEQ52" s="16"/>
      <c r="NER52" s="12"/>
      <c r="NES52" s="12"/>
      <c r="NET52" s="12"/>
      <c r="NEU52" s="12"/>
      <c r="NEV52" s="12"/>
      <c r="NEW52" s="12"/>
      <c r="NEX52" s="12"/>
      <c r="NEY52" s="18"/>
      <c r="NFC52" s="13"/>
      <c r="NFD52" s="14"/>
      <c r="NFE52" s="14"/>
      <c r="NFF52" s="20"/>
      <c r="NFG52" s="13"/>
      <c r="NFH52" s="13"/>
      <c r="NFJ52" s="13"/>
      <c r="NFN52" s="13"/>
      <c r="NFO52" s="13"/>
      <c r="NFP52" s="15"/>
      <c r="NFQ52" s="16"/>
      <c r="NFR52" s="12"/>
      <c r="NFS52" s="12"/>
      <c r="NFT52" s="12"/>
      <c r="NFU52" s="12"/>
      <c r="NFV52" s="12"/>
      <c r="NFW52" s="12"/>
      <c r="NFX52" s="12"/>
      <c r="NFY52" s="18"/>
      <c r="NGC52" s="13"/>
      <c r="NGD52" s="14"/>
      <c r="NGE52" s="14"/>
      <c r="NGF52" s="20"/>
      <c r="NGG52" s="13"/>
      <c r="NGH52" s="13"/>
      <c r="NGJ52" s="13"/>
      <c r="NGN52" s="13"/>
      <c r="NGO52" s="13"/>
      <c r="NGP52" s="15"/>
      <c r="NGQ52" s="16"/>
      <c r="NGR52" s="12"/>
      <c r="NGS52" s="12"/>
      <c r="NGT52" s="12"/>
      <c r="NGU52" s="12"/>
      <c r="NGV52" s="12"/>
      <c r="NGW52" s="12"/>
      <c r="NGX52" s="12"/>
      <c r="NGY52" s="18"/>
      <c r="NHC52" s="13"/>
      <c r="NHD52" s="14"/>
      <c r="NHE52" s="14"/>
      <c r="NHF52" s="20"/>
      <c r="NHG52" s="13"/>
      <c r="NHH52" s="13"/>
      <c r="NHJ52" s="13"/>
      <c r="NHN52" s="13"/>
      <c r="NHO52" s="13"/>
      <c r="NHP52" s="15"/>
      <c r="NHQ52" s="16"/>
      <c r="NHR52" s="12"/>
      <c r="NHS52" s="12"/>
      <c r="NHT52" s="12"/>
      <c r="NHU52" s="12"/>
      <c r="NHV52" s="12"/>
      <c r="NHW52" s="12"/>
      <c r="NHX52" s="12"/>
      <c r="NHY52" s="18"/>
      <c r="NIC52" s="13"/>
      <c r="NID52" s="14"/>
      <c r="NIE52" s="14"/>
      <c r="NIF52" s="20"/>
      <c r="NIG52" s="13"/>
      <c r="NIH52" s="13"/>
      <c r="NIJ52" s="13"/>
      <c r="NIN52" s="13"/>
      <c r="NIO52" s="13"/>
      <c r="NIP52" s="15"/>
      <c r="NIQ52" s="16"/>
      <c r="NIR52" s="12"/>
      <c r="NIS52" s="12"/>
      <c r="NIT52" s="12"/>
      <c r="NIU52" s="12"/>
      <c r="NIV52" s="12"/>
      <c r="NIW52" s="12"/>
      <c r="NIX52" s="12"/>
      <c r="NIY52" s="18"/>
      <c r="NJC52" s="13"/>
      <c r="NJD52" s="14"/>
      <c r="NJE52" s="14"/>
      <c r="NJF52" s="20"/>
      <c r="NJG52" s="13"/>
      <c r="NJH52" s="13"/>
      <c r="NJJ52" s="13"/>
      <c r="NJN52" s="13"/>
      <c r="NJO52" s="13"/>
      <c r="NJP52" s="15"/>
      <c r="NJQ52" s="16"/>
      <c r="NJR52" s="12"/>
      <c r="NJS52" s="12"/>
      <c r="NJT52" s="12"/>
      <c r="NJU52" s="12"/>
      <c r="NJV52" s="12"/>
      <c r="NJW52" s="12"/>
      <c r="NJX52" s="12"/>
      <c r="NJY52" s="18"/>
      <c r="NKC52" s="13"/>
      <c r="NKD52" s="14"/>
      <c r="NKE52" s="14"/>
      <c r="NKF52" s="20"/>
      <c r="NKG52" s="13"/>
      <c r="NKH52" s="13"/>
      <c r="NKJ52" s="13"/>
      <c r="NKN52" s="13"/>
      <c r="NKO52" s="13"/>
      <c r="NKP52" s="15"/>
      <c r="NKQ52" s="16"/>
      <c r="NKR52" s="12"/>
      <c r="NKS52" s="12"/>
      <c r="NKT52" s="12"/>
      <c r="NKU52" s="12"/>
      <c r="NKV52" s="12"/>
      <c r="NKW52" s="12"/>
      <c r="NKX52" s="12"/>
      <c r="NKY52" s="18"/>
      <c r="NLC52" s="13"/>
      <c r="NLD52" s="14"/>
      <c r="NLE52" s="14"/>
      <c r="NLF52" s="20"/>
      <c r="NLG52" s="13"/>
      <c r="NLH52" s="13"/>
      <c r="NLJ52" s="13"/>
      <c r="NLN52" s="13"/>
      <c r="NLO52" s="13"/>
      <c r="NLP52" s="15"/>
      <c r="NLQ52" s="16"/>
      <c r="NLR52" s="12"/>
      <c r="NLS52" s="12"/>
      <c r="NLT52" s="12"/>
      <c r="NLU52" s="12"/>
      <c r="NLV52" s="12"/>
      <c r="NLW52" s="12"/>
      <c r="NLX52" s="12"/>
      <c r="NLY52" s="18"/>
      <c r="NMC52" s="13"/>
      <c r="NMD52" s="14"/>
      <c r="NME52" s="14"/>
      <c r="NMF52" s="20"/>
      <c r="NMG52" s="13"/>
      <c r="NMH52" s="13"/>
      <c r="NMJ52" s="13"/>
      <c r="NMN52" s="13"/>
      <c r="NMO52" s="13"/>
      <c r="NMP52" s="15"/>
      <c r="NMQ52" s="16"/>
      <c r="NMR52" s="12"/>
      <c r="NMS52" s="12"/>
      <c r="NMT52" s="12"/>
      <c r="NMU52" s="12"/>
      <c r="NMV52" s="12"/>
      <c r="NMW52" s="12"/>
      <c r="NMX52" s="12"/>
      <c r="NMY52" s="18"/>
      <c r="NNC52" s="13"/>
      <c r="NND52" s="14"/>
      <c r="NNE52" s="14"/>
      <c r="NNF52" s="20"/>
      <c r="NNG52" s="13"/>
      <c r="NNH52" s="13"/>
      <c r="NNJ52" s="13"/>
      <c r="NNN52" s="13"/>
      <c r="NNO52" s="13"/>
      <c r="NNP52" s="15"/>
      <c r="NNQ52" s="16"/>
      <c r="NNR52" s="12"/>
      <c r="NNS52" s="12"/>
      <c r="NNT52" s="12"/>
      <c r="NNU52" s="12"/>
      <c r="NNV52" s="12"/>
      <c r="NNW52" s="12"/>
      <c r="NNX52" s="12"/>
      <c r="NNY52" s="18"/>
      <c r="NOC52" s="13"/>
      <c r="NOD52" s="14"/>
      <c r="NOE52" s="14"/>
      <c r="NOF52" s="20"/>
      <c r="NOG52" s="13"/>
      <c r="NOH52" s="13"/>
      <c r="NOJ52" s="13"/>
      <c r="NON52" s="13"/>
      <c r="NOO52" s="13"/>
      <c r="NOP52" s="15"/>
      <c r="NOQ52" s="16"/>
      <c r="NOR52" s="12"/>
      <c r="NOS52" s="12"/>
      <c r="NOT52" s="12"/>
      <c r="NOU52" s="12"/>
      <c r="NOV52" s="12"/>
      <c r="NOW52" s="12"/>
      <c r="NOX52" s="12"/>
      <c r="NOY52" s="18"/>
      <c r="NPC52" s="13"/>
      <c r="NPD52" s="14"/>
      <c r="NPE52" s="14"/>
      <c r="NPF52" s="20"/>
      <c r="NPG52" s="13"/>
      <c r="NPH52" s="13"/>
      <c r="NPJ52" s="13"/>
      <c r="NPN52" s="13"/>
      <c r="NPO52" s="13"/>
      <c r="NPP52" s="15"/>
      <c r="NPQ52" s="16"/>
      <c r="NPR52" s="12"/>
      <c r="NPS52" s="12"/>
      <c r="NPT52" s="12"/>
      <c r="NPU52" s="12"/>
      <c r="NPV52" s="12"/>
      <c r="NPW52" s="12"/>
      <c r="NPX52" s="12"/>
      <c r="NPY52" s="18"/>
      <c r="NQC52" s="13"/>
      <c r="NQD52" s="14"/>
      <c r="NQE52" s="14"/>
      <c r="NQF52" s="20"/>
      <c r="NQG52" s="13"/>
      <c r="NQH52" s="13"/>
      <c r="NQJ52" s="13"/>
      <c r="NQN52" s="13"/>
      <c r="NQO52" s="13"/>
      <c r="NQP52" s="15"/>
      <c r="NQQ52" s="16"/>
      <c r="NQR52" s="12"/>
      <c r="NQS52" s="12"/>
      <c r="NQT52" s="12"/>
      <c r="NQU52" s="12"/>
      <c r="NQV52" s="12"/>
      <c r="NQW52" s="12"/>
      <c r="NQX52" s="12"/>
      <c r="NQY52" s="18"/>
      <c r="NRC52" s="13"/>
      <c r="NRD52" s="14"/>
      <c r="NRE52" s="14"/>
      <c r="NRF52" s="20"/>
      <c r="NRG52" s="13"/>
      <c r="NRH52" s="13"/>
      <c r="NRJ52" s="13"/>
      <c r="NRN52" s="13"/>
      <c r="NRO52" s="13"/>
      <c r="NRP52" s="15"/>
      <c r="NRQ52" s="16"/>
      <c r="NRR52" s="12"/>
      <c r="NRS52" s="12"/>
      <c r="NRT52" s="12"/>
      <c r="NRU52" s="12"/>
      <c r="NRV52" s="12"/>
      <c r="NRW52" s="12"/>
      <c r="NRX52" s="12"/>
      <c r="NRY52" s="18"/>
      <c r="NSC52" s="13"/>
      <c r="NSD52" s="14"/>
      <c r="NSE52" s="14"/>
      <c r="NSF52" s="20"/>
      <c r="NSG52" s="13"/>
      <c r="NSH52" s="13"/>
      <c r="NSJ52" s="13"/>
      <c r="NSN52" s="13"/>
      <c r="NSO52" s="13"/>
      <c r="NSP52" s="15"/>
      <c r="NSQ52" s="16"/>
      <c r="NSR52" s="12"/>
      <c r="NSS52" s="12"/>
      <c r="NST52" s="12"/>
      <c r="NSU52" s="12"/>
      <c r="NSV52" s="12"/>
      <c r="NSW52" s="12"/>
      <c r="NSX52" s="12"/>
      <c r="NSY52" s="18"/>
      <c r="NTC52" s="13"/>
      <c r="NTD52" s="14"/>
      <c r="NTE52" s="14"/>
      <c r="NTF52" s="20"/>
      <c r="NTG52" s="13"/>
      <c r="NTH52" s="13"/>
      <c r="NTJ52" s="13"/>
      <c r="NTN52" s="13"/>
      <c r="NTO52" s="13"/>
      <c r="NTP52" s="15"/>
      <c r="NTQ52" s="16"/>
      <c r="NTR52" s="12"/>
      <c r="NTS52" s="12"/>
      <c r="NTT52" s="12"/>
      <c r="NTU52" s="12"/>
      <c r="NTV52" s="12"/>
      <c r="NTW52" s="12"/>
      <c r="NTX52" s="12"/>
      <c r="NTY52" s="18"/>
      <c r="NUC52" s="13"/>
      <c r="NUD52" s="14"/>
      <c r="NUE52" s="14"/>
      <c r="NUF52" s="20"/>
      <c r="NUG52" s="13"/>
      <c r="NUH52" s="13"/>
      <c r="NUJ52" s="13"/>
      <c r="NUN52" s="13"/>
      <c r="NUO52" s="13"/>
      <c r="NUP52" s="15"/>
      <c r="NUQ52" s="16"/>
      <c r="NUR52" s="12"/>
      <c r="NUS52" s="12"/>
      <c r="NUT52" s="12"/>
      <c r="NUU52" s="12"/>
      <c r="NUV52" s="12"/>
      <c r="NUW52" s="12"/>
      <c r="NUX52" s="12"/>
      <c r="NUY52" s="18"/>
      <c r="NVC52" s="13"/>
      <c r="NVD52" s="14"/>
      <c r="NVE52" s="14"/>
      <c r="NVF52" s="20"/>
      <c r="NVG52" s="13"/>
      <c r="NVH52" s="13"/>
      <c r="NVJ52" s="13"/>
      <c r="NVN52" s="13"/>
      <c r="NVO52" s="13"/>
      <c r="NVP52" s="15"/>
      <c r="NVQ52" s="16"/>
      <c r="NVR52" s="12"/>
      <c r="NVS52" s="12"/>
      <c r="NVT52" s="12"/>
      <c r="NVU52" s="12"/>
      <c r="NVV52" s="12"/>
      <c r="NVW52" s="12"/>
      <c r="NVX52" s="12"/>
      <c r="NVY52" s="18"/>
      <c r="NWC52" s="13"/>
      <c r="NWD52" s="14"/>
      <c r="NWE52" s="14"/>
      <c r="NWF52" s="20"/>
      <c r="NWG52" s="13"/>
      <c r="NWH52" s="13"/>
      <c r="NWJ52" s="13"/>
      <c r="NWN52" s="13"/>
      <c r="NWO52" s="13"/>
      <c r="NWP52" s="15"/>
      <c r="NWQ52" s="16"/>
      <c r="NWR52" s="12"/>
      <c r="NWS52" s="12"/>
      <c r="NWT52" s="12"/>
      <c r="NWU52" s="12"/>
      <c r="NWV52" s="12"/>
      <c r="NWW52" s="12"/>
      <c r="NWX52" s="12"/>
      <c r="NWY52" s="18"/>
      <c r="NXC52" s="13"/>
      <c r="NXD52" s="14"/>
      <c r="NXE52" s="14"/>
      <c r="NXF52" s="20"/>
      <c r="NXG52" s="13"/>
      <c r="NXH52" s="13"/>
      <c r="NXJ52" s="13"/>
      <c r="NXN52" s="13"/>
      <c r="NXO52" s="13"/>
      <c r="NXP52" s="15"/>
      <c r="NXQ52" s="16"/>
      <c r="NXR52" s="12"/>
      <c r="NXS52" s="12"/>
      <c r="NXT52" s="12"/>
      <c r="NXU52" s="12"/>
      <c r="NXV52" s="12"/>
      <c r="NXW52" s="12"/>
      <c r="NXX52" s="12"/>
      <c r="NXY52" s="18"/>
      <c r="NYC52" s="13"/>
      <c r="NYD52" s="14"/>
      <c r="NYE52" s="14"/>
      <c r="NYF52" s="20"/>
      <c r="NYG52" s="13"/>
      <c r="NYH52" s="13"/>
      <c r="NYJ52" s="13"/>
      <c r="NYN52" s="13"/>
      <c r="NYO52" s="13"/>
      <c r="NYP52" s="15"/>
      <c r="NYQ52" s="16"/>
      <c r="NYR52" s="12"/>
      <c r="NYS52" s="12"/>
      <c r="NYT52" s="12"/>
      <c r="NYU52" s="12"/>
      <c r="NYV52" s="12"/>
      <c r="NYW52" s="12"/>
      <c r="NYX52" s="12"/>
      <c r="NYY52" s="18"/>
      <c r="NZC52" s="13"/>
      <c r="NZD52" s="14"/>
      <c r="NZE52" s="14"/>
      <c r="NZF52" s="20"/>
      <c r="NZG52" s="13"/>
      <c r="NZH52" s="13"/>
      <c r="NZJ52" s="13"/>
      <c r="NZN52" s="13"/>
      <c r="NZO52" s="13"/>
      <c r="NZP52" s="15"/>
      <c r="NZQ52" s="16"/>
      <c r="NZR52" s="12"/>
      <c r="NZS52" s="12"/>
      <c r="NZT52" s="12"/>
      <c r="NZU52" s="12"/>
      <c r="NZV52" s="12"/>
      <c r="NZW52" s="12"/>
      <c r="NZX52" s="12"/>
      <c r="NZY52" s="18"/>
      <c r="OAC52" s="13"/>
      <c r="OAD52" s="14"/>
      <c r="OAE52" s="14"/>
      <c r="OAF52" s="20"/>
      <c r="OAG52" s="13"/>
      <c r="OAH52" s="13"/>
      <c r="OAJ52" s="13"/>
      <c r="OAN52" s="13"/>
      <c r="OAO52" s="13"/>
      <c r="OAP52" s="15"/>
      <c r="OAQ52" s="16"/>
      <c r="OAR52" s="12"/>
      <c r="OAS52" s="12"/>
      <c r="OAT52" s="12"/>
      <c r="OAU52" s="12"/>
      <c r="OAV52" s="12"/>
      <c r="OAW52" s="12"/>
      <c r="OAX52" s="12"/>
      <c r="OAY52" s="18"/>
      <c r="OBC52" s="13"/>
      <c r="OBD52" s="14"/>
      <c r="OBE52" s="14"/>
      <c r="OBF52" s="20"/>
      <c r="OBG52" s="13"/>
      <c r="OBH52" s="13"/>
      <c r="OBJ52" s="13"/>
      <c r="OBN52" s="13"/>
      <c r="OBO52" s="13"/>
      <c r="OBP52" s="15"/>
      <c r="OBQ52" s="16"/>
      <c r="OBR52" s="12"/>
      <c r="OBS52" s="12"/>
      <c r="OBT52" s="12"/>
      <c r="OBU52" s="12"/>
      <c r="OBV52" s="12"/>
      <c r="OBW52" s="12"/>
      <c r="OBX52" s="12"/>
      <c r="OBY52" s="18"/>
      <c r="OCC52" s="13"/>
      <c r="OCD52" s="14"/>
      <c r="OCE52" s="14"/>
      <c r="OCF52" s="20"/>
      <c r="OCG52" s="13"/>
      <c r="OCH52" s="13"/>
      <c r="OCJ52" s="13"/>
      <c r="OCN52" s="13"/>
      <c r="OCO52" s="13"/>
      <c r="OCP52" s="15"/>
      <c r="OCQ52" s="16"/>
      <c r="OCR52" s="12"/>
      <c r="OCS52" s="12"/>
      <c r="OCT52" s="12"/>
      <c r="OCU52" s="12"/>
      <c r="OCV52" s="12"/>
      <c r="OCW52" s="12"/>
      <c r="OCX52" s="12"/>
      <c r="OCY52" s="18"/>
      <c r="ODC52" s="13"/>
      <c r="ODD52" s="14"/>
      <c r="ODE52" s="14"/>
      <c r="ODF52" s="20"/>
      <c r="ODG52" s="13"/>
      <c r="ODH52" s="13"/>
      <c r="ODJ52" s="13"/>
      <c r="ODN52" s="13"/>
      <c r="ODO52" s="13"/>
      <c r="ODP52" s="15"/>
      <c r="ODQ52" s="16"/>
      <c r="ODR52" s="12"/>
      <c r="ODS52" s="12"/>
      <c r="ODT52" s="12"/>
      <c r="ODU52" s="12"/>
      <c r="ODV52" s="12"/>
      <c r="ODW52" s="12"/>
      <c r="ODX52" s="12"/>
      <c r="ODY52" s="18"/>
      <c r="OEC52" s="13"/>
      <c r="OED52" s="14"/>
      <c r="OEE52" s="14"/>
      <c r="OEF52" s="20"/>
      <c r="OEG52" s="13"/>
      <c r="OEH52" s="13"/>
      <c r="OEJ52" s="13"/>
      <c r="OEN52" s="13"/>
      <c r="OEO52" s="13"/>
      <c r="OEP52" s="15"/>
      <c r="OEQ52" s="16"/>
      <c r="OER52" s="12"/>
      <c r="OES52" s="12"/>
      <c r="OET52" s="12"/>
      <c r="OEU52" s="12"/>
      <c r="OEV52" s="12"/>
      <c r="OEW52" s="12"/>
      <c r="OEX52" s="12"/>
      <c r="OEY52" s="18"/>
      <c r="OFC52" s="13"/>
      <c r="OFD52" s="14"/>
      <c r="OFE52" s="14"/>
      <c r="OFF52" s="20"/>
      <c r="OFG52" s="13"/>
      <c r="OFH52" s="13"/>
      <c r="OFJ52" s="13"/>
      <c r="OFN52" s="13"/>
      <c r="OFO52" s="13"/>
      <c r="OFP52" s="15"/>
      <c r="OFQ52" s="16"/>
      <c r="OFR52" s="12"/>
      <c r="OFS52" s="12"/>
      <c r="OFT52" s="12"/>
      <c r="OFU52" s="12"/>
      <c r="OFV52" s="12"/>
      <c r="OFW52" s="12"/>
      <c r="OFX52" s="12"/>
      <c r="OFY52" s="18"/>
      <c r="OGC52" s="13"/>
      <c r="OGD52" s="14"/>
      <c r="OGE52" s="14"/>
      <c r="OGF52" s="20"/>
      <c r="OGG52" s="13"/>
      <c r="OGH52" s="13"/>
      <c r="OGJ52" s="13"/>
      <c r="OGN52" s="13"/>
      <c r="OGO52" s="13"/>
      <c r="OGP52" s="15"/>
      <c r="OGQ52" s="16"/>
      <c r="OGR52" s="12"/>
      <c r="OGS52" s="12"/>
      <c r="OGT52" s="12"/>
      <c r="OGU52" s="12"/>
      <c r="OGV52" s="12"/>
      <c r="OGW52" s="12"/>
      <c r="OGX52" s="12"/>
      <c r="OGY52" s="18"/>
      <c r="OHC52" s="13"/>
      <c r="OHD52" s="14"/>
      <c r="OHE52" s="14"/>
      <c r="OHF52" s="20"/>
      <c r="OHG52" s="13"/>
      <c r="OHH52" s="13"/>
      <c r="OHJ52" s="13"/>
      <c r="OHN52" s="13"/>
      <c r="OHO52" s="13"/>
      <c r="OHP52" s="15"/>
      <c r="OHQ52" s="16"/>
      <c r="OHR52" s="12"/>
      <c r="OHS52" s="12"/>
      <c r="OHT52" s="12"/>
      <c r="OHU52" s="12"/>
      <c r="OHV52" s="12"/>
      <c r="OHW52" s="12"/>
      <c r="OHX52" s="12"/>
      <c r="OHY52" s="18"/>
      <c r="OIC52" s="13"/>
      <c r="OID52" s="14"/>
      <c r="OIE52" s="14"/>
      <c r="OIF52" s="20"/>
      <c r="OIG52" s="13"/>
      <c r="OIH52" s="13"/>
      <c r="OIJ52" s="13"/>
      <c r="OIN52" s="13"/>
      <c r="OIO52" s="13"/>
      <c r="OIP52" s="15"/>
      <c r="OIQ52" s="16"/>
      <c r="OIR52" s="12"/>
      <c r="OIS52" s="12"/>
      <c r="OIT52" s="12"/>
      <c r="OIU52" s="12"/>
      <c r="OIV52" s="12"/>
      <c r="OIW52" s="12"/>
      <c r="OIX52" s="12"/>
      <c r="OIY52" s="18"/>
      <c r="OJC52" s="13"/>
      <c r="OJD52" s="14"/>
      <c r="OJE52" s="14"/>
      <c r="OJF52" s="20"/>
      <c r="OJG52" s="13"/>
      <c r="OJH52" s="13"/>
      <c r="OJJ52" s="13"/>
      <c r="OJN52" s="13"/>
      <c r="OJO52" s="13"/>
      <c r="OJP52" s="15"/>
      <c r="OJQ52" s="16"/>
      <c r="OJR52" s="12"/>
      <c r="OJS52" s="12"/>
      <c r="OJT52" s="12"/>
      <c r="OJU52" s="12"/>
      <c r="OJV52" s="12"/>
      <c r="OJW52" s="12"/>
      <c r="OJX52" s="12"/>
      <c r="OJY52" s="18"/>
      <c r="OKC52" s="13"/>
      <c r="OKD52" s="14"/>
      <c r="OKE52" s="14"/>
      <c r="OKF52" s="20"/>
      <c r="OKG52" s="13"/>
      <c r="OKH52" s="13"/>
      <c r="OKJ52" s="13"/>
      <c r="OKN52" s="13"/>
      <c r="OKO52" s="13"/>
      <c r="OKP52" s="15"/>
      <c r="OKQ52" s="16"/>
      <c r="OKR52" s="12"/>
      <c r="OKS52" s="12"/>
      <c r="OKT52" s="12"/>
      <c r="OKU52" s="12"/>
      <c r="OKV52" s="12"/>
      <c r="OKW52" s="12"/>
      <c r="OKX52" s="12"/>
      <c r="OKY52" s="18"/>
      <c r="OLC52" s="13"/>
      <c r="OLD52" s="14"/>
      <c r="OLE52" s="14"/>
      <c r="OLF52" s="20"/>
      <c r="OLG52" s="13"/>
      <c r="OLH52" s="13"/>
      <c r="OLJ52" s="13"/>
      <c r="OLN52" s="13"/>
      <c r="OLO52" s="13"/>
      <c r="OLP52" s="15"/>
      <c r="OLQ52" s="16"/>
      <c r="OLR52" s="12"/>
      <c r="OLS52" s="12"/>
      <c r="OLT52" s="12"/>
      <c r="OLU52" s="12"/>
      <c r="OLV52" s="12"/>
      <c r="OLW52" s="12"/>
      <c r="OLX52" s="12"/>
      <c r="OLY52" s="18"/>
      <c r="OMC52" s="13"/>
      <c r="OMD52" s="14"/>
      <c r="OME52" s="14"/>
      <c r="OMF52" s="20"/>
      <c r="OMG52" s="13"/>
      <c r="OMH52" s="13"/>
      <c r="OMJ52" s="13"/>
      <c r="OMN52" s="13"/>
      <c r="OMO52" s="13"/>
      <c r="OMP52" s="15"/>
      <c r="OMQ52" s="16"/>
      <c r="OMR52" s="12"/>
      <c r="OMS52" s="12"/>
      <c r="OMT52" s="12"/>
      <c r="OMU52" s="12"/>
      <c r="OMV52" s="12"/>
      <c r="OMW52" s="12"/>
      <c r="OMX52" s="12"/>
      <c r="OMY52" s="18"/>
      <c r="ONC52" s="13"/>
      <c r="OND52" s="14"/>
      <c r="ONE52" s="14"/>
      <c r="ONF52" s="20"/>
      <c r="ONG52" s="13"/>
      <c r="ONH52" s="13"/>
      <c r="ONJ52" s="13"/>
      <c r="ONN52" s="13"/>
      <c r="ONO52" s="13"/>
      <c r="ONP52" s="15"/>
      <c r="ONQ52" s="16"/>
      <c r="ONR52" s="12"/>
      <c r="ONS52" s="12"/>
      <c r="ONT52" s="12"/>
      <c r="ONU52" s="12"/>
      <c r="ONV52" s="12"/>
      <c r="ONW52" s="12"/>
      <c r="ONX52" s="12"/>
      <c r="ONY52" s="18"/>
      <c r="OOC52" s="13"/>
      <c r="OOD52" s="14"/>
      <c r="OOE52" s="14"/>
      <c r="OOF52" s="20"/>
      <c r="OOG52" s="13"/>
      <c r="OOH52" s="13"/>
      <c r="OOJ52" s="13"/>
      <c r="OON52" s="13"/>
      <c r="OOO52" s="13"/>
      <c r="OOP52" s="15"/>
      <c r="OOQ52" s="16"/>
      <c r="OOR52" s="12"/>
      <c r="OOS52" s="12"/>
      <c r="OOT52" s="12"/>
      <c r="OOU52" s="12"/>
      <c r="OOV52" s="12"/>
      <c r="OOW52" s="12"/>
      <c r="OOX52" s="12"/>
      <c r="OOY52" s="18"/>
      <c r="OPC52" s="13"/>
      <c r="OPD52" s="14"/>
      <c r="OPE52" s="14"/>
      <c r="OPF52" s="20"/>
      <c r="OPG52" s="13"/>
      <c r="OPH52" s="13"/>
      <c r="OPJ52" s="13"/>
      <c r="OPN52" s="13"/>
      <c r="OPO52" s="13"/>
      <c r="OPP52" s="15"/>
      <c r="OPQ52" s="16"/>
      <c r="OPR52" s="12"/>
      <c r="OPS52" s="12"/>
      <c r="OPT52" s="12"/>
      <c r="OPU52" s="12"/>
      <c r="OPV52" s="12"/>
      <c r="OPW52" s="12"/>
      <c r="OPX52" s="12"/>
      <c r="OPY52" s="18"/>
      <c r="OQC52" s="13"/>
      <c r="OQD52" s="14"/>
      <c r="OQE52" s="14"/>
      <c r="OQF52" s="20"/>
      <c r="OQG52" s="13"/>
      <c r="OQH52" s="13"/>
      <c r="OQJ52" s="13"/>
      <c r="OQN52" s="13"/>
      <c r="OQO52" s="13"/>
      <c r="OQP52" s="15"/>
      <c r="OQQ52" s="16"/>
      <c r="OQR52" s="12"/>
      <c r="OQS52" s="12"/>
      <c r="OQT52" s="12"/>
      <c r="OQU52" s="12"/>
      <c r="OQV52" s="12"/>
      <c r="OQW52" s="12"/>
      <c r="OQX52" s="12"/>
      <c r="OQY52" s="18"/>
      <c r="ORC52" s="13"/>
      <c r="ORD52" s="14"/>
      <c r="ORE52" s="14"/>
      <c r="ORF52" s="20"/>
      <c r="ORG52" s="13"/>
      <c r="ORH52" s="13"/>
      <c r="ORJ52" s="13"/>
      <c r="ORN52" s="13"/>
      <c r="ORO52" s="13"/>
      <c r="ORP52" s="15"/>
      <c r="ORQ52" s="16"/>
      <c r="ORR52" s="12"/>
      <c r="ORS52" s="12"/>
      <c r="ORT52" s="12"/>
      <c r="ORU52" s="12"/>
      <c r="ORV52" s="12"/>
      <c r="ORW52" s="12"/>
      <c r="ORX52" s="12"/>
      <c r="ORY52" s="18"/>
      <c r="OSC52" s="13"/>
      <c r="OSD52" s="14"/>
      <c r="OSE52" s="14"/>
      <c r="OSF52" s="20"/>
      <c r="OSG52" s="13"/>
      <c r="OSH52" s="13"/>
      <c r="OSJ52" s="13"/>
      <c r="OSN52" s="13"/>
      <c r="OSO52" s="13"/>
      <c r="OSP52" s="15"/>
      <c r="OSQ52" s="16"/>
      <c r="OSR52" s="12"/>
      <c r="OSS52" s="12"/>
      <c r="OST52" s="12"/>
      <c r="OSU52" s="12"/>
      <c r="OSV52" s="12"/>
      <c r="OSW52" s="12"/>
      <c r="OSX52" s="12"/>
      <c r="OSY52" s="18"/>
      <c r="OTC52" s="13"/>
      <c r="OTD52" s="14"/>
      <c r="OTE52" s="14"/>
      <c r="OTF52" s="20"/>
      <c r="OTG52" s="13"/>
      <c r="OTH52" s="13"/>
      <c r="OTJ52" s="13"/>
      <c r="OTN52" s="13"/>
      <c r="OTO52" s="13"/>
      <c r="OTP52" s="15"/>
      <c r="OTQ52" s="16"/>
      <c r="OTR52" s="12"/>
      <c r="OTS52" s="12"/>
      <c r="OTT52" s="12"/>
      <c r="OTU52" s="12"/>
      <c r="OTV52" s="12"/>
      <c r="OTW52" s="12"/>
      <c r="OTX52" s="12"/>
      <c r="OTY52" s="18"/>
      <c r="OUC52" s="13"/>
      <c r="OUD52" s="14"/>
      <c r="OUE52" s="14"/>
      <c r="OUF52" s="20"/>
      <c r="OUG52" s="13"/>
      <c r="OUH52" s="13"/>
      <c r="OUJ52" s="13"/>
      <c r="OUN52" s="13"/>
      <c r="OUO52" s="13"/>
      <c r="OUP52" s="15"/>
      <c r="OUQ52" s="16"/>
      <c r="OUR52" s="12"/>
      <c r="OUS52" s="12"/>
      <c r="OUT52" s="12"/>
      <c r="OUU52" s="12"/>
      <c r="OUV52" s="12"/>
      <c r="OUW52" s="12"/>
      <c r="OUX52" s="12"/>
      <c r="OUY52" s="18"/>
      <c r="OVC52" s="13"/>
      <c r="OVD52" s="14"/>
      <c r="OVE52" s="14"/>
      <c r="OVF52" s="20"/>
      <c r="OVG52" s="13"/>
      <c r="OVH52" s="13"/>
      <c r="OVJ52" s="13"/>
      <c r="OVN52" s="13"/>
      <c r="OVO52" s="13"/>
      <c r="OVP52" s="15"/>
      <c r="OVQ52" s="16"/>
      <c r="OVR52" s="12"/>
      <c r="OVS52" s="12"/>
      <c r="OVT52" s="12"/>
      <c r="OVU52" s="12"/>
      <c r="OVV52" s="12"/>
      <c r="OVW52" s="12"/>
      <c r="OVX52" s="12"/>
      <c r="OVY52" s="18"/>
      <c r="OWC52" s="13"/>
      <c r="OWD52" s="14"/>
      <c r="OWE52" s="14"/>
      <c r="OWF52" s="20"/>
      <c r="OWG52" s="13"/>
      <c r="OWH52" s="13"/>
      <c r="OWJ52" s="13"/>
      <c r="OWN52" s="13"/>
      <c r="OWO52" s="13"/>
      <c r="OWP52" s="15"/>
      <c r="OWQ52" s="16"/>
      <c r="OWR52" s="12"/>
      <c r="OWS52" s="12"/>
      <c r="OWT52" s="12"/>
      <c r="OWU52" s="12"/>
      <c r="OWV52" s="12"/>
      <c r="OWW52" s="12"/>
      <c r="OWX52" s="12"/>
      <c r="OWY52" s="18"/>
      <c r="OXC52" s="13"/>
      <c r="OXD52" s="14"/>
      <c r="OXE52" s="14"/>
      <c r="OXF52" s="20"/>
      <c r="OXG52" s="13"/>
      <c r="OXH52" s="13"/>
      <c r="OXJ52" s="13"/>
      <c r="OXN52" s="13"/>
      <c r="OXO52" s="13"/>
      <c r="OXP52" s="15"/>
      <c r="OXQ52" s="16"/>
      <c r="OXR52" s="12"/>
      <c r="OXS52" s="12"/>
      <c r="OXT52" s="12"/>
      <c r="OXU52" s="12"/>
      <c r="OXV52" s="12"/>
      <c r="OXW52" s="12"/>
      <c r="OXX52" s="12"/>
      <c r="OXY52" s="18"/>
      <c r="OYC52" s="13"/>
      <c r="OYD52" s="14"/>
      <c r="OYE52" s="14"/>
      <c r="OYF52" s="20"/>
      <c r="OYG52" s="13"/>
      <c r="OYH52" s="13"/>
      <c r="OYJ52" s="13"/>
      <c r="OYN52" s="13"/>
      <c r="OYO52" s="13"/>
      <c r="OYP52" s="15"/>
      <c r="OYQ52" s="16"/>
      <c r="OYR52" s="12"/>
      <c r="OYS52" s="12"/>
      <c r="OYT52" s="12"/>
      <c r="OYU52" s="12"/>
      <c r="OYV52" s="12"/>
      <c r="OYW52" s="12"/>
      <c r="OYX52" s="12"/>
      <c r="OYY52" s="18"/>
      <c r="OZC52" s="13"/>
      <c r="OZD52" s="14"/>
      <c r="OZE52" s="14"/>
      <c r="OZF52" s="20"/>
      <c r="OZG52" s="13"/>
      <c r="OZH52" s="13"/>
      <c r="OZJ52" s="13"/>
      <c r="OZN52" s="13"/>
      <c r="OZO52" s="13"/>
      <c r="OZP52" s="15"/>
      <c r="OZQ52" s="16"/>
      <c r="OZR52" s="12"/>
      <c r="OZS52" s="12"/>
      <c r="OZT52" s="12"/>
      <c r="OZU52" s="12"/>
      <c r="OZV52" s="12"/>
      <c r="OZW52" s="12"/>
      <c r="OZX52" s="12"/>
      <c r="OZY52" s="18"/>
      <c r="PAC52" s="13"/>
      <c r="PAD52" s="14"/>
      <c r="PAE52" s="14"/>
      <c r="PAF52" s="20"/>
      <c r="PAG52" s="13"/>
      <c r="PAH52" s="13"/>
      <c r="PAJ52" s="13"/>
      <c r="PAN52" s="13"/>
      <c r="PAO52" s="13"/>
      <c r="PAP52" s="15"/>
      <c r="PAQ52" s="16"/>
      <c r="PAR52" s="12"/>
      <c r="PAS52" s="12"/>
      <c r="PAT52" s="12"/>
      <c r="PAU52" s="12"/>
      <c r="PAV52" s="12"/>
      <c r="PAW52" s="12"/>
      <c r="PAX52" s="12"/>
      <c r="PAY52" s="18"/>
      <c r="PBC52" s="13"/>
      <c r="PBD52" s="14"/>
      <c r="PBE52" s="14"/>
      <c r="PBF52" s="20"/>
      <c r="PBG52" s="13"/>
      <c r="PBH52" s="13"/>
      <c r="PBJ52" s="13"/>
      <c r="PBN52" s="13"/>
      <c r="PBO52" s="13"/>
      <c r="PBP52" s="15"/>
      <c r="PBQ52" s="16"/>
      <c r="PBR52" s="12"/>
      <c r="PBS52" s="12"/>
      <c r="PBT52" s="12"/>
      <c r="PBU52" s="12"/>
      <c r="PBV52" s="12"/>
      <c r="PBW52" s="12"/>
      <c r="PBX52" s="12"/>
      <c r="PBY52" s="18"/>
      <c r="PCC52" s="13"/>
      <c r="PCD52" s="14"/>
      <c r="PCE52" s="14"/>
      <c r="PCF52" s="20"/>
      <c r="PCG52" s="13"/>
      <c r="PCH52" s="13"/>
      <c r="PCJ52" s="13"/>
      <c r="PCN52" s="13"/>
      <c r="PCO52" s="13"/>
      <c r="PCP52" s="15"/>
      <c r="PCQ52" s="16"/>
      <c r="PCR52" s="12"/>
      <c r="PCS52" s="12"/>
      <c r="PCT52" s="12"/>
      <c r="PCU52" s="12"/>
      <c r="PCV52" s="12"/>
      <c r="PCW52" s="12"/>
      <c r="PCX52" s="12"/>
      <c r="PCY52" s="18"/>
      <c r="PDC52" s="13"/>
      <c r="PDD52" s="14"/>
      <c r="PDE52" s="14"/>
      <c r="PDF52" s="20"/>
      <c r="PDG52" s="13"/>
      <c r="PDH52" s="13"/>
      <c r="PDJ52" s="13"/>
      <c r="PDN52" s="13"/>
      <c r="PDO52" s="13"/>
      <c r="PDP52" s="15"/>
      <c r="PDQ52" s="16"/>
      <c r="PDR52" s="12"/>
      <c r="PDS52" s="12"/>
      <c r="PDT52" s="12"/>
      <c r="PDU52" s="12"/>
      <c r="PDV52" s="12"/>
      <c r="PDW52" s="12"/>
      <c r="PDX52" s="12"/>
      <c r="PDY52" s="18"/>
      <c r="PEC52" s="13"/>
      <c r="PED52" s="14"/>
      <c r="PEE52" s="14"/>
      <c r="PEF52" s="20"/>
      <c r="PEG52" s="13"/>
      <c r="PEH52" s="13"/>
      <c r="PEJ52" s="13"/>
      <c r="PEN52" s="13"/>
      <c r="PEO52" s="13"/>
      <c r="PEP52" s="15"/>
      <c r="PEQ52" s="16"/>
      <c r="PER52" s="12"/>
      <c r="PES52" s="12"/>
      <c r="PET52" s="12"/>
      <c r="PEU52" s="12"/>
      <c r="PEV52" s="12"/>
      <c r="PEW52" s="12"/>
      <c r="PEX52" s="12"/>
      <c r="PEY52" s="18"/>
      <c r="PFC52" s="13"/>
      <c r="PFD52" s="14"/>
      <c r="PFE52" s="14"/>
      <c r="PFF52" s="20"/>
      <c r="PFG52" s="13"/>
      <c r="PFH52" s="13"/>
      <c r="PFJ52" s="13"/>
      <c r="PFN52" s="13"/>
      <c r="PFO52" s="13"/>
      <c r="PFP52" s="15"/>
      <c r="PFQ52" s="16"/>
      <c r="PFR52" s="12"/>
      <c r="PFS52" s="12"/>
      <c r="PFT52" s="12"/>
      <c r="PFU52" s="12"/>
      <c r="PFV52" s="12"/>
      <c r="PFW52" s="12"/>
      <c r="PFX52" s="12"/>
      <c r="PFY52" s="18"/>
      <c r="PGC52" s="13"/>
      <c r="PGD52" s="14"/>
      <c r="PGE52" s="14"/>
      <c r="PGF52" s="20"/>
      <c r="PGG52" s="13"/>
      <c r="PGH52" s="13"/>
      <c r="PGJ52" s="13"/>
      <c r="PGN52" s="13"/>
      <c r="PGO52" s="13"/>
      <c r="PGP52" s="15"/>
      <c r="PGQ52" s="16"/>
      <c r="PGR52" s="12"/>
      <c r="PGS52" s="12"/>
      <c r="PGT52" s="12"/>
      <c r="PGU52" s="12"/>
      <c r="PGV52" s="12"/>
      <c r="PGW52" s="12"/>
      <c r="PGX52" s="12"/>
      <c r="PGY52" s="18"/>
      <c r="PHC52" s="13"/>
      <c r="PHD52" s="14"/>
      <c r="PHE52" s="14"/>
      <c r="PHF52" s="20"/>
      <c r="PHG52" s="13"/>
      <c r="PHH52" s="13"/>
      <c r="PHJ52" s="13"/>
      <c r="PHN52" s="13"/>
      <c r="PHO52" s="13"/>
      <c r="PHP52" s="15"/>
      <c r="PHQ52" s="16"/>
      <c r="PHR52" s="12"/>
      <c r="PHS52" s="12"/>
      <c r="PHT52" s="12"/>
      <c r="PHU52" s="12"/>
      <c r="PHV52" s="12"/>
      <c r="PHW52" s="12"/>
      <c r="PHX52" s="12"/>
      <c r="PHY52" s="18"/>
      <c r="PIC52" s="13"/>
      <c r="PID52" s="14"/>
      <c r="PIE52" s="14"/>
      <c r="PIF52" s="20"/>
      <c r="PIG52" s="13"/>
      <c r="PIH52" s="13"/>
      <c r="PIJ52" s="13"/>
      <c r="PIN52" s="13"/>
      <c r="PIO52" s="13"/>
      <c r="PIP52" s="15"/>
      <c r="PIQ52" s="16"/>
      <c r="PIR52" s="12"/>
      <c r="PIS52" s="12"/>
      <c r="PIT52" s="12"/>
      <c r="PIU52" s="12"/>
      <c r="PIV52" s="12"/>
      <c r="PIW52" s="12"/>
      <c r="PIX52" s="12"/>
      <c r="PIY52" s="18"/>
      <c r="PJC52" s="13"/>
      <c r="PJD52" s="14"/>
      <c r="PJE52" s="14"/>
      <c r="PJF52" s="20"/>
      <c r="PJG52" s="13"/>
      <c r="PJH52" s="13"/>
      <c r="PJJ52" s="13"/>
      <c r="PJN52" s="13"/>
      <c r="PJO52" s="13"/>
      <c r="PJP52" s="15"/>
      <c r="PJQ52" s="16"/>
      <c r="PJR52" s="12"/>
      <c r="PJS52" s="12"/>
      <c r="PJT52" s="12"/>
      <c r="PJU52" s="12"/>
      <c r="PJV52" s="12"/>
      <c r="PJW52" s="12"/>
      <c r="PJX52" s="12"/>
      <c r="PJY52" s="18"/>
      <c r="PKC52" s="13"/>
      <c r="PKD52" s="14"/>
      <c r="PKE52" s="14"/>
      <c r="PKF52" s="20"/>
      <c r="PKG52" s="13"/>
      <c r="PKH52" s="13"/>
      <c r="PKJ52" s="13"/>
      <c r="PKN52" s="13"/>
      <c r="PKO52" s="13"/>
      <c r="PKP52" s="15"/>
      <c r="PKQ52" s="16"/>
      <c r="PKR52" s="12"/>
      <c r="PKS52" s="12"/>
      <c r="PKT52" s="12"/>
      <c r="PKU52" s="12"/>
      <c r="PKV52" s="12"/>
      <c r="PKW52" s="12"/>
      <c r="PKX52" s="12"/>
      <c r="PKY52" s="18"/>
      <c r="PLC52" s="13"/>
      <c r="PLD52" s="14"/>
      <c r="PLE52" s="14"/>
      <c r="PLF52" s="20"/>
      <c r="PLG52" s="13"/>
      <c r="PLH52" s="13"/>
      <c r="PLJ52" s="13"/>
      <c r="PLN52" s="13"/>
      <c r="PLO52" s="13"/>
      <c r="PLP52" s="15"/>
      <c r="PLQ52" s="16"/>
      <c r="PLR52" s="12"/>
      <c r="PLS52" s="12"/>
      <c r="PLT52" s="12"/>
      <c r="PLU52" s="12"/>
      <c r="PLV52" s="12"/>
      <c r="PLW52" s="12"/>
      <c r="PLX52" s="12"/>
      <c r="PLY52" s="18"/>
      <c r="PMC52" s="13"/>
      <c r="PMD52" s="14"/>
      <c r="PME52" s="14"/>
      <c r="PMF52" s="20"/>
      <c r="PMG52" s="13"/>
      <c r="PMH52" s="13"/>
      <c r="PMJ52" s="13"/>
      <c r="PMN52" s="13"/>
      <c r="PMO52" s="13"/>
      <c r="PMP52" s="15"/>
      <c r="PMQ52" s="16"/>
      <c r="PMR52" s="12"/>
      <c r="PMS52" s="12"/>
      <c r="PMT52" s="12"/>
      <c r="PMU52" s="12"/>
      <c r="PMV52" s="12"/>
      <c r="PMW52" s="12"/>
      <c r="PMX52" s="12"/>
      <c r="PMY52" s="18"/>
      <c r="PNC52" s="13"/>
      <c r="PND52" s="14"/>
      <c r="PNE52" s="14"/>
      <c r="PNF52" s="20"/>
      <c r="PNG52" s="13"/>
      <c r="PNH52" s="13"/>
      <c r="PNJ52" s="13"/>
      <c r="PNN52" s="13"/>
      <c r="PNO52" s="13"/>
      <c r="PNP52" s="15"/>
      <c r="PNQ52" s="16"/>
      <c r="PNR52" s="12"/>
      <c r="PNS52" s="12"/>
      <c r="PNT52" s="12"/>
      <c r="PNU52" s="12"/>
      <c r="PNV52" s="12"/>
      <c r="PNW52" s="12"/>
      <c r="PNX52" s="12"/>
      <c r="PNY52" s="18"/>
      <c r="POC52" s="13"/>
      <c r="POD52" s="14"/>
      <c r="POE52" s="14"/>
      <c r="POF52" s="20"/>
      <c r="POG52" s="13"/>
      <c r="POH52" s="13"/>
      <c r="POJ52" s="13"/>
      <c r="PON52" s="13"/>
      <c r="POO52" s="13"/>
      <c r="POP52" s="15"/>
      <c r="POQ52" s="16"/>
      <c r="POR52" s="12"/>
      <c r="POS52" s="12"/>
      <c r="POT52" s="12"/>
      <c r="POU52" s="12"/>
      <c r="POV52" s="12"/>
      <c r="POW52" s="12"/>
      <c r="POX52" s="12"/>
      <c r="POY52" s="18"/>
      <c r="PPC52" s="13"/>
      <c r="PPD52" s="14"/>
      <c r="PPE52" s="14"/>
      <c r="PPF52" s="20"/>
      <c r="PPG52" s="13"/>
      <c r="PPH52" s="13"/>
      <c r="PPJ52" s="13"/>
      <c r="PPN52" s="13"/>
      <c r="PPO52" s="13"/>
      <c r="PPP52" s="15"/>
      <c r="PPQ52" s="16"/>
      <c r="PPR52" s="12"/>
      <c r="PPS52" s="12"/>
      <c r="PPT52" s="12"/>
      <c r="PPU52" s="12"/>
      <c r="PPV52" s="12"/>
      <c r="PPW52" s="12"/>
      <c r="PPX52" s="12"/>
      <c r="PPY52" s="18"/>
      <c r="PQC52" s="13"/>
      <c r="PQD52" s="14"/>
      <c r="PQE52" s="14"/>
      <c r="PQF52" s="20"/>
      <c r="PQG52" s="13"/>
      <c r="PQH52" s="13"/>
      <c r="PQJ52" s="13"/>
      <c r="PQN52" s="13"/>
      <c r="PQO52" s="13"/>
      <c r="PQP52" s="15"/>
      <c r="PQQ52" s="16"/>
      <c r="PQR52" s="12"/>
      <c r="PQS52" s="12"/>
      <c r="PQT52" s="12"/>
      <c r="PQU52" s="12"/>
      <c r="PQV52" s="12"/>
      <c r="PQW52" s="12"/>
      <c r="PQX52" s="12"/>
      <c r="PQY52" s="18"/>
      <c r="PRC52" s="13"/>
      <c r="PRD52" s="14"/>
      <c r="PRE52" s="14"/>
      <c r="PRF52" s="20"/>
      <c r="PRG52" s="13"/>
      <c r="PRH52" s="13"/>
      <c r="PRJ52" s="13"/>
      <c r="PRN52" s="13"/>
      <c r="PRO52" s="13"/>
      <c r="PRP52" s="15"/>
      <c r="PRQ52" s="16"/>
      <c r="PRR52" s="12"/>
      <c r="PRS52" s="12"/>
      <c r="PRT52" s="12"/>
      <c r="PRU52" s="12"/>
      <c r="PRV52" s="12"/>
      <c r="PRW52" s="12"/>
      <c r="PRX52" s="12"/>
      <c r="PRY52" s="18"/>
      <c r="PSC52" s="13"/>
      <c r="PSD52" s="14"/>
      <c r="PSE52" s="14"/>
      <c r="PSF52" s="20"/>
      <c r="PSG52" s="13"/>
      <c r="PSH52" s="13"/>
      <c r="PSJ52" s="13"/>
      <c r="PSN52" s="13"/>
      <c r="PSO52" s="13"/>
      <c r="PSP52" s="15"/>
      <c r="PSQ52" s="16"/>
      <c r="PSR52" s="12"/>
      <c r="PSS52" s="12"/>
      <c r="PST52" s="12"/>
      <c r="PSU52" s="12"/>
      <c r="PSV52" s="12"/>
      <c r="PSW52" s="12"/>
      <c r="PSX52" s="12"/>
      <c r="PSY52" s="18"/>
      <c r="PTC52" s="13"/>
      <c r="PTD52" s="14"/>
      <c r="PTE52" s="14"/>
      <c r="PTF52" s="20"/>
      <c r="PTG52" s="13"/>
      <c r="PTH52" s="13"/>
      <c r="PTJ52" s="13"/>
      <c r="PTN52" s="13"/>
      <c r="PTO52" s="13"/>
      <c r="PTP52" s="15"/>
      <c r="PTQ52" s="16"/>
      <c r="PTR52" s="12"/>
      <c r="PTS52" s="12"/>
      <c r="PTT52" s="12"/>
      <c r="PTU52" s="12"/>
      <c r="PTV52" s="12"/>
      <c r="PTW52" s="12"/>
      <c r="PTX52" s="12"/>
      <c r="PTY52" s="18"/>
      <c r="PUC52" s="13"/>
      <c r="PUD52" s="14"/>
      <c r="PUE52" s="14"/>
      <c r="PUF52" s="20"/>
      <c r="PUG52" s="13"/>
      <c r="PUH52" s="13"/>
      <c r="PUJ52" s="13"/>
      <c r="PUN52" s="13"/>
      <c r="PUO52" s="13"/>
      <c r="PUP52" s="15"/>
      <c r="PUQ52" s="16"/>
      <c r="PUR52" s="12"/>
      <c r="PUS52" s="12"/>
      <c r="PUT52" s="12"/>
      <c r="PUU52" s="12"/>
      <c r="PUV52" s="12"/>
      <c r="PUW52" s="12"/>
      <c r="PUX52" s="12"/>
      <c r="PUY52" s="18"/>
      <c r="PVC52" s="13"/>
      <c r="PVD52" s="14"/>
      <c r="PVE52" s="14"/>
      <c r="PVF52" s="20"/>
      <c r="PVG52" s="13"/>
      <c r="PVH52" s="13"/>
      <c r="PVJ52" s="13"/>
      <c r="PVN52" s="13"/>
      <c r="PVO52" s="13"/>
      <c r="PVP52" s="15"/>
      <c r="PVQ52" s="16"/>
      <c r="PVR52" s="12"/>
      <c r="PVS52" s="12"/>
      <c r="PVT52" s="12"/>
      <c r="PVU52" s="12"/>
      <c r="PVV52" s="12"/>
      <c r="PVW52" s="12"/>
      <c r="PVX52" s="12"/>
      <c r="PVY52" s="18"/>
      <c r="PWC52" s="13"/>
      <c r="PWD52" s="14"/>
      <c r="PWE52" s="14"/>
      <c r="PWF52" s="20"/>
      <c r="PWG52" s="13"/>
      <c r="PWH52" s="13"/>
      <c r="PWJ52" s="13"/>
      <c r="PWN52" s="13"/>
      <c r="PWO52" s="13"/>
      <c r="PWP52" s="15"/>
      <c r="PWQ52" s="16"/>
      <c r="PWR52" s="12"/>
      <c r="PWS52" s="12"/>
      <c r="PWT52" s="12"/>
      <c r="PWU52" s="12"/>
      <c r="PWV52" s="12"/>
      <c r="PWW52" s="12"/>
      <c r="PWX52" s="12"/>
      <c r="PWY52" s="18"/>
      <c r="PXC52" s="13"/>
      <c r="PXD52" s="14"/>
      <c r="PXE52" s="14"/>
      <c r="PXF52" s="20"/>
      <c r="PXG52" s="13"/>
      <c r="PXH52" s="13"/>
      <c r="PXJ52" s="13"/>
      <c r="PXN52" s="13"/>
      <c r="PXO52" s="13"/>
      <c r="PXP52" s="15"/>
      <c r="PXQ52" s="16"/>
      <c r="PXR52" s="12"/>
      <c r="PXS52" s="12"/>
      <c r="PXT52" s="12"/>
      <c r="PXU52" s="12"/>
      <c r="PXV52" s="12"/>
      <c r="PXW52" s="12"/>
      <c r="PXX52" s="12"/>
      <c r="PXY52" s="18"/>
      <c r="PYC52" s="13"/>
      <c r="PYD52" s="14"/>
      <c r="PYE52" s="14"/>
      <c r="PYF52" s="20"/>
      <c r="PYG52" s="13"/>
      <c r="PYH52" s="13"/>
      <c r="PYJ52" s="13"/>
      <c r="PYN52" s="13"/>
      <c r="PYO52" s="13"/>
      <c r="PYP52" s="15"/>
      <c r="PYQ52" s="16"/>
      <c r="PYR52" s="12"/>
      <c r="PYS52" s="12"/>
      <c r="PYT52" s="12"/>
      <c r="PYU52" s="12"/>
      <c r="PYV52" s="12"/>
      <c r="PYW52" s="12"/>
      <c r="PYX52" s="12"/>
      <c r="PYY52" s="18"/>
      <c r="PZC52" s="13"/>
      <c r="PZD52" s="14"/>
      <c r="PZE52" s="14"/>
      <c r="PZF52" s="20"/>
      <c r="PZG52" s="13"/>
      <c r="PZH52" s="13"/>
      <c r="PZJ52" s="13"/>
      <c r="PZN52" s="13"/>
      <c r="PZO52" s="13"/>
      <c r="PZP52" s="15"/>
      <c r="PZQ52" s="16"/>
      <c r="PZR52" s="12"/>
      <c r="PZS52" s="12"/>
      <c r="PZT52" s="12"/>
      <c r="PZU52" s="12"/>
      <c r="PZV52" s="12"/>
      <c r="PZW52" s="12"/>
      <c r="PZX52" s="12"/>
      <c r="PZY52" s="18"/>
      <c r="QAC52" s="13"/>
      <c r="QAD52" s="14"/>
      <c r="QAE52" s="14"/>
      <c r="QAF52" s="20"/>
      <c r="QAG52" s="13"/>
      <c r="QAH52" s="13"/>
      <c r="QAJ52" s="13"/>
      <c r="QAN52" s="13"/>
      <c r="QAO52" s="13"/>
      <c r="QAP52" s="15"/>
      <c r="QAQ52" s="16"/>
      <c r="QAR52" s="12"/>
      <c r="QAS52" s="12"/>
      <c r="QAT52" s="12"/>
      <c r="QAU52" s="12"/>
      <c r="QAV52" s="12"/>
      <c r="QAW52" s="12"/>
      <c r="QAX52" s="12"/>
      <c r="QAY52" s="18"/>
      <c r="QBC52" s="13"/>
      <c r="QBD52" s="14"/>
      <c r="QBE52" s="14"/>
      <c r="QBF52" s="20"/>
      <c r="QBG52" s="13"/>
      <c r="QBH52" s="13"/>
      <c r="QBJ52" s="13"/>
      <c r="QBN52" s="13"/>
      <c r="QBO52" s="13"/>
      <c r="QBP52" s="15"/>
      <c r="QBQ52" s="16"/>
      <c r="QBR52" s="12"/>
      <c r="QBS52" s="12"/>
      <c r="QBT52" s="12"/>
      <c r="QBU52" s="12"/>
      <c r="QBV52" s="12"/>
      <c r="QBW52" s="12"/>
      <c r="QBX52" s="12"/>
      <c r="QBY52" s="18"/>
      <c r="QCC52" s="13"/>
      <c r="QCD52" s="14"/>
      <c r="QCE52" s="14"/>
      <c r="QCF52" s="20"/>
      <c r="QCG52" s="13"/>
      <c r="QCH52" s="13"/>
      <c r="QCJ52" s="13"/>
      <c r="QCN52" s="13"/>
      <c r="QCO52" s="13"/>
      <c r="QCP52" s="15"/>
      <c r="QCQ52" s="16"/>
      <c r="QCR52" s="12"/>
      <c r="QCS52" s="12"/>
      <c r="QCT52" s="12"/>
      <c r="QCU52" s="12"/>
      <c r="QCV52" s="12"/>
      <c r="QCW52" s="12"/>
      <c r="QCX52" s="12"/>
      <c r="QCY52" s="18"/>
      <c r="QDC52" s="13"/>
      <c r="QDD52" s="14"/>
      <c r="QDE52" s="14"/>
      <c r="QDF52" s="20"/>
      <c r="QDG52" s="13"/>
      <c r="QDH52" s="13"/>
      <c r="QDJ52" s="13"/>
      <c r="QDN52" s="13"/>
      <c r="QDO52" s="13"/>
      <c r="QDP52" s="15"/>
      <c r="QDQ52" s="16"/>
      <c r="QDR52" s="12"/>
      <c r="QDS52" s="12"/>
      <c r="QDT52" s="12"/>
      <c r="QDU52" s="12"/>
      <c r="QDV52" s="12"/>
      <c r="QDW52" s="12"/>
      <c r="QDX52" s="12"/>
      <c r="QDY52" s="18"/>
      <c r="QEC52" s="13"/>
      <c r="QED52" s="14"/>
      <c r="QEE52" s="14"/>
      <c r="QEF52" s="20"/>
      <c r="QEG52" s="13"/>
      <c r="QEH52" s="13"/>
      <c r="QEJ52" s="13"/>
      <c r="QEN52" s="13"/>
      <c r="QEO52" s="13"/>
      <c r="QEP52" s="15"/>
      <c r="QEQ52" s="16"/>
      <c r="QER52" s="12"/>
      <c r="QES52" s="12"/>
      <c r="QET52" s="12"/>
      <c r="QEU52" s="12"/>
      <c r="QEV52" s="12"/>
      <c r="QEW52" s="12"/>
      <c r="QEX52" s="12"/>
      <c r="QEY52" s="18"/>
      <c r="QFC52" s="13"/>
      <c r="QFD52" s="14"/>
      <c r="QFE52" s="14"/>
      <c r="QFF52" s="20"/>
      <c r="QFG52" s="13"/>
      <c r="QFH52" s="13"/>
      <c r="QFJ52" s="13"/>
      <c r="QFN52" s="13"/>
      <c r="QFO52" s="13"/>
      <c r="QFP52" s="15"/>
      <c r="QFQ52" s="16"/>
      <c r="QFR52" s="12"/>
      <c r="QFS52" s="12"/>
      <c r="QFT52" s="12"/>
      <c r="QFU52" s="12"/>
      <c r="QFV52" s="12"/>
      <c r="QFW52" s="12"/>
      <c r="QFX52" s="12"/>
      <c r="QFY52" s="18"/>
      <c r="QGC52" s="13"/>
      <c r="QGD52" s="14"/>
      <c r="QGE52" s="14"/>
      <c r="QGF52" s="20"/>
      <c r="QGG52" s="13"/>
      <c r="QGH52" s="13"/>
      <c r="QGJ52" s="13"/>
      <c r="QGN52" s="13"/>
      <c r="QGO52" s="13"/>
      <c r="QGP52" s="15"/>
      <c r="QGQ52" s="16"/>
      <c r="QGR52" s="12"/>
      <c r="QGS52" s="12"/>
      <c r="QGT52" s="12"/>
      <c r="QGU52" s="12"/>
      <c r="QGV52" s="12"/>
      <c r="QGW52" s="12"/>
      <c r="QGX52" s="12"/>
      <c r="QGY52" s="18"/>
      <c r="QHC52" s="13"/>
      <c r="QHD52" s="14"/>
      <c r="QHE52" s="14"/>
      <c r="QHF52" s="20"/>
      <c r="QHG52" s="13"/>
      <c r="QHH52" s="13"/>
      <c r="QHJ52" s="13"/>
      <c r="QHN52" s="13"/>
      <c r="QHO52" s="13"/>
      <c r="QHP52" s="15"/>
      <c r="QHQ52" s="16"/>
      <c r="QHR52" s="12"/>
      <c r="QHS52" s="12"/>
      <c r="QHT52" s="12"/>
      <c r="QHU52" s="12"/>
      <c r="QHV52" s="12"/>
      <c r="QHW52" s="12"/>
      <c r="QHX52" s="12"/>
      <c r="QHY52" s="18"/>
      <c r="QIC52" s="13"/>
      <c r="QID52" s="14"/>
      <c r="QIE52" s="14"/>
      <c r="QIF52" s="20"/>
      <c r="QIG52" s="13"/>
      <c r="QIH52" s="13"/>
      <c r="QIJ52" s="13"/>
      <c r="QIN52" s="13"/>
      <c r="QIO52" s="13"/>
      <c r="QIP52" s="15"/>
      <c r="QIQ52" s="16"/>
      <c r="QIR52" s="12"/>
      <c r="QIS52" s="12"/>
      <c r="QIT52" s="12"/>
      <c r="QIU52" s="12"/>
      <c r="QIV52" s="12"/>
      <c r="QIW52" s="12"/>
      <c r="QIX52" s="12"/>
      <c r="QIY52" s="18"/>
      <c r="QJC52" s="13"/>
      <c r="QJD52" s="14"/>
      <c r="QJE52" s="14"/>
      <c r="QJF52" s="20"/>
      <c r="QJG52" s="13"/>
      <c r="QJH52" s="13"/>
      <c r="QJJ52" s="13"/>
      <c r="QJN52" s="13"/>
      <c r="QJO52" s="13"/>
      <c r="QJP52" s="15"/>
      <c r="QJQ52" s="16"/>
      <c r="QJR52" s="12"/>
      <c r="QJS52" s="12"/>
      <c r="QJT52" s="12"/>
      <c r="QJU52" s="12"/>
      <c r="QJV52" s="12"/>
      <c r="QJW52" s="12"/>
      <c r="QJX52" s="12"/>
      <c r="QJY52" s="18"/>
      <c r="QKC52" s="13"/>
      <c r="QKD52" s="14"/>
      <c r="QKE52" s="14"/>
      <c r="QKF52" s="20"/>
      <c r="QKG52" s="13"/>
      <c r="QKH52" s="13"/>
      <c r="QKJ52" s="13"/>
      <c r="QKN52" s="13"/>
      <c r="QKO52" s="13"/>
      <c r="QKP52" s="15"/>
      <c r="QKQ52" s="16"/>
      <c r="QKR52" s="12"/>
      <c r="QKS52" s="12"/>
      <c r="QKT52" s="12"/>
      <c r="QKU52" s="12"/>
      <c r="QKV52" s="12"/>
      <c r="QKW52" s="12"/>
      <c r="QKX52" s="12"/>
      <c r="QKY52" s="18"/>
      <c r="QLC52" s="13"/>
      <c r="QLD52" s="14"/>
      <c r="QLE52" s="14"/>
      <c r="QLF52" s="20"/>
      <c r="QLG52" s="13"/>
      <c r="QLH52" s="13"/>
      <c r="QLJ52" s="13"/>
      <c r="QLN52" s="13"/>
      <c r="QLO52" s="13"/>
      <c r="QLP52" s="15"/>
      <c r="QLQ52" s="16"/>
      <c r="QLR52" s="12"/>
      <c r="QLS52" s="12"/>
      <c r="QLT52" s="12"/>
      <c r="QLU52" s="12"/>
      <c r="QLV52" s="12"/>
      <c r="QLW52" s="12"/>
      <c r="QLX52" s="12"/>
      <c r="QLY52" s="18"/>
      <c r="QMC52" s="13"/>
      <c r="QMD52" s="14"/>
      <c r="QME52" s="14"/>
      <c r="QMF52" s="20"/>
      <c r="QMG52" s="13"/>
      <c r="QMH52" s="13"/>
      <c r="QMJ52" s="13"/>
      <c r="QMN52" s="13"/>
      <c r="QMO52" s="13"/>
      <c r="QMP52" s="15"/>
      <c r="QMQ52" s="16"/>
      <c r="QMR52" s="12"/>
      <c r="QMS52" s="12"/>
      <c r="QMT52" s="12"/>
      <c r="QMU52" s="12"/>
      <c r="QMV52" s="12"/>
      <c r="QMW52" s="12"/>
      <c r="QMX52" s="12"/>
      <c r="QMY52" s="18"/>
      <c r="QNC52" s="13"/>
      <c r="QND52" s="14"/>
      <c r="QNE52" s="14"/>
      <c r="QNF52" s="20"/>
      <c r="QNG52" s="13"/>
      <c r="QNH52" s="13"/>
      <c r="QNJ52" s="13"/>
      <c r="QNN52" s="13"/>
      <c r="QNO52" s="13"/>
      <c r="QNP52" s="15"/>
      <c r="QNQ52" s="16"/>
      <c r="QNR52" s="12"/>
      <c r="QNS52" s="12"/>
      <c r="QNT52" s="12"/>
      <c r="QNU52" s="12"/>
      <c r="QNV52" s="12"/>
      <c r="QNW52" s="12"/>
      <c r="QNX52" s="12"/>
      <c r="QNY52" s="18"/>
      <c r="QOC52" s="13"/>
      <c r="QOD52" s="14"/>
      <c r="QOE52" s="14"/>
      <c r="QOF52" s="20"/>
      <c r="QOG52" s="13"/>
      <c r="QOH52" s="13"/>
      <c r="QOJ52" s="13"/>
      <c r="QON52" s="13"/>
      <c r="QOO52" s="13"/>
      <c r="QOP52" s="15"/>
      <c r="QOQ52" s="16"/>
      <c r="QOR52" s="12"/>
      <c r="QOS52" s="12"/>
      <c r="QOT52" s="12"/>
      <c r="QOU52" s="12"/>
      <c r="QOV52" s="12"/>
      <c r="QOW52" s="12"/>
      <c r="QOX52" s="12"/>
      <c r="QOY52" s="18"/>
      <c r="QPC52" s="13"/>
      <c r="QPD52" s="14"/>
      <c r="QPE52" s="14"/>
      <c r="QPF52" s="20"/>
      <c r="QPG52" s="13"/>
      <c r="QPH52" s="13"/>
      <c r="QPJ52" s="13"/>
      <c r="QPN52" s="13"/>
      <c r="QPO52" s="13"/>
      <c r="QPP52" s="15"/>
      <c r="QPQ52" s="16"/>
      <c r="QPR52" s="12"/>
      <c r="QPS52" s="12"/>
      <c r="QPT52" s="12"/>
      <c r="QPU52" s="12"/>
      <c r="QPV52" s="12"/>
      <c r="QPW52" s="12"/>
      <c r="QPX52" s="12"/>
      <c r="QPY52" s="18"/>
      <c r="QQC52" s="13"/>
      <c r="QQD52" s="14"/>
      <c r="QQE52" s="14"/>
      <c r="QQF52" s="20"/>
      <c r="QQG52" s="13"/>
      <c r="QQH52" s="13"/>
      <c r="QQJ52" s="13"/>
      <c r="QQN52" s="13"/>
      <c r="QQO52" s="13"/>
      <c r="QQP52" s="15"/>
      <c r="QQQ52" s="16"/>
      <c r="QQR52" s="12"/>
      <c r="QQS52" s="12"/>
      <c r="QQT52" s="12"/>
      <c r="QQU52" s="12"/>
      <c r="QQV52" s="12"/>
      <c r="QQW52" s="12"/>
      <c r="QQX52" s="12"/>
      <c r="QQY52" s="18"/>
      <c r="QRC52" s="13"/>
      <c r="QRD52" s="14"/>
      <c r="QRE52" s="14"/>
      <c r="QRF52" s="20"/>
      <c r="QRG52" s="13"/>
      <c r="QRH52" s="13"/>
      <c r="QRJ52" s="13"/>
      <c r="QRN52" s="13"/>
      <c r="QRO52" s="13"/>
      <c r="QRP52" s="15"/>
      <c r="QRQ52" s="16"/>
      <c r="QRR52" s="12"/>
      <c r="QRS52" s="12"/>
      <c r="QRT52" s="12"/>
      <c r="QRU52" s="12"/>
      <c r="QRV52" s="12"/>
      <c r="QRW52" s="12"/>
      <c r="QRX52" s="12"/>
      <c r="QRY52" s="18"/>
      <c r="QSC52" s="13"/>
      <c r="QSD52" s="14"/>
      <c r="QSE52" s="14"/>
      <c r="QSF52" s="20"/>
      <c r="QSG52" s="13"/>
      <c r="QSH52" s="13"/>
      <c r="QSJ52" s="13"/>
      <c r="QSN52" s="13"/>
      <c r="QSO52" s="13"/>
      <c r="QSP52" s="15"/>
      <c r="QSQ52" s="16"/>
      <c r="QSR52" s="12"/>
      <c r="QSS52" s="12"/>
      <c r="QST52" s="12"/>
      <c r="QSU52" s="12"/>
      <c r="QSV52" s="12"/>
      <c r="QSW52" s="12"/>
      <c r="QSX52" s="12"/>
      <c r="QSY52" s="18"/>
      <c r="QTC52" s="13"/>
      <c r="QTD52" s="14"/>
      <c r="QTE52" s="14"/>
      <c r="QTF52" s="20"/>
      <c r="QTG52" s="13"/>
      <c r="QTH52" s="13"/>
      <c r="QTJ52" s="13"/>
      <c r="QTN52" s="13"/>
      <c r="QTO52" s="13"/>
      <c r="QTP52" s="15"/>
      <c r="QTQ52" s="16"/>
      <c r="QTR52" s="12"/>
      <c r="QTS52" s="12"/>
      <c r="QTT52" s="12"/>
      <c r="QTU52" s="12"/>
      <c r="QTV52" s="12"/>
      <c r="QTW52" s="12"/>
      <c r="QTX52" s="12"/>
      <c r="QTY52" s="18"/>
      <c r="QUC52" s="13"/>
      <c r="QUD52" s="14"/>
      <c r="QUE52" s="14"/>
      <c r="QUF52" s="20"/>
      <c r="QUG52" s="13"/>
      <c r="QUH52" s="13"/>
      <c r="QUJ52" s="13"/>
      <c r="QUN52" s="13"/>
      <c r="QUO52" s="13"/>
      <c r="QUP52" s="15"/>
      <c r="QUQ52" s="16"/>
      <c r="QUR52" s="12"/>
      <c r="QUS52" s="12"/>
      <c r="QUT52" s="12"/>
      <c r="QUU52" s="12"/>
      <c r="QUV52" s="12"/>
      <c r="QUW52" s="12"/>
      <c r="QUX52" s="12"/>
      <c r="QUY52" s="18"/>
      <c r="QVC52" s="13"/>
      <c r="QVD52" s="14"/>
      <c r="QVE52" s="14"/>
      <c r="QVF52" s="20"/>
      <c r="QVG52" s="13"/>
      <c r="QVH52" s="13"/>
      <c r="QVJ52" s="13"/>
      <c r="QVN52" s="13"/>
      <c r="QVO52" s="13"/>
      <c r="QVP52" s="15"/>
      <c r="QVQ52" s="16"/>
      <c r="QVR52" s="12"/>
      <c r="QVS52" s="12"/>
      <c r="QVT52" s="12"/>
      <c r="QVU52" s="12"/>
      <c r="QVV52" s="12"/>
      <c r="QVW52" s="12"/>
      <c r="QVX52" s="12"/>
      <c r="QVY52" s="18"/>
      <c r="QWC52" s="13"/>
      <c r="QWD52" s="14"/>
      <c r="QWE52" s="14"/>
      <c r="QWF52" s="20"/>
      <c r="QWG52" s="13"/>
      <c r="QWH52" s="13"/>
      <c r="QWJ52" s="13"/>
      <c r="QWN52" s="13"/>
      <c r="QWO52" s="13"/>
      <c r="QWP52" s="15"/>
      <c r="QWQ52" s="16"/>
      <c r="QWR52" s="12"/>
      <c r="QWS52" s="12"/>
      <c r="QWT52" s="12"/>
      <c r="QWU52" s="12"/>
      <c r="QWV52" s="12"/>
      <c r="QWW52" s="12"/>
      <c r="QWX52" s="12"/>
      <c r="QWY52" s="18"/>
      <c r="QXC52" s="13"/>
      <c r="QXD52" s="14"/>
      <c r="QXE52" s="14"/>
      <c r="QXF52" s="20"/>
      <c r="QXG52" s="13"/>
      <c r="QXH52" s="13"/>
      <c r="QXJ52" s="13"/>
      <c r="QXN52" s="13"/>
      <c r="QXO52" s="13"/>
      <c r="QXP52" s="15"/>
      <c r="QXQ52" s="16"/>
      <c r="QXR52" s="12"/>
      <c r="QXS52" s="12"/>
      <c r="QXT52" s="12"/>
      <c r="QXU52" s="12"/>
      <c r="QXV52" s="12"/>
      <c r="QXW52" s="12"/>
      <c r="QXX52" s="12"/>
      <c r="QXY52" s="18"/>
      <c r="QYC52" s="13"/>
      <c r="QYD52" s="14"/>
      <c r="QYE52" s="14"/>
      <c r="QYF52" s="20"/>
      <c r="QYG52" s="13"/>
      <c r="QYH52" s="13"/>
      <c r="QYJ52" s="13"/>
      <c r="QYN52" s="13"/>
      <c r="QYO52" s="13"/>
      <c r="QYP52" s="15"/>
      <c r="QYQ52" s="16"/>
      <c r="QYR52" s="12"/>
      <c r="QYS52" s="12"/>
      <c r="QYT52" s="12"/>
      <c r="QYU52" s="12"/>
      <c r="QYV52" s="12"/>
      <c r="QYW52" s="12"/>
      <c r="QYX52" s="12"/>
      <c r="QYY52" s="18"/>
      <c r="QZC52" s="13"/>
      <c r="QZD52" s="14"/>
      <c r="QZE52" s="14"/>
      <c r="QZF52" s="20"/>
      <c r="QZG52" s="13"/>
      <c r="QZH52" s="13"/>
      <c r="QZJ52" s="13"/>
      <c r="QZN52" s="13"/>
      <c r="QZO52" s="13"/>
      <c r="QZP52" s="15"/>
      <c r="QZQ52" s="16"/>
      <c r="QZR52" s="12"/>
      <c r="QZS52" s="12"/>
      <c r="QZT52" s="12"/>
      <c r="QZU52" s="12"/>
      <c r="QZV52" s="12"/>
      <c r="QZW52" s="12"/>
      <c r="QZX52" s="12"/>
      <c r="QZY52" s="18"/>
      <c r="RAC52" s="13"/>
      <c r="RAD52" s="14"/>
      <c r="RAE52" s="14"/>
      <c r="RAF52" s="20"/>
      <c r="RAG52" s="13"/>
      <c r="RAH52" s="13"/>
      <c r="RAJ52" s="13"/>
      <c r="RAN52" s="13"/>
      <c r="RAO52" s="13"/>
      <c r="RAP52" s="15"/>
      <c r="RAQ52" s="16"/>
      <c r="RAR52" s="12"/>
      <c r="RAS52" s="12"/>
      <c r="RAT52" s="12"/>
      <c r="RAU52" s="12"/>
      <c r="RAV52" s="12"/>
      <c r="RAW52" s="12"/>
      <c r="RAX52" s="12"/>
      <c r="RAY52" s="18"/>
      <c r="RBC52" s="13"/>
      <c r="RBD52" s="14"/>
      <c r="RBE52" s="14"/>
      <c r="RBF52" s="20"/>
      <c r="RBG52" s="13"/>
      <c r="RBH52" s="13"/>
      <c r="RBJ52" s="13"/>
      <c r="RBN52" s="13"/>
      <c r="RBO52" s="13"/>
      <c r="RBP52" s="15"/>
      <c r="RBQ52" s="16"/>
      <c r="RBR52" s="12"/>
      <c r="RBS52" s="12"/>
      <c r="RBT52" s="12"/>
      <c r="RBU52" s="12"/>
      <c r="RBV52" s="12"/>
      <c r="RBW52" s="12"/>
      <c r="RBX52" s="12"/>
      <c r="RBY52" s="18"/>
      <c r="RCC52" s="13"/>
      <c r="RCD52" s="14"/>
      <c r="RCE52" s="14"/>
      <c r="RCF52" s="20"/>
      <c r="RCG52" s="13"/>
      <c r="RCH52" s="13"/>
      <c r="RCJ52" s="13"/>
      <c r="RCN52" s="13"/>
      <c r="RCO52" s="13"/>
      <c r="RCP52" s="15"/>
      <c r="RCQ52" s="16"/>
      <c r="RCR52" s="12"/>
      <c r="RCS52" s="12"/>
      <c r="RCT52" s="12"/>
      <c r="RCU52" s="12"/>
      <c r="RCV52" s="12"/>
      <c r="RCW52" s="12"/>
      <c r="RCX52" s="12"/>
      <c r="RCY52" s="18"/>
      <c r="RDC52" s="13"/>
      <c r="RDD52" s="14"/>
      <c r="RDE52" s="14"/>
      <c r="RDF52" s="20"/>
      <c r="RDG52" s="13"/>
      <c r="RDH52" s="13"/>
      <c r="RDJ52" s="13"/>
      <c r="RDN52" s="13"/>
      <c r="RDO52" s="13"/>
      <c r="RDP52" s="15"/>
      <c r="RDQ52" s="16"/>
      <c r="RDR52" s="12"/>
      <c r="RDS52" s="12"/>
      <c r="RDT52" s="12"/>
      <c r="RDU52" s="12"/>
      <c r="RDV52" s="12"/>
      <c r="RDW52" s="12"/>
      <c r="RDX52" s="12"/>
      <c r="RDY52" s="18"/>
      <c r="REC52" s="13"/>
      <c r="RED52" s="14"/>
      <c r="REE52" s="14"/>
      <c r="REF52" s="20"/>
      <c r="REG52" s="13"/>
      <c r="REH52" s="13"/>
      <c r="REJ52" s="13"/>
      <c r="REN52" s="13"/>
      <c r="REO52" s="13"/>
      <c r="REP52" s="15"/>
      <c r="REQ52" s="16"/>
      <c r="RER52" s="12"/>
      <c r="RES52" s="12"/>
      <c r="RET52" s="12"/>
      <c r="REU52" s="12"/>
      <c r="REV52" s="12"/>
      <c r="REW52" s="12"/>
      <c r="REX52" s="12"/>
      <c r="REY52" s="18"/>
      <c r="RFC52" s="13"/>
      <c r="RFD52" s="14"/>
      <c r="RFE52" s="14"/>
      <c r="RFF52" s="20"/>
      <c r="RFG52" s="13"/>
      <c r="RFH52" s="13"/>
      <c r="RFJ52" s="13"/>
      <c r="RFN52" s="13"/>
      <c r="RFO52" s="13"/>
      <c r="RFP52" s="15"/>
      <c r="RFQ52" s="16"/>
      <c r="RFR52" s="12"/>
      <c r="RFS52" s="12"/>
      <c r="RFT52" s="12"/>
      <c r="RFU52" s="12"/>
      <c r="RFV52" s="12"/>
      <c r="RFW52" s="12"/>
      <c r="RFX52" s="12"/>
      <c r="RFY52" s="18"/>
      <c r="RGC52" s="13"/>
      <c r="RGD52" s="14"/>
      <c r="RGE52" s="14"/>
      <c r="RGF52" s="20"/>
      <c r="RGG52" s="13"/>
      <c r="RGH52" s="13"/>
      <c r="RGJ52" s="13"/>
      <c r="RGN52" s="13"/>
      <c r="RGO52" s="13"/>
      <c r="RGP52" s="15"/>
      <c r="RGQ52" s="16"/>
      <c r="RGR52" s="12"/>
      <c r="RGS52" s="12"/>
      <c r="RGT52" s="12"/>
      <c r="RGU52" s="12"/>
      <c r="RGV52" s="12"/>
      <c r="RGW52" s="12"/>
      <c r="RGX52" s="12"/>
      <c r="RGY52" s="18"/>
      <c r="RHC52" s="13"/>
      <c r="RHD52" s="14"/>
      <c r="RHE52" s="14"/>
      <c r="RHF52" s="20"/>
      <c r="RHG52" s="13"/>
      <c r="RHH52" s="13"/>
      <c r="RHJ52" s="13"/>
      <c r="RHN52" s="13"/>
      <c r="RHO52" s="13"/>
      <c r="RHP52" s="15"/>
      <c r="RHQ52" s="16"/>
      <c r="RHR52" s="12"/>
      <c r="RHS52" s="12"/>
      <c r="RHT52" s="12"/>
      <c r="RHU52" s="12"/>
      <c r="RHV52" s="12"/>
      <c r="RHW52" s="12"/>
      <c r="RHX52" s="12"/>
      <c r="RHY52" s="18"/>
      <c r="RIC52" s="13"/>
      <c r="RID52" s="14"/>
      <c r="RIE52" s="14"/>
      <c r="RIF52" s="20"/>
      <c r="RIG52" s="13"/>
      <c r="RIH52" s="13"/>
      <c r="RIJ52" s="13"/>
      <c r="RIN52" s="13"/>
      <c r="RIO52" s="13"/>
      <c r="RIP52" s="15"/>
      <c r="RIQ52" s="16"/>
      <c r="RIR52" s="12"/>
      <c r="RIS52" s="12"/>
      <c r="RIT52" s="12"/>
      <c r="RIU52" s="12"/>
      <c r="RIV52" s="12"/>
      <c r="RIW52" s="12"/>
      <c r="RIX52" s="12"/>
      <c r="RIY52" s="18"/>
      <c r="RJC52" s="13"/>
      <c r="RJD52" s="14"/>
      <c r="RJE52" s="14"/>
      <c r="RJF52" s="20"/>
      <c r="RJG52" s="13"/>
      <c r="RJH52" s="13"/>
      <c r="RJJ52" s="13"/>
      <c r="RJN52" s="13"/>
      <c r="RJO52" s="13"/>
      <c r="RJP52" s="15"/>
      <c r="RJQ52" s="16"/>
      <c r="RJR52" s="12"/>
      <c r="RJS52" s="12"/>
      <c r="RJT52" s="12"/>
      <c r="RJU52" s="12"/>
      <c r="RJV52" s="12"/>
      <c r="RJW52" s="12"/>
      <c r="RJX52" s="12"/>
      <c r="RJY52" s="18"/>
      <c r="RKC52" s="13"/>
      <c r="RKD52" s="14"/>
      <c r="RKE52" s="14"/>
      <c r="RKF52" s="20"/>
      <c r="RKG52" s="13"/>
      <c r="RKH52" s="13"/>
      <c r="RKJ52" s="13"/>
      <c r="RKN52" s="13"/>
      <c r="RKO52" s="13"/>
      <c r="RKP52" s="15"/>
      <c r="RKQ52" s="16"/>
      <c r="RKR52" s="12"/>
      <c r="RKS52" s="12"/>
      <c r="RKT52" s="12"/>
      <c r="RKU52" s="12"/>
      <c r="RKV52" s="12"/>
      <c r="RKW52" s="12"/>
      <c r="RKX52" s="12"/>
      <c r="RKY52" s="18"/>
      <c r="RLC52" s="13"/>
      <c r="RLD52" s="14"/>
      <c r="RLE52" s="14"/>
      <c r="RLF52" s="20"/>
      <c r="RLG52" s="13"/>
      <c r="RLH52" s="13"/>
      <c r="RLJ52" s="13"/>
      <c r="RLN52" s="13"/>
      <c r="RLO52" s="13"/>
      <c r="RLP52" s="15"/>
      <c r="RLQ52" s="16"/>
      <c r="RLR52" s="12"/>
      <c r="RLS52" s="12"/>
      <c r="RLT52" s="12"/>
      <c r="RLU52" s="12"/>
      <c r="RLV52" s="12"/>
      <c r="RLW52" s="12"/>
      <c r="RLX52" s="12"/>
      <c r="RLY52" s="18"/>
      <c r="RMC52" s="13"/>
      <c r="RMD52" s="14"/>
      <c r="RME52" s="14"/>
      <c r="RMF52" s="20"/>
      <c r="RMG52" s="13"/>
      <c r="RMH52" s="13"/>
      <c r="RMJ52" s="13"/>
      <c r="RMN52" s="13"/>
      <c r="RMO52" s="13"/>
      <c r="RMP52" s="15"/>
      <c r="RMQ52" s="16"/>
      <c r="RMR52" s="12"/>
      <c r="RMS52" s="12"/>
      <c r="RMT52" s="12"/>
      <c r="RMU52" s="12"/>
      <c r="RMV52" s="12"/>
      <c r="RMW52" s="12"/>
      <c r="RMX52" s="12"/>
      <c r="RMY52" s="18"/>
      <c r="RNC52" s="13"/>
      <c r="RND52" s="14"/>
      <c r="RNE52" s="14"/>
      <c r="RNF52" s="20"/>
      <c r="RNG52" s="13"/>
      <c r="RNH52" s="13"/>
      <c r="RNJ52" s="13"/>
      <c r="RNN52" s="13"/>
      <c r="RNO52" s="13"/>
      <c r="RNP52" s="15"/>
      <c r="RNQ52" s="16"/>
      <c r="RNR52" s="12"/>
      <c r="RNS52" s="12"/>
      <c r="RNT52" s="12"/>
      <c r="RNU52" s="12"/>
      <c r="RNV52" s="12"/>
      <c r="RNW52" s="12"/>
      <c r="RNX52" s="12"/>
      <c r="RNY52" s="18"/>
      <c r="ROC52" s="13"/>
      <c r="ROD52" s="14"/>
      <c r="ROE52" s="14"/>
      <c r="ROF52" s="20"/>
      <c r="ROG52" s="13"/>
      <c r="ROH52" s="13"/>
      <c r="ROJ52" s="13"/>
      <c r="RON52" s="13"/>
      <c r="ROO52" s="13"/>
      <c r="ROP52" s="15"/>
      <c r="ROQ52" s="16"/>
      <c r="ROR52" s="12"/>
      <c r="ROS52" s="12"/>
      <c r="ROT52" s="12"/>
      <c r="ROU52" s="12"/>
      <c r="ROV52" s="12"/>
      <c r="ROW52" s="12"/>
      <c r="ROX52" s="12"/>
      <c r="ROY52" s="18"/>
      <c r="RPC52" s="13"/>
      <c r="RPD52" s="14"/>
      <c r="RPE52" s="14"/>
      <c r="RPF52" s="20"/>
      <c r="RPG52" s="13"/>
      <c r="RPH52" s="13"/>
      <c r="RPJ52" s="13"/>
      <c r="RPN52" s="13"/>
      <c r="RPO52" s="13"/>
      <c r="RPP52" s="15"/>
      <c r="RPQ52" s="16"/>
      <c r="RPR52" s="12"/>
      <c r="RPS52" s="12"/>
      <c r="RPT52" s="12"/>
      <c r="RPU52" s="12"/>
      <c r="RPV52" s="12"/>
      <c r="RPW52" s="12"/>
      <c r="RPX52" s="12"/>
      <c r="RPY52" s="18"/>
      <c r="RQC52" s="13"/>
      <c r="RQD52" s="14"/>
      <c r="RQE52" s="14"/>
      <c r="RQF52" s="20"/>
      <c r="RQG52" s="13"/>
      <c r="RQH52" s="13"/>
      <c r="RQJ52" s="13"/>
      <c r="RQN52" s="13"/>
      <c r="RQO52" s="13"/>
      <c r="RQP52" s="15"/>
      <c r="RQQ52" s="16"/>
      <c r="RQR52" s="12"/>
      <c r="RQS52" s="12"/>
      <c r="RQT52" s="12"/>
      <c r="RQU52" s="12"/>
      <c r="RQV52" s="12"/>
      <c r="RQW52" s="12"/>
      <c r="RQX52" s="12"/>
      <c r="RQY52" s="18"/>
      <c r="RRC52" s="13"/>
      <c r="RRD52" s="14"/>
      <c r="RRE52" s="14"/>
      <c r="RRF52" s="20"/>
      <c r="RRG52" s="13"/>
      <c r="RRH52" s="13"/>
      <c r="RRJ52" s="13"/>
      <c r="RRN52" s="13"/>
      <c r="RRO52" s="13"/>
      <c r="RRP52" s="15"/>
      <c r="RRQ52" s="16"/>
      <c r="RRR52" s="12"/>
      <c r="RRS52" s="12"/>
      <c r="RRT52" s="12"/>
      <c r="RRU52" s="12"/>
      <c r="RRV52" s="12"/>
      <c r="RRW52" s="12"/>
      <c r="RRX52" s="12"/>
      <c r="RRY52" s="18"/>
      <c r="RSC52" s="13"/>
      <c r="RSD52" s="14"/>
      <c r="RSE52" s="14"/>
      <c r="RSF52" s="20"/>
      <c r="RSG52" s="13"/>
      <c r="RSH52" s="13"/>
      <c r="RSJ52" s="13"/>
      <c r="RSN52" s="13"/>
      <c r="RSO52" s="13"/>
      <c r="RSP52" s="15"/>
      <c r="RSQ52" s="16"/>
      <c r="RSR52" s="12"/>
      <c r="RSS52" s="12"/>
      <c r="RST52" s="12"/>
      <c r="RSU52" s="12"/>
      <c r="RSV52" s="12"/>
      <c r="RSW52" s="12"/>
      <c r="RSX52" s="12"/>
      <c r="RSY52" s="18"/>
      <c r="RTC52" s="13"/>
      <c r="RTD52" s="14"/>
      <c r="RTE52" s="14"/>
      <c r="RTF52" s="20"/>
      <c r="RTG52" s="13"/>
      <c r="RTH52" s="13"/>
      <c r="RTJ52" s="13"/>
      <c r="RTN52" s="13"/>
      <c r="RTO52" s="13"/>
      <c r="RTP52" s="15"/>
      <c r="RTQ52" s="16"/>
      <c r="RTR52" s="12"/>
      <c r="RTS52" s="12"/>
      <c r="RTT52" s="12"/>
      <c r="RTU52" s="12"/>
      <c r="RTV52" s="12"/>
      <c r="RTW52" s="12"/>
      <c r="RTX52" s="12"/>
      <c r="RTY52" s="18"/>
      <c r="RUC52" s="13"/>
      <c r="RUD52" s="14"/>
      <c r="RUE52" s="14"/>
      <c r="RUF52" s="20"/>
      <c r="RUG52" s="13"/>
      <c r="RUH52" s="13"/>
      <c r="RUJ52" s="13"/>
      <c r="RUN52" s="13"/>
      <c r="RUO52" s="13"/>
      <c r="RUP52" s="15"/>
      <c r="RUQ52" s="16"/>
      <c r="RUR52" s="12"/>
      <c r="RUS52" s="12"/>
      <c r="RUT52" s="12"/>
      <c r="RUU52" s="12"/>
      <c r="RUV52" s="12"/>
      <c r="RUW52" s="12"/>
      <c r="RUX52" s="12"/>
      <c r="RUY52" s="18"/>
      <c r="RVC52" s="13"/>
      <c r="RVD52" s="14"/>
      <c r="RVE52" s="14"/>
      <c r="RVF52" s="20"/>
      <c r="RVG52" s="13"/>
      <c r="RVH52" s="13"/>
      <c r="RVJ52" s="13"/>
      <c r="RVN52" s="13"/>
      <c r="RVO52" s="13"/>
      <c r="RVP52" s="15"/>
      <c r="RVQ52" s="16"/>
      <c r="RVR52" s="12"/>
      <c r="RVS52" s="12"/>
      <c r="RVT52" s="12"/>
      <c r="RVU52" s="12"/>
      <c r="RVV52" s="12"/>
      <c r="RVW52" s="12"/>
      <c r="RVX52" s="12"/>
      <c r="RVY52" s="18"/>
      <c r="RWC52" s="13"/>
      <c r="RWD52" s="14"/>
      <c r="RWE52" s="14"/>
      <c r="RWF52" s="20"/>
      <c r="RWG52" s="13"/>
      <c r="RWH52" s="13"/>
      <c r="RWJ52" s="13"/>
      <c r="RWN52" s="13"/>
      <c r="RWO52" s="13"/>
      <c r="RWP52" s="15"/>
      <c r="RWQ52" s="16"/>
      <c r="RWR52" s="12"/>
      <c r="RWS52" s="12"/>
      <c r="RWT52" s="12"/>
      <c r="RWU52" s="12"/>
      <c r="RWV52" s="12"/>
      <c r="RWW52" s="12"/>
      <c r="RWX52" s="12"/>
      <c r="RWY52" s="18"/>
      <c r="RXC52" s="13"/>
      <c r="RXD52" s="14"/>
      <c r="RXE52" s="14"/>
      <c r="RXF52" s="20"/>
      <c r="RXG52" s="13"/>
      <c r="RXH52" s="13"/>
      <c r="RXJ52" s="13"/>
      <c r="RXN52" s="13"/>
      <c r="RXO52" s="13"/>
      <c r="RXP52" s="15"/>
      <c r="RXQ52" s="16"/>
      <c r="RXR52" s="12"/>
      <c r="RXS52" s="12"/>
      <c r="RXT52" s="12"/>
      <c r="RXU52" s="12"/>
      <c r="RXV52" s="12"/>
      <c r="RXW52" s="12"/>
      <c r="RXX52" s="12"/>
      <c r="RXY52" s="18"/>
      <c r="RYC52" s="13"/>
      <c r="RYD52" s="14"/>
      <c r="RYE52" s="14"/>
      <c r="RYF52" s="20"/>
      <c r="RYG52" s="13"/>
      <c r="RYH52" s="13"/>
      <c r="RYJ52" s="13"/>
      <c r="RYN52" s="13"/>
      <c r="RYO52" s="13"/>
      <c r="RYP52" s="15"/>
      <c r="RYQ52" s="16"/>
      <c r="RYR52" s="12"/>
      <c r="RYS52" s="12"/>
      <c r="RYT52" s="12"/>
      <c r="RYU52" s="12"/>
      <c r="RYV52" s="12"/>
      <c r="RYW52" s="12"/>
      <c r="RYX52" s="12"/>
      <c r="RYY52" s="18"/>
      <c r="RZC52" s="13"/>
      <c r="RZD52" s="14"/>
      <c r="RZE52" s="14"/>
      <c r="RZF52" s="20"/>
      <c r="RZG52" s="13"/>
      <c r="RZH52" s="13"/>
      <c r="RZJ52" s="13"/>
      <c r="RZN52" s="13"/>
      <c r="RZO52" s="13"/>
      <c r="RZP52" s="15"/>
      <c r="RZQ52" s="16"/>
      <c r="RZR52" s="12"/>
      <c r="RZS52" s="12"/>
      <c r="RZT52" s="12"/>
      <c r="RZU52" s="12"/>
      <c r="RZV52" s="12"/>
      <c r="RZW52" s="12"/>
      <c r="RZX52" s="12"/>
      <c r="RZY52" s="18"/>
      <c r="SAC52" s="13"/>
      <c r="SAD52" s="14"/>
      <c r="SAE52" s="14"/>
      <c r="SAF52" s="20"/>
      <c r="SAG52" s="13"/>
      <c r="SAH52" s="13"/>
      <c r="SAJ52" s="13"/>
      <c r="SAN52" s="13"/>
      <c r="SAO52" s="13"/>
      <c r="SAP52" s="15"/>
      <c r="SAQ52" s="16"/>
      <c r="SAR52" s="12"/>
      <c r="SAS52" s="12"/>
      <c r="SAT52" s="12"/>
      <c r="SAU52" s="12"/>
      <c r="SAV52" s="12"/>
      <c r="SAW52" s="12"/>
      <c r="SAX52" s="12"/>
      <c r="SAY52" s="18"/>
      <c r="SBC52" s="13"/>
      <c r="SBD52" s="14"/>
      <c r="SBE52" s="14"/>
      <c r="SBF52" s="20"/>
      <c r="SBG52" s="13"/>
      <c r="SBH52" s="13"/>
      <c r="SBJ52" s="13"/>
      <c r="SBN52" s="13"/>
      <c r="SBO52" s="13"/>
      <c r="SBP52" s="15"/>
      <c r="SBQ52" s="16"/>
      <c r="SBR52" s="12"/>
      <c r="SBS52" s="12"/>
      <c r="SBT52" s="12"/>
      <c r="SBU52" s="12"/>
      <c r="SBV52" s="12"/>
      <c r="SBW52" s="12"/>
      <c r="SBX52" s="12"/>
      <c r="SBY52" s="18"/>
      <c r="SCC52" s="13"/>
      <c r="SCD52" s="14"/>
      <c r="SCE52" s="14"/>
      <c r="SCF52" s="20"/>
      <c r="SCG52" s="13"/>
      <c r="SCH52" s="13"/>
      <c r="SCJ52" s="13"/>
      <c r="SCN52" s="13"/>
      <c r="SCO52" s="13"/>
      <c r="SCP52" s="15"/>
      <c r="SCQ52" s="16"/>
      <c r="SCR52" s="12"/>
      <c r="SCS52" s="12"/>
      <c r="SCT52" s="12"/>
      <c r="SCU52" s="12"/>
      <c r="SCV52" s="12"/>
      <c r="SCW52" s="12"/>
      <c r="SCX52" s="12"/>
      <c r="SCY52" s="18"/>
      <c r="SDC52" s="13"/>
      <c r="SDD52" s="14"/>
      <c r="SDE52" s="14"/>
      <c r="SDF52" s="20"/>
      <c r="SDG52" s="13"/>
      <c r="SDH52" s="13"/>
      <c r="SDJ52" s="13"/>
      <c r="SDN52" s="13"/>
      <c r="SDO52" s="13"/>
      <c r="SDP52" s="15"/>
      <c r="SDQ52" s="16"/>
      <c r="SDR52" s="12"/>
      <c r="SDS52" s="12"/>
      <c r="SDT52" s="12"/>
      <c r="SDU52" s="12"/>
      <c r="SDV52" s="12"/>
      <c r="SDW52" s="12"/>
      <c r="SDX52" s="12"/>
      <c r="SDY52" s="18"/>
      <c r="SEC52" s="13"/>
      <c r="SED52" s="14"/>
      <c r="SEE52" s="14"/>
      <c r="SEF52" s="20"/>
      <c r="SEG52" s="13"/>
      <c r="SEH52" s="13"/>
      <c r="SEJ52" s="13"/>
      <c r="SEN52" s="13"/>
      <c r="SEO52" s="13"/>
      <c r="SEP52" s="15"/>
      <c r="SEQ52" s="16"/>
      <c r="SER52" s="12"/>
      <c r="SES52" s="12"/>
      <c r="SET52" s="12"/>
      <c r="SEU52" s="12"/>
      <c r="SEV52" s="12"/>
      <c r="SEW52" s="12"/>
      <c r="SEX52" s="12"/>
      <c r="SEY52" s="18"/>
      <c r="SFC52" s="13"/>
      <c r="SFD52" s="14"/>
      <c r="SFE52" s="14"/>
      <c r="SFF52" s="20"/>
      <c r="SFG52" s="13"/>
      <c r="SFH52" s="13"/>
      <c r="SFJ52" s="13"/>
      <c r="SFN52" s="13"/>
      <c r="SFO52" s="13"/>
      <c r="SFP52" s="15"/>
      <c r="SFQ52" s="16"/>
      <c r="SFR52" s="12"/>
      <c r="SFS52" s="12"/>
      <c r="SFT52" s="12"/>
      <c r="SFU52" s="12"/>
      <c r="SFV52" s="12"/>
      <c r="SFW52" s="12"/>
      <c r="SFX52" s="12"/>
      <c r="SFY52" s="18"/>
      <c r="SGC52" s="13"/>
      <c r="SGD52" s="14"/>
      <c r="SGE52" s="14"/>
      <c r="SGF52" s="20"/>
      <c r="SGG52" s="13"/>
      <c r="SGH52" s="13"/>
      <c r="SGJ52" s="13"/>
      <c r="SGN52" s="13"/>
      <c r="SGO52" s="13"/>
      <c r="SGP52" s="15"/>
      <c r="SGQ52" s="16"/>
      <c r="SGR52" s="12"/>
      <c r="SGS52" s="12"/>
      <c r="SGT52" s="12"/>
      <c r="SGU52" s="12"/>
      <c r="SGV52" s="12"/>
      <c r="SGW52" s="12"/>
      <c r="SGX52" s="12"/>
      <c r="SGY52" s="18"/>
      <c r="SHC52" s="13"/>
      <c r="SHD52" s="14"/>
      <c r="SHE52" s="14"/>
      <c r="SHF52" s="20"/>
      <c r="SHG52" s="13"/>
      <c r="SHH52" s="13"/>
      <c r="SHJ52" s="13"/>
      <c r="SHN52" s="13"/>
      <c r="SHO52" s="13"/>
      <c r="SHP52" s="15"/>
      <c r="SHQ52" s="16"/>
      <c r="SHR52" s="12"/>
      <c r="SHS52" s="12"/>
      <c r="SHT52" s="12"/>
      <c r="SHU52" s="12"/>
      <c r="SHV52" s="12"/>
      <c r="SHW52" s="12"/>
      <c r="SHX52" s="12"/>
      <c r="SHY52" s="18"/>
      <c r="SIC52" s="13"/>
      <c r="SID52" s="14"/>
      <c r="SIE52" s="14"/>
      <c r="SIF52" s="20"/>
      <c r="SIG52" s="13"/>
      <c r="SIH52" s="13"/>
      <c r="SIJ52" s="13"/>
      <c r="SIN52" s="13"/>
      <c r="SIO52" s="13"/>
      <c r="SIP52" s="15"/>
      <c r="SIQ52" s="16"/>
      <c r="SIR52" s="12"/>
      <c r="SIS52" s="12"/>
      <c r="SIT52" s="12"/>
      <c r="SIU52" s="12"/>
      <c r="SIV52" s="12"/>
      <c r="SIW52" s="12"/>
      <c r="SIX52" s="12"/>
      <c r="SIY52" s="18"/>
      <c r="SJC52" s="13"/>
      <c r="SJD52" s="14"/>
      <c r="SJE52" s="14"/>
      <c r="SJF52" s="20"/>
      <c r="SJG52" s="13"/>
      <c r="SJH52" s="13"/>
      <c r="SJJ52" s="13"/>
      <c r="SJN52" s="13"/>
      <c r="SJO52" s="13"/>
      <c r="SJP52" s="15"/>
      <c r="SJQ52" s="16"/>
      <c r="SJR52" s="12"/>
      <c r="SJS52" s="12"/>
      <c r="SJT52" s="12"/>
      <c r="SJU52" s="12"/>
      <c r="SJV52" s="12"/>
      <c r="SJW52" s="12"/>
      <c r="SJX52" s="12"/>
      <c r="SJY52" s="18"/>
      <c r="SKC52" s="13"/>
      <c r="SKD52" s="14"/>
      <c r="SKE52" s="14"/>
      <c r="SKF52" s="20"/>
      <c r="SKG52" s="13"/>
      <c r="SKH52" s="13"/>
      <c r="SKJ52" s="13"/>
      <c r="SKN52" s="13"/>
      <c r="SKO52" s="13"/>
      <c r="SKP52" s="15"/>
      <c r="SKQ52" s="16"/>
      <c r="SKR52" s="12"/>
      <c r="SKS52" s="12"/>
      <c r="SKT52" s="12"/>
      <c r="SKU52" s="12"/>
      <c r="SKV52" s="12"/>
      <c r="SKW52" s="12"/>
      <c r="SKX52" s="12"/>
      <c r="SKY52" s="18"/>
      <c r="SLC52" s="13"/>
      <c r="SLD52" s="14"/>
      <c r="SLE52" s="14"/>
      <c r="SLF52" s="20"/>
      <c r="SLG52" s="13"/>
      <c r="SLH52" s="13"/>
      <c r="SLJ52" s="13"/>
      <c r="SLN52" s="13"/>
      <c r="SLO52" s="13"/>
      <c r="SLP52" s="15"/>
      <c r="SLQ52" s="16"/>
      <c r="SLR52" s="12"/>
      <c r="SLS52" s="12"/>
      <c r="SLT52" s="12"/>
      <c r="SLU52" s="12"/>
      <c r="SLV52" s="12"/>
      <c r="SLW52" s="12"/>
      <c r="SLX52" s="12"/>
      <c r="SLY52" s="18"/>
      <c r="SMC52" s="13"/>
      <c r="SMD52" s="14"/>
      <c r="SME52" s="14"/>
      <c r="SMF52" s="20"/>
      <c r="SMG52" s="13"/>
      <c r="SMH52" s="13"/>
      <c r="SMJ52" s="13"/>
      <c r="SMN52" s="13"/>
      <c r="SMO52" s="13"/>
      <c r="SMP52" s="15"/>
      <c r="SMQ52" s="16"/>
      <c r="SMR52" s="12"/>
      <c r="SMS52" s="12"/>
      <c r="SMT52" s="12"/>
      <c r="SMU52" s="12"/>
      <c r="SMV52" s="12"/>
      <c r="SMW52" s="12"/>
      <c r="SMX52" s="12"/>
      <c r="SMY52" s="18"/>
      <c r="SNC52" s="13"/>
      <c r="SND52" s="14"/>
      <c r="SNE52" s="14"/>
      <c r="SNF52" s="20"/>
      <c r="SNG52" s="13"/>
      <c r="SNH52" s="13"/>
      <c r="SNJ52" s="13"/>
      <c r="SNN52" s="13"/>
      <c r="SNO52" s="13"/>
      <c r="SNP52" s="15"/>
      <c r="SNQ52" s="16"/>
      <c r="SNR52" s="12"/>
      <c r="SNS52" s="12"/>
      <c r="SNT52" s="12"/>
      <c r="SNU52" s="12"/>
      <c r="SNV52" s="12"/>
      <c r="SNW52" s="12"/>
      <c r="SNX52" s="12"/>
      <c r="SNY52" s="18"/>
      <c r="SOC52" s="13"/>
      <c r="SOD52" s="14"/>
      <c r="SOE52" s="14"/>
      <c r="SOF52" s="20"/>
      <c r="SOG52" s="13"/>
      <c r="SOH52" s="13"/>
      <c r="SOJ52" s="13"/>
      <c r="SON52" s="13"/>
      <c r="SOO52" s="13"/>
      <c r="SOP52" s="15"/>
      <c r="SOQ52" s="16"/>
      <c r="SOR52" s="12"/>
      <c r="SOS52" s="12"/>
      <c r="SOT52" s="12"/>
      <c r="SOU52" s="12"/>
      <c r="SOV52" s="12"/>
      <c r="SOW52" s="12"/>
      <c r="SOX52" s="12"/>
      <c r="SOY52" s="18"/>
      <c r="SPC52" s="13"/>
      <c r="SPD52" s="14"/>
      <c r="SPE52" s="14"/>
      <c r="SPF52" s="20"/>
      <c r="SPG52" s="13"/>
      <c r="SPH52" s="13"/>
      <c r="SPJ52" s="13"/>
      <c r="SPN52" s="13"/>
      <c r="SPO52" s="13"/>
      <c r="SPP52" s="15"/>
      <c r="SPQ52" s="16"/>
      <c r="SPR52" s="12"/>
      <c r="SPS52" s="12"/>
      <c r="SPT52" s="12"/>
      <c r="SPU52" s="12"/>
      <c r="SPV52" s="12"/>
      <c r="SPW52" s="12"/>
      <c r="SPX52" s="12"/>
      <c r="SPY52" s="18"/>
      <c r="SQC52" s="13"/>
      <c r="SQD52" s="14"/>
      <c r="SQE52" s="14"/>
      <c r="SQF52" s="20"/>
      <c r="SQG52" s="13"/>
      <c r="SQH52" s="13"/>
      <c r="SQJ52" s="13"/>
      <c r="SQN52" s="13"/>
      <c r="SQO52" s="13"/>
      <c r="SQP52" s="15"/>
      <c r="SQQ52" s="16"/>
      <c r="SQR52" s="12"/>
      <c r="SQS52" s="12"/>
      <c r="SQT52" s="12"/>
      <c r="SQU52" s="12"/>
      <c r="SQV52" s="12"/>
      <c r="SQW52" s="12"/>
      <c r="SQX52" s="12"/>
      <c r="SQY52" s="18"/>
      <c r="SRC52" s="13"/>
      <c r="SRD52" s="14"/>
      <c r="SRE52" s="14"/>
      <c r="SRF52" s="20"/>
      <c r="SRG52" s="13"/>
      <c r="SRH52" s="13"/>
      <c r="SRJ52" s="13"/>
      <c r="SRN52" s="13"/>
      <c r="SRO52" s="13"/>
      <c r="SRP52" s="15"/>
      <c r="SRQ52" s="16"/>
      <c r="SRR52" s="12"/>
      <c r="SRS52" s="12"/>
      <c r="SRT52" s="12"/>
      <c r="SRU52" s="12"/>
      <c r="SRV52" s="12"/>
      <c r="SRW52" s="12"/>
      <c r="SRX52" s="12"/>
      <c r="SRY52" s="18"/>
      <c r="SSC52" s="13"/>
      <c r="SSD52" s="14"/>
      <c r="SSE52" s="14"/>
      <c r="SSF52" s="20"/>
      <c r="SSG52" s="13"/>
      <c r="SSH52" s="13"/>
      <c r="SSJ52" s="13"/>
      <c r="SSN52" s="13"/>
      <c r="SSO52" s="13"/>
      <c r="SSP52" s="15"/>
      <c r="SSQ52" s="16"/>
      <c r="SSR52" s="12"/>
      <c r="SSS52" s="12"/>
      <c r="SST52" s="12"/>
      <c r="SSU52" s="12"/>
      <c r="SSV52" s="12"/>
      <c r="SSW52" s="12"/>
      <c r="SSX52" s="12"/>
      <c r="SSY52" s="18"/>
      <c r="STC52" s="13"/>
      <c r="STD52" s="14"/>
      <c r="STE52" s="14"/>
      <c r="STF52" s="20"/>
      <c r="STG52" s="13"/>
      <c r="STH52" s="13"/>
      <c r="STJ52" s="13"/>
      <c r="STN52" s="13"/>
      <c r="STO52" s="13"/>
      <c r="STP52" s="15"/>
      <c r="STQ52" s="16"/>
      <c r="STR52" s="12"/>
      <c r="STS52" s="12"/>
      <c r="STT52" s="12"/>
      <c r="STU52" s="12"/>
      <c r="STV52" s="12"/>
      <c r="STW52" s="12"/>
      <c r="STX52" s="12"/>
      <c r="STY52" s="18"/>
      <c r="SUC52" s="13"/>
      <c r="SUD52" s="14"/>
      <c r="SUE52" s="14"/>
      <c r="SUF52" s="20"/>
      <c r="SUG52" s="13"/>
      <c r="SUH52" s="13"/>
      <c r="SUJ52" s="13"/>
      <c r="SUN52" s="13"/>
      <c r="SUO52" s="13"/>
      <c r="SUP52" s="15"/>
      <c r="SUQ52" s="16"/>
      <c r="SUR52" s="12"/>
      <c r="SUS52" s="12"/>
      <c r="SUT52" s="12"/>
      <c r="SUU52" s="12"/>
      <c r="SUV52" s="12"/>
      <c r="SUW52" s="12"/>
      <c r="SUX52" s="12"/>
      <c r="SUY52" s="18"/>
      <c r="SVC52" s="13"/>
      <c r="SVD52" s="14"/>
      <c r="SVE52" s="14"/>
      <c r="SVF52" s="20"/>
      <c r="SVG52" s="13"/>
      <c r="SVH52" s="13"/>
      <c r="SVJ52" s="13"/>
      <c r="SVN52" s="13"/>
      <c r="SVO52" s="13"/>
      <c r="SVP52" s="15"/>
      <c r="SVQ52" s="16"/>
      <c r="SVR52" s="12"/>
      <c r="SVS52" s="12"/>
      <c r="SVT52" s="12"/>
      <c r="SVU52" s="12"/>
      <c r="SVV52" s="12"/>
      <c r="SVW52" s="12"/>
      <c r="SVX52" s="12"/>
      <c r="SVY52" s="18"/>
      <c r="SWC52" s="13"/>
      <c r="SWD52" s="14"/>
      <c r="SWE52" s="14"/>
      <c r="SWF52" s="20"/>
      <c r="SWG52" s="13"/>
      <c r="SWH52" s="13"/>
      <c r="SWJ52" s="13"/>
      <c r="SWN52" s="13"/>
      <c r="SWO52" s="13"/>
      <c r="SWP52" s="15"/>
      <c r="SWQ52" s="16"/>
      <c r="SWR52" s="12"/>
      <c r="SWS52" s="12"/>
      <c r="SWT52" s="12"/>
      <c r="SWU52" s="12"/>
      <c r="SWV52" s="12"/>
      <c r="SWW52" s="12"/>
      <c r="SWX52" s="12"/>
      <c r="SWY52" s="18"/>
      <c r="SXC52" s="13"/>
      <c r="SXD52" s="14"/>
      <c r="SXE52" s="14"/>
      <c r="SXF52" s="20"/>
      <c r="SXG52" s="13"/>
      <c r="SXH52" s="13"/>
      <c r="SXJ52" s="13"/>
      <c r="SXN52" s="13"/>
      <c r="SXO52" s="13"/>
      <c r="SXP52" s="15"/>
      <c r="SXQ52" s="16"/>
      <c r="SXR52" s="12"/>
      <c r="SXS52" s="12"/>
      <c r="SXT52" s="12"/>
      <c r="SXU52" s="12"/>
      <c r="SXV52" s="12"/>
      <c r="SXW52" s="12"/>
      <c r="SXX52" s="12"/>
      <c r="SXY52" s="18"/>
      <c r="SYC52" s="13"/>
      <c r="SYD52" s="14"/>
      <c r="SYE52" s="14"/>
      <c r="SYF52" s="20"/>
      <c r="SYG52" s="13"/>
      <c r="SYH52" s="13"/>
      <c r="SYJ52" s="13"/>
      <c r="SYN52" s="13"/>
      <c r="SYO52" s="13"/>
      <c r="SYP52" s="15"/>
      <c r="SYQ52" s="16"/>
      <c r="SYR52" s="12"/>
      <c r="SYS52" s="12"/>
      <c r="SYT52" s="12"/>
      <c r="SYU52" s="12"/>
      <c r="SYV52" s="12"/>
      <c r="SYW52" s="12"/>
      <c r="SYX52" s="12"/>
      <c r="SYY52" s="18"/>
      <c r="SZC52" s="13"/>
      <c r="SZD52" s="14"/>
      <c r="SZE52" s="14"/>
      <c r="SZF52" s="20"/>
      <c r="SZG52" s="13"/>
      <c r="SZH52" s="13"/>
      <c r="SZJ52" s="13"/>
      <c r="SZN52" s="13"/>
      <c r="SZO52" s="13"/>
      <c r="SZP52" s="15"/>
      <c r="SZQ52" s="16"/>
      <c r="SZR52" s="12"/>
      <c r="SZS52" s="12"/>
      <c r="SZT52" s="12"/>
      <c r="SZU52" s="12"/>
      <c r="SZV52" s="12"/>
      <c r="SZW52" s="12"/>
      <c r="SZX52" s="12"/>
      <c r="SZY52" s="18"/>
      <c r="TAC52" s="13"/>
      <c r="TAD52" s="14"/>
      <c r="TAE52" s="14"/>
      <c r="TAF52" s="20"/>
      <c r="TAG52" s="13"/>
      <c r="TAH52" s="13"/>
      <c r="TAJ52" s="13"/>
      <c r="TAN52" s="13"/>
      <c r="TAO52" s="13"/>
      <c r="TAP52" s="15"/>
      <c r="TAQ52" s="16"/>
      <c r="TAR52" s="12"/>
      <c r="TAS52" s="12"/>
      <c r="TAT52" s="12"/>
      <c r="TAU52" s="12"/>
      <c r="TAV52" s="12"/>
      <c r="TAW52" s="12"/>
      <c r="TAX52" s="12"/>
      <c r="TAY52" s="18"/>
      <c r="TBC52" s="13"/>
      <c r="TBD52" s="14"/>
      <c r="TBE52" s="14"/>
      <c r="TBF52" s="20"/>
      <c r="TBG52" s="13"/>
      <c r="TBH52" s="13"/>
      <c r="TBJ52" s="13"/>
      <c r="TBN52" s="13"/>
      <c r="TBO52" s="13"/>
      <c r="TBP52" s="15"/>
      <c r="TBQ52" s="16"/>
      <c r="TBR52" s="12"/>
      <c r="TBS52" s="12"/>
      <c r="TBT52" s="12"/>
      <c r="TBU52" s="12"/>
      <c r="TBV52" s="12"/>
      <c r="TBW52" s="12"/>
      <c r="TBX52" s="12"/>
      <c r="TBY52" s="18"/>
      <c r="TCC52" s="13"/>
      <c r="TCD52" s="14"/>
      <c r="TCE52" s="14"/>
      <c r="TCF52" s="20"/>
      <c r="TCG52" s="13"/>
      <c r="TCH52" s="13"/>
      <c r="TCJ52" s="13"/>
      <c r="TCN52" s="13"/>
      <c r="TCO52" s="13"/>
      <c r="TCP52" s="15"/>
      <c r="TCQ52" s="16"/>
      <c r="TCR52" s="12"/>
      <c r="TCS52" s="12"/>
      <c r="TCT52" s="12"/>
      <c r="TCU52" s="12"/>
      <c r="TCV52" s="12"/>
      <c r="TCW52" s="12"/>
      <c r="TCX52" s="12"/>
      <c r="TCY52" s="18"/>
      <c r="TDC52" s="13"/>
      <c r="TDD52" s="14"/>
      <c r="TDE52" s="14"/>
      <c r="TDF52" s="20"/>
      <c r="TDG52" s="13"/>
      <c r="TDH52" s="13"/>
      <c r="TDJ52" s="13"/>
      <c r="TDN52" s="13"/>
      <c r="TDO52" s="13"/>
      <c r="TDP52" s="15"/>
      <c r="TDQ52" s="16"/>
      <c r="TDR52" s="12"/>
      <c r="TDS52" s="12"/>
      <c r="TDT52" s="12"/>
      <c r="TDU52" s="12"/>
      <c r="TDV52" s="12"/>
      <c r="TDW52" s="12"/>
      <c r="TDX52" s="12"/>
      <c r="TDY52" s="18"/>
      <c r="TEC52" s="13"/>
      <c r="TED52" s="14"/>
      <c r="TEE52" s="14"/>
      <c r="TEF52" s="20"/>
      <c r="TEG52" s="13"/>
      <c r="TEH52" s="13"/>
      <c r="TEJ52" s="13"/>
      <c r="TEN52" s="13"/>
      <c r="TEO52" s="13"/>
      <c r="TEP52" s="15"/>
      <c r="TEQ52" s="16"/>
      <c r="TER52" s="12"/>
      <c r="TES52" s="12"/>
      <c r="TET52" s="12"/>
      <c r="TEU52" s="12"/>
      <c r="TEV52" s="12"/>
      <c r="TEW52" s="12"/>
      <c r="TEX52" s="12"/>
      <c r="TEY52" s="18"/>
      <c r="TFC52" s="13"/>
      <c r="TFD52" s="14"/>
      <c r="TFE52" s="14"/>
      <c r="TFF52" s="20"/>
      <c r="TFG52" s="13"/>
      <c r="TFH52" s="13"/>
      <c r="TFJ52" s="13"/>
      <c r="TFN52" s="13"/>
      <c r="TFO52" s="13"/>
      <c r="TFP52" s="15"/>
      <c r="TFQ52" s="16"/>
      <c r="TFR52" s="12"/>
      <c r="TFS52" s="12"/>
      <c r="TFT52" s="12"/>
      <c r="TFU52" s="12"/>
      <c r="TFV52" s="12"/>
      <c r="TFW52" s="12"/>
      <c r="TFX52" s="12"/>
      <c r="TFY52" s="18"/>
      <c r="TGC52" s="13"/>
      <c r="TGD52" s="14"/>
      <c r="TGE52" s="14"/>
      <c r="TGF52" s="20"/>
      <c r="TGG52" s="13"/>
      <c r="TGH52" s="13"/>
      <c r="TGJ52" s="13"/>
      <c r="TGN52" s="13"/>
      <c r="TGO52" s="13"/>
      <c r="TGP52" s="15"/>
      <c r="TGQ52" s="16"/>
      <c r="TGR52" s="12"/>
      <c r="TGS52" s="12"/>
      <c r="TGT52" s="12"/>
      <c r="TGU52" s="12"/>
      <c r="TGV52" s="12"/>
      <c r="TGW52" s="12"/>
      <c r="TGX52" s="12"/>
      <c r="TGY52" s="18"/>
      <c r="THC52" s="13"/>
      <c r="THD52" s="14"/>
      <c r="THE52" s="14"/>
      <c r="THF52" s="20"/>
      <c r="THG52" s="13"/>
      <c r="THH52" s="13"/>
      <c r="THJ52" s="13"/>
      <c r="THN52" s="13"/>
      <c r="THO52" s="13"/>
      <c r="THP52" s="15"/>
      <c r="THQ52" s="16"/>
      <c r="THR52" s="12"/>
      <c r="THS52" s="12"/>
      <c r="THT52" s="12"/>
      <c r="THU52" s="12"/>
      <c r="THV52" s="12"/>
      <c r="THW52" s="12"/>
      <c r="THX52" s="12"/>
      <c r="THY52" s="18"/>
      <c r="TIC52" s="13"/>
      <c r="TID52" s="14"/>
      <c r="TIE52" s="14"/>
      <c r="TIF52" s="20"/>
      <c r="TIG52" s="13"/>
      <c r="TIH52" s="13"/>
      <c r="TIJ52" s="13"/>
      <c r="TIN52" s="13"/>
      <c r="TIO52" s="13"/>
      <c r="TIP52" s="15"/>
      <c r="TIQ52" s="16"/>
      <c r="TIR52" s="12"/>
      <c r="TIS52" s="12"/>
      <c r="TIT52" s="12"/>
      <c r="TIU52" s="12"/>
      <c r="TIV52" s="12"/>
      <c r="TIW52" s="12"/>
      <c r="TIX52" s="12"/>
      <c r="TIY52" s="18"/>
      <c r="TJC52" s="13"/>
      <c r="TJD52" s="14"/>
      <c r="TJE52" s="14"/>
      <c r="TJF52" s="20"/>
      <c r="TJG52" s="13"/>
      <c r="TJH52" s="13"/>
      <c r="TJJ52" s="13"/>
      <c r="TJN52" s="13"/>
      <c r="TJO52" s="13"/>
      <c r="TJP52" s="15"/>
      <c r="TJQ52" s="16"/>
      <c r="TJR52" s="12"/>
      <c r="TJS52" s="12"/>
      <c r="TJT52" s="12"/>
      <c r="TJU52" s="12"/>
      <c r="TJV52" s="12"/>
      <c r="TJW52" s="12"/>
      <c r="TJX52" s="12"/>
      <c r="TJY52" s="18"/>
      <c r="TKC52" s="13"/>
      <c r="TKD52" s="14"/>
      <c r="TKE52" s="14"/>
      <c r="TKF52" s="20"/>
      <c r="TKG52" s="13"/>
      <c r="TKH52" s="13"/>
      <c r="TKJ52" s="13"/>
      <c r="TKN52" s="13"/>
      <c r="TKO52" s="13"/>
      <c r="TKP52" s="15"/>
      <c r="TKQ52" s="16"/>
      <c r="TKR52" s="12"/>
      <c r="TKS52" s="12"/>
      <c r="TKT52" s="12"/>
      <c r="TKU52" s="12"/>
      <c r="TKV52" s="12"/>
      <c r="TKW52" s="12"/>
      <c r="TKX52" s="12"/>
      <c r="TKY52" s="18"/>
      <c r="TLC52" s="13"/>
      <c r="TLD52" s="14"/>
      <c r="TLE52" s="14"/>
      <c r="TLF52" s="20"/>
      <c r="TLG52" s="13"/>
      <c r="TLH52" s="13"/>
      <c r="TLJ52" s="13"/>
      <c r="TLN52" s="13"/>
      <c r="TLO52" s="13"/>
      <c r="TLP52" s="15"/>
      <c r="TLQ52" s="16"/>
      <c r="TLR52" s="12"/>
      <c r="TLS52" s="12"/>
      <c r="TLT52" s="12"/>
      <c r="TLU52" s="12"/>
      <c r="TLV52" s="12"/>
      <c r="TLW52" s="12"/>
      <c r="TLX52" s="12"/>
      <c r="TLY52" s="18"/>
      <c r="TMC52" s="13"/>
      <c r="TMD52" s="14"/>
      <c r="TME52" s="14"/>
      <c r="TMF52" s="20"/>
      <c r="TMG52" s="13"/>
      <c r="TMH52" s="13"/>
      <c r="TMJ52" s="13"/>
      <c r="TMN52" s="13"/>
      <c r="TMO52" s="13"/>
      <c r="TMP52" s="15"/>
      <c r="TMQ52" s="16"/>
      <c r="TMR52" s="12"/>
      <c r="TMS52" s="12"/>
      <c r="TMT52" s="12"/>
      <c r="TMU52" s="12"/>
      <c r="TMV52" s="12"/>
      <c r="TMW52" s="12"/>
      <c r="TMX52" s="12"/>
      <c r="TMY52" s="18"/>
      <c r="TNC52" s="13"/>
      <c r="TND52" s="14"/>
      <c r="TNE52" s="14"/>
      <c r="TNF52" s="20"/>
      <c r="TNG52" s="13"/>
      <c r="TNH52" s="13"/>
      <c r="TNJ52" s="13"/>
      <c r="TNN52" s="13"/>
      <c r="TNO52" s="13"/>
      <c r="TNP52" s="15"/>
      <c r="TNQ52" s="16"/>
      <c r="TNR52" s="12"/>
      <c r="TNS52" s="12"/>
      <c r="TNT52" s="12"/>
      <c r="TNU52" s="12"/>
      <c r="TNV52" s="12"/>
      <c r="TNW52" s="12"/>
      <c r="TNX52" s="12"/>
      <c r="TNY52" s="18"/>
      <c r="TOC52" s="13"/>
      <c r="TOD52" s="14"/>
      <c r="TOE52" s="14"/>
      <c r="TOF52" s="20"/>
      <c r="TOG52" s="13"/>
      <c r="TOH52" s="13"/>
      <c r="TOJ52" s="13"/>
      <c r="TON52" s="13"/>
      <c r="TOO52" s="13"/>
      <c r="TOP52" s="15"/>
      <c r="TOQ52" s="16"/>
      <c r="TOR52" s="12"/>
      <c r="TOS52" s="12"/>
      <c r="TOT52" s="12"/>
      <c r="TOU52" s="12"/>
      <c r="TOV52" s="12"/>
      <c r="TOW52" s="12"/>
      <c r="TOX52" s="12"/>
      <c r="TOY52" s="18"/>
      <c r="TPC52" s="13"/>
      <c r="TPD52" s="14"/>
      <c r="TPE52" s="14"/>
      <c r="TPF52" s="20"/>
      <c r="TPG52" s="13"/>
      <c r="TPH52" s="13"/>
      <c r="TPJ52" s="13"/>
      <c r="TPN52" s="13"/>
      <c r="TPO52" s="13"/>
      <c r="TPP52" s="15"/>
      <c r="TPQ52" s="16"/>
      <c r="TPR52" s="12"/>
      <c r="TPS52" s="12"/>
      <c r="TPT52" s="12"/>
      <c r="TPU52" s="12"/>
      <c r="TPV52" s="12"/>
      <c r="TPW52" s="12"/>
      <c r="TPX52" s="12"/>
      <c r="TPY52" s="18"/>
      <c r="TQC52" s="13"/>
      <c r="TQD52" s="14"/>
      <c r="TQE52" s="14"/>
      <c r="TQF52" s="20"/>
      <c r="TQG52" s="13"/>
      <c r="TQH52" s="13"/>
      <c r="TQJ52" s="13"/>
      <c r="TQN52" s="13"/>
      <c r="TQO52" s="13"/>
      <c r="TQP52" s="15"/>
      <c r="TQQ52" s="16"/>
      <c r="TQR52" s="12"/>
      <c r="TQS52" s="12"/>
      <c r="TQT52" s="12"/>
      <c r="TQU52" s="12"/>
      <c r="TQV52" s="12"/>
      <c r="TQW52" s="12"/>
      <c r="TQX52" s="12"/>
      <c r="TQY52" s="18"/>
      <c r="TRC52" s="13"/>
      <c r="TRD52" s="14"/>
      <c r="TRE52" s="14"/>
      <c r="TRF52" s="20"/>
      <c r="TRG52" s="13"/>
      <c r="TRH52" s="13"/>
      <c r="TRJ52" s="13"/>
      <c r="TRN52" s="13"/>
      <c r="TRO52" s="13"/>
      <c r="TRP52" s="15"/>
      <c r="TRQ52" s="16"/>
      <c r="TRR52" s="12"/>
      <c r="TRS52" s="12"/>
      <c r="TRT52" s="12"/>
      <c r="TRU52" s="12"/>
      <c r="TRV52" s="12"/>
      <c r="TRW52" s="12"/>
      <c r="TRX52" s="12"/>
      <c r="TRY52" s="18"/>
      <c r="TSC52" s="13"/>
      <c r="TSD52" s="14"/>
      <c r="TSE52" s="14"/>
      <c r="TSF52" s="20"/>
      <c r="TSG52" s="13"/>
      <c r="TSH52" s="13"/>
      <c r="TSJ52" s="13"/>
      <c r="TSN52" s="13"/>
      <c r="TSO52" s="13"/>
      <c r="TSP52" s="15"/>
      <c r="TSQ52" s="16"/>
      <c r="TSR52" s="12"/>
      <c r="TSS52" s="12"/>
      <c r="TST52" s="12"/>
      <c r="TSU52" s="12"/>
      <c r="TSV52" s="12"/>
      <c r="TSW52" s="12"/>
      <c r="TSX52" s="12"/>
      <c r="TSY52" s="18"/>
      <c r="TTC52" s="13"/>
      <c r="TTD52" s="14"/>
      <c r="TTE52" s="14"/>
      <c r="TTF52" s="20"/>
      <c r="TTG52" s="13"/>
      <c r="TTH52" s="13"/>
      <c r="TTJ52" s="13"/>
      <c r="TTN52" s="13"/>
      <c r="TTO52" s="13"/>
      <c r="TTP52" s="15"/>
      <c r="TTQ52" s="16"/>
      <c r="TTR52" s="12"/>
      <c r="TTS52" s="12"/>
      <c r="TTT52" s="12"/>
      <c r="TTU52" s="12"/>
      <c r="TTV52" s="12"/>
      <c r="TTW52" s="12"/>
      <c r="TTX52" s="12"/>
      <c r="TTY52" s="18"/>
      <c r="TUC52" s="13"/>
      <c r="TUD52" s="14"/>
      <c r="TUE52" s="14"/>
      <c r="TUF52" s="20"/>
      <c r="TUG52" s="13"/>
      <c r="TUH52" s="13"/>
      <c r="TUJ52" s="13"/>
      <c r="TUN52" s="13"/>
      <c r="TUO52" s="13"/>
      <c r="TUP52" s="15"/>
      <c r="TUQ52" s="16"/>
      <c r="TUR52" s="12"/>
      <c r="TUS52" s="12"/>
      <c r="TUT52" s="12"/>
      <c r="TUU52" s="12"/>
      <c r="TUV52" s="12"/>
      <c r="TUW52" s="12"/>
      <c r="TUX52" s="12"/>
      <c r="TUY52" s="18"/>
      <c r="TVC52" s="13"/>
      <c r="TVD52" s="14"/>
      <c r="TVE52" s="14"/>
      <c r="TVF52" s="20"/>
      <c r="TVG52" s="13"/>
      <c r="TVH52" s="13"/>
      <c r="TVJ52" s="13"/>
      <c r="TVN52" s="13"/>
      <c r="TVO52" s="13"/>
      <c r="TVP52" s="15"/>
      <c r="TVQ52" s="16"/>
      <c r="TVR52" s="12"/>
      <c r="TVS52" s="12"/>
      <c r="TVT52" s="12"/>
      <c r="TVU52" s="12"/>
      <c r="TVV52" s="12"/>
      <c r="TVW52" s="12"/>
      <c r="TVX52" s="12"/>
      <c r="TVY52" s="18"/>
      <c r="TWC52" s="13"/>
      <c r="TWD52" s="14"/>
      <c r="TWE52" s="14"/>
      <c r="TWF52" s="20"/>
      <c r="TWG52" s="13"/>
      <c r="TWH52" s="13"/>
      <c r="TWJ52" s="13"/>
      <c r="TWN52" s="13"/>
      <c r="TWO52" s="13"/>
      <c r="TWP52" s="15"/>
      <c r="TWQ52" s="16"/>
      <c r="TWR52" s="12"/>
      <c r="TWS52" s="12"/>
      <c r="TWT52" s="12"/>
      <c r="TWU52" s="12"/>
      <c r="TWV52" s="12"/>
      <c r="TWW52" s="12"/>
      <c r="TWX52" s="12"/>
      <c r="TWY52" s="18"/>
      <c r="TXC52" s="13"/>
      <c r="TXD52" s="14"/>
      <c r="TXE52" s="14"/>
      <c r="TXF52" s="20"/>
      <c r="TXG52" s="13"/>
      <c r="TXH52" s="13"/>
      <c r="TXJ52" s="13"/>
      <c r="TXN52" s="13"/>
      <c r="TXO52" s="13"/>
      <c r="TXP52" s="15"/>
      <c r="TXQ52" s="16"/>
      <c r="TXR52" s="12"/>
      <c r="TXS52" s="12"/>
      <c r="TXT52" s="12"/>
      <c r="TXU52" s="12"/>
      <c r="TXV52" s="12"/>
      <c r="TXW52" s="12"/>
      <c r="TXX52" s="12"/>
      <c r="TXY52" s="18"/>
      <c r="TYC52" s="13"/>
      <c r="TYD52" s="14"/>
      <c r="TYE52" s="14"/>
      <c r="TYF52" s="20"/>
      <c r="TYG52" s="13"/>
      <c r="TYH52" s="13"/>
      <c r="TYJ52" s="13"/>
      <c r="TYN52" s="13"/>
      <c r="TYO52" s="13"/>
      <c r="TYP52" s="15"/>
      <c r="TYQ52" s="16"/>
      <c r="TYR52" s="12"/>
      <c r="TYS52" s="12"/>
      <c r="TYT52" s="12"/>
      <c r="TYU52" s="12"/>
      <c r="TYV52" s="12"/>
      <c r="TYW52" s="12"/>
      <c r="TYX52" s="12"/>
      <c r="TYY52" s="18"/>
      <c r="TZC52" s="13"/>
      <c r="TZD52" s="14"/>
      <c r="TZE52" s="14"/>
      <c r="TZF52" s="20"/>
      <c r="TZG52" s="13"/>
      <c r="TZH52" s="13"/>
      <c r="TZJ52" s="13"/>
      <c r="TZN52" s="13"/>
      <c r="TZO52" s="13"/>
      <c r="TZP52" s="15"/>
      <c r="TZQ52" s="16"/>
      <c r="TZR52" s="12"/>
      <c r="TZS52" s="12"/>
      <c r="TZT52" s="12"/>
      <c r="TZU52" s="12"/>
      <c r="TZV52" s="12"/>
      <c r="TZW52" s="12"/>
      <c r="TZX52" s="12"/>
      <c r="TZY52" s="18"/>
      <c r="UAC52" s="13"/>
      <c r="UAD52" s="14"/>
      <c r="UAE52" s="14"/>
      <c r="UAF52" s="20"/>
      <c r="UAG52" s="13"/>
      <c r="UAH52" s="13"/>
      <c r="UAJ52" s="13"/>
      <c r="UAN52" s="13"/>
      <c r="UAO52" s="13"/>
      <c r="UAP52" s="15"/>
      <c r="UAQ52" s="16"/>
      <c r="UAR52" s="12"/>
      <c r="UAS52" s="12"/>
      <c r="UAT52" s="12"/>
      <c r="UAU52" s="12"/>
      <c r="UAV52" s="12"/>
      <c r="UAW52" s="12"/>
      <c r="UAX52" s="12"/>
      <c r="UAY52" s="18"/>
      <c r="UBC52" s="13"/>
      <c r="UBD52" s="14"/>
      <c r="UBE52" s="14"/>
      <c r="UBF52" s="20"/>
      <c r="UBG52" s="13"/>
      <c r="UBH52" s="13"/>
      <c r="UBJ52" s="13"/>
      <c r="UBN52" s="13"/>
      <c r="UBO52" s="13"/>
      <c r="UBP52" s="15"/>
      <c r="UBQ52" s="16"/>
      <c r="UBR52" s="12"/>
      <c r="UBS52" s="12"/>
      <c r="UBT52" s="12"/>
      <c r="UBU52" s="12"/>
      <c r="UBV52" s="12"/>
      <c r="UBW52" s="12"/>
      <c r="UBX52" s="12"/>
      <c r="UBY52" s="18"/>
      <c r="UCC52" s="13"/>
      <c r="UCD52" s="14"/>
      <c r="UCE52" s="14"/>
      <c r="UCF52" s="20"/>
      <c r="UCG52" s="13"/>
      <c r="UCH52" s="13"/>
      <c r="UCJ52" s="13"/>
      <c r="UCN52" s="13"/>
      <c r="UCO52" s="13"/>
      <c r="UCP52" s="15"/>
      <c r="UCQ52" s="16"/>
      <c r="UCR52" s="12"/>
      <c r="UCS52" s="12"/>
      <c r="UCT52" s="12"/>
      <c r="UCU52" s="12"/>
      <c r="UCV52" s="12"/>
      <c r="UCW52" s="12"/>
      <c r="UCX52" s="12"/>
      <c r="UCY52" s="18"/>
      <c r="UDC52" s="13"/>
      <c r="UDD52" s="14"/>
      <c r="UDE52" s="14"/>
      <c r="UDF52" s="20"/>
      <c r="UDG52" s="13"/>
      <c r="UDH52" s="13"/>
      <c r="UDJ52" s="13"/>
      <c r="UDN52" s="13"/>
      <c r="UDO52" s="13"/>
      <c r="UDP52" s="15"/>
      <c r="UDQ52" s="16"/>
      <c r="UDR52" s="12"/>
      <c r="UDS52" s="12"/>
      <c r="UDT52" s="12"/>
      <c r="UDU52" s="12"/>
      <c r="UDV52" s="12"/>
      <c r="UDW52" s="12"/>
      <c r="UDX52" s="12"/>
      <c r="UDY52" s="18"/>
      <c r="UEC52" s="13"/>
      <c r="UED52" s="14"/>
      <c r="UEE52" s="14"/>
      <c r="UEF52" s="20"/>
      <c r="UEG52" s="13"/>
      <c r="UEH52" s="13"/>
      <c r="UEJ52" s="13"/>
      <c r="UEN52" s="13"/>
      <c r="UEO52" s="13"/>
      <c r="UEP52" s="15"/>
      <c r="UEQ52" s="16"/>
      <c r="UER52" s="12"/>
      <c r="UES52" s="12"/>
      <c r="UET52" s="12"/>
      <c r="UEU52" s="12"/>
      <c r="UEV52" s="12"/>
      <c r="UEW52" s="12"/>
      <c r="UEX52" s="12"/>
      <c r="UEY52" s="18"/>
      <c r="UFC52" s="13"/>
      <c r="UFD52" s="14"/>
      <c r="UFE52" s="14"/>
      <c r="UFF52" s="20"/>
      <c r="UFG52" s="13"/>
      <c r="UFH52" s="13"/>
      <c r="UFJ52" s="13"/>
      <c r="UFN52" s="13"/>
      <c r="UFO52" s="13"/>
      <c r="UFP52" s="15"/>
      <c r="UFQ52" s="16"/>
      <c r="UFR52" s="12"/>
      <c r="UFS52" s="12"/>
      <c r="UFT52" s="12"/>
      <c r="UFU52" s="12"/>
      <c r="UFV52" s="12"/>
      <c r="UFW52" s="12"/>
      <c r="UFX52" s="12"/>
      <c r="UFY52" s="18"/>
      <c r="UGC52" s="13"/>
      <c r="UGD52" s="14"/>
      <c r="UGE52" s="14"/>
      <c r="UGF52" s="20"/>
      <c r="UGG52" s="13"/>
      <c r="UGH52" s="13"/>
      <c r="UGJ52" s="13"/>
      <c r="UGN52" s="13"/>
      <c r="UGO52" s="13"/>
      <c r="UGP52" s="15"/>
      <c r="UGQ52" s="16"/>
      <c r="UGR52" s="12"/>
      <c r="UGS52" s="12"/>
      <c r="UGT52" s="12"/>
      <c r="UGU52" s="12"/>
      <c r="UGV52" s="12"/>
      <c r="UGW52" s="12"/>
      <c r="UGX52" s="12"/>
      <c r="UGY52" s="18"/>
      <c r="UHC52" s="13"/>
      <c r="UHD52" s="14"/>
      <c r="UHE52" s="14"/>
      <c r="UHF52" s="20"/>
      <c r="UHG52" s="13"/>
      <c r="UHH52" s="13"/>
      <c r="UHJ52" s="13"/>
      <c r="UHN52" s="13"/>
      <c r="UHO52" s="13"/>
      <c r="UHP52" s="15"/>
      <c r="UHQ52" s="16"/>
      <c r="UHR52" s="12"/>
      <c r="UHS52" s="12"/>
      <c r="UHT52" s="12"/>
      <c r="UHU52" s="12"/>
      <c r="UHV52" s="12"/>
      <c r="UHW52" s="12"/>
      <c r="UHX52" s="12"/>
      <c r="UHY52" s="18"/>
      <c r="UIC52" s="13"/>
      <c r="UID52" s="14"/>
      <c r="UIE52" s="14"/>
      <c r="UIF52" s="20"/>
      <c r="UIG52" s="13"/>
      <c r="UIH52" s="13"/>
      <c r="UIJ52" s="13"/>
      <c r="UIN52" s="13"/>
      <c r="UIO52" s="13"/>
      <c r="UIP52" s="15"/>
      <c r="UIQ52" s="16"/>
      <c r="UIR52" s="12"/>
      <c r="UIS52" s="12"/>
      <c r="UIT52" s="12"/>
      <c r="UIU52" s="12"/>
      <c r="UIV52" s="12"/>
      <c r="UIW52" s="12"/>
      <c r="UIX52" s="12"/>
      <c r="UIY52" s="18"/>
      <c r="UJC52" s="13"/>
      <c r="UJD52" s="14"/>
      <c r="UJE52" s="14"/>
      <c r="UJF52" s="20"/>
      <c r="UJG52" s="13"/>
      <c r="UJH52" s="13"/>
      <c r="UJJ52" s="13"/>
      <c r="UJN52" s="13"/>
      <c r="UJO52" s="13"/>
      <c r="UJP52" s="15"/>
      <c r="UJQ52" s="16"/>
      <c r="UJR52" s="12"/>
      <c r="UJS52" s="12"/>
      <c r="UJT52" s="12"/>
      <c r="UJU52" s="12"/>
      <c r="UJV52" s="12"/>
      <c r="UJW52" s="12"/>
      <c r="UJX52" s="12"/>
      <c r="UJY52" s="18"/>
      <c r="UKC52" s="13"/>
      <c r="UKD52" s="14"/>
      <c r="UKE52" s="14"/>
      <c r="UKF52" s="20"/>
      <c r="UKG52" s="13"/>
      <c r="UKH52" s="13"/>
      <c r="UKJ52" s="13"/>
      <c r="UKN52" s="13"/>
      <c r="UKO52" s="13"/>
      <c r="UKP52" s="15"/>
      <c r="UKQ52" s="16"/>
      <c r="UKR52" s="12"/>
      <c r="UKS52" s="12"/>
      <c r="UKT52" s="12"/>
      <c r="UKU52" s="12"/>
      <c r="UKV52" s="12"/>
      <c r="UKW52" s="12"/>
      <c r="UKX52" s="12"/>
      <c r="UKY52" s="18"/>
      <c r="ULC52" s="13"/>
      <c r="ULD52" s="14"/>
      <c r="ULE52" s="14"/>
      <c r="ULF52" s="20"/>
      <c r="ULG52" s="13"/>
      <c r="ULH52" s="13"/>
      <c r="ULJ52" s="13"/>
      <c r="ULN52" s="13"/>
      <c r="ULO52" s="13"/>
      <c r="ULP52" s="15"/>
      <c r="ULQ52" s="16"/>
      <c r="ULR52" s="12"/>
      <c r="ULS52" s="12"/>
      <c r="ULT52" s="12"/>
      <c r="ULU52" s="12"/>
      <c r="ULV52" s="12"/>
      <c r="ULW52" s="12"/>
      <c r="ULX52" s="12"/>
      <c r="ULY52" s="18"/>
      <c r="UMC52" s="13"/>
      <c r="UMD52" s="14"/>
      <c r="UME52" s="14"/>
      <c r="UMF52" s="20"/>
      <c r="UMG52" s="13"/>
      <c r="UMH52" s="13"/>
      <c r="UMJ52" s="13"/>
      <c r="UMN52" s="13"/>
      <c r="UMO52" s="13"/>
      <c r="UMP52" s="15"/>
      <c r="UMQ52" s="16"/>
      <c r="UMR52" s="12"/>
      <c r="UMS52" s="12"/>
      <c r="UMT52" s="12"/>
      <c r="UMU52" s="12"/>
      <c r="UMV52" s="12"/>
      <c r="UMW52" s="12"/>
      <c r="UMX52" s="12"/>
      <c r="UMY52" s="18"/>
      <c r="UNC52" s="13"/>
      <c r="UND52" s="14"/>
      <c r="UNE52" s="14"/>
      <c r="UNF52" s="20"/>
      <c r="UNG52" s="13"/>
      <c r="UNH52" s="13"/>
      <c r="UNJ52" s="13"/>
      <c r="UNN52" s="13"/>
      <c r="UNO52" s="13"/>
      <c r="UNP52" s="15"/>
      <c r="UNQ52" s="16"/>
      <c r="UNR52" s="12"/>
      <c r="UNS52" s="12"/>
      <c r="UNT52" s="12"/>
      <c r="UNU52" s="12"/>
      <c r="UNV52" s="12"/>
      <c r="UNW52" s="12"/>
      <c r="UNX52" s="12"/>
      <c r="UNY52" s="18"/>
      <c r="UOC52" s="13"/>
      <c r="UOD52" s="14"/>
      <c r="UOE52" s="14"/>
      <c r="UOF52" s="20"/>
      <c r="UOG52" s="13"/>
      <c r="UOH52" s="13"/>
      <c r="UOJ52" s="13"/>
      <c r="UON52" s="13"/>
      <c r="UOO52" s="13"/>
      <c r="UOP52" s="15"/>
      <c r="UOQ52" s="16"/>
      <c r="UOR52" s="12"/>
      <c r="UOS52" s="12"/>
      <c r="UOT52" s="12"/>
      <c r="UOU52" s="12"/>
      <c r="UOV52" s="12"/>
      <c r="UOW52" s="12"/>
      <c r="UOX52" s="12"/>
      <c r="UOY52" s="18"/>
      <c r="UPC52" s="13"/>
      <c r="UPD52" s="14"/>
      <c r="UPE52" s="14"/>
      <c r="UPF52" s="20"/>
      <c r="UPG52" s="13"/>
      <c r="UPH52" s="13"/>
      <c r="UPJ52" s="13"/>
      <c r="UPN52" s="13"/>
      <c r="UPO52" s="13"/>
      <c r="UPP52" s="15"/>
      <c r="UPQ52" s="16"/>
      <c r="UPR52" s="12"/>
      <c r="UPS52" s="12"/>
      <c r="UPT52" s="12"/>
      <c r="UPU52" s="12"/>
      <c r="UPV52" s="12"/>
      <c r="UPW52" s="12"/>
      <c r="UPX52" s="12"/>
      <c r="UPY52" s="18"/>
      <c r="UQC52" s="13"/>
      <c r="UQD52" s="14"/>
      <c r="UQE52" s="14"/>
      <c r="UQF52" s="20"/>
      <c r="UQG52" s="13"/>
      <c r="UQH52" s="13"/>
      <c r="UQJ52" s="13"/>
      <c r="UQN52" s="13"/>
      <c r="UQO52" s="13"/>
      <c r="UQP52" s="15"/>
      <c r="UQQ52" s="16"/>
      <c r="UQR52" s="12"/>
      <c r="UQS52" s="12"/>
      <c r="UQT52" s="12"/>
      <c r="UQU52" s="12"/>
      <c r="UQV52" s="12"/>
      <c r="UQW52" s="12"/>
      <c r="UQX52" s="12"/>
      <c r="UQY52" s="18"/>
      <c r="URC52" s="13"/>
      <c r="URD52" s="14"/>
      <c r="URE52" s="14"/>
      <c r="URF52" s="20"/>
      <c r="URG52" s="13"/>
      <c r="URH52" s="13"/>
      <c r="URJ52" s="13"/>
      <c r="URN52" s="13"/>
      <c r="URO52" s="13"/>
      <c r="URP52" s="15"/>
      <c r="URQ52" s="16"/>
      <c r="URR52" s="12"/>
      <c r="URS52" s="12"/>
      <c r="URT52" s="12"/>
      <c r="URU52" s="12"/>
      <c r="URV52" s="12"/>
      <c r="URW52" s="12"/>
      <c r="URX52" s="12"/>
      <c r="URY52" s="18"/>
      <c r="USC52" s="13"/>
      <c r="USD52" s="14"/>
      <c r="USE52" s="14"/>
      <c r="USF52" s="20"/>
      <c r="USG52" s="13"/>
      <c r="USH52" s="13"/>
      <c r="USJ52" s="13"/>
      <c r="USN52" s="13"/>
      <c r="USO52" s="13"/>
      <c r="USP52" s="15"/>
      <c r="USQ52" s="16"/>
      <c r="USR52" s="12"/>
      <c r="USS52" s="12"/>
      <c r="UST52" s="12"/>
      <c r="USU52" s="12"/>
      <c r="USV52" s="12"/>
      <c r="USW52" s="12"/>
      <c r="USX52" s="12"/>
      <c r="USY52" s="18"/>
      <c r="UTC52" s="13"/>
      <c r="UTD52" s="14"/>
      <c r="UTE52" s="14"/>
      <c r="UTF52" s="20"/>
      <c r="UTG52" s="13"/>
      <c r="UTH52" s="13"/>
      <c r="UTJ52" s="13"/>
      <c r="UTN52" s="13"/>
      <c r="UTO52" s="13"/>
      <c r="UTP52" s="15"/>
      <c r="UTQ52" s="16"/>
      <c r="UTR52" s="12"/>
      <c r="UTS52" s="12"/>
      <c r="UTT52" s="12"/>
      <c r="UTU52" s="12"/>
      <c r="UTV52" s="12"/>
      <c r="UTW52" s="12"/>
      <c r="UTX52" s="12"/>
      <c r="UTY52" s="18"/>
      <c r="UUC52" s="13"/>
      <c r="UUD52" s="14"/>
      <c r="UUE52" s="14"/>
      <c r="UUF52" s="20"/>
      <c r="UUG52" s="13"/>
      <c r="UUH52" s="13"/>
      <c r="UUJ52" s="13"/>
      <c r="UUN52" s="13"/>
      <c r="UUO52" s="13"/>
      <c r="UUP52" s="15"/>
      <c r="UUQ52" s="16"/>
      <c r="UUR52" s="12"/>
      <c r="UUS52" s="12"/>
      <c r="UUT52" s="12"/>
      <c r="UUU52" s="12"/>
      <c r="UUV52" s="12"/>
      <c r="UUW52" s="12"/>
      <c r="UUX52" s="12"/>
      <c r="UUY52" s="18"/>
      <c r="UVC52" s="13"/>
      <c r="UVD52" s="14"/>
      <c r="UVE52" s="14"/>
      <c r="UVF52" s="20"/>
      <c r="UVG52" s="13"/>
      <c r="UVH52" s="13"/>
      <c r="UVJ52" s="13"/>
      <c r="UVN52" s="13"/>
      <c r="UVO52" s="13"/>
      <c r="UVP52" s="15"/>
      <c r="UVQ52" s="16"/>
      <c r="UVR52" s="12"/>
      <c r="UVS52" s="12"/>
      <c r="UVT52" s="12"/>
      <c r="UVU52" s="12"/>
      <c r="UVV52" s="12"/>
      <c r="UVW52" s="12"/>
      <c r="UVX52" s="12"/>
      <c r="UVY52" s="18"/>
      <c r="UWC52" s="13"/>
      <c r="UWD52" s="14"/>
      <c r="UWE52" s="14"/>
      <c r="UWF52" s="20"/>
      <c r="UWG52" s="13"/>
      <c r="UWH52" s="13"/>
      <c r="UWJ52" s="13"/>
      <c r="UWN52" s="13"/>
      <c r="UWO52" s="13"/>
      <c r="UWP52" s="15"/>
      <c r="UWQ52" s="16"/>
      <c r="UWR52" s="12"/>
      <c r="UWS52" s="12"/>
      <c r="UWT52" s="12"/>
      <c r="UWU52" s="12"/>
      <c r="UWV52" s="12"/>
      <c r="UWW52" s="12"/>
      <c r="UWX52" s="12"/>
      <c r="UWY52" s="18"/>
      <c r="UXC52" s="13"/>
      <c r="UXD52" s="14"/>
      <c r="UXE52" s="14"/>
      <c r="UXF52" s="20"/>
      <c r="UXG52" s="13"/>
      <c r="UXH52" s="13"/>
      <c r="UXJ52" s="13"/>
      <c r="UXN52" s="13"/>
      <c r="UXO52" s="13"/>
      <c r="UXP52" s="15"/>
      <c r="UXQ52" s="16"/>
      <c r="UXR52" s="12"/>
      <c r="UXS52" s="12"/>
      <c r="UXT52" s="12"/>
      <c r="UXU52" s="12"/>
      <c r="UXV52" s="12"/>
      <c r="UXW52" s="12"/>
      <c r="UXX52" s="12"/>
      <c r="UXY52" s="18"/>
      <c r="UYC52" s="13"/>
      <c r="UYD52" s="14"/>
      <c r="UYE52" s="14"/>
      <c r="UYF52" s="20"/>
      <c r="UYG52" s="13"/>
      <c r="UYH52" s="13"/>
      <c r="UYJ52" s="13"/>
      <c r="UYN52" s="13"/>
      <c r="UYO52" s="13"/>
      <c r="UYP52" s="15"/>
      <c r="UYQ52" s="16"/>
      <c r="UYR52" s="12"/>
      <c r="UYS52" s="12"/>
      <c r="UYT52" s="12"/>
      <c r="UYU52" s="12"/>
      <c r="UYV52" s="12"/>
      <c r="UYW52" s="12"/>
      <c r="UYX52" s="12"/>
      <c r="UYY52" s="18"/>
      <c r="UZC52" s="13"/>
      <c r="UZD52" s="14"/>
      <c r="UZE52" s="14"/>
      <c r="UZF52" s="20"/>
      <c r="UZG52" s="13"/>
      <c r="UZH52" s="13"/>
      <c r="UZJ52" s="13"/>
      <c r="UZN52" s="13"/>
      <c r="UZO52" s="13"/>
      <c r="UZP52" s="15"/>
      <c r="UZQ52" s="16"/>
      <c r="UZR52" s="12"/>
      <c r="UZS52" s="12"/>
      <c r="UZT52" s="12"/>
      <c r="UZU52" s="12"/>
      <c r="UZV52" s="12"/>
      <c r="UZW52" s="12"/>
      <c r="UZX52" s="12"/>
      <c r="UZY52" s="18"/>
      <c r="VAC52" s="13"/>
      <c r="VAD52" s="14"/>
      <c r="VAE52" s="14"/>
      <c r="VAF52" s="20"/>
      <c r="VAG52" s="13"/>
      <c r="VAH52" s="13"/>
      <c r="VAJ52" s="13"/>
      <c r="VAN52" s="13"/>
      <c r="VAO52" s="13"/>
      <c r="VAP52" s="15"/>
      <c r="VAQ52" s="16"/>
      <c r="VAR52" s="12"/>
      <c r="VAS52" s="12"/>
      <c r="VAT52" s="12"/>
      <c r="VAU52" s="12"/>
      <c r="VAV52" s="12"/>
      <c r="VAW52" s="12"/>
      <c r="VAX52" s="12"/>
      <c r="VAY52" s="18"/>
      <c r="VBC52" s="13"/>
      <c r="VBD52" s="14"/>
      <c r="VBE52" s="14"/>
      <c r="VBF52" s="20"/>
      <c r="VBG52" s="13"/>
      <c r="VBH52" s="13"/>
      <c r="VBJ52" s="13"/>
      <c r="VBN52" s="13"/>
      <c r="VBO52" s="13"/>
      <c r="VBP52" s="15"/>
      <c r="VBQ52" s="16"/>
      <c r="VBR52" s="12"/>
      <c r="VBS52" s="12"/>
      <c r="VBT52" s="12"/>
      <c r="VBU52" s="12"/>
      <c r="VBV52" s="12"/>
      <c r="VBW52" s="12"/>
      <c r="VBX52" s="12"/>
      <c r="VBY52" s="18"/>
      <c r="VCC52" s="13"/>
      <c r="VCD52" s="14"/>
      <c r="VCE52" s="14"/>
      <c r="VCF52" s="20"/>
      <c r="VCG52" s="13"/>
      <c r="VCH52" s="13"/>
      <c r="VCJ52" s="13"/>
      <c r="VCN52" s="13"/>
      <c r="VCO52" s="13"/>
      <c r="VCP52" s="15"/>
      <c r="VCQ52" s="16"/>
      <c r="VCR52" s="12"/>
      <c r="VCS52" s="12"/>
      <c r="VCT52" s="12"/>
      <c r="VCU52" s="12"/>
      <c r="VCV52" s="12"/>
      <c r="VCW52" s="12"/>
      <c r="VCX52" s="12"/>
      <c r="VCY52" s="18"/>
      <c r="VDC52" s="13"/>
      <c r="VDD52" s="14"/>
      <c r="VDE52" s="14"/>
      <c r="VDF52" s="20"/>
      <c r="VDG52" s="13"/>
      <c r="VDH52" s="13"/>
      <c r="VDJ52" s="13"/>
      <c r="VDN52" s="13"/>
      <c r="VDO52" s="13"/>
      <c r="VDP52" s="15"/>
      <c r="VDQ52" s="16"/>
      <c r="VDR52" s="12"/>
      <c r="VDS52" s="12"/>
      <c r="VDT52" s="12"/>
      <c r="VDU52" s="12"/>
      <c r="VDV52" s="12"/>
      <c r="VDW52" s="12"/>
      <c r="VDX52" s="12"/>
      <c r="VDY52" s="18"/>
      <c r="VEC52" s="13"/>
      <c r="VED52" s="14"/>
      <c r="VEE52" s="14"/>
      <c r="VEF52" s="20"/>
      <c r="VEG52" s="13"/>
      <c r="VEH52" s="13"/>
      <c r="VEJ52" s="13"/>
      <c r="VEN52" s="13"/>
      <c r="VEO52" s="13"/>
      <c r="VEP52" s="15"/>
      <c r="VEQ52" s="16"/>
      <c r="VER52" s="12"/>
      <c r="VES52" s="12"/>
      <c r="VET52" s="12"/>
      <c r="VEU52" s="12"/>
      <c r="VEV52" s="12"/>
      <c r="VEW52" s="12"/>
      <c r="VEX52" s="12"/>
      <c r="VEY52" s="18"/>
      <c r="VFC52" s="13"/>
      <c r="VFD52" s="14"/>
      <c r="VFE52" s="14"/>
      <c r="VFF52" s="20"/>
      <c r="VFG52" s="13"/>
      <c r="VFH52" s="13"/>
      <c r="VFJ52" s="13"/>
      <c r="VFN52" s="13"/>
      <c r="VFO52" s="13"/>
      <c r="VFP52" s="15"/>
      <c r="VFQ52" s="16"/>
      <c r="VFR52" s="12"/>
      <c r="VFS52" s="12"/>
      <c r="VFT52" s="12"/>
      <c r="VFU52" s="12"/>
      <c r="VFV52" s="12"/>
      <c r="VFW52" s="12"/>
      <c r="VFX52" s="12"/>
      <c r="VFY52" s="18"/>
      <c r="VGC52" s="13"/>
      <c r="VGD52" s="14"/>
      <c r="VGE52" s="14"/>
      <c r="VGF52" s="20"/>
      <c r="VGG52" s="13"/>
      <c r="VGH52" s="13"/>
      <c r="VGJ52" s="13"/>
      <c r="VGN52" s="13"/>
      <c r="VGO52" s="13"/>
      <c r="VGP52" s="15"/>
      <c r="VGQ52" s="16"/>
      <c r="VGR52" s="12"/>
      <c r="VGS52" s="12"/>
      <c r="VGT52" s="12"/>
      <c r="VGU52" s="12"/>
      <c r="VGV52" s="12"/>
      <c r="VGW52" s="12"/>
      <c r="VGX52" s="12"/>
      <c r="VGY52" s="18"/>
      <c r="VHC52" s="13"/>
      <c r="VHD52" s="14"/>
      <c r="VHE52" s="14"/>
      <c r="VHF52" s="20"/>
      <c r="VHG52" s="13"/>
      <c r="VHH52" s="13"/>
      <c r="VHJ52" s="13"/>
      <c r="VHN52" s="13"/>
      <c r="VHO52" s="13"/>
      <c r="VHP52" s="15"/>
      <c r="VHQ52" s="16"/>
      <c r="VHR52" s="12"/>
      <c r="VHS52" s="12"/>
      <c r="VHT52" s="12"/>
      <c r="VHU52" s="12"/>
      <c r="VHV52" s="12"/>
      <c r="VHW52" s="12"/>
      <c r="VHX52" s="12"/>
      <c r="VHY52" s="18"/>
      <c r="VIC52" s="13"/>
      <c r="VID52" s="14"/>
      <c r="VIE52" s="14"/>
      <c r="VIF52" s="20"/>
      <c r="VIG52" s="13"/>
      <c r="VIH52" s="13"/>
      <c r="VIJ52" s="13"/>
      <c r="VIN52" s="13"/>
      <c r="VIO52" s="13"/>
      <c r="VIP52" s="15"/>
      <c r="VIQ52" s="16"/>
      <c r="VIR52" s="12"/>
      <c r="VIS52" s="12"/>
      <c r="VIT52" s="12"/>
      <c r="VIU52" s="12"/>
      <c r="VIV52" s="12"/>
      <c r="VIW52" s="12"/>
      <c r="VIX52" s="12"/>
      <c r="VIY52" s="18"/>
      <c r="VJC52" s="13"/>
      <c r="VJD52" s="14"/>
      <c r="VJE52" s="14"/>
      <c r="VJF52" s="20"/>
      <c r="VJG52" s="13"/>
      <c r="VJH52" s="13"/>
      <c r="VJJ52" s="13"/>
      <c r="VJN52" s="13"/>
      <c r="VJO52" s="13"/>
      <c r="VJP52" s="15"/>
      <c r="VJQ52" s="16"/>
      <c r="VJR52" s="12"/>
      <c r="VJS52" s="12"/>
      <c r="VJT52" s="12"/>
      <c r="VJU52" s="12"/>
      <c r="VJV52" s="12"/>
      <c r="VJW52" s="12"/>
      <c r="VJX52" s="12"/>
      <c r="VJY52" s="18"/>
      <c r="VKC52" s="13"/>
      <c r="VKD52" s="14"/>
      <c r="VKE52" s="14"/>
      <c r="VKF52" s="20"/>
      <c r="VKG52" s="13"/>
      <c r="VKH52" s="13"/>
      <c r="VKJ52" s="13"/>
      <c r="VKN52" s="13"/>
      <c r="VKO52" s="13"/>
      <c r="VKP52" s="15"/>
      <c r="VKQ52" s="16"/>
      <c r="VKR52" s="12"/>
      <c r="VKS52" s="12"/>
      <c r="VKT52" s="12"/>
      <c r="VKU52" s="12"/>
      <c r="VKV52" s="12"/>
      <c r="VKW52" s="12"/>
      <c r="VKX52" s="12"/>
      <c r="VKY52" s="18"/>
      <c r="VLC52" s="13"/>
      <c r="VLD52" s="14"/>
      <c r="VLE52" s="14"/>
      <c r="VLF52" s="20"/>
      <c r="VLG52" s="13"/>
      <c r="VLH52" s="13"/>
      <c r="VLJ52" s="13"/>
      <c r="VLN52" s="13"/>
      <c r="VLO52" s="13"/>
      <c r="VLP52" s="15"/>
      <c r="VLQ52" s="16"/>
      <c r="VLR52" s="12"/>
      <c r="VLS52" s="12"/>
      <c r="VLT52" s="12"/>
      <c r="VLU52" s="12"/>
      <c r="VLV52" s="12"/>
      <c r="VLW52" s="12"/>
      <c r="VLX52" s="12"/>
      <c r="VLY52" s="18"/>
      <c r="VMC52" s="13"/>
      <c r="VMD52" s="14"/>
      <c r="VME52" s="14"/>
      <c r="VMF52" s="20"/>
      <c r="VMG52" s="13"/>
      <c r="VMH52" s="13"/>
      <c r="VMJ52" s="13"/>
      <c r="VMN52" s="13"/>
      <c r="VMO52" s="13"/>
      <c r="VMP52" s="15"/>
      <c r="VMQ52" s="16"/>
      <c r="VMR52" s="12"/>
      <c r="VMS52" s="12"/>
      <c r="VMT52" s="12"/>
      <c r="VMU52" s="12"/>
      <c r="VMV52" s="12"/>
      <c r="VMW52" s="12"/>
      <c r="VMX52" s="12"/>
      <c r="VMY52" s="18"/>
      <c r="VNC52" s="13"/>
      <c r="VND52" s="14"/>
      <c r="VNE52" s="14"/>
      <c r="VNF52" s="20"/>
      <c r="VNG52" s="13"/>
      <c r="VNH52" s="13"/>
      <c r="VNJ52" s="13"/>
      <c r="VNN52" s="13"/>
      <c r="VNO52" s="13"/>
      <c r="VNP52" s="15"/>
      <c r="VNQ52" s="16"/>
      <c r="VNR52" s="12"/>
      <c r="VNS52" s="12"/>
      <c r="VNT52" s="12"/>
      <c r="VNU52" s="12"/>
      <c r="VNV52" s="12"/>
      <c r="VNW52" s="12"/>
      <c r="VNX52" s="12"/>
      <c r="VNY52" s="18"/>
      <c r="VOC52" s="13"/>
      <c r="VOD52" s="14"/>
      <c r="VOE52" s="14"/>
      <c r="VOF52" s="20"/>
      <c r="VOG52" s="13"/>
      <c r="VOH52" s="13"/>
      <c r="VOJ52" s="13"/>
      <c r="VON52" s="13"/>
      <c r="VOO52" s="13"/>
      <c r="VOP52" s="15"/>
      <c r="VOQ52" s="16"/>
      <c r="VOR52" s="12"/>
      <c r="VOS52" s="12"/>
      <c r="VOT52" s="12"/>
      <c r="VOU52" s="12"/>
      <c r="VOV52" s="12"/>
      <c r="VOW52" s="12"/>
      <c r="VOX52" s="12"/>
      <c r="VOY52" s="18"/>
      <c r="VPC52" s="13"/>
      <c r="VPD52" s="14"/>
      <c r="VPE52" s="14"/>
      <c r="VPF52" s="20"/>
      <c r="VPG52" s="13"/>
      <c r="VPH52" s="13"/>
      <c r="VPJ52" s="13"/>
      <c r="VPN52" s="13"/>
      <c r="VPO52" s="13"/>
      <c r="VPP52" s="15"/>
      <c r="VPQ52" s="16"/>
      <c r="VPR52" s="12"/>
      <c r="VPS52" s="12"/>
      <c r="VPT52" s="12"/>
      <c r="VPU52" s="12"/>
      <c r="VPV52" s="12"/>
      <c r="VPW52" s="12"/>
      <c r="VPX52" s="12"/>
      <c r="VPY52" s="18"/>
      <c r="VQC52" s="13"/>
      <c r="VQD52" s="14"/>
      <c r="VQE52" s="14"/>
      <c r="VQF52" s="20"/>
      <c r="VQG52" s="13"/>
      <c r="VQH52" s="13"/>
      <c r="VQJ52" s="13"/>
      <c r="VQN52" s="13"/>
      <c r="VQO52" s="13"/>
      <c r="VQP52" s="15"/>
      <c r="VQQ52" s="16"/>
      <c r="VQR52" s="12"/>
      <c r="VQS52" s="12"/>
      <c r="VQT52" s="12"/>
      <c r="VQU52" s="12"/>
      <c r="VQV52" s="12"/>
      <c r="VQW52" s="12"/>
      <c r="VQX52" s="12"/>
      <c r="VQY52" s="18"/>
      <c r="VRC52" s="13"/>
      <c r="VRD52" s="14"/>
      <c r="VRE52" s="14"/>
      <c r="VRF52" s="20"/>
      <c r="VRG52" s="13"/>
      <c r="VRH52" s="13"/>
      <c r="VRJ52" s="13"/>
      <c r="VRN52" s="13"/>
      <c r="VRO52" s="13"/>
      <c r="VRP52" s="15"/>
      <c r="VRQ52" s="16"/>
      <c r="VRR52" s="12"/>
      <c r="VRS52" s="12"/>
      <c r="VRT52" s="12"/>
      <c r="VRU52" s="12"/>
      <c r="VRV52" s="12"/>
      <c r="VRW52" s="12"/>
      <c r="VRX52" s="12"/>
      <c r="VRY52" s="18"/>
      <c r="VSC52" s="13"/>
      <c r="VSD52" s="14"/>
      <c r="VSE52" s="14"/>
      <c r="VSF52" s="20"/>
      <c r="VSG52" s="13"/>
      <c r="VSH52" s="13"/>
      <c r="VSJ52" s="13"/>
      <c r="VSN52" s="13"/>
      <c r="VSO52" s="13"/>
      <c r="VSP52" s="15"/>
      <c r="VSQ52" s="16"/>
      <c r="VSR52" s="12"/>
      <c r="VSS52" s="12"/>
      <c r="VST52" s="12"/>
      <c r="VSU52" s="12"/>
      <c r="VSV52" s="12"/>
      <c r="VSW52" s="12"/>
      <c r="VSX52" s="12"/>
      <c r="VSY52" s="18"/>
      <c r="VTC52" s="13"/>
      <c r="VTD52" s="14"/>
      <c r="VTE52" s="14"/>
      <c r="VTF52" s="20"/>
      <c r="VTG52" s="13"/>
      <c r="VTH52" s="13"/>
      <c r="VTJ52" s="13"/>
      <c r="VTN52" s="13"/>
      <c r="VTO52" s="13"/>
      <c r="VTP52" s="15"/>
      <c r="VTQ52" s="16"/>
      <c r="VTR52" s="12"/>
      <c r="VTS52" s="12"/>
      <c r="VTT52" s="12"/>
      <c r="VTU52" s="12"/>
      <c r="VTV52" s="12"/>
      <c r="VTW52" s="12"/>
      <c r="VTX52" s="12"/>
      <c r="VTY52" s="18"/>
      <c r="VUC52" s="13"/>
      <c r="VUD52" s="14"/>
      <c r="VUE52" s="14"/>
      <c r="VUF52" s="20"/>
      <c r="VUG52" s="13"/>
      <c r="VUH52" s="13"/>
      <c r="VUJ52" s="13"/>
      <c r="VUN52" s="13"/>
      <c r="VUO52" s="13"/>
      <c r="VUP52" s="15"/>
      <c r="VUQ52" s="16"/>
      <c r="VUR52" s="12"/>
      <c r="VUS52" s="12"/>
      <c r="VUT52" s="12"/>
      <c r="VUU52" s="12"/>
      <c r="VUV52" s="12"/>
      <c r="VUW52" s="12"/>
      <c r="VUX52" s="12"/>
      <c r="VUY52" s="18"/>
      <c r="VVC52" s="13"/>
      <c r="VVD52" s="14"/>
      <c r="VVE52" s="14"/>
      <c r="VVF52" s="20"/>
      <c r="VVG52" s="13"/>
      <c r="VVH52" s="13"/>
      <c r="VVJ52" s="13"/>
      <c r="VVN52" s="13"/>
      <c r="VVO52" s="13"/>
      <c r="VVP52" s="15"/>
      <c r="VVQ52" s="16"/>
      <c r="VVR52" s="12"/>
      <c r="VVS52" s="12"/>
      <c r="VVT52" s="12"/>
      <c r="VVU52" s="12"/>
      <c r="VVV52" s="12"/>
      <c r="VVW52" s="12"/>
      <c r="VVX52" s="12"/>
      <c r="VVY52" s="18"/>
      <c r="VWC52" s="13"/>
      <c r="VWD52" s="14"/>
      <c r="VWE52" s="14"/>
      <c r="VWF52" s="20"/>
      <c r="VWG52" s="13"/>
      <c r="VWH52" s="13"/>
      <c r="VWJ52" s="13"/>
      <c r="VWN52" s="13"/>
      <c r="VWO52" s="13"/>
      <c r="VWP52" s="15"/>
      <c r="VWQ52" s="16"/>
      <c r="VWR52" s="12"/>
      <c r="VWS52" s="12"/>
      <c r="VWT52" s="12"/>
      <c r="VWU52" s="12"/>
      <c r="VWV52" s="12"/>
      <c r="VWW52" s="12"/>
      <c r="VWX52" s="12"/>
      <c r="VWY52" s="18"/>
      <c r="VXC52" s="13"/>
      <c r="VXD52" s="14"/>
      <c r="VXE52" s="14"/>
      <c r="VXF52" s="20"/>
      <c r="VXG52" s="13"/>
      <c r="VXH52" s="13"/>
      <c r="VXJ52" s="13"/>
      <c r="VXN52" s="13"/>
      <c r="VXO52" s="13"/>
      <c r="VXP52" s="15"/>
      <c r="VXQ52" s="16"/>
      <c r="VXR52" s="12"/>
      <c r="VXS52" s="12"/>
      <c r="VXT52" s="12"/>
      <c r="VXU52" s="12"/>
      <c r="VXV52" s="12"/>
      <c r="VXW52" s="12"/>
      <c r="VXX52" s="12"/>
      <c r="VXY52" s="18"/>
      <c r="VYC52" s="13"/>
      <c r="VYD52" s="14"/>
      <c r="VYE52" s="14"/>
      <c r="VYF52" s="20"/>
      <c r="VYG52" s="13"/>
      <c r="VYH52" s="13"/>
      <c r="VYJ52" s="13"/>
      <c r="VYN52" s="13"/>
      <c r="VYO52" s="13"/>
      <c r="VYP52" s="15"/>
      <c r="VYQ52" s="16"/>
      <c r="VYR52" s="12"/>
      <c r="VYS52" s="12"/>
      <c r="VYT52" s="12"/>
      <c r="VYU52" s="12"/>
      <c r="VYV52" s="12"/>
      <c r="VYW52" s="12"/>
      <c r="VYX52" s="12"/>
      <c r="VYY52" s="18"/>
      <c r="VZC52" s="13"/>
      <c r="VZD52" s="14"/>
      <c r="VZE52" s="14"/>
      <c r="VZF52" s="20"/>
      <c r="VZG52" s="13"/>
      <c r="VZH52" s="13"/>
      <c r="VZJ52" s="13"/>
      <c r="VZN52" s="13"/>
      <c r="VZO52" s="13"/>
      <c r="VZP52" s="15"/>
      <c r="VZQ52" s="16"/>
      <c r="VZR52" s="12"/>
      <c r="VZS52" s="12"/>
      <c r="VZT52" s="12"/>
      <c r="VZU52" s="12"/>
      <c r="VZV52" s="12"/>
      <c r="VZW52" s="12"/>
      <c r="VZX52" s="12"/>
      <c r="VZY52" s="18"/>
      <c r="WAC52" s="13"/>
      <c r="WAD52" s="14"/>
      <c r="WAE52" s="14"/>
      <c r="WAF52" s="20"/>
      <c r="WAG52" s="13"/>
      <c r="WAH52" s="13"/>
      <c r="WAJ52" s="13"/>
      <c r="WAN52" s="13"/>
      <c r="WAO52" s="13"/>
      <c r="WAP52" s="15"/>
      <c r="WAQ52" s="16"/>
      <c r="WAR52" s="12"/>
      <c r="WAS52" s="12"/>
      <c r="WAT52" s="12"/>
      <c r="WAU52" s="12"/>
      <c r="WAV52" s="12"/>
      <c r="WAW52" s="12"/>
      <c r="WAX52" s="12"/>
      <c r="WAY52" s="18"/>
      <c r="WBC52" s="13"/>
      <c r="WBD52" s="14"/>
      <c r="WBE52" s="14"/>
      <c r="WBF52" s="20"/>
      <c r="WBG52" s="13"/>
      <c r="WBH52" s="13"/>
      <c r="WBJ52" s="13"/>
      <c r="WBN52" s="13"/>
      <c r="WBO52" s="13"/>
      <c r="WBP52" s="15"/>
      <c r="WBQ52" s="16"/>
      <c r="WBR52" s="12"/>
      <c r="WBS52" s="12"/>
      <c r="WBT52" s="12"/>
      <c r="WBU52" s="12"/>
      <c r="WBV52" s="12"/>
      <c r="WBW52" s="12"/>
      <c r="WBX52" s="12"/>
      <c r="WBY52" s="18"/>
      <c r="WCC52" s="13"/>
      <c r="WCD52" s="14"/>
      <c r="WCE52" s="14"/>
      <c r="WCF52" s="20"/>
      <c r="WCG52" s="13"/>
      <c r="WCH52" s="13"/>
      <c r="WCJ52" s="13"/>
      <c r="WCN52" s="13"/>
      <c r="WCO52" s="13"/>
      <c r="WCP52" s="15"/>
      <c r="WCQ52" s="16"/>
      <c r="WCR52" s="12"/>
      <c r="WCS52" s="12"/>
      <c r="WCT52" s="12"/>
      <c r="WCU52" s="12"/>
      <c r="WCV52" s="12"/>
      <c r="WCW52" s="12"/>
      <c r="WCX52" s="12"/>
      <c r="WCY52" s="18"/>
      <c r="WDC52" s="13"/>
      <c r="WDD52" s="14"/>
      <c r="WDE52" s="14"/>
      <c r="WDF52" s="20"/>
      <c r="WDG52" s="13"/>
      <c r="WDH52" s="13"/>
      <c r="WDJ52" s="13"/>
      <c r="WDN52" s="13"/>
      <c r="WDO52" s="13"/>
      <c r="WDP52" s="15"/>
      <c r="WDQ52" s="16"/>
      <c r="WDR52" s="12"/>
      <c r="WDS52" s="12"/>
      <c r="WDT52" s="12"/>
      <c r="WDU52" s="12"/>
      <c r="WDV52" s="12"/>
      <c r="WDW52" s="12"/>
      <c r="WDX52" s="12"/>
      <c r="WDY52" s="18"/>
      <c r="WEC52" s="13"/>
      <c r="WED52" s="14"/>
      <c r="WEE52" s="14"/>
      <c r="WEF52" s="20"/>
      <c r="WEG52" s="13"/>
      <c r="WEH52" s="13"/>
      <c r="WEJ52" s="13"/>
      <c r="WEN52" s="13"/>
      <c r="WEO52" s="13"/>
      <c r="WEP52" s="15"/>
      <c r="WEQ52" s="16"/>
      <c r="WER52" s="12"/>
      <c r="WES52" s="12"/>
      <c r="WET52" s="12"/>
      <c r="WEU52" s="12"/>
      <c r="WEV52" s="12"/>
      <c r="WEW52" s="12"/>
      <c r="WEX52" s="12"/>
      <c r="WEY52" s="18"/>
      <c r="WFC52" s="13"/>
      <c r="WFD52" s="14"/>
      <c r="WFE52" s="14"/>
      <c r="WFF52" s="20"/>
      <c r="WFG52" s="13"/>
      <c r="WFH52" s="13"/>
      <c r="WFJ52" s="13"/>
      <c r="WFN52" s="13"/>
      <c r="WFO52" s="13"/>
      <c r="WFP52" s="15"/>
      <c r="WFQ52" s="16"/>
      <c r="WFR52" s="12"/>
      <c r="WFS52" s="12"/>
      <c r="WFT52" s="12"/>
      <c r="WFU52" s="12"/>
      <c r="WFV52" s="12"/>
      <c r="WFW52" s="12"/>
      <c r="WFX52" s="12"/>
      <c r="WFY52" s="18"/>
      <c r="WGC52" s="13"/>
      <c r="WGD52" s="14"/>
      <c r="WGE52" s="14"/>
      <c r="WGF52" s="20"/>
      <c r="WGG52" s="13"/>
      <c r="WGH52" s="13"/>
      <c r="WGJ52" s="13"/>
      <c r="WGN52" s="13"/>
      <c r="WGO52" s="13"/>
      <c r="WGP52" s="15"/>
      <c r="WGQ52" s="16"/>
      <c r="WGR52" s="12"/>
      <c r="WGS52" s="12"/>
      <c r="WGT52" s="12"/>
      <c r="WGU52" s="12"/>
      <c r="WGV52" s="12"/>
      <c r="WGW52" s="12"/>
      <c r="WGX52" s="12"/>
      <c r="WGY52" s="18"/>
      <c r="WHC52" s="13"/>
      <c r="WHD52" s="14"/>
      <c r="WHE52" s="14"/>
      <c r="WHF52" s="20"/>
      <c r="WHG52" s="13"/>
      <c r="WHH52" s="13"/>
      <c r="WHJ52" s="13"/>
      <c r="WHN52" s="13"/>
      <c r="WHO52" s="13"/>
      <c r="WHP52" s="15"/>
      <c r="WHQ52" s="16"/>
      <c r="WHR52" s="12"/>
      <c r="WHS52" s="12"/>
      <c r="WHT52" s="12"/>
      <c r="WHU52" s="12"/>
      <c r="WHV52" s="12"/>
      <c r="WHW52" s="12"/>
      <c r="WHX52" s="12"/>
      <c r="WHY52" s="18"/>
      <c r="WIC52" s="13"/>
      <c r="WID52" s="14"/>
      <c r="WIE52" s="14"/>
      <c r="WIF52" s="20"/>
      <c r="WIG52" s="13"/>
      <c r="WIH52" s="13"/>
      <c r="WIJ52" s="13"/>
      <c r="WIN52" s="13"/>
      <c r="WIO52" s="13"/>
      <c r="WIP52" s="15"/>
      <c r="WIQ52" s="16"/>
      <c r="WIR52" s="12"/>
      <c r="WIS52" s="12"/>
      <c r="WIT52" s="12"/>
      <c r="WIU52" s="12"/>
      <c r="WIV52" s="12"/>
      <c r="WIW52" s="12"/>
      <c r="WIX52" s="12"/>
      <c r="WIY52" s="18"/>
      <c r="WJC52" s="13"/>
      <c r="WJD52" s="14"/>
      <c r="WJE52" s="14"/>
      <c r="WJF52" s="20"/>
      <c r="WJG52" s="13"/>
      <c r="WJH52" s="13"/>
      <c r="WJJ52" s="13"/>
      <c r="WJN52" s="13"/>
      <c r="WJO52" s="13"/>
      <c r="WJP52" s="15"/>
      <c r="WJQ52" s="16"/>
      <c r="WJR52" s="12"/>
      <c r="WJS52" s="12"/>
      <c r="WJT52" s="12"/>
      <c r="WJU52" s="12"/>
      <c r="WJV52" s="12"/>
      <c r="WJW52" s="12"/>
      <c r="WJX52" s="12"/>
      <c r="WJY52" s="18"/>
      <c r="WKC52" s="13"/>
      <c r="WKD52" s="14"/>
      <c r="WKE52" s="14"/>
      <c r="WKF52" s="20"/>
      <c r="WKG52" s="13"/>
      <c r="WKH52" s="13"/>
      <c r="WKJ52" s="13"/>
      <c r="WKN52" s="13"/>
      <c r="WKO52" s="13"/>
      <c r="WKP52" s="15"/>
      <c r="WKQ52" s="16"/>
      <c r="WKR52" s="12"/>
      <c r="WKS52" s="12"/>
      <c r="WKT52" s="12"/>
      <c r="WKU52" s="12"/>
      <c r="WKV52" s="12"/>
      <c r="WKW52" s="12"/>
      <c r="WKX52" s="12"/>
      <c r="WKY52" s="18"/>
      <c r="WLC52" s="13"/>
      <c r="WLD52" s="14"/>
      <c r="WLE52" s="14"/>
      <c r="WLF52" s="20"/>
      <c r="WLG52" s="13"/>
      <c r="WLH52" s="13"/>
      <c r="WLJ52" s="13"/>
      <c r="WLN52" s="13"/>
      <c r="WLO52" s="13"/>
      <c r="WLP52" s="15"/>
      <c r="WLQ52" s="16"/>
      <c r="WLR52" s="12"/>
      <c r="WLS52" s="12"/>
      <c r="WLT52" s="12"/>
      <c r="WLU52" s="12"/>
      <c r="WLV52" s="12"/>
      <c r="WLW52" s="12"/>
      <c r="WLX52" s="12"/>
      <c r="WLY52" s="18"/>
      <c r="WMC52" s="13"/>
      <c r="WMD52" s="14"/>
      <c r="WME52" s="14"/>
      <c r="WMF52" s="20"/>
      <c r="WMG52" s="13"/>
      <c r="WMH52" s="13"/>
      <c r="WMJ52" s="13"/>
      <c r="WMN52" s="13"/>
      <c r="WMO52" s="13"/>
      <c r="WMP52" s="15"/>
      <c r="WMQ52" s="16"/>
      <c r="WMR52" s="12"/>
      <c r="WMS52" s="12"/>
      <c r="WMT52" s="12"/>
      <c r="WMU52" s="12"/>
      <c r="WMV52" s="12"/>
      <c r="WMW52" s="12"/>
      <c r="WMX52" s="12"/>
      <c r="WMY52" s="18"/>
      <c r="WNC52" s="13"/>
      <c r="WND52" s="14"/>
      <c r="WNE52" s="14"/>
      <c r="WNF52" s="20"/>
      <c r="WNG52" s="13"/>
      <c r="WNH52" s="13"/>
      <c r="WNJ52" s="13"/>
      <c r="WNN52" s="13"/>
      <c r="WNO52" s="13"/>
      <c r="WNP52" s="15"/>
      <c r="WNQ52" s="16"/>
      <c r="WNR52" s="12"/>
      <c r="WNS52" s="12"/>
      <c r="WNT52" s="12"/>
      <c r="WNU52" s="12"/>
      <c r="WNV52" s="12"/>
      <c r="WNW52" s="12"/>
      <c r="WNX52" s="12"/>
      <c r="WNY52" s="18"/>
      <c r="WOC52" s="13"/>
      <c r="WOD52" s="14"/>
      <c r="WOE52" s="14"/>
      <c r="WOF52" s="20"/>
      <c r="WOG52" s="13"/>
      <c r="WOH52" s="13"/>
      <c r="WOJ52" s="13"/>
      <c r="WON52" s="13"/>
      <c r="WOO52" s="13"/>
      <c r="WOP52" s="15"/>
      <c r="WOQ52" s="16"/>
      <c r="WOR52" s="12"/>
      <c r="WOS52" s="12"/>
      <c r="WOT52" s="12"/>
      <c r="WOU52" s="12"/>
      <c r="WOV52" s="12"/>
      <c r="WOW52" s="12"/>
      <c r="WOX52" s="12"/>
      <c r="WOY52" s="18"/>
      <c r="WPC52" s="13"/>
      <c r="WPD52" s="14"/>
      <c r="WPE52" s="14"/>
      <c r="WPF52" s="20"/>
      <c r="WPG52" s="13"/>
      <c r="WPH52" s="13"/>
      <c r="WPJ52" s="13"/>
      <c r="WPN52" s="13"/>
      <c r="WPO52" s="13"/>
      <c r="WPP52" s="15"/>
      <c r="WPQ52" s="16"/>
      <c r="WPR52" s="12"/>
      <c r="WPS52" s="12"/>
      <c r="WPT52" s="12"/>
      <c r="WPU52" s="12"/>
      <c r="WPV52" s="12"/>
      <c r="WPW52" s="12"/>
      <c r="WPX52" s="12"/>
      <c r="WPY52" s="18"/>
      <c r="WQC52" s="13"/>
      <c r="WQD52" s="14"/>
      <c r="WQE52" s="14"/>
      <c r="WQF52" s="20"/>
      <c r="WQG52" s="13"/>
      <c r="WQH52" s="13"/>
      <c r="WQJ52" s="13"/>
      <c r="WQN52" s="13"/>
      <c r="WQO52" s="13"/>
      <c r="WQP52" s="15"/>
      <c r="WQQ52" s="16"/>
      <c r="WQR52" s="12"/>
      <c r="WQS52" s="12"/>
      <c r="WQT52" s="12"/>
      <c r="WQU52" s="12"/>
      <c r="WQV52" s="12"/>
      <c r="WQW52" s="12"/>
      <c r="WQX52" s="12"/>
      <c r="WQY52" s="18"/>
      <c r="WRC52" s="13"/>
      <c r="WRD52" s="14"/>
      <c r="WRE52" s="14"/>
      <c r="WRF52" s="20"/>
      <c r="WRG52" s="13"/>
      <c r="WRH52" s="13"/>
      <c r="WRJ52" s="13"/>
      <c r="WRN52" s="13"/>
      <c r="WRO52" s="13"/>
      <c r="WRP52" s="15"/>
      <c r="WRQ52" s="16"/>
      <c r="WRR52" s="12"/>
      <c r="WRS52" s="12"/>
      <c r="WRT52" s="12"/>
      <c r="WRU52" s="12"/>
      <c r="WRV52" s="12"/>
      <c r="WRW52" s="12"/>
      <c r="WRX52" s="12"/>
      <c r="WRY52" s="18"/>
      <c r="WSC52" s="13"/>
      <c r="WSD52" s="14"/>
      <c r="WSE52" s="14"/>
      <c r="WSF52" s="20"/>
      <c r="WSG52" s="13"/>
      <c r="WSH52" s="13"/>
      <c r="WSJ52" s="13"/>
      <c r="WSN52" s="13"/>
      <c r="WSO52" s="13"/>
      <c r="WSP52" s="15"/>
      <c r="WSQ52" s="16"/>
      <c r="WSR52" s="12"/>
      <c r="WSS52" s="12"/>
      <c r="WST52" s="12"/>
      <c r="WSU52" s="12"/>
      <c r="WSV52" s="12"/>
      <c r="WSW52" s="12"/>
      <c r="WSX52" s="12"/>
      <c r="WSY52" s="18"/>
      <c r="WTC52" s="13"/>
      <c r="WTD52" s="14"/>
      <c r="WTE52" s="14"/>
      <c r="WTF52" s="20"/>
      <c r="WTG52" s="13"/>
      <c r="WTH52" s="13"/>
      <c r="WTJ52" s="13"/>
      <c r="WTN52" s="13"/>
      <c r="WTO52" s="13"/>
      <c r="WTP52" s="15"/>
      <c r="WTQ52" s="16"/>
      <c r="WTR52" s="12"/>
      <c r="WTS52" s="12"/>
      <c r="WTT52" s="12"/>
      <c r="WTU52" s="12"/>
      <c r="WTV52" s="12"/>
      <c r="WTW52" s="12"/>
      <c r="WTX52" s="12"/>
      <c r="WTY52" s="18"/>
      <c r="WUC52" s="13"/>
      <c r="WUD52" s="14"/>
      <c r="WUE52" s="14"/>
      <c r="WUF52" s="20"/>
      <c r="WUG52" s="13"/>
      <c r="WUH52" s="13"/>
      <c r="WUJ52" s="13"/>
      <c r="WUN52" s="13"/>
      <c r="WUO52" s="13"/>
      <c r="WUP52" s="15"/>
      <c r="WUQ52" s="16"/>
      <c r="WUR52" s="12"/>
      <c r="WUS52" s="12"/>
      <c r="WUT52" s="12"/>
      <c r="WUU52" s="12"/>
      <c r="WUV52" s="12"/>
      <c r="WUW52" s="12"/>
      <c r="WUX52" s="12"/>
      <c r="WUY52" s="18"/>
      <c r="WVC52" s="13"/>
      <c r="WVD52" s="14"/>
      <c r="WVE52" s="14"/>
      <c r="WVF52" s="20"/>
      <c r="WVG52" s="13"/>
      <c r="WVH52" s="13"/>
      <c r="WVJ52" s="13"/>
      <c r="WVN52" s="13"/>
      <c r="WVO52" s="13"/>
      <c r="WVP52" s="15"/>
      <c r="WVQ52" s="16"/>
      <c r="WVR52" s="12"/>
      <c r="WVS52" s="12"/>
      <c r="WVT52" s="12"/>
      <c r="WVU52" s="12"/>
      <c r="WVV52" s="12"/>
      <c r="WVW52" s="12"/>
      <c r="WVX52" s="12"/>
      <c r="WVY52" s="18"/>
      <c r="WWC52" s="13"/>
      <c r="WWD52" s="14"/>
      <c r="WWE52" s="14"/>
      <c r="WWF52" s="20"/>
      <c r="WWG52" s="13"/>
      <c r="WWH52" s="13"/>
      <c r="WWJ52" s="13"/>
      <c r="WWN52" s="13"/>
      <c r="WWO52" s="13"/>
      <c r="WWP52" s="15"/>
      <c r="WWQ52" s="16"/>
      <c r="WWR52" s="12"/>
      <c r="WWS52" s="12"/>
      <c r="WWT52" s="12"/>
      <c r="WWU52" s="12"/>
      <c r="WWV52" s="12"/>
      <c r="WWW52" s="12"/>
      <c r="WWX52" s="12"/>
      <c r="WWY52" s="18"/>
      <c r="WXC52" s="13"/>
      <c r="WXD52" s="14"/>
      <c r="WXE52" s="14"/>
      <c r="WXF52" s="20"/>
      <c r="WXG52" s="13"/>
      <c r="WXH52" s="13"/>
      <c r="WXJ52" s="13"/>
      <c r="WXN52" s="13"/>
      <c r="WXO52" s="13"/>
      <c r="WXP52" s="15"/>
      <c r="WXQ52" s="16"/>
      <c r="WXR52" s="12"/>
      <c r="WXS52" s="12"/>
      <c r="WXT52" s="12"/>
      <c r="WXU52" s="12"/>
      <c r="WXV52" s="12"/>
      <c r="WXW52" s="12"/>
      <c r="WXX52" s="12"/>
      <c r="WXY52" s="18"/>
      <c r="WYC52" s="13"/>
      <c r="WYD52" s="14"/>
      <c r="WYE52" s="14"/>
      <c r="WYF52" s="20"/>
      <c r="WYG52" s="13"/>
      <c r="WYH52" s="13"/>
      <c r="WYJ52" s="13"/>
      <c r="WYN52" s="13"/>
      <c r="WYO52" s="13"/>
      <c r="WYP52" s="15"/>
      <c r="WYQ52" s="16"/>
      <c r="WYR52" s="12"/>
      <c r="WYS52" s="12"/>
      <c r="WYT52" s="12"/>
      <c r="WYU52" s="12"/>
      <c r="WYV52" s="12"/>
      <c r="WYW52" s="12"/>
      <c r="WYX52" s="12"/>
      <c r="WYY52" s="18"/>
      <c r="WZC52" s="13"/>
      <c r="WZD52" s="14"/>
      <c r="WZE52" s="14"/>
      <c r="WZF52" s="20"/>
      <c r="WZG52" s="13"/>
      <c r="WZH52" s="13"/>
      <c r="WZJ52" s="13"/>
      <c r="WZN52" s="13"/>
      <c r="WZO52" s="13"/>
      <c r="WZP52" s="15"/>
      <c r="WZQ52" s="16"/>
      <c r="WZR52" s="12"/>
      <c r="WZS52" s="12"/>
      <c r="WZT52" s="12"/>
      <c r="WZU52" s="12"/>
      <c r="WZV52" s="12"/>
      <c r="WZW52" s="12"/>
      <c r="WZX52" s="12"/>
      <c r="WZY52" s="18"/>
      <c r="XAC52" s="13"/>
      <c r="XAD52" s="14"/>
      <c r="XAE52" s="14"/>
      <c r="XAF52" s="20"/>
      <c r="XAG52" s="13"/>
      <c r="XAH52" s="13"/>
      <c r="XAJ52" s="13"/>
      <c r="XAN52" s="13"/>
      <c r="XAO52" s="13"/>
      <c r="XAP52" s="15"/>
      <c r="XAQ52" s="16"/>
      <c r="XAR52" s="12"/>
      <c r="XAS52" s="12"/>
      <c r="XAT52" s="12"/>
      <c r="XAU52" s="12"/>
      <c r="XAV52" s="12"/>
      <c r="XAW52" s="12"/>
      <c r="XAX52" s="12"/>
      <c r="XAY52" s="18"/>
      <c r="XBC52" s="13"/>
      <c r="XBD52" s="14"/>
      <c r="XBE52" s="14"/>
      <c r="XBF52" s="20"/>
      <c r="XBG52" s="13"/>
      <c r="XBH52" s="13"/>
      <c r="XBJ52" s="13"/>
      <c r="XBN52" s="13"/>
      <c r="XBO52" s="13"/>
      <c r="XBP52" s="15"/>
      <c r="XBQ52" s="16"/>
      <c r="XBR52" s="12"/>
      <c r="XBS52" s="12"/>
      <c r="XBT52" s="12"/>
      <c r="XBU52" s="12"/>
      <c r="XBV52" s="12"/>
      <c r="XBW52" s="12"/>
      <c r="XBX52" s="12"/>
      <c r="XBY52" s="18"/>
      <c r="XCC52" s="13"/>
      <c r="XCD52" s="14"/>
      <c r="XCE52" s="14"/>
      <c r="XCF52" s="20"/>
      <c r="XCG52" s="13"/>
      <c r="XCH52" s="13"/>
      <c r="XCJ52" s="13"/>
      <c r="XCN52" s="13"/>
      <c r="XCO52" s="13"/>
      <c r="XCP52" s="15"/>
      <c r="XCQ52" s="16"/>
      <c r="XCR52" s="12"/>
      <c r="XCS52" s="12"/>
      <c r="XCT52" s="12"/>
      <c r="XCU52" s="12"/>
      <c r="XCV52" s="12"/>
      <c r="XCW52" s="12"/>
      <c r="XCX52" s="12"/>
      <c r="XCY52" s="18"/>
      <c r="XDC52" s="13"/>
      <c r="XDD52" s="14"/>
      <c r="XDE52" s="14"/>
      <c r="XDF52" s="20"/>
      <c r="XDG52" s="13"/>
      <c r="XDH52" s="13"/>
      <c r="XDJ52" s="13"/>
      <c r="XDN52" s="13"/>
      <c r="XDO52" s="13"/>
      <c r="XDP52" s="15"/>
      <c r="XDQ52" s="16"/>
      <c r="XDR52" s="12"/>
      <c r="XDS52" s="12"/>
      <c r="XDT52" s="12"/>
      <c r="XDU52" s="12"/>
      <c r="XDV52" s="12"/>
      <c r="XDW52" s="12"/>
      <c r="XDX52" s="12"/>
      <c r="XDY52" s="18"/>
      <c r="XEC52" s="13"/>
      <c r="XED52" s="14"/>
      <c r="XEE52" s="14"/>
      <c r="XEF52" s="20"/>
      <c r="XEG52" s="13"/>
      <c r="XEH52" s="13"/>
      <c r="XEJ52" s="13"/>
      <c r="XEN52" s="13"/>
      <c r="XEO52" s="13"/>
      <c r="XEP52" s="15"/>
      <c r="XEQ52" s="16"/>
      <c r="XER52" s="12"/>
      <c r="XES52" s="12"/>
      <c r="XET52" s="12"/>
      <c r="XEU52" s="12"/>
      <c r="XEV52" s="12"/>
      <c r="XEW52" s="12"/>
      <c r="XEX52" s="12"/>
      <c r="XEY52" s="18"/>
      <c r="XFC52" s="13"/>
    </row>
    <row r="53" spans="2:1024 1028:6144 6146:8189 8193:9214 9218:13311 13315:14336 14340:16383" ht="15" customHeight="1" x14ac:dyDescent="0.2">
      <c r="B53" s="11" t="s">
        <v>1211</v>
      </c>
      <c r="C53" s="11">
        <v>10018</v>
      </c>
      <c r="D53" s="13" t="s">
        <v>420</v>
      </c>
      <c r="E53" s="14" t="s">
        <v>298</v>
      </c>
      <c r="F53" s="14">
        <v>140</v>
      </c>
      <c r="G53" s="20">
        <v>1032</v>
      </c>
      <c r="H53" s="13" t="s">
        <v>2798</v>
      </c>
      <c r="I53" s="13" t="str">
        <f t="shared" si="16"/>
        <v>SR 842/Broward Bl (@  University Dr)</v>
      </c>
      <c r="J53" s="11" t="s">
        <v>347</v>
      </c>
      <c r="K53" s="13" t="str">
        <f>VLOOKUP(J53,'Data-ProjectTypes'!A$3:B$13,2,FALSE)</f>
        <v>Project</v>
      </c>
      <c r="L53" s="11" t="s">
        <v>85</v>
      </c>
      <c r="M53" s="11" t="s">
        <v>2835</v>
      </c>
      <c r="N53" s="11" t="s">
        <v>1804</v>
      </c>
      <c r="O53" s="13" t="s">
        <v>365</v>
      </c>
      <c r="P53" s="13" t="s">
        <v>365</v>
      </c>
      <c r="Q53" s="15"/>
      <c r="R53" s="16">
        <v>9426949.8170891684</v>
      </c>
      <c r="S53" s="12"/>
      <c r="T53" s="12"/>
      <c r="U53" s="12"/>
      <c r="V53" s="12"/>
      <c r="W53" s="12"/>
      <c r="X53" s="12"/>
      <c r="Y53" s="12"/>
      <c r="Z53" s="18">
        <f>ROUND(R53*'Data-CostAssumptions'!$C$8,-3)</f>
        <v>9427000</v>
      </c>
      <c r="AA53" s="11">
        <f t="shared" si="9"/>
        <v>0</v>
      </c>
      <c r="AB53" s="11">
        <v>2041</v>
      </c>
      <c r="AC53" s="11">
        <v>2041</v>
      </c>
      <c r="AD53" s="11">
        <v>2041</v>
      </c>
      <c r="AE53" s="19">
        <f>ROUND((Z53*'Data-CostAssumptions'!$G$5)*(1+'Data-CostAssumptions'!$G$3)^(AB53-'Data-CostAssumptions'!$G$4),-3)</f>
        <v>5317000</v>
      </c>
      <c r="AF53" s="19">
        <f>ROUND((Z53)*(1+'Data-CostAssumptions'!$G$3)^(AD53-'Data-CostAssumptions'!$G$4),-3)</f>
        <v>24170000</v>
      </c>
      <c r="AG53" s="170" t="str">
        <f t="shared" si="11"/>
        <v>No</v>
      </c>
      <c r="AH53" s="19">
        <f t="shared" si="12"/>
        <v>0</v>
      </c>
      <c r="AI53" s="19">
        <f t="shared" si="13"/>
        <v>0</v>
      </c>
      <c r="AJ53" s="19">
        <f t="shared" si="14"/>
        <v>0</v>
      </c>
      <c r="AK53" s="19">
        <f t="shared" si="15"/>
        <v>0</v>
      </c>
      <c r="AL53" s="19">
        <f>IF(AB53&gt;2040,Z53+Z53*'Data-CostAssumptions'!$G$5,0)</f>
        <v>11500940</v>
      </c>
    </row>
    <row r="54" spans="2:1024 1028:6144 6146:8189 8193:9214 9218:13311 13315:14336 14340:16383" ht="15" customHeight="1" x14ac:dyDescent="0.2">
      <c r="B54" s="11" t="s">
        <v>1211</v>
      </c>
      <c r="C54" s="11">
        <v>10011</v>
      </c>
      <c r="D54" s="13" t="s">
        <v>420</v>
      </c>
      <c r="E54" s="14" t="s">
        <v>298</v>
      </c>
      <c r="F54" s="14">
        <v>140</v>
      </c>
      <c r="G54" s="20">
        <v>1037</v>
      </c>
      <c r="H54" s="13" t="s">
        <v>2800</v>
      </c>
      <c r="I54" s="13" t="str">
        <f t="shared" si="16"/>
        <v>SR 858/Hallandale Beach Bl (@  SR 5/US 1)</v>
      </c>
      <c r="J54" s="11" t="s">
        <v>347</v>
      </c>
      <c r="K54" s="13" t="str">
        <f>VLOOKUP(J54,'Data-ProjectTypes'!A$3:B$13,2,FALSE)</f>
        <v>Project</v>
      </c>
      <c r="L54" s="11" t="s">
        <v>85</v>
      </c>
      <c r="M54" s="11" t="s">
        <v>2835</v>
      </c>
      <c r="N54" s="11" t="s">
        <v>1424</v>
      </c>
      <c r="O54" s="13" t="s">
        <v>365</v>
      </c>
      <c r="P54" s="13" t="s">
        <v>365</v>
      </c>
      <c r="Q54" s="15"/>
      <c r="R54" s="16">
        <v>10179003.401645176</v>
      </c>
      <c r="S54" s="12"/>
      <c r="T54" s="12"/>
      <c r="U54" s="12"/>
      <c r="V54" s="12" t="s">
        <v>530</v>
      </c>
      <c r="W54" s="12"/>
      <c r="X54" s="12"/>
      <c r="Y54" s="12"/>
      <c r="Z54" s="18">
        <f>ROUND(R54*'Data-CostAssumptions'!$C$9,-3)</f>
        <v>10179000</v>
      </c>
      <c r="AA54" s="11">
        <f t="shared" si="9"/>
        <v>1</v>
      </c>
      <c r="AB54" s="11">
        <v>2041</v>
      </c>
      <c r="AC54" s="11">
        <v>2041</v>
      </c>
      <c r="AD54" s="11">
        <v>2041</v>
      </c>
      <c r="AE54" s="14">
        <f>ROUND((Z54*'Data-CostAssumptions'!$G$5)*(1+'Data-CostAssumptions'!$G$3)^(AB54-'Data-CostAssumptions'!$G$4),-3)</f>
        <v>5742000</v>
      </c>
      <c r="AF54" s="14">
        <f>ROUND((Z54)*(1+'Data-CostAssumptions'!$G$3)^(AD54-'Data-CostAssumptions'!$G$4),-3)</f>
        <v>26098000</v>
      </c>
      <c r="AG54" s="170" t="str">
        <f t="shared" si="11"/>
        <v>No</v>
      </c>
      <c r="AH54" s="19">
        <f t="shared" si="12"/>
        <v>0</v>
      </c>
      <c r="AI54" s="19">
        <f t="shared" si="13"/>
        <v>0</v>
      </c>
      <c r="AJ54" s="19">
        <f t="shared" si="14"/>
        <v>0</v>
      </c>
      <c r="AK54" s="19">
        <f t="shared" si="15"/>
        <v>0</v>
      </c>
      <c r="AL54" s="19">
        <f>IF(AB54&gt;2040,Z54+Z54*'Data-CostAssumptions'!$G$5,0)</f>
        <v>12418380</v>
      </c>
      <c r="AN54" s="13"/>
      <c r="AO54" s="13"/>
      <c r="AP54" s="15"/>
      <c r="AQ54" s="16"/>
      <c r="AR54" s="12"/>
      <c r="AS54" s="12"/>
      <c r="AT54" s="12"/>
      <c r="AU54" s="12"/>
      <c r="AV54" s="12"/>
      <c r="AW54" s="12"/>
      <c r="AX54" s="12"/>
      <c r="AY54" s="18"/>
      <c r="BC54" s="13"/>
      <c r="BD54" s="14"/>
      <c r="BE54" s="14"/>
      <c r="BF54" s="20"/>
      <c r="BG54" s="13"/>
      <c r="BH54" s="13"/>
      <c r="BJ54" s="13"/>
      <c r="BN54" s="13"/>
      <c r="BO54" s="13"/>
      <c r="BP54" s="15"/>
      <c r="BQ54" s="16"/>
      <c r="BR54" s="12"/>
      <c r="BS54" s="12"/>
      <c r="BT54" s="12"/>
      <c r="BU54" s="12"/>
      <c r="BV54" s="12"/>
      <c r="BW54" s="12"/>
      <c r="BX54" s="12"/>
      <c r="BY54" s="18"/>
      <c r="CC54" s="13"/>
      <c r="CD54" s="14"/>
      <c r="CE54" s="14"/>
      <c r="CF54" s="20"/>
      <c r="CG54" s="13"/>
      <c r="CH54" s="13"/>
      <c r="CJ54" s="13"/>
      <c r="CN54" s="13"/>
      <c r="CO54" s="13"/>
      <c r="CP54" s="15"/>
      <c r="CQ54" s="16"/>
      <c r="CR54" s="12"/>
      <c r="CS54" s="12"/>
      <c r="CT54" s="12"/>
      <c r="CU54" s="12"/>
      <c r="CV54" s="12"/>
      <c r="CW54" s="12"/>
      <c r="CX54" s="12"/>
      <c r="CY54" s="18"/>
      <c r="DC54" s="13"/>
      <c r="DD54" s="14"/>
      <c r="DE54" s="14"/>
      <c r="DF54" s="20"/>
      <c r="DG54" s="13"/>
      <c r="DH54" s="13"/>
      <c r="DJ54" s="13"/>
      <c r="DN54" s="13"/>
      <c r="DO54" s="13"/>
      <c r="DP54" s="15"/>
      <c r="DQ54" s="16"/>
      <c r="DR54" s="12"/>
      <c r="DS54" s="12"/>
      <c r="DT54" s="12"/>
      <c r="DU54" s="12"/>
      <c r="DV54" s="12"/>
      <c r="DW54" s="12"/>
      <c r="DX54" s="12"/>
      <c r="DY54" s="18"/>
      <c r="EC54" s="13"/>
      <c r="ED54" s="14"/>
      <c r="EE54" s="14"/>
      <c r="EF54" s="20"/>
      <c r="EG54" s="13"/>
      <c r="EH54" s="13"/>
      <c r="EJ54" s="13"/>
      <c r="EN54" s="13"/>
      <c r="EO54" s="13"/>
      <c r="EP54" s="15"/>
      <c r="EQ54" s="16"/>
      <c r="ER54" s="12"/>
      <c r="ES54" s="12"/>
      <c r="ET54" s="12"/>
      <c r="EU54" s="12"/>
      <c r="EV54" s="12"/>
      <c r="EW54" s="12"/>
      <c r="EX54" s="12"/>
      <c r="EY54" s="18"/>
      <c r="FC54" s="13"/>
      <c r="FD54" s="14"/>
      <c r="FE54" s="14"/>
      <c r="FF54" s="20"/>
      <c r="FG54" s="13"/>
      <c r="FH54" s="13"/>
      <c r="FJ54" s="13"/>
      <c r="FN54" s="13"/>
      <c r="FO54" s="13"/>
      <c r="FP54" s="15"/>
      <c r="FQ54" s="16"/>
      <c r="FR54" s="12"/>
      <c r="FS54" s="12"/>
      <c r="FT54" s="12"/>
      <c r="FU54" s="12"/>
      <c r="FV54" s="12"/>
      <c r="FW54" s="12"/>
      <c r="FX54" s="12"/>
      <c r="FY54" s="18"/>
      <c r="GC54" s="13"/>
      <c r="GD54" s="14"/>
      <c r="GE54" s="14"/>
      <c r="GF54" s="20"/>
      <c r="GG54" s="13"/>
      <c r="GH54" s="13"/>
      <c r="GJ54" s="13"/>
      <c r="GN54" s="13"/>
      <c r="GO54" s="13"/>
      <c r="GP54" s="15"/>
      <c r="GQ54" s="16"/>
      <c r="GR54" s="12"/>
      <c r="GS54" s="12"/>
      <c r="GT54" s="12"/>
      <c r="GU54" s="12"/>
      <c r="GV54" s="12"/>
      <c r="GW54" s="12"/>
      <c r="GX54" s="12"/>
      <c r="GY54" s="18"/>
      <c r="HC54" s="13"/>
      <c r="HD54" s="14"/>
      <c r="HE54" s="14"/>
      <c r="HF54" s="20"/>
      <c r="HG54" s="13"/>
      <c r="HH54" s="13"/>
      <c r="HJ54" s="13"/>
      <c r="HN54" s="13"/>
      <c r="HO54" s="13"/>
      <c r="HP54" s="15"/>
      <c r="HQ54" s="16"/>
      <c r="HR54" s="12"/>
      <c r="HS54" s="12"/>
      <c r="HT54" s="12"/>
      <c r="HU54" s="12"/>
      <c r="HV54" s="12"/>
      <c r="HW54" s="12"/>
      <c r="HX54" s="12"/>
      <c r="HY54" s="18"/>
      <c r="IC54" s="13"/>
      <c r="ID54" s="14"/>
      <c r="IE54" s="14"/>
      <c r="IF54" s="20"/>
      <c r="IG54" s="13"/>
      <c r="IH54" s="13"/>
      <c r="IJ54" s="13"/>
      <c r="IN54" s="13"/>
      <c r="IO54" s="13"/>
      <c r="IP54" s="15"/>
      <c r="IQ54" s="16"/>
      <c r="IR54" s="12"/>
      <c r="IS54" s="12"/>
      <c r="IT54" s="12"/>
      <c r="IU54" s="12"/>
      <c r="IV54" s="12"/>
      <c r="IW54" s="12"/>
      <c r="IX54" s="12"/>
      <c r="IY54" s="18"/>
      <c r="JC54" s="13"/>
      <c r="JD54" s="14"/>
      <c r="JE54" s="14"/>
      <c r="JF54" s="20"/>
      <c r="JG54" s="13"/>
      <c r="JH54" s="13"/>
      <c r="JJ54" s="13"/>
      <c r="JN54" s="13"/>
      <c r="JO54" s="13"/>
      <c r="JP54" s="15"/>
      <c r="JQ54" s="16"/>
      <c r="JR54" s="12"/>
      <c r="JS54" s="12"/>
      <c r="JT54" s="12"/>
      <c r="JU54" s="12"/>
      <c r="JV54" s="12"/>
      <c r="JW54" s="12"/>
      <c r="JX54" s="12"/>
      <c r="JY54" s="18"/>
      <c r="KC54" s="13"/>
      <c r="KD54" s="14"/>
      <c r="KE54" s="14"/>
      <c r="KF54" s="20"/>
      <c r="KG54" s="13"/>
      <c r="KH54" s="13"/>
      <c r="KJ54" s="13"/>
      <c r="KN54" s="13"/>
      <c r="KO54" s="13"/>
      <c r="KP54" s="15"/>
      <c r="KQ54" s="16"/>
      <c r="KR54" s="12"/>
      <c r="KS54" s="12"/>
      <c r="KT54" s="12"/>
      <c r="KU54" s="12"/>
      <c r="KV54" s="12"/>
      <c r="KW54" s="12"/>
      <c r="KX54" s="12"/>
      <c r="KY54" s="18"/>
      <c r="LC54" s="13"/>
      <c r="LD54" s="14"/>
      <c r="LE54" s="14"/>
      <c r="LF54" s="20"/>
      <c r="LG54" s="13"/>
      <c r="LH54" s="13"/>
      <c r="LJ54" s="13"/>
      <c r="LN54" s="13"/>
      <c r="LO54" s="13"/>
      <c r="LP54" s="15"/>
      <c r="LQ54" s="16"/>
      <c r="LR54" s="12"/>
      <c r="LS54" s="12"/>
      <c r="LT54" s="12"/>
      <c r="LU54" s="12"/>
      <c r="LV54" s="12"/>
      <c r="LW54" s="12"/>
      <c r="LX54" s="12"/>
      <c r="LY54" s="18"/>
      <c r="MC54" s="13"/>
      <c r="MD54" s="14"/>
      <c r="ME54" s="14"/>
      <c r="MF54" s="20"/>
      <c r="MG54" s="13"/>
      <c r="MH54" s="13"/>
      <c r="MJ54" s="13"/>
      <c r="MN54" s="13"/>
      <c r="MO54" s="13"/>
      <c r="MP54" s="15"/>
      <c r="MQ54" s="16"/>
      <c r="MR54" s="12"/>
      <c r="MS54" s="12"/>
      <c r="MT54" s="12"/>
      <c r="MU54" s="12"/>
      <c r="MV54" s="12"/>
      <c r="MW54" s="12"/>
      <c r="MX54" s="12"/>
      <c r="MY54" s="18"/>
      <c r="NC54" s="13"/>
      <c r="ND54" s="14"/>
      <c r="NE54" s="14"/>
      <c r="NF54" s="20"/>
      <c r="NG54" s="13"/>
      <c r="NH54" s="13"/>
      <c r="NJ54" s="13"/>
      <c r="NN54" s="13"/>
      <c r="NO54" s="13"/>
      <c r="NP54" s="15"/>
      <c r="NQ54" s="16"/>
      <c r="NR54" s="12"/>
      <c r="NS54" s="12"/>
      <c r="NT54" s="12"/>
      <c r="NU54" s="12"/>
      <c r="NV54" s="12"/>
      <c r="NW54" s="12"/>
      <c r="NX54" s="12"/>
      <c r="NY54" s="18"/>
      <c r="OC54" s="13"/>
      <c r="OD54" s="14"/>
      <c r="OE54" s="14"/>
      <c r="OF54" s="20"/>
      <c r="OG54" s="13"/>
      <c r="OH54" s="13"/>
      <c r="OJ54" s="13"/>
      <c r="ON54" s="13"/>
      <c r="OO54" s="13"/>
      <c r="OP54" s="15"/>
      <c r="OQ54" s="16"/>
      <c r="OR54" s="12"/>
      <c r="OS54" s="12"/>
      <c r="OT54" s="12"/>
      <c r="OU54" s="12"/>
      <c r="OV54" s="12"/>
      <c r="OW54" s="12"/>
      <c r="OX54" s="12"/>
      <c r="OY54" s="18"/>
      <c r="PC54" s="13"/>
      <c r="PD54" s="14"/>
      <c r="PE54" s="14"/>
      <c r="PF54" s="20"/>
      <c r="PG54" s="13"/>
      <c r="PH54" s="13"/>
      <c r="PJ54" s="13"/>
      <c r="PN54" s="13"/>
      <c r="PO54" s="13"/>
      <c r="PP54" s="15"/>
      <c r="PQ54" s="16"/>
      <c r="PR54" s="12"/>
      <c r="PS54" s="12"/>
      <c r="PT54" s="12"/>
      <c r="PU54" s="12"/>
      <c r="PV54" s="12"/>
      <c r="PW54" s="12"/>
      <c r="PX54" s="12"/>
      <c r="PY54" s="18"/>
      <c r="QC54" s="13"/>
      <c r="QD54" s="14"/>
      <c r="QE54" s="14"/>
      <c r="QF54" s="20"/>
      <c r="QG54" s="13"/>
      <c r="QH54" s="13"/>
      <c r="QJ54" s="13"/>
      <c r="QN54" s="13"/>
      <c r="QO54" s="13"/>
      <c r="QP54" s="15"/>
      <c r="QQ54" s="16"/>
      <c r="QR54" s="12"/>
      <c r="QS54" s="12"/>
      <c r="QT54" s="12"/>
      <c r="QU54" s="12"/>
      <c r="QV54" s="12"/>
      <c r="QW54" s="12"/>
      <c r="QX54" s="12"/>
      <c r="QY54" s="18"/>
      <c r="RC54" s="13"/>
      <c r="RD54" s="14"/>
      <c r="RE54" s="14"/>
      <c r="RF54" s="20"/>
      <c r="RG54" s="13"/>
      <c r="RH54" s="13"/>
      <c r="RJ54" s="13"/>
      <c r="RN54" s="13"/>
      <c r="RO54" s="13"/>
      <c r="RP54" s="15"/>
      <c r="RQ54" s="16"/>
      <c r="RR54" s="12"/>
      <c r="RS54" s="12"/>
      <c r="RT54" s="12"/>
      <c r="RU54" s="12"/>
      <c r="RV54" s="12"/>
      <c r="RW54" s="12"/>
      <c r="RX54" s="12"/>
      <c r="RY54" s="18"/>
      <c r="SC54" s="13"/>
      <c r="SD54" s="14"/>
      <c r="SE54" s="14"/>
      <c r="SF54" s="20"/>
      <c r="SG54" s="13"/>
      <c r="SH54" s="13"/>
      <c r="SJ54" s="13"/>
      <c r="SN54" s="13"/>
      <c r="SO54" s="13"/>
      <c r="SP54" s="15"/>
      <c r="SQ54" s="16"/>
      <c r="SR54" s="12"/>
      <c r="SS54" s="12"/>
      <c r="ST54" s="12"/>
      <c r="SU54" s="12"/>
      <c r="SV54" s="12"/>
      <c r="SW54" s="12"/>
      <c r="SX54" s="12"/>
      <c r="SY54" s="18"/>
      <c r="TC54" s="13"/>
      <c r="TD54" s="14"/>
      <c r="TE54" s="14"/>
      <c r="TF54" s="20"/>
      <c r="TG54" s="13"/>
      <c r="TH54" s="13"/>
      <c r="TJ54" s="13"/>
      <c r="TN54" s="13"/>
      <c r="TO54" s="13"/>
      <c r="TP54" s="15"/>
      <c r="TQ54" s="16"/>
      <c r="TR54" s="12"/>
      <c r="TS54" s="12"/>
      <c r="TT54" s="12"/>
      <c r="TU54" s="12"/>
      <c r="TV54" s="12"/>
      <c r="TW54" s="12"/>
      <c r="TX54" s="12"/>
      <c r="TY54" s="18"/>
      <c r="UC54" s="13"/>
      <c r="UD54" s="14"/>
      <c r="UE54" s="14"/>
      <c r="UF54" s="20"/>
      <c r="UG54" s="13"/>
      <c r="UH54" s="13"/>
      <c r="UJ54" s="13"/>
      <c r="UN54" s="13"/>
      <c r="UO54" s="13"/>
      <c r="UP54" s="15"/>
      <c r="UQ54" s="16"/>
      <c r="UR54" s="12"/>
      <c r="US54" s="12"/>
      <c r="UT54" s="12"/>
      <c r="UU54" s="12"/>
      <c r="UV54" s="12"/>
      <c r="UW54" s="12"/>
      <c r="UX54" s="12"/>
      <c r="UY54" s="18"/>
      <c r="VC54" s="13"/>
      <c r="VD54" s="14"/>
      <c r="VE54" s="14"/>
      <c r="VF54" s="20"/>
      <c r="VG54" s="13"/>
      <c r="VH54" s="13"/>
      <c r="VJ54" s="13"/>
      <c r="VN54" s="13"/>
      <c r="VO54" s="13"/>
      <c r="VP54" s="15"/>
      <c r="VQ54" s="16"/>
      <c r="VR54" s="12"/>
      <c r="VS54" s="12"/>
      <c r="VT54" s="12"/>
      <c r="VU54" s="12"/>
      <c r="VV54" s="12"/>
      <c r="VW54" s="12"/>
      <c r="VX54" s="12"/>
      <c r="VY54" s="18"/>
      <c r="WC54" s="13"/>
      <c r="WD54" s="14"/>
      <c r="WE54" s="14"/>
      <c r="WF54" s="20"/>
      <c r="WG54" s="13"/>
      <c r="WH54" s="13"/>
      <c r="WJ54" s="13"/>
      <c r="WN54" s="13"/>
      <c r="WO54" s="13"/>
      <c r="WP54" s="15"/>
      <c r="WQ54" s="16"/>
      <c r="WR54" s="12"/>
      <c r="WS54" s="12"/>
      <c r="WT54" s="12"/>
      <c r="WU54" s="12"/>
      <c r="WV54" s="12"/>
      <c r="WW54" s="12"/>
      <c r="WX54" s="12"/>
      <c r="WY54" s="18"/>
      <c r="XC54" s="13"/>
      <c r="XD54" s="14"/>
      <c r="XE54" s="14"/>
      <c r="XF54" s="20"/>
      <c r="XG54" s="13"/>
      <c r="XH54" s="13"/>
      <c r="XJ54" s="13"/>
      <c r="XN54" s="13"/>
      <c r="XO54" s="13"/>
      <c r="XP54" s="15"/>
      <c r="XQ54" s="16"/>
      <c r="XR54" s="12"/>
      <c r="XS54" s="12"/>
      <c r="XT54" s="12"/>
      <c r="XU54" s="12"/>
      <c r="XV54" s="12"/>
      <c r="XW54" s="12"/>
      <c r="XX54" s="12"/>
      <c r="XY54" s="18"/>
      <c r="YC54" s="13"/>
      <c r="YD54" s="14"/>
      <c r="YE54" s="14"/>
      <c r="YF54" s="20"/>
      <c r="YG54" s="13"/>
      <c r="YH54" s="13"/>
      <c r="YJ54" s="13"/>
      <c r="YN54" s="13"/>
      <c r="YO54" s="13"/>
      <c r="YP54" s="15"/>
      <c r="YQ54" s="16"/>
      <c r="YR54" s="12"/>
      <c r="YS54" s="12"/>
      <c r="YT54" s="12"/>
      <c r="YU54" s="12"/>
      <c r="YV54" s="12"/>
      <c r="YW54" s="12"/>
      <c r="YX54" s="12"/>
      <c r="YY54" s="18"/>
      <c r="ZC54" s="13"/>
      <c r="ZD54" s="14"/>
      <c r="ZE54" s="14"/>
      <c r="ZF54" s="20"/>
      <c r="ZG54" s="13"/>
      <c r="ZH54" s="13"/>
      <c r="ZJ54" s="13"/>
      <c r="ZN54" s="13"/>
      <c r="ZO54" s="13"/>
      <c r="ZP54" s="15"/>
      <c r="ZQ54" s="16"/>
      <c r="ZR54" s="12"/>
      <c r="ZS54" s="12"/>
      <c r="ZT54" s="12"/>
      <c r="ZU54" s="12"/>
      <c r="ZV54" s="12"/>
      <c r="ZW54" s="12"/>
      <c r="ZX54" s="12"/>
      <c r="ZY54" s="18"/>
      <c r="AAC54" s="13"/>
      <c r="AAD54" s="14"/>
      <c r="AAE54" s="14"/>
      <c r="AAF54" s="20"/>
      <c r="AAG54" s="13"/>
      <c r="AAH54" s="13"/>
      <c r="AAJ54" s="13"/>
      <c r="AAN54" s="13"/>
      <c r="AAO54" s="13"/>
      <c r="AAP54" s="15"/>
      <c r="AAQ54" s="16"/>
      <c r="AAR54" s="12"/>
      <c r="AAS54" s="12"/>
      <c r="AAT54" s="12"/>
      <c r="AAU54" s="12"/>
      <c r="AAV54" s="12"/>
      <c r="AAW54" s="12"/>
      <c r="AAX54" s="12"/>
      <c r="AAY54" s="18"/>
      <c r="ABC54" s="13"/>
      <c r="ABD54" s="14"/>
      <c r="ABE54" s="14"/>
      <c r="ABF54" s="20"/>
      <c r="ABG54" s="13"/>
      <c r="ABH54" s="13"/>
      <c r="ABJ54" s="13"/>
      <c r="ABN54" s="13"/>
      <c r="ABO54" s="13"/>
      <c r="ABP54" s="15"/>
      <c r="ABQ54" s="16"/>
      <c r="ABR54" s="12"/>
      <c r="ABS54" s="12"/>
      <c r="ABT54" s="12"/>
      <c r="ABU54" s="12"/>
      <c r="ABV54" s="12"/>
      <c r="ABW54" s="12"/>
      <c r="ABX54" s="12"/>
      <c r="ABY54" s="18"/>
      <c r="ACC54" s="13"/>
      <c r="ACD54" s="14"/>
      <c r="ACE54" s="14"/>
      <c r="ACF54" s="20"/>
      <c r="ACG54" s="13"/>
      <c r="ACH54" s="13"/>
      <c r="ACJ54" s="13"/>
      <c r="ACN54" s="13"/>
      <c r="ACO54" s="13"/>
      <c r="ACP54" s="15"/>
      <c r="ACQ54" s="16"/>
      <c r="ACR54" s="12"/>
      <c r="ACS54" s="12"/>
      <c r="ACT54" s="12"/>
      <c r="ACU54" s="12"/>
      <c r="ACV54" s="12"/>
      <c r="ACW54" s="12"/>
      <c r="ACX54" s="12"/>
      <c r="ACY54" s="18"/>
      <c r="ADC54" s="13"/>
      <c r="ADD54" s="14"/>
      <c r="ADE54" s="14"/>
      <c r="ADF54" s="20"/>
      <c r="ADG54" s="13"/>
      <c r="ADH54" s="13"/>
      <c r="ADJ54" s="13"/>
      <c r="ADN54" s="13"/>
      <c r="ADO54" s="13"/>
      <c r="ADP54" s="15"/>
      <c r="ADQ54" s="16"/>
      <c r="ADR54" s="12"/>
      <c r="ADS54" s="12"/>
      <c r="ADT54" s="12"/>
      <c r="ADU54" s="12"/>
      <c r="ADV54" s="12"/>
      <c r="ADW54" s="12"/>
      <c r="ADX54" s="12"/>
      <c r="ADY54" s="18"/>
      <c r="AEC54" s="13"/>
      <c r="AED54" s="14"/>
      <c r="AEE54" s="14"/>
      <c r="AEF54" s="20"/>
      <c r="AEG54" s="13"/>
      <c r="AEH54" s="13"/>
      <c r="AEJ54" s="13"/>
      <c r="AEN54" s="13"/>
      <c r="AEO54" s="13"/>
      <c r="AEP54" s="15"/>
      <c r="AEQ54" s="16"/>
      <c r="AER54" s="12"/>
      <c r="AES54" s="12"/>
      <c r="AET54" s="12"/>
      <c r="AEU54" s="12"/>
      <c r="AEV54" s="12"/>
      <c r="AEW54" s="12"/>
      <c r="AEX54" s="12"/>
      <c r="AEY54" s="18"/>
      <c r="AFC54" s="13"/>
      <c r="AFD54" s="14"/>
      <c r="AFE54" s="14"/>
      <c r="AFF54" s="20"/>
      <c r="AFG54" s="13"/>
      <c r="AFH54" s="13"/>
      <c r="AFJ54" s="13"/>
      <c r="AFN54" s="13"/>
      <c r="AFO54" s="13"/>
      <c r="AFP54" s="15"/>
      <c r="AFQ54" s="16"/>
      <c r="AFR54" s="12"/>
      <c r="AFS54" s="12"/>
      <c r="AFT54" s="12"/>
      <c r="AFU54" s="12"/>
      <c r="AFV54" s="12"/>
      <c r="AFW54" s="12"/>
      <c r="AFX54" s="12"/>
      <c r="AFY54" s="18"/>
      <c r="AGC54" s="13"/>
      <c r="AGD54" s="14"/>
      <c r="AGE54" s="14"/>
      <c r="AGF54" s="20"/>
      <c r="AGG54" s="13"/>
      <c r="AGH54" s="13"/>
      <c r="AGJ54" s="13"/>
      <c r="AGN54" s="13"/>
      <c r="AGO54" s="13"/>
      <c r="AGP54" s="15"/>
      <c r="AGQ54" s="16"/>
      <c r="AGR54" s="12"/>
      <c r="AGS54" s="12"/>
      <c r="AGT54" s="12"/>
      <c r="AGU54" s="12"/>
      <c r="AGV54" s="12"/>
      <c r="AGW54" s="12"/>
      <c r="AGX54" s="12"/>
      <c r="AGY54" s="18"/>
      <c r="AHC54" s="13"/>
      <c r="AHD54" s="14"/>
      <c r="AHE54" s="14"/>
      <c r="AHF54" s="20"/>
      <c r="AHG54" s="13"/>
      <c r="AHH54" s="13"/>
      <c r="AHJ54" s="13"/>
      <c r="AHN54" s="13"/>
      <c r="AHO54" s="13"/>
      <c r="AHP54" s="15"/>
      <c r="AHQ54" s="16"/>
      <c r="AHR54" s="12"/>
      <c r="AHS54" s="12"/>
      <c r="AHT54" s="12"/>
      <c r="AHU54" s="12"/>
      <c r="AHV54" s="12"/>
      <c r="AHW54" s="12"/>
      <c r="AHX54" s="12"/>
      <c r="AHY54" s="18"/>
      <c r="AIC54" s="13"/>
      <c r="AID54" s="14"/>
      <c r="AIE54" s="14"/>
      <c r="AIF54" s="20"/>
      <c r="AIG54" s="13"/>
      <c r="AIH54" s="13"/>
      <c r="AIJ54" s="13"/>
      <c r="AIN54" s="13"/>
      <c r="AIO54" s="13"/>
      <c r="AIP54" s="15"/>
      <c r="AIQ54" s="16"/>
      <c r="AIR54" s="12"/>
      <c r="AIS54" s="12"/>
      <c r="AIT54" s="12"/>
      <c r="AIU54" s="12"/>
      <c r="AIV54" s="12"/>
      <c r="AIW54" s="12"/>
      <c r="AIX54" s="12"/>
      <c r="AIY54" s="18"/>
      <c r="AJC54" s="13"/>
      <c r="AJD54" s="14"/>
      <c r="AJE54" s="14"/>
      <c r="AJF54" s="20"/>
      <c r="AJG54" s="13"/>
      <c r="AJH54" s="13"/>
      <c r="AJJ54" s="13"/>
      <c r="AJN54" s="13"/>
      <c r="AJO54" s="13"/>
      <c r="AJP54" s="15"/>
      <c r="AJQ54" s="16"/>
      <c r="AJR54" s="12"/>
      <c r="AJS54" s="12"/>
      <c r="AJT54" s="12"/>
      <c r="AJU54" s="12"/>
      <c r="AJV54" s="12"/>
      <c r="AJW54" s="12"/>
      <c r="AJX54" s="12"/>
      <c r="AJY54" s="18"/>
      <c r="AKC54" s="13"/>
      <c r="AKD54" s="14"/>
      <c r="AKE54" s="14"/>
      <c r="AKF54" s="20"/>
      <c r="AKG54" s="13"/>
      <c r="AKH54" s="13"/>
      <c r="AKJ54" s="13"/>
      <c r="AKN54" s="13"/>
      <c r="AKO54" s="13"/>
      <c r="AKP54" s="15"/>
      <c r="AKQ54" s="16"/>
      <c r="AKR54" s="12"/>
      <c r="AKS54" s="12"/>
      <c r="AKT54" s="12"/>
      <c r="AKU54" s="12"/>
      <c r="AKV54" s="12"/>
      <c r="AKW54" s="12"/>
      <c r="AKX54" s="12"/>
      <c r="AKY54" s="18"/>
      <c r="ALC54" s="13"/>
      <c r="ALD54" s="14"/>
      <c r="ALE54" s="14"/>
      <c r="ALF54" s="20"/>
      <c r="ALG54" s="13"/>
      <c r="ALH54" s="13"/>
      <c r="ALJ54" s="13"/>
      <c r="ALN54" s="13"/>
      <c r="ALO54" s="13"/>
      <c r="ALP54" s="15"/>
      <c r="ALQ54" s="16"/>
      <c r="ALR54" s="12"/>
      <c r="ALS54" s="12"/>
      <c r="ALT54" s="12"/>
      <c r="ALU54" s="12"/>
      <c r="ALV54" s="12"/>
      <c r="ALW54" s="12"/>
      <c r="ALX54" s="12"/>
      <c r="ALY54" s="18"/>
      <c r="AMC54" s="13"/>
      <c r="AMD54" s="14"/>
      <c r="AME54" s="14"/>
      <c r="AMF54" s="20"/>
      <c r="AMG54" s="13"/>
      <c r="AMH54" s="13"/>
      <c r="AMJ54" s="13"/>
      <c r="AMN54" s="13"/>
      <c r="AMO54" s="13"/>
      <c r="AMP54" s="15"/>
      <c r="AMQ54" s="16"/>
      <c r="AMR54" s="12"/>
      <c r="AMS54" s="12"/>
      <c r="AMT54" s="12"/>
      <c r="AMU54" s="12"/>
      <c r="AMV54" s="12"/>
      <c r="AMW54" s="12"/>
      <c r="AMX54" s="12"/>
      <c r="AMY54" s="18"/>
      <c r="ANC54" s="13"/>
      <c r="AND54" s="14"/>
      <c r="ANE54" s="14"/>
      <c r="ANF54" s="20"/>
      <c r="ANG54" s="13"/>
      <c r="ANH54" s="13"/>
      <c r="ANJ54" s="13"/>
      <c r="ANN54" s="13"/>
      <c r="ANO54" s="13"/>
      <c r="ANP54" s="15"/>
      <c r="ANQ54" s="16"/>
      <c r="ANR54" s="12"/>
      <c r="ANS54" s="12"/>
      <c r="ANT54" s="12"/>
      <c r="ANU54" s="12"/>
      <c r="ANV54" s="12"/>
      <c r="ANW54" s="12"/>
      <c r="ANX54" s="12"/>
      <c r="ANY54" s="18"/>
      <c r="AOC54" s="13"/>
      <c r="AOD54" s="14"/>
      <c r="AOE54" s="14"/>
      <c r="AOF54" s="20"/>
      <c r="AOG54" s="13"/>
      <c r="AOH54" s="13"/>
      <c r="AOJ54" s="13"/>
      <c r="AON54" s="13"/>
      <c r="AOO54" s="13"/>
      <c r="AOP54" s="15"/>
      <c r="AOQ54" s="16"/>
      <c r="AOR54" s="12"/>
      <c r="AOS54" s="12"/>
      <c r="AOT54" s="12"/>
      <c r="AOU54" s="12"/>
      <c r="AOV54" s="12"/>
      <c r="AOW54" s="12"/>
      <c r="AOX54" s="12"/>
      <c r="AOY54" s="18"/>
      <c r="APC54" s="13"/>
      <c r="APD54" s="14"/>
      <c r="APE54" s="14"/>
      <c r="APF54" s="20"/>
      <c r="APG54" s="13"/>
      <c r="APH54" s="13"/>
      <c r="APJ54" s="13"/>
      <c r="APN54" s="13"/>
      <c r="APO54" s="13"/>
      <c r="APP54" s="15"/>
      <c r="APQ54" s="16"/>
      <c r="APR54" s="12"/>
      <c r="APS54" s="12"/>
      <c r="APT54" s="12"/>
      <c r="APU54" s="12"/>
      <c r="APV54" s="12"/>
      <c r="APW54" s="12"/>
      <c r="APX54" s="12"/>
      <c r="APY54" s="18"/>
      <c r="AQC54" s="13"/>
      <c r="AQD54" s="14"/>
      <c r="AQE54" s="14"/>
      <c r="AQF54" s="20"/>
      <c r="AQG54" s="13"/>
      <c r="AQH54" s="13"/>
      <c r="AQJ54" s="13"/>
      <c r="AQN54" s="13"/>
      <c r="AQO54" s="13"/>
      <c r="AQP54" s="15"/>
      <c r="AQQ54" s="16"/>
      <c r="AQR54" s="12"/>
      <c r="AQS54" s="12"/>
      <c r="AQT54" s="12"/>
      <c r="AQU54" s="12"/>
      <c r="AQV54" s="12"/>
      <c r="AQW54" s="12"/>
      <c r="AQX54" s="12"/>
      <c r="AQY54" s="18"/>
      <c r="ARC54" s="13"/>
      <c r="ARD54" s="14"/>
      <c r="ARE54" s="14"/>
      <c r="ARF54" s="20"/>
      <c r="ARG54" s="13"/>
      <c r="ARH54" s="13"/>
      <c r="ARJ54" s="13"/>
      <c r="ARN54" s="13"/>
      <c r="ARO54" s="13"/>
      <c r="ARP54" s="15"/>
      <c r="ARQ54" s="16"/>
      <c r="ARR54" s="12"/>
      <c r="ARS54" s="12"/>
      <c r="ART54" s="12"/>
      <c r="ARU54" s="12"/>
      <c r="ARV54" s="12"/>
      <c r="ARW54" s="12"/>
      <c r="ARX54" s="12"/>
      <c r="ARY54" s="18"/>
      <c r="ASC54" s="13"/>
      <c r="ASD54" s="14"/>
      <c r="ASE54" s="14"/>
      <c r="ASF54" s="20"/>
      <c r="ASG54" s="13"/>
      <c r="ASH54" s="13"/>
      <c r="ASJ54" s="13"/>
      <c r="ASN54" s="13"/>
      <c r="ASO54" s="13"/>
      <c r="ASP54" s="15"/>
      <c r="ASQ54" s="16"/>
      <c r="ASR54" s="12"/>
      <c r="ASS54" s="12"/>
      <c r="AST54" s="12"/>
      <c r="ASU54" s="12"/>
      <c r="ASV54" s="12"/>
      <c r="ASW54" s="12"/>
      <c r="ASX54" s="12"/>
      <c r="ASY54" s="18"/>
      <c r="ATC54" s="13"/>
      <c r="ATD54" s="14"/>
      <c r="ATE54" s="14"/>
      <c r="ATF54" s="20"/>
      <c r="ATG54" s="13"/>
      <c r="ATH54" s="13"/>
      <c r="ATJ54" s="13"/>
      <c r="ATN54" s="13"/>
      <c r="ATO54" s="13"/>
      <c r="ATP54" s="15"/>
      <c r="ATQ54" s="16"/>
      <c r="ATR54" s="12"/>
      <c r="ATS54" s="12"/>
      <c r="ATT54" s="12"/>
      <c r="ATU54" s="12"/>
      <c r="ATV54" s="12"/>
      <c r="ATW54" s="12"/>
      <c r="ATX54" s="12"/>
      <c r="ATY54" s="18"/>
      <c r="AUC54" s="13"/>
      <c r="AUD54" s="14"/>
      <c r="AUE54" s="14"/>
      <c r="AUF54" s="20"/>
      <c r="AUG54" s="13"/>
      <c r="AUH54" s="13"/>
      <c r="AUJ54" s="13"/>
      <c r="AUN54" s="13"/>
      <c r="AUO54" s="13"/>
      <c r="AUP54" s="15"/>
      <c r="AUQ54" s="16"/>
      <c r="AUR54" s="12"/>
      <c r="AUS54" s="12"/>
      <c r="AUT54" s="12"/>
      <c r="AUU54" s="12"/>
      <c r="AUV54" s="12"/>
      <c r="AUW54" s="12"/>
      <c r="AUX54" s="12"/>
      <c r="AUY54" s="18"/>
      <c r="AVC54" s="13"/>
      <c r="AVD54" s="14"/>
      <c r="AVE54" s="14"/>
      <c r="AVF54" s="20"/>
      <c r="AVG54" s="13"/>
      <c r="AVH54" s="13"/>
      <c r="AVJ54" s="13"/>
      <c r="AVN54" s="13"/>
      <c r="AVO54" s="13"/>
      <c r="AVP54" s="15"/>
      <c r="AVQ54" s="16"/>
      <c r="AVR54" s="12"/>
      <c r="AVS54" s="12"/>
      <c r="AVT54" s="12"/>
      <c r="AVU54" s="12"/>
      <c r="AVV54" s="12"/>
      <c r="AVW54" s="12"/>
      <c r="AVX54" s="12"/>
      <c r="AVY54" s="18"/>
      <c r="AWC54" s="13"/>
      <c r="AWD54" s="14"/>
      <c r="AWE54" s="14"/>
      <c r="AWF54" s="20"/>
      <c r="AWG54" s="13"/>
      <c r="AWH54" s="13"/>
      <c r="AWJ54" s="13"/>
      <c r="AWN54" s="13"/>
      <c r="AWO54" s="13"/>
      <c r="AWP54" s="15"/>
      <c r="AWQ54" s="16"/>
      <c r="AWR54" s="12"/>
      <c r="AWS54" s="12"/>
      <c r="AWT54" s="12"/>
      <c r="AWU54" s="12"/>
      <c r="AWV54" s="12"/>
      <c r="AWW54" s="12"/>
      <c r="AWX54" s="12"/>
      <c r="AWY54" s="18"/>
      <c r="AXC54" s="13"/>
      <c r="AXD54" s="14"/>
      <c r="AXE54" s="14"/>
      <c r="AXF54" s="20"/>
      <c r="AXG54" s="13"/>
      <c r="AXH54" s="13"/>
      <c r="AXJ54" s="13"/>
      <c r="AXN54" s="13"/>
      <c r="AXO54" s="13"/>
      <c r="AXP54" s="15"/>
      <c r="AXQ54" s="16"/>
      <c r="AXR54" s="12"/>
      <c r="AXS54" s="12"/>
      <c r="AXT54" s="12"/>
      <c r="AXU54" s="12"/>
      <c r="AXV54" s="12"/>
      <c r="AXW54" s="12"/>
      <c r="AXX54" s="12"/>
      <c r="AXY54" s="18"/>
      <c r="AYC54" s="13"/>
      <c r="AYD54" s="14"/>
      <c r="AYE54" s="14"/>
      <c r="AYF54" s="20"/>
      <c r="AYG54" s="13"/>
      <c r="AYH54" s="13"/>
      <c r="AYJ54" s="13"/>
      <c r="AYN54" s="13"/>
      <c r="AYO54" s="13"/>
      <c r="AYP54" s="15"/>
      <c r="AYQ54" s="16"/>
      <c r="AYR54" s="12"/>
      <c r="AYS54" s="12"/>
      <c r="AYT54" s="12"/>
      <c r="AYU54" s="12"/>
      <c r="AYV54" s="12"/>
      <c r="AYW54" s="12"/>
      <c r="AYX54" s="12"/>
      <c r="AYY54" s="18"/>
      <c r="AZC54" s="13"/>
      <c r="AZD54" s="14"/>
      <c r="AZE54" s="14"/>
      <c r="AZF54" s="20"/>
      <c r="AZG54" s="13"/>
      <c r="AZH54" s="13"/>
      <c r="AZJ54" s="13"/>
      <c r="AZN54" s="13"/>
      <c r="AZO54" s="13"/>
      <c r="AZP54" s="15"/>
      <c r="AZQ54" s="16"/>
      <c r="AZR54" s="12"/>
      <c r="AZS54" s="12"/>
      <c r="AZT54" s="12"/>
      <c r="AZU54" s="12"/>
      <c r="AZV54" s="12"/>
      <c r="AZW54" s="12"/>
      <c r="AZX54" s="12"/>
      <c r="AZY54" s="18"/>
      <c r="BAC54" s="13"/>
      <c r="BAD54" s="14"/>
      <c r="BAE54" s="14"/>
      <c r="BAF54" s="20"/>
      <c r="BAG54" s="13"/>
      <c r="BAH54" s="13"/>
      <c r="BAJ54" s="13"/>
      <c r="BAN54" s="13"/>
      <c r="BAO54" s="13"/>
      <c r="BAP54" s="15"/>
      <c r="BAQ54" s="16"/>
      <c r="BAR54" s="12"/>
      <c r="BAS54" s="12"/>
      <c r="BAT54" s="12"/>
      <c r="BAU54" s="12"/>
      <c r="BAV54" s="12"/>
      <c r="BAW54" s="12"/>
      <c r="BAX54" s="12"/>
      <c r="BAY54" s="18"/>
      <c r="BBC54" s="13"/>
      <c r="BBD54" s="14"/>
      <c r="BBE54" s="14"/>
      <c r="BBF54" s="20"/>
      <c r="BBG54" s="13"/>
      <c r="BBH54" s="13"/>
      <c r="BBJ54" s="13"/>
      <c r="BBN54" s="13"/>
      <c r="BBO54" s="13"/>
      <c r="BBP54" s="15"/>
      <c r="BBQ54" s="16"/>
      <c r="BBR54" s="12"/>
      <c r="BBS54" s="12"/>
      <c r="BBT54" s="12"/>
      <c r="BBU54" s="12"/>
      <c r="BBV54" s="12"/>
      <c r="BBW54" s="12"/>
      <c r="BBX54" s="12"/>
      <c r="BBY54" s="18"/>
      <c r="BCC54" s="13"/>
      <c r="BCD54" s="14"/>
      <c r="BCE54" s="14"/>
      <c r="BCF54" s="20"/>
      <c r="BCG54" s="13"/>
      <c r="BCH54" s="13"/>
      <c r="BCJ54" s="13"/>
      <c r="BCN54" s="13"/>
      <c r="BCO54" s="13"/>
      <c r="BCP54" s="15"/>
      <c r="BCQ54" s="16"/>
      <c r="BCR54" s="12"/>
      <c r="BCS54" s="12"/>
      <c r="BCT54" s="12"/>
      <c r="BCU54" s="12"/>
      <c r="BCV54" s="12"/>
      <c r="BCW54" s="12"/>
      <c r="BCX54" s="12"/>
      <c r="BCY54" s="18"/>
      <c r="BDC54" s="13"/>
      <c r="BDD54" s="14"/>
      <c r="BDE54" s="14"/>
      <c r="BDF54" s="20"/>
      <c r="BDG54" s="13"/>
      <c r="BDH54" s="13"/>
      <c r="BDJ54" s="13"/>
      <c r="BDN54" s="13"/>
      <c r="BDO54" s="13"/>
      <c r="BDP54" s="15"/>
      <c r="BDQ54" s="16"/>
      <c r="BDR54" s="12"/>
      <c r="BDS54" s="12"/>
      <c r="BDT54" s="12"/>
      <c r="BDU54" s="12"/>
      <c r="BDV54" s="12"/>
      <c r="BDW54" s="12"/>
      <c r="BDX54" s="12"/>
      <c r="BDY54" s="18"/>
      <c r="BEC54" s="13"/>
      <c r="BED54" s="14"/>
      <c r="BEE54" s="14"/>
      <c r="BEF54" s="20"/>
      <c r="BEG54" s="13"/>
      <c r="BEH54" s="13"/>
      <c r="BEJ54" s="13"/>
      <c r="BEN54" s="13"/>
      <c r="BEO54" s="13"/>
      <c r="BEP54" s="15"/>
      <c r="BEQ54" s="16"/>
      <c r="BER54" s="12"/>
      <c r="BES54" s="12"/>
      <c r="BET54" s="12"/>
      <c r="BEU54" s="12"/>
      <c r="BEV54" s="12"/>
      <c r="BEW54" s="12"/>
      <c r="BEX54" s="12"/>
      <c r="BEY54" s="18"/>
      <c r="BFC54" s="13"/>
      <c r="BFD54" s="14"/>
      <c r="BFE54" s="14"/>
      <c r="BFF54" s="20"/>
      <c r="BFG54" s="13"/>
      <c r="BFH54" s="13"/>
      <c r="BFJ54" s="13"/>
      <c r="BFN54" s="13"/>
      <c r="BFO54" s="13"/>
      <c r="BFP54" s="15"/>
      <c r="BFQ54" s="16"/>
      <c r="BFR54" s="12"/>
      <c r="BFS54" s="12"/>
      <c r="BFT54" s="12"/>
      <c r="BFU54" s="12"/>
      <c r="BFV54" s="12"/>
      <c r="BFW54" s="12"/>
      <c r="BFX54" s="12"/>
      <c r="BFY54" s="18"/>
      <c r="BGC54" s="13"/>
      <c r="BGD54" s="14"/>
      <c r="BGE54" s="14"/>
      <c r="BGF54" s="20"/>
      <c r="BGG54" s="13"/>
      <c r="BGH54" s="13"/>
      <c r="BGJ54" s="13"/>
      <c r="BGN54" s="13"/>
      <c r="BGO54" s="13"/>
      <c r="BGP54" s="15"/>
      <c r="BGQ54" s="16"/>
      <c r="BGR54" s="12"/>
      <c r="BGS54" s="12"/>
      <c r="BGT54" s="12"/>
      <c r="BGU54" s="12"/>
      <c r="BGV54" s="12"/>
      <c r="BGW54" s="12"/>
      <c r="BGX54" s="12"/>
      <c r="BGY54" s="18"/>
      <c r="BHC54" s="13"/>
      <c r="BHD54" s="14"/>
      <c r="BHE54" s="14"/>
      <c r="BHF54" s="20"/>
      <c r="BHG54" s="13"/>
      <c r="BHH54" s="13"/>
      <c r="BHJ54" s="13"/>
      <c r="BHN54" s="13"/>
      <c r="BHO54" s="13"/>
      <c r="BHP54" s="15"/>
      <c r="BHQ54" s="16"/>
      <c r="BHR54" s="12"/>
      <c r="BHS54" s="12"/>
      <c r="BHT54" s="12"/>
      <c r="BHU54" s="12"/>
      <c r="BHV54" s="12"/>
      <c r="BHW54" s="12"/>
      <c r="BHX54" s="12"/>
      <c r="BHY54" s="18"/>
      <c r="BIC54" s="13"/>
      <c r="BID54" s="14"/>
      <c r="BIE54" s="14"/>
      <c r="BIF54" s="20"/>
      <c r="BIG54" s="13"/>
      <c r="BIH54" s="13"/>
      <c r="BIJ54" s="13"/>
      <c r="BIN54" s="13"/>
      <c r="BIO54" s="13"/>
      <c r="BIP54" s="15"/>
      <c r="BIQ54" s="16"/>
      <c r="BIR54" s="12"/>
      <c r="BIS54" s="12"/>
      <c r="BIT54" s="12"/>
      <c r="BIU54" s="12"/>
      <c r="BIV54" s="12"/>
      <c r="BIW54" s="12"/>
      <c r="BIX54" s="12"/>
      <c r="BIY54" s="18"/>
      <c r="BJC54" s="13"/>
      <c r="BJD54" s="14"/>
      <c r="BJE54" s="14"/>
      <c r="BJF54" s="20"/>
      <c r="BJG54" s="13"/>
      <c r="BJH54" s="13"/>
      <c r="BJJ54" s="13"/>
      <c r="BJN54" s="13"/>
      <c r="BJO54" s="13"/>
      <c r="BJP54" s="15"/>
      <c r="BJQ54" s="16"/>
      <c r="BJR54" s="12"/>
      <c r="BJS54" s="12"/>
      <c r="BJT54" s="12"/>
      <c r="BJU54" s="12"/>
      <c r="BJV54" s="12"/>
      <c r="BJW54" s="12"/>
      <c r="BJX54" s="12"/>
      <c r="BJY54" s="18"/>
      <c r="BKC54" s="13"/>
      <c r="BKD54" s="14"/>
      <c r="BKE54" s="14"/>
      <c r="BKF54" s="20"/>
      <c r="BKG54" s="13"/>
      <c r="BKH54" s="13"/>
      <c r="BKJ54" s="13"/>
      <c r="BKN54" s="13"/>
      <c r="BKO54" s="13"/>
      <c r="BKP54" s="15"/>
      <c r="BKQ54" s="16"/>
      <c r="BKR54" s="12"/>
      <c r="BKS54" s="12"/>
      <c r="BKT54" s="12"/>
      <c r="BKU54" s="12"/>
      <c r="BKV54" s="12"/>
      <c r="BKW54" s="12"/>
      <c r="BKX54" s="12"/>
      <c r="BKY54" s="18"/>
      <c r="BLC54" s="13"/>
      <c r="BLD54" s="14"/>
      <c r="BLE54" s="14"/>
      <c r="BLF54" s="20"/>
      <c r="BLG54" s="13"/>
      <c r="BLH54" s="13"/>
      <c r="BLJ54" s="13"/>
      <c r="BLN54" s="13"/>
      <c r="BLO54" s="13"/>
      <c r="BLP54" s="15"/>
      <c r="BLQ54" s="16"/>
      <c r="BLR54" s="12"/>
      <c r="BLS54" s="12"/>
      <c r="BLT54" s="12"/>
      <c r="BLU54" s="12"/>
      <c r="BLV54" s="12"/>
      <c r="BLW54" s="12"/>
      <c r="BLX54" s="12"/>
      <c r="BLY54" s="18"/>
      <c r="BMC54" s="13"/>
      <c r="BMD54" s="14"/>
      <c r="BME54" s="14"/>
      <c r="BMF54" s="20"/>
      <c r="BMG54" s="13"/>
      <c r="BMH54" s="13"/>
      <c r="BMJ54" s="13"/>
      <c r="BMN54" s="13"/>
      <c r="BMO54" s="13"/>
      <c r="BMP54" s="15"/>
      <c r="BMQ54" s="16"/>
      <c r="BMR54" s="12"/>
      <c r="BMS54" s="12"/>
      <c r="BMT54" s="12"/>
      <c r="BMU54" s="12"/>
      <c r="BMV54" s="12"/>
      <c r="BMW54" s="12"/>
      <c r="BMX54" s="12"/>
      <c r="BMY54" s="18"/>
      <c r="BNC54" s="13"/>
      <c r="BND54" s="14"/>
      <c r="BNE54" s="14"/>
      <c r="BNF54" s="20"/>
      <c r="BNG54" s="13"/>
      <c r="BNH54" s="13"/>
      <c r="BNJ54" s="13"/>
      <c r="BNN54" s="13"/>
      <c r="BNO54" s="13"/>
      <c r="BNP54" s="15"/>
      <c r="BNQ54" s="16"/>
      <c r="BNR54" s="12"/>
      <c r="BNS54" s="12"/>
      <c r="BNT54" s="12"/>
      <c r="BNU54" s="12"/>
      <c r="BNV54" s="12"/>
      <c r="BNW54" s="12"/>
      <c r="BNX54" s="12"/>
      <c r="BNY54" s="18"/>
      <c r="BOC54" s="13"/>
      <c r="BOD54" s="14"/>
      <c r="BOE54" s="14"/>
      <c r="BOF54" s="20"/>
      <c r="BOG54" s="13"/>
      <c r="BOH54" s="13"/>
      <c r="BOJ54" s="13"/>
      <c r="BON54" s="13"/>
      <c r="BOO54" s="13"/>
      <c r="BOP54" s="15"/>
      <c r="BOQ54" s="16"/>
      <c r="BOR54" s="12"/>
      <c r="BOS54" s="12"/>
      <c r="BOT54" s="12"/>
      <c r="BOU54" s="12"/>
      <c r="BOV54" s="12"/>
      <c r="BOW54" s="12"/>
      <c r="BOX54" s="12"/>
      <c r="BOY54" s="18"/>
      <c r="BPC54" s="13"/>
      <c r="BPD54" s="14"/>
      <c r="BPE54" s="14"/>
      <c r="BPF54" s="20"/>
      <c r="BPG54" s="13"/>
      <c r="BPH54" s="13"/>
      <c r="BPJ54" s="13"/>
      <c r="BPN54" s="13"/>
      <c r="BPO54" s="13"/>
      <c r="BPP54" s="15"/>
      <c r="BPQ54" s="16"/>
      <c r="BPR54" s="12"/>
      <c r="BPS54" s="12"/>
      <c r="BPT54" s="12"/>
      <c r="BPU54" s="12"/>
      <c r="BPV54" s="12"/>
      <c r="BPW54" s="12"/>
      <c r="BPX54" s="12"/>
      <c r="BPY54" s="18"/>
      <c r="BQC54" s="13"/>
      <c r="BQD54" s="14"/>
      <c r="BQE54" s="14"/>
      <c r="BQF54" s="20"/>
      <c r="BQG54" s="13"/>
      <c r="BQH54" s="13"/>
      <c r="BQJ54" s="13"/>
      <c r="BQN54" s="13"/>
      <c r="BQO54" s="13"/>
      <c r="BQP54" s="15"/>
      <c r="BQQ54" s="16"/>
      <c r="BQR54" s="12"/>
      <c r="BQS54" s="12"/>
      <c r="BQT54" s="12"/>
      <c r="BQU54" s="12"/>
      <c r="BQV54" s="12"/>
      <c r="BQW54" s="12"/>
      <c r="BQX54" s="12"/>
      <c r="BQY54" s="18"/>
      <c r="BRC54" s="13"/>
      <c r="BRD54" s="14"/>
      <c r="BRE54" s="14"/>
      <c r="BRF54" s="20"/>
      <c r="BRG54" s="13"/>
      <c r="BRH54" s="13"/>
      <c r="BRJ54" s="13"/>
      <c r="BRN54" s="13"/>
      <c r="BRO54" s="13"/>
      <c r="BRP54" s="15"/>
      <c r="BRQ54" s="16"/>
      <c r="BRR54" s="12"/>
      <c r="BRS54" s="12"/>
      <c r="BRT54" s="12"/>
      <c r="BRU54" s="12"/>
      <c r="BRV54" s="12"/>
      <c r="BRW54" s="12"/>
      <c r="BRX54" s="12"/>
      <c r="BRY54" s="18"/>
      <c r="BSC54" s="13"/>
      <c r="BSD54" s="14"/>
      <c r="BSE54" s="14"/>
      <c r="BSF54" s="20"/>
      <c r="BSG54" s="13"/>
      <c r="BSH54" s="13"/>
      <c r="BSJ54" s="13"/>
      <c r="BSN54" s="13"/>
      <c r="BSO54" s="13"/>
      <c r="BSP54" s="15"/>
      <c r="BSQ54" s="16"/>
      <c r="BSR54" s="12"/>
      <c r="BSS54" s="12"/>
      <c r="BST54" s="12"/>
      <c r="BSU54" s="12"/>
      <c r="BSV54" s="12"/>
      <c r="BSW54" s="12"/>
      <c r="BSX54" s="12"/>
      <c r="BSY54" s="18"/>
      <c r="BTC54" s="13"/>
      <c r="BTD54" s="14"/>
      <c r="BTE54" s="14"/>
      <c r="BTF54" s="20"/>
      <c r="BTG54" s="13"/>
      <c r="BTH54" s="13"/>
      <c r="BTJ54" s="13"/>
      <c r="BTN54" s="13"/>
      <c r="BTO54" s="13"/>
      <c r="BTP54" s="15"/>
      <c r="BTQ54" s="16"/>
      <c r="BTR54" s="12"/>
      <c r="BTS54" s="12"/>
      <c r="BTT54" s="12"/>
      <c r="BTU54" s="12"/>
      <c r="BTV54" s="12"/>
      <c r="BTW54" s="12"/>
      <c r="BTX54" s="12"/>
      <c r="BTY54" s="18"/>
      <c r="BUC54" s="13"/>
      <c r="BUD54" s="14"/>
      <c r="BUE54" s="14"/>
      <c r="BUF54" s="20"/>
      <c r="BUG54" s="13"/>
      <c r="BUH54" s="13"/>
      <c r="BUJ54" s="13"/>
      <c r="BUN54" s="13"/>
      <c r="BUO54" s="13"/>
      <c r="BUP54" s="15"/>
      <c r="BUQ54" s="16"/>
      <c r="BUR54" s="12"/>
      <c r="BUS54" s="12"/>
      <c r="BUT54" s="12"/>
      <c r="BUU54" s="12"/>
      <c r="BUV54" s="12"/>
      <c r="BUW54" s="12"/>
      <c r="BUX54" s="12"/>
      <c r="BUY54" s="18"/>
      <c r="BVC54" s="13"/>
      <c r="BVD54" s="14"/>
      <c r="BVE54" s="14"/>
      <c r="BVF54" s="20"/>
      <c r="BVG54" s="13"/>
      <c r="BVH54" s="13"/>
      <c r="BVJ54" s="13"/>
      <c r="BVN54" s="13"/>
      <c r="BVO54" s="13"/>
      <c r="BVP54" s="15"/>
      <c r="BVQ54" s="16"/>
      <c r="BVR54" s="12"/>
      <c r="BVS54" s="12"/>
      <c r="BVT54" s="12"/>
      <c r="BVU54" s="12"/>
      <c r="BVV54" s="12"/>
      <c r="BVW54" s="12"/>
      <c r="BVX54" s="12"/>
      <c r="BVY54" s="18"/>
      <c r="BWC54" s="13"/>
      <c r="BWD54" s="14"/>
      <c r="BWE54" s="14"/>
      <c r="BWF54" s="20"/>
      <c r="BWG54" s="13"/>
      <c r="BWH54" s="13"/>
      <c r="BWJ54" s="13"/>
      <c r="BWN54" s="13"/>
      <c r="BWO54" s="13"/>
      <c r="BWP54" s="15"/>
      <c r="BWQ54" s="16"/>
      <c r="BWR54" s="12"/>
      <c r="BWS54" s="12"/>
      <c r="BWT54" s="12"/>
      <c r="BWU54" s="12"/>
      <c r="BWV54" s="12"/>
      <c r="BWW54" s="12"/>
      <c r="BWX54" s="12"/>
      <c r="BWY54" s="18"/>
      <c r="BXC54" s="13"/>
      <c r="BXD54" s="14"/>
      <c r="BXE54" s="14"/>
      <c r="BXF54" s="20"/>
      <c r="BXG54" s="13"/>
      <c r="BXH54" s="13"/>
      <c r="BXJ54" s="13"/>
      <c r="BXN54" s="13"/>
      <c r="BXO54" s="13"/>
      <c r="BXP54" s="15"/>
      <c r="BXQ54" s="16"/>
      <c r="BXR54" s="12"/>
      <c r="BXS54" s="12"/>
      <c r="BXT54" s="12"/>
      <c r="BXU54" s="12"/>
      <c r="BXV54" s="12"/>
      <c r="BXW54" s="12"/>
      <c r="BXX54" s="12"/>
      <c r="BXY54" s="18"/>
      <c r="BYC54" s="13"/>
      <c r="BYD54" s="14"/>
      <c r="BYE54" s="14"/>
      <c r="BYF54" s="20"/>
      <c r="BYG54" s="13"/>
      <c r="BYH54" s="13"/>
      <c r="BYJ54" s="13"/>
      <c r="BYN54" s="13"/>
      <c r="BYO54" s="13"/>
      <c r="BYP54" s="15"/>
      <c r="BYQ54" s="16"/>
      <c r="BYR54" s="12"/>
      <c r="BYS54" s="12"/>
      <c r="BYT54" s="12"/>
      <c r="BYU54" s="12"/>
      <c r="BYV54" s="12"/>
      <c r="BYW54" s="12"/>
      <c r="BYX54" s="12"/>
      <c r="BYY54" s="18"/>
      <c r="BZC54" s="13"/>
      <c r="BZD54" s="14"/>
      <c r="BZE54" s="14"/>
      <c r="BZF54" s="20"/>
      <c r="BZG54" s="13"/>
      <c r="BZH54" s="13"/>
      <c r="BZJ54" s="13"/>
      <c r="BZN54" s="13"/>
      <c r="BZO54" s="13"/>
      <c r="BZP54" s="15"/>
      <c r="BZQ54" s="16"/>
      <c r="BZR54" s="12"/>
      <c r="BZS54" s="12"/>
      <c r="BZT54" s="12"/>
      <c r="BZU54" s="12"/>
      <c r="BZV54" s="12"/>
      <c r="BZW54" s="12"/>
      <c r="BZX54" s="12"/>
      <c r="BZY54" s="18"/>
      <c r="CAC54" s="13"/>
      <c r="CAD54" s="14"/>
      <c r="CAE54" s="14"/>
      <c r="CAF54" s="20"/>
      <c r="CAG54" s="13"/>
      <c r="CAH54" s="13"/>
      <c r="CAJ54" s="13"/>
      <c r="CAN54" s="13"/>
      <c r="CAO54" s="13"/>
      <c r="CAP54" s="15"/>
      <c r="CAQ54" s="16"/>
      <c r="CAR54" s="12"/>
      <c r="CAS54" s="12"/>
      <c r="CAT54" s="12"/>
      <c r="CAU54" s="12"/>
      <c r="CAV54" s="12"/>
      <c r="CAW54" s="12"/>
      <c r="CAX54" s="12"/>
      <c r="CAY54" s="18"/>
      <c r="CBC54" s="13"/>
      <c r="CBD54" s="14"/>
      <c r="CBE54" s="14"/>
      <c r="CBF54" s="20"/>
      <c r="CBG54" s="13"/>
      <c r="CBH54" s="13"/>
      <c r="CBJ54" s="13"/>
      <c r="CBN54" s="13"/>
      <c r="CBO54" s="13"/>
      <c r="CBP54" s="15"/>
      <c r="CBQ54" s="16"/>
      <c r="CBR54" s="12"/>
      <c r="CBS54" s="12"/>
      <c r="CBT54" s="12"/>
      <c r="CBU54" s="12"/>
      <c r="CBV54" s="12"/>
      <c r="CBW54" s="12"/>
      <c r="CBX54" s="12"/>
      <c r="CBY54" s="18"/>
      <c r="CCC54" s="13"/>
      <c r="CCD54" s="14"/>
      <c r="CCE54" s="14"/>
      <c r="CCF54" s="20"/>
      <c r="CCG54" s="13"/>
      <c r="CCH54" s="13"/>
      <c r="CCJ54" s="13"/>
      <c r="CCN54" s="13"/>
      <c r="CCO54" s="13"/>
      <c r="CCP54" s="15"/>
      <c r="CCQ54" s="16"/>
      <c r="CCR54" s="12"/>
      <c r="CCS54" s="12"/>
      <c r="CCT54" s="12"/>
      <c r="CCU54" s="12"/>
      <c r="CCV54" s="12"/>
      <c r="CCW54" s="12"/>
      <c r="CCX54" s="12"/>
      <c r="CCY54" s="18"/>
      <c r="CDC54" s="13"/>
      <c r="CDD54" s="14"/>
      <c r="CDE54" s="14"/>
      <c r="CDF54" s="20"/>
      <c r="CDG54" s="13"/>
      <c r="CDH54" s="13"/>
      <c r="CDJ54" s="13"/>
      <c r="CDN54" s="13"/>
      <c r="CDO54" s="13"/>
      <c r="CDP54" s="15"/>
      <c r="CDQ54" s="16"/>
      <c r="CDR54" s="12"/>
      <c r="CDS54" s="12"/>
      <c r="CDT54" s="12"/>
      <c r="CDU54" s="12"/>
      <c r="CDV54" s="12"/>
      <c r="CDW54" s="12"/>
      <c r="CDX54" s="12"/>
      <c r="CDY54" s="18"/>
      <c r="CEC54" s="13"/>
      <c r="CED54" s="14"/>
      <c r="CEE54" s="14"/>
      <c r="CEF54" s="20"/>
      <c r="CEG54" s="13"/>
      <c r="CEH54" s="13"/>
      <c r="CEJ54" s="13"/>
      <c r="CEN54" s="13"/>
      <c r="CEO54" s="13"/>
      <c r="CEP54" s="15"/>
      <c r="CEQ54" s="16"/>
      <c r="CER54" s="12"/>
      <c r="CES54" s="12"/>
      <c r="CET54" s="12"/>
      <c r="CEU54" s="12"/>
      <c r="CEV54" s="12"/>
      <c r="CEW54" s="12"/>
      <c r="CEX54" s="12"/>
      <c r="CEY54" s="18"/>
      <c r="CFC54" s="13"/>
      <c r="CFD54" s="14"/>
      <c r="CFE54" s="14"/>
      <c r="CFF54" s="20"/>
      <c r="CFG54" s="13"/>
      <c r="CFH54" s="13"/>
      <c r="CFJ54" s="13"/>
      <c r="CFN54" s="13"/>
      <c r="CFO54" s="13"/>
      <c r="CFP54" s="15"/>
      <c r="CFQ54" s="16"/>
      <c r="CFR54" s="12"/>
      <c r="CFS54" s="12"/>
      <c r="CFT54" s="12"/>
      <c r="CFU54" s="12"/>
      <c r="CFV54" s="12"/>
      <c r="CFW54" s="12"/>
      <c r="CFX54" s="12"/>
      <c r="CFY54" s="18"/>
      <c r="CGC54" s="13"/>
      <c r="CGD54" s="14"/>
      <c r="CGE54" s="14"/>
      <c r="CGF54" s="20"/>
      <c r="CGG54" s="13"/>
      <c r="CGH54" s="13"/>
      <c r="CGJ54" s="13"/>
      <c r="CGN54" s="13"/>
      <c r="CGO54" s="13"/>
      <c r="CGP54" s="15"/>
      <c r="CGQ54" s="16"/>
      <c r="CGR54" s="12"/>
      <c r="CGS54" s="12"/>
      <c r="CGT54" s="12"/>
      <c r="CGU54" s="12"/>
      <c r="CGV54" s="12"/>
      <c r="CGW54" s="12"/>
      <c r="CGX54" s="12"/>
      <c r="CGY54" s="18"/>
      <c r="CHC54" s="13"/>
      <c r="CHD54" s="14"/>
      <c r="CHE54" s="14"/>
      <c r="CHF54" s="20"/>
      <c r="CHG54" s="13"/>
      <c r="CHH54" s="13"/>
      <c r="CHJ54" s="13"/>
      <c r="CHN54" s="13"/>
      <c r="CHO54" s="13"/>
      <c r="CHP54" s="15"/>
      <c r="CHQ54" s="16"/>
      <c r="CHR54" s="12"/>
      <c r="CHS54" s="12"/>
      <c r="CHT54" s="12"/>
      <c r="CHU54" s="12"/>
      <c r="CHV54" s="12"/>
      <c r="CHW54" s="12"/>
      <c r="CHX54" s="12"/>
      <c r="CHY54" s="18"/>
      <c r="CIC54" s="13"/>
      <c r="CID54" s="14"/>
      <c r="CIE54" s="14"/>
      <c r="CIF54" s="20"/>
      <c r="CIG54" s="13"/>
      <c r="CIH54" s="13"/>
      <c r="CIJ54" s="13"/>
      <c r="CIN54" s="13"/>
      <c r="CIO54" s="13"/>
      <c r="CIP54" s="15"/>
      <c r="CIQ54" s="16"/>
      <c r="CIR54" s="12"/>
      <c r="CIS54" s="12"/>
      <c r="CIT54" s="12"/>
      <c r="CIU54" s="12"/>
      <c r="CIV54" s="12"/>
      <c r="CIW54" s="12"/>
      <c r="CIX54" s="12"/>
      <c r="CIY54" s="18"/>
      <c r="CJC54" s="13"/>
      <c r="CJD54" s="14"/>
      <c r="CJE54" s="14"/>
      <c r="CJF54" s="20"/>
      <c r="CJG54" s="13"/>
      <c r="CJH54" s="13"/>
      <c r="CJJ54" s="13"/>
      <c r="CJN54" s="13"/>
      <c r="CJO54" s="13"/>
      <c r="CJP54" s="15"/>
      <c r="CJQ54" s="16"/>
      <c r="CJR54" s="12"/>
      <c r="CJS54" s="12"/>
      <c r="CJT54" s="12"/>
      <c r="CJU54" s="12"/>
      <c r="CJV54" s="12"/>
      <c r="CJW54" s="12"/>
      <c r="CJX54" s="12"/>
      <c r="CJY54" s="18"/>
      <c r="CKC54" s="13"/>
      <c r="CKD54" s="14"/>
      <c r="CKE54" s="14"/>
      <c r="CKF54" s="20"/>
      <c r="CKG54" s="13"/>
      <c r="CKH54" s="13"/>
      <c r="CKJ54" s="13"/>
      <c r="CKN54" s="13"/>
      <c r="CKO54" s="13"/>
      <c r="CKP54" s="15"/>
      <c r="CKQ54" s="16"/>
      <c r="CKR54" s="12"/>
      <c r="CKS54" s="12"/>
      <c r="CKT54" s="12"/>
      <c r="CKU54" s="12"/>
      <c r="CKV54" s="12"/>
      <c r="CKW54" s="12"/>
      <c r="CKX54" s="12"/>
      <c r="CKY54" s="18"/>
      <c r="CLC54" s="13"/>
      <c r="CLD54" s="14"/>
      <c r="CLE54" s="14"/>
      <c r="CLF54" s="20"/>
      <c r="CLG54" s="13"/>
      <c r="CLH54" s="13"/>
      <c r="CLJ54" s="13"/>
      <c r="CLN54" s="13"/>
      <c r="CLO54" s="13"/>
      <c r="CLP54" s="15"/>
      <c r="CLQ54" s="16"/>
      <c r="CLR54" s="12"/>
      <c r="CLS54" s="12"/>
      <c r="CLT54" s="12"/>
      <c r="CLU54" s="12"/>
      <c r="CLV54" s="12"/>
      <c r="CLW54" s="12"/>
      <c r="CLX54" s="12"/>
      <c r="CLY54" s="18"/>
      <c r="CMC54" s="13"/>
      <c r="CMD54" s="14"/>
      <c r="CME54" s="14"/>
      <c r="CMF54" s="20"/>
      <c r="CMG54" s="13"/>
      <c r="CMH54" s="13"/>
      <c r="CMJ54" s="13"/>
      <c r="CMN54" s="13"/>
      <c r="CMO54" s="13"/>
      <c r="CMP54" s="15"/>
      <c r="CMQ54" s="16"/>
      <c r="CMR54" s="12"/>
      <c r="CMS54" s="12"/>
      <c r="CMT54" s="12"/>
      <c r="CMU54" s="12"/>
      <c r="CMV54" s="12"/>
      <c r="CMW54" s="12"/>
      <c r="CMX54" s="12"/>
      <c r="CMY54" s="18"/>
      <c r="CNC54" s="13"/>
      <c r="CND54" s="14"/>
      <c r="CNE54" s="14"/>
      <c r="CNF54" s="20"/>
      <c r="CNG54" s="13"/>
      <c r="CNH54" s="13"/>
      <c r="CNJ54" s="13"/>
      <c r="CNN54" s="13"/>
      <c r="CNO54" s="13"/>
      <c r="CNP54" s="15"/>
      <c r="CNQ54" s="16"/>
      <c r="CNR54" s="12"/>
      <c r="CNS54" s="12"/>
      <c r="CNT54" s="12"/>
      <c r="CNU54" s="12"/>
      <c r="CNV54" s="12"/>
      <c r="CNW54" s="12"/>
      <c r="CNX54" s="12"/>
      <c r="CNY54" s="18"/>
      <c r="COC54" s="13"/>
      <c r="COD54" s="14"/>
      <c r="COE54" s="14"/>
      <c r="COF54" s="20"/>
      <c r="COG54" s="13"/>
      <c r="COH54" s="13"/>
      <c r="COJ54" s="13"/>
      <c r="CON54" s="13"/>
      <c r="COO54" s="13"/>
      <c r="COP54" s="15"/>
      <c r="COQ54" s="16"/>
      <c r="COR54" s="12"/>
      <c r="COS54" s="12"/>
      <c r="COT54" s="12"/>
      <c r="COU54" s="12"/>
      <c r="COV54" s="12"/>
      <c r="COW54" s="12"/>
      <c r="COX54" s="12"/>
      <c r="COY54" s="18"/>
      <c r="CPC54" s="13"/>
      <c r="CPD54" s="14"/>
      <c r="CPE54" s="14"/>
      <c r="CPF54" s="20"/>
      <c r="CPG54" s="13"/>
      <c r="CPH54" s="13"/>
      <c r="CPJ54" s="13"/>
      <c r="CPN54" s="13"/>
      <c r="CPO54" s="13"/>
      <c r="CPP54" s="15"/>
      <c r="CPQ54" s="16"/>
      <c r="CPR54" s="12"/>
      <c r="CPS54" s="12"/>
      <c r="CPT54" s="12"/>
      <c r="CPU54" s="12"/>
      <c r="CPV54" s="12"/>
      <c r="CPW54" s="12"/>
      <c r="CPX54" s="12"/>
      <c r="CPY54" s="18"/>
      <c r="CQC54" s="13"/>
      <c r="CQD54" s="14"/>
      <c r="CQE54" s="14"/>
      <c r="CQF54" s="20"/>
      <c r="CQG54" s="13"/>
      <c r="CQH54" s="13"/>
      <c r="CQJ54" s="13"/>
      <c r="CQN54" s="13"/>
      <c r="CQO54" s="13"/>
      <c r="CQP54" s="15"/>
      <c r="CQQ54" s="16"/>
      <c r="CQR54" s="12"/>
      <c r="CQS54" s="12"/>
      <c r="CQT54" s="12"/>
      <c r="CQU54" s="12"/>
      <c r="CQV54" s="12"/>
      <c r="CQW54" s="12"/>
      <c r="CQX54" s="12"/>
      <c r="CQY54" s="18"/>
      <c r="CRC54" s="13"/>
      <c r="CRD54" s="14"/>
      <c r="CRE54" s="14"/>
      <c r="CRF54" s="20"/>
      <c r="CRG54" s="13"/>
      <c r="CRH54" s="13"/>
      <c r="CRJ54" s="13"/>
      <c r="CRN54" s="13"/>
      <c r="CRO54" s="13"/>
      <c r="CRP54" s="15"/>
      <c r="CRQ54" s="16"/>
      <c r="CRR54" s="12"/>
      <c r="CRS54" s="12"/>
      <c r="CRT54" s="12"/>
      <c r="CRU54" s="12"/>
      <c r="CRV54" s="12"/>
      <c r="CRW54" s="12"/>
      <c r="CRX54" s="12"/>
      <c r="CRY54" s="18"/>
      <c r="CSC54" s="13"/>
      <c r="CSD54" s="14"/>
      <c r="CSE54" s="14"/>
      <c r="CSF54" s="20"/>
      <c r="CSG54" s="13"/>
      <c r="CSH54" s="13"/>
      <c r="CSJ54" s="13"/>
      <c r="CSN54" s="13"/>
      <c r="CSO54" s="13"/>
      <c r="CSP54" s="15"/>
      <c r="CSQ54" s="16"/>
      <c r="CSR54" s="12"/>
      <c r="CSS54" s="12"/>
      <c r="CST54" s="12"/>
      <c r="CSU54" s="12"/>
      <c r="CSV54" s="12"/>
      <c r="CSW54" s="12"/>
      <c r="CSX54" s="12"/>
      <c r="CSY54" s="18"/>
      <c r="CTC54" s="13"/>
      <c r="CTD54" s="14"/>
      <c r="CTE54" s="14"/>
      <c r="CTF54" s="20"/>
      <c r="CTG54" s="13"/>
      <c r="CTH54" s="13"/>
      <c r="CTJ54" s="13"/>
      <c r="CTN54" s="13"/>
      <c r="CTO54" s="13"/>
      <c r="CTP54" s="15"/>
      <c r="CTQ54" s="16"/>
      <c r="CTR54" s="12"/>
      <c r="CTS54" s="12"/>
      <c r="CTT54" s="12"/>
      <c r="CTU54" s="12"/>
      <c r="CTV54" s="12"/>
      <c r="CTW54" s="12"/>
      <c r="CTX54" s="12"/>
      <c r="CTY54" s="18"/>
      <c r="CUC54" s="13"/>
      <c r="CUD54" s="14"/>
      <c r="CUE54" s="14"/>
      <c r="CUF54" s="20"/>
      <c r="CUG54" s="13"/>
      <c r="CUH54" s="13"/>
      <c r="CUJ54" s="13"/>
      <c r="CUN54" s="13"/>
      <c r="CUO54" s="13"/>
      <c r="CUP54" s="15"/>
      <c r="CUQ54" s="16"/>
      <c r="CUR54" s="12"/>
      <c r="CUS54" s="12"/>
      <c r="CUT54" s="12"/>
      <c r="CUU54" s="12"/>
      <c r="CUV54" s="12"/>
      <c r="CUW54" s="12"/>
      <c r="CUX54" s="12"/>
      <c r="CUY54" s="18"/>
      <c r="CVC54" s="13"/>
      <c r="CVD54" s="14"/>
      <c r="CVE54" s="14"/>
      <c r="CVF54" s="20"/>
      <c r="CVG54" s="13"/>
      <c r="CVH54" s="13"/>
      <c r="CVJ54" s="13"/>
      <c r="CVN54" s="13"/>
      <c r="CVO54" s="13"/>
      <c r="CVP54" s="15"/>
      <c r="CVQ54" s="16"/>
      <c r="CVR54" s="12"/>
      <c r="CVS54" s="12"/>
      <c r="CVT54" s="12"/>
      <c r="CVU54" s="12"/>
      <c r="CVV54" s="12"/>
      <c r="CVW54" s="12"/>
      <c r="CVX54" s="12"/>
      <c r="CVY54" s="18"/>
      <c r="CWC54" s="13"/>
      <c r="CWD54" s="14"/>
      <c r="CWE54" s="14"/>
      <c r="CWF54" s="20"/>
      <c r="CWG54" s="13"/>
      <c r="CWH54" s="13"/>
      <c r="CWJ54" s="13"/>
      <c r="CWN54" s="13"/>
      <c r="CWO54" s="13"/>
      <c r="CWP54" s="15"/>
      <c r="CWQ54" s="16"/>
      <c r="CWR54" s="12"/>
      <c r="CWS54" s="12"/>
      <c r="CWT54" s="12"/>
      <c r="CWU54" s="12"/>
      <c r="CWV54" s="12"/>
      <c r="CWW54" s="12"/>
      <c r="CWX54" s="12"/>
      <c r="CWY54" s="18"/>
      <c r="CXC54" s="13"/>
      <c r="CXD54" s="14"/>
      <c r="CXE54" s="14"/>
      <c r="CXF54" s="20"/>
      <c r="CXG54" s="13"/>
      <c r="CXH54" s="13"/>
      <c r="CXJ54" s="13"/>
      <c r="CXN54" s="13"/>
      <c r="CXO54" s="13"/>
      <c r="CXP54" s="15"/>
      <c r="CXQ54" s="16"/>
      <c r="CXR54" s="12"/>
      <c r="CXS54" s="12"/>
      <c r="CXT54" s="12"/>
      <c r="CXU54" s="12"/>
      <c r="CXV54" s="12"/>
      <c r="CXW54" s="12"/>
      <c r="CXX54" s="12"/>
      <c r="CXY54" s="18"/>
      <c r="CYC54" s="13"/>
      <c r="CYD54" s="14"/>
      <c r="CYE54" s="14"/>
      <c r="CYF54" s="20"/>
      <c r="CYG54" s="13"/>
      <c r="CYH54" s="13"/>
      <c r="CYJ54" s="13"/>
      <c r="CYN54" s="13"/>
      <c r="CYO54" s="13"/>
      <c r="CYP54" s="15"/>
      <c r="CYQ54" s="16"/>
      <c r="CYR54" s="12"/>
      <c r="CYS54" s="12"/>
      <c r="CYT54" s="12"/>
      <c r="CYU54" s="12"/>
      <c r="CYV54" s="12"/>
      <c r="CYW54" s="12"/>
      <c r="CYX54" s="12"/>
      <c r="CYY54" s="18"/>
      <c r="CZC54" s="13"/>
      <c r="CZD54" s="14"/>
      <c r="CZE54" s="14"/>
      <c r="CZF54" s="20"/>
      <c r="CZG54" s="13"/>
      <c r="CZH54" s="13"/>
      <c r="CZJ54" s="13"/>
      <c r="CZN54" s="13"/>
      <c r="CZO54" s="13"/>
      <c r="CZP54" s="15"/>
      <c r="CZQ54" s="16"/>
      <c r="CZR54" s="12"/>
      <c r="CZS54" s="12"/>
      <c r="CZT54" s="12"/>
      <c r="CZU54" s="12"/>
      <c r="CZV54" s="12"/>
      <c r="CZW54" s="12"/>
      <c r="CZX54" s="12"/>
      <c r="CZY54" s="18"/>
      <c r="DAC54" s="13"/>
      <c r="DAD54" s="14"/>
      <c r="DAE54" s="14"/>
      <c r="DAF54" s="20"/>
      <c r="DAG54" s="13"/>
      <c r="DAH54" s="13"/>
      <c r="DAJ54" s="13"/>
      <c r="DAN54" s="13"/>
      <c r="DAO54" s="13"/>
      <c r="DAP54" s="15"/>
      <c r="DAQ54" s="16"/>
      <c r="DAR54" s="12"/>
      <c r="DAS54" s="12"/>
      <c r="DAT54" s="12"/>
      <c r="DAU54" s="12"/>
      <c r="DAV54" s="12"/>
      <c r="DAW54" s="12"/>
      <c r="DAX54" s="12"/>
      <c r="DAY54" s="18"/>
      <c r="DBC54" s="13"/>
      <c r="DBD54" s="14"/>
      <c r="DBE54" s="14"/>
      <c r="DBF54" s="20"/>
      <c r="DBG54" s="13"/>
      <c r="DBH54" s="13"/>
      <c r="DBJ54" s="13"/>
      <c r="DBN54" s="13"/>
      <c r="DBO54" s="13"/>
      <c r="DBP54" s="15"/>
      <c r="DBQ54" s="16"/>
      <c r="DBR54" s="12"/>
      <c r="DBS54" s="12"/>
      <c r="DBT54" s="12"/>
      <c r="DBU54" s="12"/>
      <c r="DBV54" s="12"/>
      <c r="DBW54" s="12"/>
      <c r="DBX54" s="12"/>
      <c r="DBY54" s="18"/>
      <c r="DCC54" s="13"/>
      <c r="DCD54" s="14"/>
      <c r="DCE54" s="14"/>
      <c r="DCF54" s="20"/>
      <c r="DCG54" s="13"/>
      <c r="DCH54" s="13"/>
      <c r="DCJ54" s="13"/>
      <c r="DCN54" s="13"/>
      <c r="DCO54" s="13"/>
      <c r="DCP54" s="15"/>
      <c r="DCQ54" s="16"/>
      <c r="DCR54" s="12"/>
      <c r="DCS54" s="12"/>
      <c r="DCT54" s="12"/>
      <c r="DCU54" s="12"/>
      <c r="DCV54" s="12"/>
      <c r="DCW54" s="12"/>
      <c r="DCX54" s="12"/>
      <c r="DCY54" s="18"/>
      <c r="DDC54" s="13"/>
      <c r="DDD54" s="14"/>
      <c r="DDE54" s="14"/>
      <c r="DDF54" s="20"/>
      <c r="DDG54" s="13"/>
      <c r="DDH54" s="13"/>
      <c r="DDJ54" s="13"/>
      <c r="DDN54" s="13"/>
      <c r="DDO54" s="13"/>
      <c r="DDP54" s="15"/>
      <c r="DDQ54" s="16"/>
      <c r="DDR54" s="12"/>
      <c r="DDS54" s="12"/>
      <c r="DDT54" s="12"/>
      <c r="DDU54" s="12"/>
      <c r="DDV54" s="12"/>
      <c r="DDW54" s="12"/>
      <c r="DDX54" s="12"/>
      <c r="DDY54" s="18"/>
      <c r="DEC54" s="13"/>
      <c r="DED54" s="14"/>
      <c r="DEE54" s="14"/>
      <c r="DEF54" s="20"/>
      <c r="DEG54" s="13"/>
      <c r="DEH54" s="13"/>
      <c r="DEJ54" s="13"/>
      <c r="DEN54" s="13"/>
      <c r="DEO54" s="13"/>
      <c r="DEP54" s="15"/>
      <c r="DEQ54" s="16"/>
      <c r="DER54" s="12"/>
      <c r="DES54" s="12"/>
      <c r="DET54" s="12"/>
      <c r="DEU54" s="12"/>
      <c r="DEV54" s="12"/>
      <c r="DEW54" s="12"/>
      <c r="DEX54" s="12"/>
      <c r="DEY54" s="18"/>
      <c r="DFC54" s="13"/>
      <c r="DFD54" s="14"/>
      <c r="DFE54" s="14"/>
      <c r="DFF54" s="20"/>
      <c r="DFG54" s="13"/>
      <c r="DFH54" s="13"/>
      <c r="DFJ54" s="13"/>
      <c r="DFN54" s="13"/>
      <c r="DFO54" s="13"/>
      <c r="DFP54" s="15"/>
      <c r="DFQ54" s="16"/>
      <c r="DFR54" s="12"/>
      <c r="DFS54" s="12"/>
      <c r="DFT54" s="12"/>
      <c r="DFU54" s="12"/>
      <c r="DFV54" s="12"/>
      <c r="DFW54" s="12"/>
      <c r="DFX54" s="12"/>
      <c r="DFY54" s="18"/>
      <c r="DGC54" s="13"/>
      <c r="DGD54" s="14"/>
      <c r="DGE54" s="14"/>
      <c r="DGF54" s="20"/>
      <c r="DGG54" s="13"/>
      <c r="DGH54" s="13"/>
      <c r="DGJ54" s="13"/>
      <c r="DGN54" s="13"/>
      <c r="DGO54" s="13"/>
      <c r="DGP54" s="15"/>
      <c r="DGQ54" s="16"/>
      <c r="DGR54" s="12"/>
      <c r="DGS54" s="12"/>
      <c r="DGT54" s="12"/>
      <c r="DGU54" s="12"/>
      <c r="DGV54" s="12"/>
      <c r="DGW54" s="12"/>
      <c r="DGX54" s="12"/>
      <c r="DGY54" s="18"/>
      <c r="DHC54" s="13"/>
      <c r="DHD54" s="14"/>
      <c r="DHE54" s="14"/>
      <c r="DHF54" s="20"/>
      <c r="DHG54" s="13"/>
      <c r="DHH54" s="13"/>
      <c r="DHJ54" s="13"/>
      <c r="DHN54" s="13"/>
      <c r="DHO54" s="13"/>
      <c r="DHP54" s="15"/>
      <c r="DHQ54" s="16"/>
      <c r="DHR54" s="12"/>
      <c r="DHS54" s="12"/>
      <c r="DHT54" s="12"/>
      <c r="DHU54" s="12"/>
      <c r="DHV54" s="12"/>
      <c r="DHW54" s="12"/>
      <c r="DHX54" s="12"/>
      <c r="DHY54" s="18"/>
      <c r="DIC54" s="13"/>
      <c r="DID54" s="14"/>
      <c r="DIE54" s="14"/>
      <c r="DIF54" s="20"/>
      <c r="DIG54" s="13"/>
      <c r="DIH54" s="13"/>
      <c r="DIJ54" s="13"/>
      <c r="DIN54" s="13"/>
      <c r="DIO54" s="13"/>
      <c r="DIP54" s="15"/>
      <c r="DIQ54" s="16"/>
      <c r="DIR54" s="12"/>
      <c r="DIS54" s="12"/>
      <c r="DIT54" s="12"/>
      <c r="DIU54" s="12"/>
      <c r="DIV54" s="12"/>
      <c r="DIW54" s="12"/>
      <c r="DIX54" s="12"/>
      <c r="DIY54" s="18"/>
      <c r="DJC54" s="13"/>
      <c r="DJD54" s="14"/>
      <c r="DJE54" s="14"/>
      <c r="DJF54" s="20"/>
      <c r="DJG54" s="13"/>
      <c r="DJH54" s="13"/>
      <c r="DJJ54" s="13"/>
      <c r="DJN54" s="13"/>
      <c r="DJO54" s="13"/>
      <c r="DJP54" s="15"/>
      <c r="DJQ54" s="16"/>
      <c r="DJR54" s="12"/>
      <c r="DJS54" s="12"/>
      <c r="DJT54" s="12"/>
      <c r="DJU54" s="12"/>
      <c r="DJV54" s="12"/>
      <c r="DJW54" s="12"/>
      <c r="DJX54" s="12"/>
      <c r="DJY54" s="18"/>
      <c r="DKC54" s="13"/>
      <c r="DKD54" s="14"/>
      <c r="DKE54" s="14"/>
      <c r="DKF54" s="20"/>
      <c r="DKG54" s="13"/>
      <c r="DKH54" s="13"/>
      <c r="DKJ54" s="13"/>
      <c r="DKN54" s="13"/>
      <c r="DKO54" s="13"/>
      <c r="DKP54" s="15"/>
      <c r="DKQ54" s="16"/>
      <c r="DKR54" s="12"/>
      <c r="DKS54" s="12"/>
      <c r="DKT54" s="12"/>
      <c r="DKU54" s="12"/>
      <c r="DKV54" s="12"/>
      <c r="DKW54" s="12"/>
      <c r="DKX54" s="12"/>
      <c r="DKY54" s="18"/>
      <c r="DLC54" s="13"/>
      <c r="DLD54" s="14"/>
      <c r="DLE54" s="14"/>
      <c r="DLF54" s="20"/>
      <c r="DLG54" s="13"/>
      <c r="DLH54" s="13"/>
      <c r="DLJ54" s="13"/>
      <c r="DLN54" s="13"/>
      <c r="DLO54" s="13"/>
      <c r="DLP54" s="15"/>
      <c r="DLQ54" s="16"/>
      <c r="DLR54" s="12"/>
      <c r="DLS54" s="12"/>
      <c r="DLT54" s="12"/>
      <c r="DLU54" s="12"/>
      <c r="DLV54" s="12"/>
      <c r="DLW54" s="12"/>
      <c r="DLX54" s="12"/>
      <c r="DLY54" s="18"/>
      <c r="DMC54" s="13"/>
      <c r="DMD54" s="14"/>
      <c r="DME54" s="14"/>
      <c r="DMF54" s="20"/>
      <c r="DMG54" s="13"/>
      <c r="DMH54" s="13"/>
      <c r="DMJ54" s="13"/>
      <c r="DMN54" s="13"/>
      <c r="DMO54" s="13"/>
      <c r="DMP54" s="15"/>
      <c r="DMQ54" s="16"/>
      <c r="DMR54" s="12"/>
      <c r="DMS54" s="12"/>
      <c r="DMT54" s="12"/>
      <c r="DMU54" s="12"/>
      <c r="DMV54" s="12"/>
      <c r="DMW54" s="12"/>
      <c r="DMX54" s="12"/>
      <c r="DMY54" s="18"/>
      <c r="DNC54" s="13"/>
      <c r="DND54" s="14"/>
      <c r="DNE54" s="14"/>
      <c r="DNF54" s="20"/>
      <c r="DNG54" s="13"/>
      <c r="DNH54" s="13"/>
      <c r="DNJ54" s="13"/>
      <c r="DNN54" s="13"/>
      <c r="DNO54" s="13"/>
      <c r="DNP54" s="15"/>
      <c r="DNQ54" s="16"/>
      <c r="DNR54" s="12"/>
      <c r="DNS54" s="12"/>
      <c r="DNT54" s="12"/>
      <c r="DNU54" s="12"/>
      <c r="DNV54" s="12"/>
      <c r="DNW54" s="12"/>
      <c r="DNX54" s="12"/>
      <c r="DNY54" s="18"/>
      <c r="DOC54" s="13"/>
      <c r="DOD54" s="14"/>
      <c r="DOE54" s="14"/>
      <c r="DOF54" s="20"/>
      <c r="DOG54" s="13"/>
      <c r="DOH54" s="13"/>
      <c r="DOJ54" s="13"/>
      <c r="DON54" s="13"/>
      <c r="DOO54" s="13"/>
      <c r="DOP54" s="15"/>
      <c r="DOQ54" s="16"/>
      <c r="DOR54" s="12"/>
      <c r="DOS54" s="12"/>
      <c r="DOT54" s="12"/>
      <c r="DOU54" s="12"/>
      <c r="DOV54" s="12"/>
      <c r="DOW54" s="12"/>
      <c r="DOX54" s="12"/>
      <c r="DOY54" s="18"/>
      <c r="DPC54" s="13"/>
      <c r="DPD54" s="14"/>
      <c r="DPE54" s="14"/>
      <c r="DPF54" s="20"/>
      <c r="DPG54" s="13"/>
      <c r="DPH54" s="13"/>
      <c r="DPJ54" s="13"/>
      <c r="DPN54" s="13"/>
      <c r="DPO54" s="13"/>
      <c r="DPP54" s="15"/>
      <c r="DPQ54" s="16"/>
      <c r="DPR54" s="12"/>
      <c r="DPS54" s="12"/>
      <c r="DPT54" s="12"/>
      <c r="DPU54" s="12"/>
      <c r="DPV54" s="12"/>
      <c r="DPW54" s="12"/>
      <c r="DPX54" s="12"/>
      <c r="DPY54" s="18"/>
      <c r="DQC54" s="13"/>
      <c r="DQD54" s="14"/>
      <c r="DQE54" s="14"/>
      <c r="DQF54" s="20"/>
      <c r="DQG54" s="13"/>
      <c r="DQH54" s="13"/>
      <c r="DQJ54" s="13"/>
      <c r="DQN54" s="13"/>
      <c r="DQO54" s="13"/>
      <c r="DQP54" s="15"/>
      <c r="DQQ54" s="16"/>
      <c r="DQR54" s="12"/>
      <c r="DQS54" s="12"/>
      <c r="DQT54" s="12"/>
      <c r="DQU54" s="12"/>
      <c r="DQV54" s="12"/>
      <c r="DQW54" s="12"/>
      <c r="DQX54" s="12"/>
      <c r="DQY54" s="18"/>
      <c r="DRC54" s="13"/>
      <c r="DRD54" s="14"/>
      <c r="DRE54" s="14"/>
      <c r="DRF54" s="20"/>
      <c r="DRG54" s="13"/>
      <c r="DRH54" s="13"/>
      <c r="DRJ54" s="13"/>
      <c r="DRN54" s="13"/>
      <c r="DRO54" s="13"/>
      <c r="DRP54" s="15"/>
      <c r="DRQ54" s="16"/>
      <c r="DRR54" s="12"/>
      <c r="DRS54" s="12"/>
      <c r="DRT54" s="12"/>
      <c r="DRU54" s="12"/>
      <c r="DRV54" s="12"/>
      <c r="DRW54" s="12"/>
      <c r="DRX54" s="12"/>
      <c r="DRY54" s="18"/>
      <c r="DSC54" s="13"/>
      <c r="DSD54" s="14"/>
      <c r="DSE54" s="14"/>
      <c r="DSF54" s="20"/>
      <c r="DSG54" s="13"/>
      <c r="DSH54" s="13"/>
      <c r="DSJ54" s="13"/>
      <c r="DSN54" s="13"/>
      <c r="DSO54" s="13"/>
      <c r="DSP54" s="15"/>
      <c r="DSQ54" s="16"/>
      <c r="DSR54" s="12"/>
      <c r="DSS54" s="12"/>
      <c r="DST54" s="12"/>
      <c r="DSU54" s="12"/>
      <c r="DSV54" s="12"/>
      <c r="DSW54" s="12"/>
      <c r="DSX54" s="12"/>
      <c r="DSY54" s="18"/>
      <c r="DTC54" s="13"/>
      <c r="DTD54" s="14"/>
      <c r="DTE54" s="14"/>
      <c r="DTF54" s="20"/>
      <c r="DTG54" s="13"/>
      <c r="DTH54" s="13"/>
      <c r="DTJ54" s="13"/>
      <c r="DTN54" s="13"/>
      <c r="DTO54" s="13"/>
      <c r="DTP54" s="15"/>
      <c r="DTQ54" s="16"/>
      <c r="DTR54" s="12"/>
      <c r="DTS54" s="12"/>
      <c r="DTT54" s="12"/>
      <c r="DTU54" s="12"/>
      <c r="DTV54" s="12"/>
      <c r="DTW54" s="12"/>
      <c r="DTX54" s="12"/>
      <c r="DTY54" s="18"/>
      <c r="DUC54" s="13"/>
      <c r="DUD54" s="14"/>
      <c r="DUE54" s="14"/>
      <c r="DUF54" s="20"/>
      <c r="DUG54" s="13"/>
      <c r="DUH54" s="13"/>
      <c r="DUJ54" s="13"/>
      <c r="DUN54" s="13"/>
      <c r="DUO54" s="13"/>
      <c r="DUP54" s="15"/>
      <c r="DUQ54" s="16"/>
      <c r="DUR54" s="12"/>
      <c r="DUS54" s="12"/>
      <c r="DUT54" s="12"/>
      <c r="DUU54" s="12"/>
      <c r="DUV54" s="12"/>
      <c r="DUW54" s="12"/>
      <c r="DUX54" s="12"/>
      <c r="DUY54" s="18"/>
      <c r="DVC54" s="13"/>
      <c r="DVD54" s="14"/>
      <c r="DVE54" s="14"/>
      <c r="DVF54" s="20"/>
      <c r="DVG54" s="13"/>
      <c r="DVH54" s="13"/>
      <c r="DVJ54" s="13"/>
      <c r="DVN54" s="13"/>
      <c r="DVO54" s="13"/>
      <c r="DVP54" s="15"/>
      <c r="DVQ54" s="16"/>
      <c r="DVR54" s="12"/>
      <c r="DVS54" s="12"/>
      <c r="DVT54" s="12"/>
      <c r="DVU54" s="12"/>
      <c r="DVV54" s="12"/>
      <c r="DVW54" s="12"/>
      <c r="DVX54" s="12"/>
      <c r="DVY54" s="18"/>
      <c r="DWC54" s="13"/>
      <c r="DWD54" s="14"/>
      <c r="DWE54" s="14"/>
      <c r="DWF54" s="20"/>
      <c r="DWG54" s="13"/>
      <c r="DWH54" s="13"/>
      <c r="DWJ54" s="13"/>
      <c r="DWN54" s="13"/>
      <c r="DWO54" s="13"/>
      <c r="DWP54" s="15"/>
      <c r="DWQ54" s="16"/>
      <c r="DWR54" s="12"/>
      <c r="DWS54" s="12"/>
      <c r="DWT54" s="12"/>
      <c r="DWU54" s="12"/>
      <c r="DWV54" s="12"/>
      <c r="DWW54" s="12"/>
      <c r="DWX54" s="12"/>
      <c r="DWY54" s="18"/>
      <c r="DXC54" s="13"/>
      <c r="DXD54" s="14"/>
      <c r="DXE54" s="14"/>
      <c r="DXF54" s="20"/>
      <c r="DXG54" s="13"/>
      <c r="DXH54" s="13"/>
      <c r="DXJ54" s="13"/>
      <c r="DXN54" s="13"/>
      <c r="DXO54" s="13"/>
      <c r="DXP54" s="15"/>
      <c r="DXQ54" s="16"/>
      <c r="DXR54" s="12"/>
      <c r="DXS54" s="12"/>
      <c r="DXT54" s="12"/>
      <c r="DXU54" s="12"/>
      <c r="DXV54" s="12"/>
      <c r="DXW54" s="12"/>
      <c r="DXX54" s="12"/>
      <c r="DXY54" s="18"/>
      <c r="DYC54" s="13"/>
      <c r="DYD54" s="14"/>
      <c r="DYE54" s="14"/>
      <c r="DYF54" s="20"/>
      <c r="DYG54" s="13"/>
      <c r="DYH54" s="13"/>
      <c r="DYJ54" s="13"/>
      <c r="DYN54" s="13"/>
      <c r="DYO54" s="13"/>
      <c r="DYP54" s="15"/>
      <c r="DYQ54" s="16"/>
      <c r="DYR54" s="12"/>
      <c r="DYS54" s="12"/>
      <c r="DYT54" s="12"/>
      <c r="DYU54" s="12"/>
      <c r="DYV54" s="12"/>
      <c r="DYW54" s="12"/>
      <c r="DYX54" s="12"/>
      <c r="DYY54" s="18"/>
      <c r="DZC54" s="13"/>
      <c r="DZD54" s="14"/>
      <c r="DZE54" s="14"/>
      <c r="DZF54" s="20"/>
      <c r="DZG54" s="13"/>
      <c r="DZH54" s="13"/>
      <c r="DZJ54" s="13"/>
      <c r="DZN54" s="13"/>
      <c r="DZO54" s="13"/>
      <c r="DZP54" s="15"/>
      <c r="DZQ54" s="16"/>
      <c r="DZR54" s="12"/>
      <c r="DZS54" s="12"/>
      <c r="DZT54" s="12"/>
      <c r="DZU54" s="12"/>
      <c r="DZV54" s="12"/>
      <c r="DZW54" s="12"/>
      <c r="DZX54" s="12"/>
      <c r="DZY54" s="18"/>
      <c r="EAC54" s="13"/>
      <c r="EAD54" s="14"/>
      <c r="EAE54" s="14"/>
      <c r="EAF54" s="20"/>
      <c r="EAG54" s="13"/>
      <c r="EAH54" s="13"/>
      <c r="EAJ54" s="13"/>
      <c r="EAN54" s="13"/>
      <c r="EAO54" s="13"/>
      <c r="EAP54" s="15"/>
      <c r="EAQ54" s="16"/>
      <c r="EAR54" s="12"/>
      <c r="EAS54" s="12"/>
      <c r="EAT54" s="12"/>
      <c r="EAU54" s="12"/>
      <c r="EAV54" s="12"/>
      <c r="EAW54" s="12"/>
      <c r="EAX54" s="12"/>
      <c r="EAY54" s="18"/>
      <c r="EBC54" s="13"/>
      <c r="EBD54" s="14"/>
      <c r="EBE54" s="14"/>
      <c r="EBF54" s="20"/>
      <c r="EBG54" s="13"/>
      <c r="EBH54" s="13"/>
      <c r="EBJ54" s="13"/>
      <c r="EBN54" s="13"/>
      <c r="EBO54" s="13"/>
      <c r="EBP54" s="15"/>
      <c r="EBQ54" s="16"/>
      <c r="EBR54" s="12"/>
      <c r="EBS54" s="12"/>
      <c r="EBT54" s="12"/>
      <c r="EBU54" s="12"/>
      <c r="EBV54" s="12"/>
      <c r="EBW54" s="12"/>
      <c r="EBX54" s="12"/>
      <c r="EBY54" s="18"/>
      <c r="ECC54" s="13"/>
      <c r="ECD54" s="14"/>
      <c r="ECE54" s="14"/>
      <c r="ECF54" s="20"/>
      <c r="ECG54" s="13"/>
      <c r="ECH54" s="13"/>
      <c r="ECJ54" s="13"/>
      <c r="ECN54" s="13"/>
      <c r="ECO54" s="13"/>
      <c r="ECP54" s="15"/>
      <c r="ECQ54" s="16"/>
      <c r="ECR54" s="12"/>
      <c r="ECS54" s="12"/>
      <c r="ECT54" s="12"/>
      <c r="ECU54" s="12"/>
      <c r="ECV54" s="12"/>
      <c r="ECW54" s="12"/>
      <c r="ECX54" s="12"/>
      <c r="ECY54" s="18"/>
      <c r="EDC54" s="13"/>
      <c r="EDD54" s="14"/>
      <c r="EDE54" s="14"/>
      <c r="EDF54" s="20"/>
      <c r="EDG54" s="13"/>
      <c r="EDH54" s="13"/>
      <c r="EDJ54" s="13"/>
      <c r="EDN54" s="13"/>
      <c r="EDO54" s="13"/>
      <c r="EDP54" s="15"/>
      <c r="EDQ54" s="16"/>
      <c r="EDR54" s="12"/>
      <c r="EDS54" s="12"/>
      <c r="EDT54" s="12"/>
      <c r="EDU54" s="12"/>
      <c r="EDV54" s="12"/>
      <c r="EDW54" s="12"/>
      <c r="EDX54" s="12"/>
      <c r="EDY54" s="18"/>
      <c r="EEC54" s="13"/>
      <c r="EED54" s="14"/>
      <c r="EEE54" s="14"/>
      <c r="EEF54" s="20"/>
      <c r="EEG54" s="13"/>
      <c r="EEH54" s="13"/>
      <c r="EEJ54" s="13"/>
      <c r="EEN54" s="13"/>
      <c r="EEO54" s="13"/>
      <c r="EEP54" s="15"/>
      <c r="EEQ54" s="16"/>
      <c r="EER54" s="12"/>
      <c r="EES54" s="12"/>
      <c r="EET54" s="12"/>
      <c r="EEU54" s="12"/>
      <c r="EEV54" s="12"/>
      <c r="EEW54" s="12"/>
      <c r="EEX54" s="12"/>
      <c r="EEY54" s="18"/>
      <c r="EFC54" s="13"/>
      <c r="EFD54" s="14"/>
      <c r="EFE54" s="14"/>
      <c r="EFF54" s="20"/>
      <c r="EFG54" s="13"/>
      <c r="EFH54" s="13"/>
      <c r="EFJ54" s="13"/>
      <c r="EFN54" s="13"/>
      <c r="EFO54" s="13"/>
      <c r="EFP54" s="15"/>
      <c r="EFQ54" s="16"/>
      <c r="EFR54" s="12"/>
      <c r="EFS54" s="12"/>
      <c r="EFT54" s="12"/>
      <c r="EFU54" s="12"/>
      <c r="EFV54" s="12"/>
      <c r="EFW54" s="12"/>
      <c r="EFX54" s="12"/>
      <c r="EFY54" s="18"/>
      <c r="EGC54" s="13"/>
      <c r="EGD54" s="14"/>
      <c r="EGE54" s="14"/>
      <c r="EGF54" s="20"/>
      <c r="EGG54" s="13"/>
      <c r="EGH54" s="13"/>
      <c r="EGJ54" s="13"/>
      <c r="EGN54" s="13"/>
      <c r="EGO54" s="13"/>
      <c r="EGP54" s="15"/>
      <c r="EGQ54" s="16"/>
      <c r="EGR54" s="12"/>
      <c r="EGS54" s="12"/>
      <c r="EGT54" s="12"/>
      <c r="EGU54" s="12"/>
      <c r="EGV54" s="12"/>
      <c r="EGW54" s="12"/>
      <c r="EGX54" s="12"/>
      <c r="EGY54" s="18"/>
      <c r="EHC54" s="13"/>
      <c r="EHD54" s="14"/>
      <c r="EHE54" s="14"/>
      <c r="EHF54" s="20"/>
      <c r="EHG54" s="13"/>
      <c r="EHH54" s="13"/>
      <c r="EHJ54" s="13"/>
      <c r="EHN54" s="13"/>
      <c r="EHO54" s="13"/>
      <c r="EHP54" s="15"/>
      <c r="EHQ54" s="16"/>
      <c r="EHR54" s="12"/>
      <c r="EHS54" s="12"/>
      <c r="EHT54" s="12"/>
      <c r="EHU54" s="12"/>
      <c r="EHV54" s="12"/>
      <c r="EHW54" s="12"/>
      <c r="EHX54" s="12"/>
      <c r="EHY54" s="18"/>
      <c r="EIC54" s="13"/>
      <c r="EID54" s="14"/>
      <c r="EIE54" s="14"/>
      <c r="EIF54" s="20"/>
      <c r="EIG54" s="13"/>
      <c r="EIH54" s="13"/>
      <c r="EIJ54" s="13"/>
      <c r="EIN54" s="13"/>
      <c r="EIO54" s="13"/>
      <c r="EIP54" s="15"/>
      <c r="EIQ54" s="16"/>
      <c r="EIR54" s="12"/>
      <c r="EIS54" s="12"/>
      <c r="EIT54" s="12"/>
      <c r="EIU54" s="12"/>
      <c r="EIV54" s="12"/>
      <c r="EIW54" s="12"/>
      <c r="EIX54" s="12"/>
      <c r="EIY54" s="18"/>
      <c r="EJC54" s="13"/>
      <c r="EJD54" s="14"/>
      <c r="EJE54" s="14"/>
      <c r="EJF54" s="20"/>
      <c r="EJG54" s="13"/>
      <c r="EJH54" s="13"/>
      <c r="EJJ54" s="13"/>
      <c r="EJN54" s="13"/>
      <c r="EJO54" s="13"/>
      <c r="EJP54" s="15"/>
      <c r="EJQ54" s="16"/>
      <c r="EJR54" s="12"/>
      <c r="EJS54" s="12"/>
      <c r="EJT54" s="12"/>
      <c r="EJU54" s="12"/>
      <c r="EJV54" s="12"/>
      <c r="EJW54" s="12"/>
      <c r="EJX54" s="12"/>
      <c r="EJY54" s="18"/>
      <c r="EKC54" s="13"/>
      <c r="EKD54" s="14"/>
      <c r="EKE54" s="14"/>
      <c r="EKF54" s="20"/>
      <c r="EKG54" s="13"/>
      <c r="EKH54" s="13"/>
      <c r="EKJ54" s="13"/>
      <c r="EKN54" s="13"/>
      <c r="EKO54" s="13"/>
      <c r="EKP54" s="15"/>
      <c r="EKQ54" s="16"/>
      <c r="EKR54" s="12"/>
      <c r="EKS54" s="12"/>
      <c r="EKT54" s="12"/>
      <c r="EKU54" s="12"/>
      <c r="EKV54" s="12"/>
      <c r="EKW54" s="12"/>
      <c r="EKX54" s="12"/>
      <c r="EKY54" s="18"/>
      <c r="ELC54" s="13"/>
      <c r="ELD54" s="14"/>
      <c r="ELE54" s="14"/>
      <c r="ELF54" s="20"/>
      <c r="ELG54" s="13"/>
      <c r="ELH54" s="13"/>
      <c r="ELJ54" s="13"/>
      <c r="ELN54" s="13"/>
      <c r="ELO54" s="13"/>
      <c r="ELP54" s="15"/>
      <c r="ELQ54" s="16"/>
      <c r="ELR54" s="12"/>
      <c r="ELS54" s="12"/>
      <c r="ELT54" s="12"/>
      <c r="ELU54" s="12"/>
      <c r="ELV54" s="12"/>
      <c r="ELW54" s="12"/>
      <c r="ELX54" s="12"/>
      <c r="ELY54" s="18"/>
      <c r="EMC54" s="13"/>
      <c r="EMD54" s="14"/>
      <c r="EME54" s="14"/>
      <c r="EMF54" s="20"/>
      <c r="EMG54" s="13"/>
      <c r="EMH54" s="13"/>
      <c r="EMJ54" s="13"/>
      <c r="EMN54" s="13"/>
      <c r="EMO54" s="13"/>
      <c r="EMP54" s="15"/>
      <c r="EMQ54" s="16"/>
      <c r="EMR54" s="12"/>
      <c r="EMS54" s="12"/>
      <c r="EMT54" s="12"/>
      <c r="EMU54" s="12"/>
      <c r="EMV54" s="12"/>
      <c r="EMW54" s="12"/>
      <c r="EMX54" s="12"/>
      <c r="EMY54" s="18"/>
      <c r="ENC54" s="13"/>
      <c r="END54" s="14"/>
      <c r="ENE54" s="14"/>
      <c r="ENF54" s="20"/>
      <c r="ENG54" s="13"/>
      <c r="ENH54" s="13"/>
      <c r="ENJ54" s="13"/>
      <c r="ENN54" s="13"/>
      <c r="ENO54" s="13"/>
      <c r="ENP54" s="15"/>
      <c r="ENQ54" s="16"/>
      <c r="ENR54" s="12"/>
      <c r="ENS54" s="12"/>
      <c r="ENT54" s="12"/>
      <c r="ENU54" s="12"/>
      <c r="ENV54" s="12"/>
      <c r="ENW54" s="12"/>
      <c r="ENX54" s="12"/>
      <c r="ENY54" s="18"/>
      <c r="EOC54" s="13"/>
      <c r="EOD54" s="14"/>
      <c r="EOE54" s="14"/>
      <c r="EOF54" s="20"/>
      <c r="EOG54" s="13"/>
      <c r="EOH54" s="13"/>
      <c r="EOJ54" s="13"/>
      <c r="EON54" s="13"/>
      <c r="EOO54" s="13"/>
      <c r="EOP54" s="15"/>
      <c r="EOQ54" s="16"/>
      <c r="EOR54" s="12"/>
      <c r="EOS54" s="12"/>
      <c r="EOT54" s="12"/>
      <c r="EOU54" s="12"/>
      <c r="EOV54" s="12"/>
      <c r="EOW54" s="12"/>
      <c r="EOX54" s="12"/>
      <c r="EOY54" s="18"/>
      <c r="EPC54" s="13"/>
      <c r="EPD54" s="14"/>
      <c r="EPE54" s="14"/>
      <c r="EPF54" s="20"/>
      <c r="EPG54" s="13"/>
      <c r="EPH54" s="13"/>
      <c r="EPJ54" s="13"/>
      <c r="EPN54" s="13"/>
      <c r="EPO54" s="13"/>
      <c r="EPP54" s="15"/>
      <c r="EPQ54" s="16"/>
      <c r="EPR54" s="12"/>
      <c r="EPS54" s="12"/>
      <c r="EPT54" s="12"/>
      <c r="EPU54" s="12"/>
      <c r="EPV54" s="12"/>
      <c r="EPW54" s="12"/>
      <c r="EPX54" s="12"/>
      <c r="EPY54" s="18"/>
      <c r="EQC54" s="13"/>
      <c r="EQD54" s="14"/>
      <c r="EQE54" s="14"/>
      <c r="EQF54" s="20"/>
      <c r="EQG54" s="13"/>
      <c r="EQH54" s="13"/>
      <c r="EQJ54" s="13"/>
      <c r="EQN54" s="13"/>
      <c r="EQO54" s="13"/>
      <c r="EQP54" s="15"/>
      <c r="EQQ54" s="16"/>
      <c r="EQR54" s="12"/>
      <c r="EQS54" s="12"/>
      <c r="EQT54" s="12"/>
      <c r="EQU54" s="12"/>
      <c r="EQV54" s="12"/>
      <c r="EQW54" s="12"/>
      <c r="EQX54" s="12"/>
      <c r="EQY54" s="18"/>
      <c r="ERC54" s="13"/>
      <c r="ERD54" s="14"/>
      <c r="ERE54" s="14"/>
      <c r="ERF54" s="20"/>
      <c r="ERG54" s="13"/>
      <c r="ERH54" s="13"/>
      <c r="ERJ54" s="13"/>
      <c r="ERN54" s="13"/>
      <c r="ERO54" s="13"/>
      <c r="ERP54" s="15"/>
      <c r="ERQ54" s="16"/>
      <c r="ERR54" s="12"/>
      <c r="ERS54" s="12"/>
      <c r="ERT54" s="12"/>
      <c r="ERU54" s="12"/>
      <c r="ERV54" s="12"/>
      <c r="ERW54" s="12"/>
      <c r="ERX54" s="12"/>
      <c r="ERY54" s="18"/>
      <c r="ESC54" s="13"/>
      <c r="ESD54" s="14"/>
      <c r="ESE54" s="14"/>
      <c r="ESF54" s="20"/>
      <c r="ESG54" s="13"/>
      <c r="ESH54" s="13"/>
      <c r="ESJ54" s="13"/>
      <c r="ESN54" s="13"/>
      <c r="ESO54" s="13"/>
      <c r="ESP54" s="15"/>
      <c r="ESQ54" s="16"/>
      <c r="ESR54" s="12"/>
      <c r="ESS54" s="12"/>
      <c r="EST54" s="12"/>
      <c r="ESU54" s="12"/>
      <c r="ESV54" s="12"/>
      <c r="ESW54" s="12"/>
      <c r="ESX54" s="12"/>
      <c r="ESY54" s="18"/>
      <c r="ETC54" s="13"/>
      <c r="ETD54" s="14"/>
      <c r="ETE54" s="14"/>
      <c r="ETF54" s="20"/>
      <c r="ETG54" s="13"/>
      <c r="ETH54" s="13"/>
      <c r="ETJ54" s="13"/>
      <c r="ETN54" s="13"/>
      <c r="ETO54" s="13"/>
      <c r="ETP54" s="15"/>
      <c r="ETQ54" s="16"/>
      <c r="ETR54" s="12"/>
      <c r="ETS54" s="12"/>
      <c r="ETT54" s="12"/>
      <c r="ETU54" s="12"/>
      <c r="ETV54" s="12"/>
      <c r="ETW54" s="12"/>
      <c r="ETX54" s="12"/>
      <c r="ETY54" s="18"/>
      <c r="EUC54" s="13"/>
      <c r="EUD54" s="14"/>
      <c r="EUE54" s="14"/>
      <c r="EUF54" s="20"/>
      <c r="EUG54" s="13"/>
      <c r="EUH54" s="13"/>
      <c r="EUJ54" s="13"/>
      <c r="EUN54" s="13"/>
      <c r="EUO54" s="13"/>
      <c r="EUP54" s="15"/>
      <c r="EUQ54" s="16"/>
      <c r="EUR54" s="12"/>
      <c r="EUS54" s="12"/>
      <c r="EUT54" s="12"/>
      <c r="EUU54" s="12"/>
      <c r="EUV54" s="12"/>
      <c r="EUW54" s="12"/>
      <c r="EUX54" s="12"/>
      <c r="EUY54" s="18"/>
      <c r="EVC54" s="13"/>
      <c r="EVD54" s="14"/>
      <c r="EVE54" s="14"/>
      <c r="EVF54" s="20"/>
      <c r="EVG54" s="13"/>
      <c r="EVH54" s="13"/>
      <c r="EVJ54" s="13"/>
      <c r="EVN54" s="13"/>
      <c r="EVO54" s="13"/>
      <c r="EVP54" s="15"/>
      <c r="EVQ54" s="16"/>
      <c r="EVR54" s="12"/>
      <c r="EVS54" s="12"/>
      <c r="EVT54" s="12"/>
      <c r="EVU54" s="12"/>
      <c r="EVV54" s="12"/>
      <c r="EVW54" s="12"/>
      <c r="EVX54" s="12"/>
      <c r="EVY54" s="18"/>
      <c r="EWC54" s="13"/>
      <c r="EWD54" s="14"/>
      <c r="EWE54" s="14"/>
      <c r="EWF54" s="20"/>
      <c r="EWG54" s="13"/>
      <c r="EWH54" s="13"/>
      <c r="EWJ54" s="13"/>
      <c r="EWN54" s="13"/>
      <c r="EWO54" s="13"/>
      <c r="EWP54" s="15"/>
      <c r="EWQ54" s="16"/>
      <c r="EWR54" s="12"/>
      <c r="EWS54" s="12"/>
      <c r="EWT54" s="12"/>
      <c r="EWU54" s="12"/>
      <c r="EWV54" s="12"/>
      <c r="EWW54" s="12"/>
      <c r="EWX54" s="12"/>
      <c r="EWY54" s="18"/>
      <c r="EXC54" s="13"/>
      <c r="EXD54" s="14"/>
      <c r="EXE54" s="14"/>
      <c r="EXF54" s="20"/>
      <c r="EXG54" s="13"/>
      <c r="EXH54" s="13"/>
      <c r="EXJ54" s="13"/>
      <c r="EXN54" s="13"/>
      <c r="EXO54" s="13"/>
      <c r="EXP54" s="15"/>
      <c r="EXQ54" s="16"/>
      <c r="EXR54" s="12"/>
      <c r="EXS54" s="12"/>
      <c r="EXT54" s="12"/>
      <c r="EXU54" s="12"/>
      <c r="EXV54" s="12"/>
      <c r="EXW54" s="12"/>
      <c r="EXX54" s="12"/>
      <c r="EXY54" s="18"/>
      <c r="EYC54" s="13"/>
      <c r="EYD54" s="14"/>
      <c r="EYE54" s="14"/>
      <c r="EYF54" s="20"/>
      <c r="EYG54" s="13"/>
      <c r="EYH54" s="13"/>
      <c r="EYJ54" s="13"/>
      <c r="EYN54" s="13"/>
      <c r="EYO54" s="13"/>
      <c r="EYP54" s="15"/>
      <c r="EYQ54" s="16"/>
      <c r="EYR54" s="12"/>
      <c r="EYS54" s="12"/>
      <c r="EYT54" s="12"/>
      <c r="EYU54" s="12"/>
      <c r="EYV54" s="12"/>
      <c r="EYW54" s="12"/>
      <c r="EYX54" s="12"/>
      <c r="EYY54" s="18"/>
      <c r="EZC54" s="13"/>
      <c r="EZD54" s="14"/>
      <c r="EZE54" s="14"/>
      <c r="EZF54" s="20"/>
      <c r="EZG54" s="13"/>
      <c r="EZH54" s="13"/>
      <c r="EZJ54" s="13"/>
      <c r="EZN54" s="13"/>
      <c r="EZO54" s="13"/>
      <c r="EZP54" s="15"/>
      <c r="EZQ54" s="16"/>
      <c r="EZR54" s="12"/>
      <c r="EZS54" s="12"/>
      <c r="EZT54" s="12"/>
      <c r="EZU54" s="12"/>
      <c r="EZV54" s="12"/>
      <c r="EZW54" s="12"/>
      <c r="EZX54" s="12"/>
      <c r="EZY54" s="18"/>
      <c r="FAC54" s="13"/>
      <c r="FAD54" s="14"/>
      <c r="FAE54" s="14"/>
      <c r="FAF54" s="20"/>
      <c r="FAG54" s="13"/>
      <c r="FAH54" s="13"/>
      <c r="FAJ54" s="13"/>
      <c r="FAN54" s="13"/>
      <c r="FAO54" s="13"/>
      <c r="FAP54" s="15"/>
      <c r="FAQ54" s="16"/>
      <c r="FAR54" s="12"/>
      <c r="FAS54" s="12"/>
      <c r="FAT54" s="12"/>
      <c r="FAU54" s="12"/>
      <c r="FAV54" s="12"/>
      <c r="FAW54" s="12"/>
      <c r="FAX54" s="12"/>
      <c r="FAY54" s="18"/>
      <c r="FBC54" s="13"/>
      <c r="FBD54" s="14"/>
      <c r="FBE54" s="14"/>
      <c r="FBF54" s="20"/>
      <c r="FBG54" s="13"/>
      <c r="FBH54" s="13"/>
      <c r="FBJ54" s="13"/>
      <c r="FBN54" s="13"/>
      <c r="FBO54" s="13"/>
      <c r="FBP54" s="15"/>
      <c r="FBQ54" s="16"/>
      <c r="FBR54" s="12"/>
      <c r="FBS54" s="12"/>
      <c r="FBT54" s="12"/>
      <c r="FBU54" s="12"/>
      <c r="FBV54" s="12"/>
      <c r="FBW54" s="12"/>
      <c r="FBX54" s="12"/>
      <c r="FBY54" s="18"/>
      <c r="FCC54" s="13"/>
      <c r="FCD54" s="14"/>
      <c r="FCE54" s="14"/>
      <c r="FCF54" s="20"/>
      <c r="FCG54" s="13"/>
      <c r="FCH54" s="13"/>
      <c r="FCJ54" s="13"/>
      <c r="FCN54" s="13"/>
      <c r="FCO54" s="13"/>
      <c r="FCP54" s="15"/>
      <c r="FCQ54" s="16"/>
      <c r="FCR54" s="12"/>
      <c r="FCS54" s="12"/>
      <c r="FCT54" s="12"/>
      <c r="FCU54" s="12"/>
      <c r="FCV54" s="12"/>
      <c r="FCW54" s="12"/>
      <c r="FCX54" s="12"/>
      <c r="FCY54" s="18"/>
      <c r="FDC54" s="13"/>
      <c r="FDD54" s="14"/>
      <c r="FDE54" s="14"/>
      <c r="FDF54" s="20"/>
      <c r="FDG54" s="13"/>
      <c r="FDH54" s="13"/>
      <c r="FDJ54" s="13"/>
      <c r="FDN54" s="13"/>
      <c r="FDO54" s="13"/>
      <c r="FDP54" s="15"/>
      <c r="FDQ54" s="16"/>
      <c r="FDR54" s="12"/>
      <c r="FDS54" s="12"/>
      <c r="FDT54" s="12"/>
      <c r="FDU54" s="12"/>
      <c r="FDV54" s="12"/>
      <c r="FDW54" s="12"/>
      <c r="FDX54" s="12"/>
      <c r="FDY54" s="18"/>
      <c r="FEC54" s="13"/>
      <c r="FED54" s="14"/>
      <c r="FEE54" s="14"/>
      <c r="FEF54" s="20"/>
      <c r="FEG54" s="13"/>
      <c r="FEH54" s="13"/>
      <c r="FEJ54" s="13"/>
      <c r="FEN54" s="13"/>
      <c r="FEO54" s="13"/>
      <c r="FEP54" s="15"/>
      <c r="FEQ54" s="16"/>
      <c r="FER54" s="12"/>
      <c r="FES54" s="12"/>
      <c r="FET54" s="12"/>
      <c r="FEU54" s="12"/>
      <c r="FEV54" s="12"/>
      <c r="FEW54" s="12"/>
      <c r="FEX54" s="12"/>
      <c r="FEY54" s="18"/>
      <c r="FFC54" s="13"/>
      <c r="FFD54" s="14"/>
      <c r="FFE54" s="14"/>
      <c r="FFF54" s="20"/>
      <c r="FFG54" s="13"/>
      <c r="FFH54" s="13"/>
      <c r="FFJ54" s="13"/>
      <c r="FFN54" s="13"/>
      <c r="FFO54" s="13"/>
      <c r="FFP54" s="15"/>
      <c r="FFQ54" s="16"/>
      <c r="FFR54" s="12"/>
      <c r="FFS54" s="12"/>
      <c r="FFT54" s="12"/>
      <c r="FFU54" s="12"/>
      <c r="FFV54" s="12"/>
      <c r="FFW54" s="12"/>
      <c r="FFX54" s="12"/>
      <c r="FFY54" s="18"/>
      <c r="FGC54" s="13"/>
      <c r="FGD54" s="14"/>
      <c r="FGE54" s="14"/>
      <c r="FGF54" s="20"/>
      <c r="FGG54" s="13"/>
      <c r="FGH54" s="13"/>
      <c r="FGJ54" s="13"/>
      <c r="FGN54" s="13"/>
      <c r="FGO54" s="13"/>
      <c r="FGP54" s="15"/>
      <c r="FGQ54" s="16"/>
      <c r="FGR54" s="12"/>
      <c r="FGS54" s="12"/>
      <c r="FGT54" s="12"/>
      <c r="FGU54" s="12"/>
      <c r="FGV54" s="12"/>
      <c r="FGW54" s="12"/>
      <c r="FGX54" s="12"/>
      <c r="FGY54" s="18"/>
      <c r="FHC54" s="13"/>
      <c r="FHD54" s="14"/>
      <c r="FHE54" s="14"/>
      <c r="FHF54" s="20"/>
      <c r="FHG54" s="13"/>
      <c r="FHH54" s="13"/>
      <c r="FHJ54" s="13"/>
      <c r="FHN54" s="13"/>
      <c r="FHO54" s="13"/>
      <c r="FHP54" s="15"/>
      <c r="FHQ54" s="16"/>
      <c r="FHR54" s="12"/>
      <c r="FHS54" s="12"/>
      <c r="FHT54" s="12"/>
      <c r="FHU54" s="12"/>
      <c r="FHV54" s="12"/>
      <c r="FHW54" s="12"/>
      <c r="FHX54" s="12"/>
      <c r="FHY54" s="18"/>
      <c r="FIC54" s="13"/>
      <c r="FID54" s="14"/>
      <c r="FIE54" s="14"/>
      <c r="FIF54" s="20"/>
      <c r="FIG54" s="13"/>
      <c r="FIH54" s="13"/>
      <c r="FIJ54" s="13"/>
      <c r="FIN54" s="13"/>
      <c r="FIO54" s="13"/>
      <c r="FIP54" s="15"/>
      <c r="FIQ54" s="16"/>
      <c r="FIR54" s="12"/>
      <c r="FIS54" s="12"/>
      <c r="FIT54" s="12"/>
      <c r="FIU54" s="12"/>
      <c r="FIV54" s="12"/>
      <c r="FIW54" s="12"/>
      <c r="FIX54" s="12"/>
      <c r="FIY54" s="18"/>
      <c r="FJC54" s="13"/>
      <c r="FJD54" s="14"/>
      <c r="FJE54" s="14"/>
      <c r="FJF54" s="20"/>
      <c r="FJG54" s="13"/>
      <c r="FJH54" s="13"/>
      <c r="FJJ54" s="13"/>
      <c r="FJN54" s="13"/>
      <c r="FJO54" s="13"/>
      <c r="FJP54" s="15"/>
      <c r="FJQ54" s="16"/>
      <c r="FJR54" s="12"/>
      <c r="FJS54" s="12"/>
      <c r="FJT54" s="12"/>
      <c r="FJU54" s="12"/>
      <c r="FJV54" s="12"/>
      <c r="FJW54" s="12"/>
      <c r="FJX54" s="12"/>
      <c r="FJY54" s="18"/>
      <c r="FKC54" s="13"/>
      <c r="FKD54" s="14"/>
      <c r="FKE54" s="14"/>
      <c r="FKF54" s="20"/>
      <c r="FKG54" s="13"/>
      <c r="FKH54" s="13"/>
      <c r="FKJ54" s="13"/>
      <c r="FKN54" s="13"/>
      <c r="FKO54" s="13"/>
      <c r="FKP54" s="15"/>
      <c r="FKQ54" s="16"/>
      <c r="FKR54" s="12"/>
      <c r="FKS54" s="12"/>
      <c r="FKT54" s="12"/>
      <c r="FKU54" s="12"/>
      <c r="FKV54" s="12"/>
      <c r="FKW54" s="12"/>
      <c r="FKX54" s="12"/>
      <c r="FKY54" s="18"/>
      <c r="FLC54" s="13"/>
      <c r="FLD54" s="14"/>
      <c r="FLE54" s="14"/>
      <c r="FLF54" s="20"/>
      <c r="FLG54" s="13"/>
      <c r="FLH54" s="13"/>
      <c r="FLJ54" s="13"/>
      <c r="FLN54" s="13"/>
      <c r="FLO54" s="13"/>
      <c r="FLP54" s="15"/>
      <c r="FLQ54" s="16"/>
      <c r="FLR54" s="12"/>
      <c r="FLS54" s="12"/>
      <c r="FLT54" s="12"/>
      <c r="FLU54" s="12"/>
      <c r="FLV54" s="12"/>
      <c r="FLW54" s="12"/>
      <c r="FLX54" s="12"/>
      <c r="FLY54" s="18"/>
      <c r="FMC54" s="13"/>
      <c r="FMD54" s="14"/>
      <c r="FME54" s="14"/>
      <c r="FMF54" s="20"/>
      <c r="FMG54" s="13"/>
      <c r="FMH54" s="13"/>
      <c r="FMJ54" s="13"/>
      <c r="FMN54" s="13"/>
      <c r="FMO54" s="13"/>
      <c r="FMP54" s="15"/>
      <c r="FMQ54" s="16"/>
      <c r="FMR54" s="12"/>
      <c r="FMS54" s="12"/>
      <c r="FMT54" s="12"/>
      <c r="FMU54" s="12"/>
      <c r="FMV54" s="12"/>
      <c r="FMW54" s="12"/>
      <c r="FMX54" s="12"/>
      <c r="FMY54" s="18"/>
      <c r="FNC54" s="13"/>
      <c r="FND54" s="14"/>
      <c r="FNE54" s="14"/>
      <c r="FNF54" s="20"/>
      <c r="FNG54" s="13"/>
      <c r="FNH54" s="13"/>
      <c r="FNJ54" s="13"/>
      <c r="FNN54" s="13"/>
      <c r="FNO54" s="13"/>
      <c r="FNP54" s="15"/>
      <c r="FNQ54" s="16"/>
      <c r="FNR54" s="12"/>
      <c r="FNS54" s="12"/>
      <c r="FNT54" s="12"/>
      <c r="FNU54" s="12"/>
      <c r="FNV54" s="12"/>
      <c r="FNW54" s="12"/>
      <c r="FNX54" s="12"/>
      <c r="FNY54" s="18"/>
      <c r="FOC54" s="13"/>
      <c r="FOD54" s="14"/>
      <c r="FOE54" s="14"/>
      <c r="FOF54" s="20"/>
      <c r="FOG54" s="13"/>
      <c r="FOH54" s="13"/>
      <c r="FOJ54" s="13"/>
      <c r="FON54" s="13"/>
      <c r="FOO54" s="13"/>
      <c r="FOP54" s="15"/>
      <c r="FOQ54" s="16"/>
      <c r="FOR54" s="12"/>
      <c r="FOS54" s="12"/>
      <c r="FOT54" s="12"/>
      <c r="FOU54" s="12"/>
      <c r="FOV54" s="12"/>
      <c r="FOW54" s="12"/>
      <c r="FOX54" s="12"/>
      <c r="FOY54" s="18"/>
      <c r="FPC54" s="13"/>
      <c r="FPD54" s="14"/>
      <c r="FPE54" s="14"/>
      <c r="FPF54" s="20"/>
      <c r="FPG54" s="13"/>
      <c r="FPH54" s="13"/>
      <c r="FPJ54" s="13"/>
      <c r="FPN54" s="13"/>
      <c r="FPO54" s="13"/>
      <c r="FPP54" s="15"/>
      <c r="FPQ54" s="16"/>
      <c r="FPR54" s="12"/>
      <c r="FPS54" s="12"/>
      <c r="FPT54" s="12"/>
      <c r="FPU54" s="12"/>
      <c r="FPV54" s="12"/>
      <c r="FPW54" s="12"/>
      <c r="FPX54" s="12"/>
      <c r="FPY54" s="18"/>
      <c r="FQC54" s="13"/>
      <c r="FQD54" s="14"/>
      <c r="FQE54" s="14"/>
      <c r="FQF54" s="20"/>
      <c r="FQG54" s="13"/>
      <c r="FQH54" s="13"/>
      <c r="FQJ54" s="13"/>
      <c r="FQN54" s="13"/>
      <c r="FQO54" s="13"/>
      <c r="FQP54" s="15"/>
      <c r="FQQ54" s="16"/>
      <c r="FQR54" s="12"/>
      <c r="FQS54" s="12"/>
      <c r="FQT54" s="12"/>
      <c r="FQU54" s="12"/>
      <c r="FQV54" s="12"/>
      <c r="FQW54" s="12"/>
      <c r="FQX54" s="12"/>
      <c r="FQY54" s="18"/>
      <c r="FRC54" s="13"/>
      <c r="FRD54" s="14"/>
      <c r="FRE54" s="14"/>
      <c r="FRF54" s="20"/>
      <c r="FRG54" s="13"/>
      <c r="FRH54" s="13"/>
      <c r="FRJ54" s="13"/>
      <c r="FRN54" s="13"/>
      <c r="FRO54" s="13"/>
      <c r="FRP54" s="15"/>
      <c r="FRQ54" s="16"/>
      <c r="FRR54" s="12"/>
      <c r="FRS54" s="12"/>
      <c r="FRT54" s="12"/>
      <c r="FRU54" s="12"/>
      <c r="FRV54" s="12"/>
      <c r="FRW54" s="12"/>
      <c r="FRX54" s="12"/>
      <c r="FRY54" s="18"/>
      <c r="FSC54" s="13"/>
      <c r="FSD54" s="14"/>
      <c r="FSE54" s="14"/>
      <c r="FSF54" s="20"/>
      <c r="FSG54" s="13"/>
      <c r="FSH54" s="13"/>
      <c r="FSJ54" s="13"/>
      <c r="FSN54" s="13"/>
      <c r="FSO54" s="13"/>
      <c r="FSP54" s="15"/>
      <c r="FSQ54" s="16"/>
      <c r="FSR54" s="12"/>
      <c r="FSS54" s="12"/>
      <c r="FST54" s="12"/>
      <c r="FSU54" s="12"/>
      <c r="FSV54" s="12"/>
      <c r="FSW54" s="12"/>
      <c r="FSX54" s="12"/>
      <c r="FSY54" s="18"/>
      <c r="FTC54" s="13"/>
      <c r="FTD54" s="14"/>
      <c r="FTE54" s="14"/>
      <c r="FTF54" s="20"/>
      <c r="FTG54" s="13"/>
      <c r="FTH54" s="13"/>
      <c r="FTJ54" s="13"/>
      <c r="FTN54" s="13"/>
      <c r="FTO54" s="13"/>
      <c r="FTP54" s="15"/>
      <c r="FTQ54" s="16"/>
      <c r="FTR54" s="12"/>
      <c r="FTS54" s="12"/>
      <c r="FTT54" s="12"/>
      <c r="FTU54" s="12"/>
      <c r="FTV54" s="12"/>
      <c r="FTW54" s="12"/>
      <c r="FTX54" s="12"/>
      <c r="FTY54" s="18"/>
      <c r="FUC54" s="13"/>
      <c r="FUD54" s="14"/>
      <c r="FUE54" s="14"/>
      <c r="FUF54" s="20"/>
      <c r="FUG54" s="13"/>
      <c r="FUH54" s="13"/>
      <c r="FUJ54" s="13"/>
      <c r="FUN54" s="13"/>
      <c r="FUO54" s="13"/>
      <c r="FUP54" s="15"/>
      <c r="FUQ54" s="16"/>
      <c r="FUR54" s="12"/>
      <c r="FUS54" s="12"/>
      <c r="FUT54" s="12"/>
      <c r="FUU54" s="12"/>
      <c r="FUV54" s="12"/>
      <c r="FUW54" s="12"/>
      <c r="FUX54" s="12"/>
      <c r="FUY54" s="18"/>
      <c r="FVC54" s="13"/>
      <c r="FVD54" s="14"/>
      <c r="FVE54" s="14"/>
      <c r="FVF54" s="20"/>
      <c r="FVG54" s="13"/>
      <c r="FVH54" s="13"/>
      <c r="FVJ54" s="13"/>
      <c r="FVN54" s="13"/>
      <c r="FVO54" s="13"/>
      <c r="FVP54" s="15"/>
      <c r="FVQ54" s="16"/>
      <c r="FVR54" s="12"/>
      <c r="FVS54" s="12"/>
      <c r="FVT54" s="12"/>
      <c r="FVU54" s="12"/>
      <c r="FVV54" s="12"/>
      <c r="FVW54" s="12"/>
      <c r="FVX54" s="12"/>
      <c r="FVY54" s="18"/>
      <c r="FWC54" s="13"/>
      <c r="FWD54" s="14"/>
      <c r="FWE54" s="14"/>
      <c r="FWF54" s="20"/>
      <c r="FWG54" s="13"/>
      <c r="FWH54" s="13"/>
      <c r="FWJ54" s="13"/>
      <c r="FWN54" s="13"/>
      <c r="FWO54" s="13"/>
      <c r="FWP54" s="15"/>
      <c r="FWQ54" s="16"/>
      <c r="FWR54" s="12"/>
      <c r="FWS54" s="12"/>
      <c r="FWT54" s="12"/>
      <c r="FWU54" s="12"/>
      <c r="FWV54" s="12"/>
      <c r="FWW54" s="12"/>
      <c r="FWX54" s="12"/>
      <c r="FWY54" s="18"/>
      <c r="FXC54" s="13"/>
      <c r="FXD54" s="14"/>
      <c r="FXE54" s="14"/>
      <c r="FXF54" s="20"/>
      <c r="FXG54" s="13"/>
      <c r="FXH54" s="13"/>
      <c r="FXJ54" s="13"/>
      <c r="FXN54" s="13"/>
      <c r="FXO54" s="13"/>
      <c r="FXP54" s="15"/>
      <c r="FXQ54" s="16"/>
      <c r="FXR54" s="12"/>
      <c r="FXS54" s="12"/>
      <c r="FXT54" s="12"/>
      <c r="FXU54" s="12"/>
      <c r="FXV54" s="12"/>
      <c r="FXW54" s="12"/>
      <c r="FXX54" s="12"/>
      <c r="FXY54" s="18"/>
      <c r="FYC54" s="13"/>
      <c r="FYD54" s="14"/>
      <c r="FYE54" s="14"/>
      <c r="FYF54" s="20"/>
      <c r="FYG54" s="13"/>
      <c r="FYH54" s="13"/>
      <c r="FYJ54" s="13"/>
      <c r="FYN54" s="13"/>
      <c r="FYO54" s="13"/>
      <c r="FYP54" s="15"/>
      <c r="FYQ54" s="16"/>
      <c r="FYR54" s="12"/>
      <c r="FYS54" s="12"/>
      <c r="FYT54" s="12"/>
      <c r="FYU54" s="12"/>
      <c r="FYV54" s="12"/>
      <c r="FYW54" s="12"/>
      <c r="FYX54" s="12"/>
      <c r="FYY54" s="18"/>
      <c r="FZC54" s="13"/>
      <c r="FZD54" s="14"/>
      <c r="FZE54" s="14"/>
      <c r="FZF54" s="20"/>
      <c r="FZG54" s="13"/>
      <c r="FZH54" s="13"/>
      <c r="FZJ54" s="13"/>
      <c r="FZN54" s="13"/>
      <c r="FZO54" s="13"/>
      <c r="FZP54" s="15"/>
      <c r="FZQ54" s="16"/>
      <c r="FZR54" s="12"/>
      <c r="FZS54" s="12"/>
      <c r="FZT54" s="12"/>
      <c r="FZU54" s="12"/>
      <c r="FZV54" s="12"/>
      <c r="FZW54" s="12"/>
      <c r="FZX54" s="12"/>
      <c r="FZY54" s="18"/>
      <c r="GAC54" s="13"/>
      <c r="GAD54" s="14"/>
      <c r="GAE54" s="14"/>
      <c r="GAF54" s="20"/>
      <c r="GAG54" s="13"/>
      <c r="GAH54" s="13"/>
      <c r="GAJ54" s="13"/>
      <c r="GAN54" s="13"/>
      <c r="GAO54" s="13"/>
      <c r="GAP54" s="15"/>
      <c r="GAQ54" s="16"/>
      <c r="GAR54" s="12"/>
      <c r="GAS54" s="12"/>
      <c r="GAT54" s="12"/>
      <c r="GAU54" s="12"/>
      <c r="GAV54" s="12"/>
      <c r="GAW54" s="12"/>
      <c r="GAX54" s="12"/>
      <c r="GAY54" s="18"/>
      <c r="GBC54" s="13"/>
      <c r="GBD54" s="14"/>
      <c r="GBE54" s="14"/>
      <c r="GBF54" s="20"/>
      <c r="GBG54" s="13"/>
      <c r="GBH54" s="13"/>
      <c r="GBJ54" s="13"/>
      <c r="GBN54" s="13"/>
      <c r="GBO54" s="13"/>
      <c r="GBP54" s="15"/>
      <c r="GBQ54" s="16"/>
      <c r="GBR54" s="12"/>
      <c r="GBS54" s="12"/>
      <c r="GBT54" s="12"/>
      <c r="GBU54" s="12"/>
      <c r="GBV54" s="12"/>
      <c r="GBW54" s="12"/>
      <c r="GBX54" s="12"/>
      <c r="GBY54" s="18"/>
      <c r="GCC54" s="13"/>
      <c r="GCD54" s="14"/>
      <c r="GCE54" s="14"/>
      <c r="GCF54" s="20"/>
      <c r="GCG54" s="13"/>
      <c r="GCH54" s="13"/>
      <c r="GCJ54" s="13"/>
      <c r="GCN54" s="13"/>
      <c r="GCO54" s="13"/>
      <c r="GCP54" s="15"/>
      <c r="GCQ54" s="16"/>
      <c r="GCR54" s="12"/>
      <c r="GCS54" s="12"/>
      <c r="GCT54" s="12"/>
      <c r="GCU54" s="12"/>
      <c r="GCV54" s="12"/>
      <c r="GCW54" s="12"/>
      <c r="GCX54" s="12"/>
      <c r="GCY54" s="18"/>
      <c r="GDC54" s="13"/>
      <c r="GDD54" s="14"/>
      <c r="GDE54" s="14"/>
      <c r="GDF54" s="20"/>
      <c r="GDG54" s="13"/>
      <c r="GDH54" s="13"/>
      <c r="GDJ54" s="13"/>
      <c r="GDN54" s="13"/>
      <c r="GDO54" s="13"/>
      <c r="GDP54" s="15"/>
      <c r="GDQ54" s="16"/>
      <c r="GDR54" s="12"/>
      <c r="GDS54" s="12"/>
      <c r="GDT54" s="12"/>
      <c r="GDU54" s="12"/>
      <c r="GDV54" s="12"/>
      <c r="GDW54" s="12"/>
      <c r="GDX54" s="12"/>
      <c r="GDY54" s="18"/>
      <c r="GEC54" s="13"/>
      <c r="GED54" s="14"/>
      <c r="GEE54" s="14"/>
      <c r="GEF54" s="20"/>
      <c r="GEG54" s="13"/>
      <c r="GEH54" s="13"/>
      <c r="GEJ54" s="13"/>
      <c r="GEN54" s="13"/>
      <c r="GEO54" s="13"/>
      <c r="GEP54" s="15"/>
      <c r="GEQ54" s="16"/>
      <c r="GER54" s="12"/>
      <c r="GES54" s="12"/>
      <c r="GET54" s="12"/>
      <c r="GEU54" s="12"/>
      <c r="GEV54" s="12"/>
      <c r="GEW54" s="12"/>
      <c r="GEX54" s="12"/>
      <c r="GEY54" s="18"/>
      <c r="GFC54" s="13"/>
      <c r="GFD54" s="14"/>
      <c r="GFE54" s="14"/>
      <c r="GFF54" s="20"/>
      <c r="GFG54" s="13"/>
      <c r="GFH54" s="13"/>
      <c r="GFJ54" s="13"/>
      <c r="GFN54" s="13"/>
      <c r="GFO54" s="13"/>
      <c r="GFP54" s="15"/>
      <c r="GFQ54" s="16"/>
      <c r="GFR54" s="12"/>
      <c r="GFS54" s="12"/>
      <c r="GFT54" s="12"/>
      <c r="GFU54" s="12"/>
      <c r="GFV54" s="12"/>
      <c r="GFW54" s="12"/>
      <c r="GFX54" s="12"/>
      <c r="GFY54" s="18"/>
      <c r="GGC54" s="13"/>
      <c r="GGD54" s="14"/>
      <c r="GGE54" s="14"/>
      <c r="GGF54" s="20"/>
      <c r="GGG54" s="13"/>
      <c r="GGH54" s="13"/>
      <c r="GGJ54" s="13"/>
      <c r="GGN54" s="13"/>
      <c r="GGO54" s="13"/>
      <c r="GGP54" s="15"/>
      <c r="GGQ54" s="16"/>
      <c r="GGR54" s="12"/>
      <c r="GGS54" s="12"/>
      <c r="GGT54" s="12"/>
      <c r="GGU54" s="12"/>
      <c r="GGV54" s="12"/>
      <c r="GGW54" s="12"/>
      <c r="GGX54" s="12"/>
      <c r="GGY54" s="18"/>
      <c r="GHC54" s="13"/>
      <c r="GHD54" s="14"/>
      <c r="GHE54" s="14"/>
      <c r="GHF54" s="20"/>
      <c r="GHG54" s="13"/>
      <c r="GHH54" s="13"/>
      <c r="GHJ54" s="13"/>
      <c r="GHN54" s="13"/>
      <c r="GHO54" s="13"/>
      <c r="GHP54" s="15"/>
      <c r="GHQ54" s="16"/>
      <c r="GHR54" s="12"/>
      <c r="GHS54" s="12"/>
      <c r="GHT54" s="12"/>
      <c r="GHU54" s="12"/>
      <c r="GHV54" s="12"/>
      <c r="GHW54" s="12"/>
      <c r="GHX54" s="12"/>
      <c r="GHY54" s="18"/>
      <c r="GIC54" s="13"/>
      <c r="GID54" s="14"/>
      <c r="GIE54" s="14"/>
      <c r="GIF54" s="20"/>
      <c r="GIG54" s="13"/>
      <c r="GIH54" s="13"/>
      <c r="GIJ54" s="13"/>
      <c r="GIN54" s="13"/>
      <c r="GIO54" s="13"/>
      <c r="GIP54" s="15"/>
      <c r="GIQ54" s="16"/>
      <c r="GIR54" s="12"/>
      <c r="GIS54" s="12"/>
      <c r="GIT54" s="12"/>
      <c r="GIU54" s="12"/>
      <c r="GIV54" s="12"/>
      <c r="GIW54" s="12"/>
      <c r="GIX54" s="12"/>
      <c r="GIY54" s="18"/>
      <c r="GJC54" s="13"/>
      <c r="GJD54" s="14"/>
      <c r="GJE54" s="14"/>
      <c r="GJF54" s="20"/>
      <c r="GJG54" s="13"/>
      <c r="GJH54" s="13"/>
      <c r="GJJ54" s="13"/>
      <c r="GJN54" s="13"/>
      <c r="GJO54" s="13"/>
      <c r="GJP54" s="15"/>
      <c r="GJQ54" s="16"/>
      <c r="GJR54" s="12"/>
      <c r="GJS54" s="12"/>
      <c r="GJT54" s="12"/>
      <c r="GJU54" s="12"/>
      <c r="GJV54" s="12"/>
      <c r="GJW54" s="12"/>
      <c r="GJX54" s="12"/>
      <c r="GJY54" s="18"/>
      <c r="GKC54" s="13"/>
      <c r="GKD54" s="14"/>
      <c r="GKE54" s="14"/>
      <c r="GKF54" s="20"/>
      <c r="GKG54" s="13"/>
      <c r="GKH54" s="13"/>
      <c r="GKJ54" s="13"/>
      <c r="GKN54" s="13"/>
      <c r="GKO54" s="13"/>
      <c r="GKP54" s="15"/>
      <c r="GKQ54" s="16"/>
      <c r="GKR54" s="12"/>
      <c r="GKS54" s="12"/>
      <c r="GKT54" s="12"/>
      <c r="GKU54" s="12"/>
      <c r="GKV54" s="12"/>
      <c r="GKW54" s="12"/>
      <c r="GKX54" s="12"/>
      <c r="GKY54" s="18"/>
      <c r="GLC54" s="13"/>
      <c r="GLD54" s="14"/>
      <c r="GLE54" s="14"/>
      <c r="GLF54" s="20"/>
      <c r="GLG54" s="13"/>
      <c r="GLH54" s="13"/>
      <c r="GLJ54" s="13"/>
      <c r="GLN54" s="13"/>
      <c r="GLO54" s="13"/>
      <c r="GLP54" s="15"/>
      <c r="GLQ54" s="16"/>
      <c r="GLR54" s="12"/>
      <c r="GLS54" s="12"/>
      <c r="GLT54" s="12"/>
      <c r="GLU54" s="12"/>
      <c r="GLV54" s="12"/>
      <c r="GLW54" s="12"/>
      <c r="GLX54" s="12"/>
      <c r="GLY54" s="18"/>
      <c r="GMC54" s="13"/>
      <c r="GMD54" s="14"/>
      <c r="GME54" s="14"/>
      <c r="GMF54" s="20"/>
      <c r="GMG54" s="13"/>
      <c r="GMH54" s="13"/>
      <c r="GMJ54" s="13"/>
      <c r="GMN54" s="13"/>
      <c r="GMO54" s="13"/>
      <c r="GMP54" s="15"/>
      <c r="GMQ54" s="16"/>
      <c r="GMR54" s="12"/>
      <c r="GMS54" s="12"/>
      <c r="GMT54" s="12"/>
      <c r="GMU54" s="12"/>
      <c r="GMV54" s="12"/>
      <c r="GMW54" s="12"/>
      <c r="GMX54" s="12"/>
      <c r="GMY54" s="18"/>
      <c r="GNC54" s="13"/>
      <c r="GND54" s="14"/>
      <c r="GNE54" s="14"/>
      <c r="GNF54" s="20"/>
      <c r="GNG54" s="13"/>
      <c r="GNH54" s="13"/>
      <c r="GNJ54" s="13"/>
      <c r="GNN54" s="13"/>
      <c r="GNO54" s="13"/>
      <c r="GNP54" s="15"/>
      <c r="GNQ54" s="16"/>
      <c r="GNR54" s="12"/>
      <c r="GNS54" s="12"/>
      <c r="GNT54" s="12"/>
      <c r="GNU54" s="12"/>
      <c r="GNV54" s="12"/>
      <c r="GNW54" s="12"/>
      <c r="GNX54" s="12"/>
      <c r="GNY54" s="18"/>
      <c r="GOC54" s="13"/>
      <c r="GOD54" s="14"/>
      <c r="GOE54" s="14"/>
      <c r="GOF54" s="20"/>
      <c r="GOG54" s="13"/>
      <c r="GOH54" s="13"/>
      <c r="GOJ54" s="13"/>
      <c r="GON54" s="13"/>
      <c r="GOO54" s="13"/>
      <c r="GOP54" s="15"/>
      <c r="GOQ54" s="16"/>
      <c r="GOR54" s="12"/>
      <c r="GOS54" s="12"/>
      <c r="GOT54" s="12"/>
      <c r="GOU54" s="12"/>
      <c r="GOV54" s="12"/>
      <c r="GOW54" s="12"/>
      <c r="GOX54" s="12"/>
      <c r="GOY54" s="18"/>
      <c r="GPC54" s="13"/>
      <c r="GPD54" s="14"/>
      <c r="GPE54" s="14"/>
      <c r="GPF54" s="20"/>
      <c r="GPG54" s="13"/>
      <c r="GPH54" s="13"/>
      <c r="GPJ54" s="13"/>
      <c r="GPN54" s="13"/>
      <c r="GPO54" s="13"/>
      <c r="GPP54" s="15"/>
      <c r="GPQ54" s="16"/>
      <c r="GPR54" s="12"/>
      <c r="GPS54" s="12"/>
      <c r="GPT54" s="12"/>
      <c r="GPU54" s="12"/>
      <c r="GPV54" s="12"/>
      <c r="GPW54" s="12"/>
      <c r="GPX54" s="12"/>
      <c r="GPY54" s="18"/>
      <c r="GQC54" s="13"/>
      <c r="GQD54" s="14"/>
      <c r="GQE54" s="14"/>
      <c r="GQF54" s="20"/>
      <c r="GQG54" s="13"/>
      <c r="GQH54" s="13"/>
      <c r="GQJ54" s="13"/>
      <c r="GQN54" s="13"/>
      <c r="GQO54" s="13"/>
      <c r="GQP54" s="15"/>
      <c r="GQQ54" s="16"/>
      <c r="GQR54" s="12"/>
      <c r="GQS54" s="12"/>
      <c r="GQT54" s="12"/>
      <c r="GQU54" s="12"/>
      <c r="GQV54" s="12"/>
      <c r="GQW54" s="12"/>
      <c r="GQX54" s="12"/>
      <c r="GQY54" s="18"/>
      <c r="GRC54" s="13"/>
      <c r="GRD54" s="14"/>
      <c r="GRE54" s="14"/>
      <c r="GRF54" s="20"/>
      <c r="GRG54" s="13"/>
      <c r="GRH54" s="13"/>
      <c r="GRJ54" s="13"/>
      <c r="GRN54" s="13"/>
      <c r="GRO54" s="13"/>
      <c r="GRP54" s="15"/>
      <c r="GRQ54" s="16"/>
      <c r="GRR54" s="12"/>
      <c r="GRS54" s="12"/>
      <c r="GRT54" s="12"/>
      <c r="GRU54" s="12"/>
      <c r="GRV54" s="12"/>
      <c r="GRW54" s="12"/>
      <c r="GRX54" s="12"/>
      <c r="GRY54" s="18"/>
      <c r="GSC54" s="13"/>
      <c r="GSD54" s="14"/>
      <c r="GSE54" s="14"/>
      <c r="GSF54" s="20"/>
      <c r="GSG54" s="13"/>
      <c r="GSH54" s="13"/>
      <c r="GSJ54" s="13"/>
      <c r="GSN54" s="13"/>
      <c r="GSO54" s="13"/>
      <c r="GSP54" s="15"/>
      <c r="GSQ54" s="16"/>
      <c r="GSR54" s="12"/>
      <c r="GSS54" s="12"/>
      <c r="GST54" s="12"/>
      <c r="GSU54" s="12"/>
      <c r="GSV54" s="12"/>
      <c r="GSW54" s="12"/>
      <c r="GSX54" s="12"/>
      <c r="GSY54" s="18"/>
      <c r="GTC54" s="13"/>
      <c r="GTD54" s="14"/>
      <c r="GTE54" s="14"/>
      <c r="GTF54" s="20"/>
      <c r="GTG54" s="13"/>
      <c r="GTH54" s="13"/>
      <c r="GTJ54" s="13"/>
      <c r="GTN54" s="13"/>
      <c r="GTO54" s="13"/>
      <c r="GTP54" s="15"/>
      <c r="GTQ54" s="16"/>
      <c r="GTR54" s="12"/>
      <c r="GTS54" s="12"/>
      <c r="GTT54" s="12"/>
      <c r="GTU54" s="12"/>
      <c r="GTV54" s="12"/>
      <c r="GTW54" s="12"/>
      <c r="GTX54" s="12"/>
      <c r="GTY54" s="18"/>
      <c r="GUC54" s="13"/>
      <c r="GUD54" s="14"/>
      <c r="GUE54" s="14"/>
      <c r="GUF54" s="20"/>
      <c r="GUG54" s="13"/>
      <c r="GUH54" s="13"/>
      <c r="GUJ54" s="13"/>
      <c r="GUN54" s="13"/>
      <c r="GUO54" s="13"/>
      <c r="GUP54" s="15"/>
      <c r="GUQ54" s="16"/>
      <c r="GUR54" s="12"/>
      <c r="GUS54" s="12"/>
      <c r="GUT54" s="12"/>
      <c r="GUU54" s="12"/>
      <c r="GUV54" s="12"/>
      <c r="GUW54" s="12"/>
      <c r="GUX54" s="12"/>
      <c r="GUY54" s="18"/>
      <c r="GVC54" s="13"/>
      <c r="GVD54" s="14"/>
      <c r="GVE54" s="14"/>
      <c r="GVF54" s="20"/>
      <c r="GVG54" s="13"/>
      <c r="GVH54" s="13"/>
      <c r="GVJ54" s="13"/>
      <c r="GVN54" s="13"/>
      <c r="GVO54" s="13"/>
      <c r="GVP54" s="15"/>
      <c r="GVQ54" s="16"/>
      <c r="GVR54" s="12"/>
      <c r="GVS54" s="12"/>
      <c r="GVT54" s="12"/>
      <c r="GVU54" s="12"/>
      <c r="GVV54" s="12"/>
      <c r="GVW54" s="12"/>
      <c r="GVX54" s="12"/>
      <c r="GVY54" s="18"/>
      <c r="GWC54" s="13"/>
      <c r="GWD54" s="14"/>
      <c r="GWE54" s="14"/>
      <c r="GWF54" s="20"/>
      <c r="GWG54" s="13"/>
      <c r="GWH54" s="13"/>
      <c r="GWJ54" s="13"/>
      <c r="GWN54" s="13"/>
      <c r="GWO54" s="13"/>
      <c r="GWP54" s="15"/>
      <c r="GWQ54" s="16"/>
      <c r="GWR54" s="12"/>
      <c r="GWS54" s="12"/>
      <c r="GWT54" s="12"/>
      <c r="GWU54" s="12"/>
      <c r="GWV54" s="12"/>
      <c r="GWW54" s="12"/>
      <c r="GWX54" s="12"/>
      <c r="GWY54" s="18"/>
      <c r="GXC54" s="13"/>
      <c r="GXD54" s="14"/>
      <c r="GXE54" s="14"/>
      <c r="GXF54" s="20"/>
      <c r="GXG54" s="13"/>
      <c r="GXH54" s="13"/>
      <c r="GXJ54" s="13"/>
      <c r="GXN54" s="13"/>
      <c r="GXO54" s="13"/>
      <c r="GXP54" s="15"/>
      <c r="GXQ54" s="16"/>
      <c r="GXR54" s="12"/>
      <c r="GXS54" s="12"/>
      <c r="GXT54" s="12"/>
      <c r="GXU54" s="12"/>
      <c r="GXV54" s="12"/>
      <c r="GXW54" s="12"/>
      <c r="GXX54" s="12"/>
      <c r="GXY54" s="18"/>
      <c r="GYC54" s="13"/>
      <c r="GYD54" s="14"/>
      <c r="GYE54" s="14"/>
      <c r="GYF54" s="20"/>
      <c r="GYG54" s="13"/>
      <c r="GYH54" s="13"/>
      <c r="GYJ54" s="13"/>
      <c r="GYN54" s="13"/>
      <c r="GYO54" s="13"/>
      <c r="GYP54" s="15"/>
      <c r="GYQ54" s="16"/>
      <c r="GYR54" s="12"/>
      <c r="GYS54" s="12"/>
      <c r="GYT54" s="12"/>
      <c r="GYU54" s="12"/>
      <c r="GYV54" s="12"/>
      <c r="GYW54" s="12"/>
      <c r="GYX54" s="12"/>
      <c r="GYY54" s="18"/>
      <c r="GZC54" s="13"/>
      <c r="GZD54" s="14"/>
      <c r="GZE54" s="14"/>
      <c r="GZF54" s="20"/>
      <c r="GZG54" s="13"/>
      <c r="GZH54" s="13"/>
      <c r="GZJ54" s="13"/>
      <c r="GZN54" s="13"/>
      <c r="GZO54" s="13"/>
      <c r="GZP54" s="15"/>
      <c r="GZQ54" s="16"/>
      <c r="GZR54" s="12"/>
      <c r="GZS54" s="12"/>
      <c r="GZT54" s="12"/>
      <c r="GZU54" s="12"/>
      <c r="GZV54" s="12"/>
      <c r="GZW54" s="12"/>
      <c r="GZX54" s="12"/>
      <c r="GZY54" s="18"/>
      <c r="HAC54" s="13"/>
      <c r="HAD54" s="14"/>
      <c r="HAE54" s="14"/>
      <c r="HAF54" s="20"/>
      <c r="HAG54" s="13"/>
      <c r="HAH54" s="13"/>
      <c r="HAJ54" s="13"/>
      <c r="HAN54" s="13"/>
      <c r="HAO54" s="13"/>
      <c r="HAP54" s="15"/>
      <c r="HAQ54" s="16"/>
      <c r="HAR54" s="12"/>
      <c r="HAS54" s="12"/>
      <c r="HAT54" s="12"/>
      <c r="HAU54" s="12"/>
      <c r="HAV54" s="12"/>
      <c r="HAW54" s="12"/>
      <c r="HAX54" s="12"/>
      <c r="HAY54" s="18"/>
      <c r="HBC54" s="13"/>
      <c r="HBD54" s="14"/>
      <c r="HBE54" s="14"/>
      <c r="HBF54" s="20"/>
      <c r="HBG54" s="13"/>
      <c r="HBH54" s="13"/>
      <c r="HBJ54" s="13"/>
      <c r="HBN54" s="13"/>
      <c r="HBO54" s="13"/>
      <c r="HBP54" s="15"/>
      <c r="HBQ54" s="16"/>
      <c r="HBR54" s="12"/>
      <c r="HBS54" s="12"/>
      <c r="HBT54" s="12"/>
      <c r="HBU54" s="12"/>
      <c r="HBV54" s="12"/>
      <c r="HBW54" s="12"/>
      <c r="HBX54" s="12"/>
      <c r="HBY54" s="18"/>
      <c r="HCC54" s="13"/>
      <c r="HCD54" s="14"/>
      <c r="HCE54" s="14"/>
      <c r="HCF54" s="20"/>
      <c r="HCG54" s="13"/>
      <c r="HCH54" s="13"/>
      <c r="HCJ54" s="13"/>
      <c r="HCN54" s="13"/>
      <c r="HCO54" s="13"/>
      <c r="HCP54" s="15"/>
      <c r="HCQ54" s="16"/>
      <c r="HCR54" s="12"/>
      <c r="HCS54" s="12"/>
      <c r="HCT54" s="12"/>
      <c r="HCU54" s="12"/>
      <c r="HCV54" s="12"/>
      <c r="HCW54" s="12"/>
      <c r="HCX54" s="12"/>
      <c r="HCY54" s="18"/>
      <c r="HDC54" s="13"/>
      <c r="HDD54" s="14"/>
      <c r="HDE54" s="14"/>
      <c r="HDF54" s="20"/>
      <c r="HDG54" s="13"/>
      <c r="HDH54" s="13"/>
      <c r="HDJ54" s="13"/>
      <c r="HDN54" s="13"/>
      <c r="HDO54" s="13"/>
      <c r="HDP54" s="15"/>
      <c r="HDQ54" s="16"/>
      <c r="HDR54" s="12"/>
      <c r="HDS54" s="12"/>
      <c r="HDT54" s="12"/>
      <c r="HDU54" s="12"/>
      <c r="HDV54" s="12"/>
      <c r="HDW54" s="12"/>
      <c r="HDX54" s="12"/>
      <c r="HDY54" s="18"/>
      <c r="HEC54" s="13"/>
      <c r="HED54" s="14"/>
      <c r="HEE54" s="14"/>
      <c r="HEF54" s="20"/>
      <c r="HEG54" s="13"/>
      <c r="HEH54" s="13"/>
      <c r="HEJ54" s="13"/>
      <c r="HEN54" s="13"/>
      <c r="HEO54" s="13"/>
      <c r="HEP54" s="15"/>
      <c r="HEQ54" s="16"/>
      <c r="HER54" s="12"/>
      <c r="HES54" s="12"/>
      <c r="HET54" s="12"/>
      <c r="HEU54" s="12"/>
      <c r="HEV54" s="12"/>
      <c r="HEW54" s="12"/>
      <c r="HEX54" s="12"/>
      <c r="HEY54" s="18"/>
      <c r="HFC54" s="13"/>
      <c r="HFD54" s="14"/>
      <c r="HFE54" s="14"/>
      <c r="HFF54" s="20"/>
      <c r="HFG54" s="13"/>
      <c r="HFH54" s="13"/>
      <c r="HFJ54" s="13"/>
      <c r="HFN54" s="13"/>
      <c r="HFO54" s="13"/>
      <c r="HFP54" s="15"/>
      <c r="HFQ54" s="16"/>
      <c r="HFR54" s="12"/>
      <c r="HFS54" s="12"/>
      <c r="HFT54" s="12"/>
      <c r="HFU54" s="12"/>
      <c r="HFV54" s="12"/>
      <c r="HFW54" s="12"/>
      <c r="HFX54" s="12"/>
      <c r="HFY54" s="18"/>
      <c r="HGC54" s="13"/>
      <c r="HGD54" s="14"/>
      <c r="HGE54" s="14"/>
      <c r="HGF54" s="20"/>
      <c r="HGG54" s="13"/>
      <c r="HGH54" s="13"/>
      <c r="HGJ54" s="13"/>
      <c r="HGN54" s="13"/>
      <c r="HGO54" s="13"/>
      <c r="HGP54" s="15"/>
      <c r="HGQ54" s="16"/>
      <c r="HGR54" s="12"/>
      <c r="HGS54" s="12"/>
      <c r="HGT54" s="12"/>
      <c r="HGU54" s="12"/>
      <c r="HGV54" s="12"/>
      <c r="HGW54" s="12"/>
      <c r="HGX54" s="12"/>
      <c r="HGY54" s="18"/>
      <c r="HHC54" s="13"/>
      <c r="HHD54" s="14"/>
      <c r="HHE54" s="14"/>
      <c r="HHF54" s="20"/>
      <c r="HHG54" s="13"/>
      <c r="HHH54" s="13"/>
      <c r="HHJ54" s="13"/>
      <c r="HHN54" s="13"/>
      <c r="HHO54" s="13"/>
      <c r="HHP54" s="15"/>
      <c r="HHQ54" s="16"/>
      <c r="HHR54" s="12"/>
      <c r="HHS54" s="12"/>
      <c r="HHT54" s="12"/>
      <c r="HHU54" s="12"/>
      <c r="HHV54" s="12"/>
      <c r="HHW54" s="12"/>
      <c r="HHX54" s="12"/>
      <c r="HHY54" s="18"/>
      <c r="HIC54" s="13"/>
      <c r="HID54" s="14"/>
      <c r="HIE54" s="14"/>
      <c r="HIF54" s="20"/>
      <c r="HIG54" s="13"/>
      <c r="HIH54" s="13"/>
      <c r="HIJ54" s="13"/>
      <c r="HIN54" s="13"/>
      <c r="HIO54" s="13"/>
      <c r="HIP54" s="15"/>
      <c r="HIQ54" s="16"/>
      <c r="HIR54" s="12"/>
      <c r="HIS54" s="12"/>
      <c r="HIT54" s="12"/>
      <c r="HIU54" s="12"/>
      <c r="HIV54" s="12"/>
      <c r="HIW54" s="12"/>
      <c r="HIX54" s="12"/>
      <c r="HIY54" s="18"/>
      <c r="HJC54" s="13"/>
      <c r="HJD54" s="14"/>
      <c r="HJE54" s="14"/>
      <c r="HJF54" s="20"/>
      <c r="HJG54" s="13"/>
      <c r="HJH54" s="13"/>
      <c r="HJJ54" s="13"/>
      <c r="HJN54" s="13"/>
      <c r="HJO54" s="13"/>
      <c r="HJP54" s="15"/>
      <c r="HJQ54" s="16"/>
      <c r="HJR54" s="12"/>
      <c r="HJS54" s="12"/>
      <c r="HJT54" s="12"/>
      <c r="HJU54" s="12"/>
      <c r="HJV54" s="12"/>
      <c r="HJW54" s="12"/>
      <c r="HJX54" s="12"/>
      <c r="HJY54" s="18"/>
      <c r="HKC54" s="13"/>
      <c r="HKD54" s="14"/>
      <c r="HKE54" s="14"/>
      <c r="HKF54" s="20"/>
      <c r="HKG54" s="13"/>
      <c r="HKH54" s="13"/>
      <c r="HKJ54" s="13"/>
      <c r="HKN54" s="13"/>
      <c r="HKO54" s="13"/>
      <c r="HKP54" s="15"/>
      <c r="HKQ54" s="16"/>
      <c r="HKR54" s="12"/>
      <c r="HKS54" s="12"/>
      <c r="HKT54" s="12"/>
      <c r="HKU54" s="12"/>
      <c r="HKV54" s="12"/>
      <c r="HKW54" s="12"/>
      <c r="HKX54" s="12"/>
      <c r="HKY54" s="18"/>
      <c r="HLC54" s="13"/>
      <c r="HLD54" s="14"/>
      <c r="HLE54" s="14"/>
      <c r="HLF54" s="20"/>
      <c r="HLG54" s="13"/>
      <c r="HLH54" s="13"/>
      <c r="HLJ54" s="13"/>
      <c r="HLN54" s="13"/>
      <c r="HLO54" s="13"/>
      <c r="HLP54" s="15"/>
      <c r="HLQ54" s="16"/>
      <c r="HLR54" s="12"/>
      <c r="HLS54" s="12"/>
      <c r="HLT54" s="12"/>
      <c r="HLU54" s="12"/>
      <c r="HLV54" s="12"/>
      <c r="HLW54" s="12"/>
      <c r="HLX54" s="12"/>
      <c r="HLY54" s="18"/>
      <c r="HMC54" s="13"/>
      <c r="HMD54" s="14"/>
      <c r="HME54" s="14"/>
      <c r="HMF54" s="20"/>
      <c r="HMG54" s="13"/>
      <c r="HMH54" s="13"/>
      <c r="HMJ54" s="13"/>
      <c r="HMN54" s="13"/>
      <c r="HMO54" s="13"/>
      <c r="HMP54" s="15"/>
      <c r="HMQ54" s="16"/>
      <c r="HMR54" s="12"/>
      <c r="HMS54" s="12"/>
      <c r="HMT54" s="12"/>
      <c r="HMU54" s="12"/>
      <c r="HMV54" s="12"/>
      <c r="HMW54" s="12"/>
      <c r="HMX54" s="12"/>
      <c r="HMY54" s="18"/>
      <c r="HNC54" s="13"/>
      <c r="HND54" s="14"/>
      <c r="HNE54" s="14"/>
      <c r="HNF54" s="20"/>
      <c r="HNG54" s="13"/>
      <c r="HNH54" s="13"/>
      <c r="HNJ54" s="13"/>
      <c r="HNN54" s="13"/>
      <c r="HNO54" s="13"/>
      <c r="HNP54" s="15"/>
      <c r="HNQ54" s="16"/>
      <c r="HNR54" s="12"/>
      <c r="HNS54" s="12"/>
      <c r="HNT54" s="12"/>
      <c r="HNU54" s="12"/>
      <c r="HNV54" s="12"/>
      <c r="HNW54" s="12"/>
      <c r="HNX54" s="12"/>
      <c r="HNY54" s="18"/>
      <c r="HOC54" s="13"/>
      <c r="HOD54" s="14"/>
      <c r="HOE54" s="14"/>
      <c r="HOF54" s="20"/>
      <c r="HOG54" s="13"/>
      <c r="HOH54" s="13"/>
      <c r="HOJ54" s="13"/>
      <c r="HON54" s="13"/>
      <c r="HOO54" s="13"/>
      <c r="HOP54" s="15"/>
      <c r="HOQ54" s="16"/>
      <c r="HOR54" s="12"/>
      <c r="HOS54" s="12"/>
      <c r="HOT54" s="12"/>
      <c r="HOU54" s="12"/>
      <c r="HOV54" s="12"/>
      <c r="HOW54" s="12"/>
      <c r="HOX54" s="12"/>
      <c r="HOY54" s="18"/>
      <c r="HPC54" s="13"/>
      <c r="HPD54" s="14"/>
      <c r="HPE54" s="14"/>
      <c r="HPF54" s="20"/>
      <c r="HPG54" s="13"/>
      <c r="HPH54" s="13"/>
      <c r="HPJ54" s="13"/>
      <c r="HPN54" s="13"/>
      <c r="HPO54" s="13"/>
      <c r="HPP54" s="15"/>
      <c r="HPQ54" s="16"/>
      <c r="HPR54" s="12"/>
      <c r="HPS54" s="12"/>
      <c r="HPT54" s="12"/>
      <c r="HPU54" s="12"/>
      <c r="HPV54" s="12"/>
      <c r="HPW54" s="12"/>
      <c r="HPX54" s="12"/>
      <c r="HPY54" s="18"/>
      <c r="HQC54" s="13"/>
      <c r="HQD54" s="14"/>
      <c r="HQE54" s="14"/>
      <c r="HQF54" s="20"/>
      <c r="HQG54" s="13"/>
      <c r="HQH54" s="13"/>
      <c r="HQJ54" s="13"/>
      <c r="HQN54" s="13"/>
      <c r="HQO54" s="13"/>
      <c r="HQP54" s="15"/>
      <c r="HQQ54" s="16"/>
      <c r="HQR54" s="12"/>
      <c r="HQS54" s="12"/>
      <c r="HQT54" s="12"/>
      <c r="HQU54" s="12"/>
      <c r="HQV54" s="12"/>
      <c r="HQW54" s="12"/>
      <c r="HQX54" s="12"/>
      <c r="HQY54" s="18"/>
      <c r="HRC54" s="13"/>
      <c r="HRD54" s="14"/>
      <c r="HRE54" s="14"/>
      <c r="HRF54" s="20"/>
      <c r="HRG54" s="13"/>
      <c r="HRH54" s="13"/>
      <c r="HRJ54" s="13"/>
      <c r="HRN54" s="13"/>
      <c r="HRO54" s="13"/>
      <c r="HRP54" s="15"/>
      <c r="HRQ54" s="16"/>
      <c r="HRR54" s="12"/>
      <c r="HRS54" s="12"/>
      <c r="HRT54" s="12"/>
      <c r="HRU54" s="12"/>
      <c r="HRV54" s="12"/>
      <c r="HRW54" s="12"/>
      <c r="HRX54" s="12"/>
      <c r="HRY54" s="18"/>
      <c r="HSC54" s="13"/>
      <c r="HSD54" s="14"/>
      <c r="HSE54" s="14"/>
      <c r="HSF54" s="20"/>
      <c r="HSG54" s="13"/>
      <c r="HSH54" s="13"/>
      <c r="HSJ54" s="13"/>
      <c r="HSN54" s="13"/>
      <c r="HSO54" s="13"/>
      <c r="HSP54" s="15"/>
      <c r="HSQ54" s="16"/>
      <c r="HSR54" s="12"/>
      <c r="HSS54" s="12"/>
      <c r="HST54" s="12"/>
      <c r="HSU54" s="12"/>
      <c r="HSV54" s="12"/>
      <c r="HSW54" s="12"/>
      <c r="HSX54" s="12"/>
      <c r="HSY54" s="18"/>
      <c r="HTC54" s="13"/>
      <c r="HTD54" s="14"/>
      <c r="HTE54" s="14"/>
      <c r="HTF54" s="20"/>
      <c r="HTG54" s="13"/>
      <c r="HTH54" s="13"/>
      <c r="HTJ54" s="13"/>
      <c r="HTN54" s="13"/>
      <c r="HTO54" s="13"/>
      <c r="HTP54" s="15"/>
      <c r="HTQ54" s="16"/>
      <c r="HTR54" s="12"/>
      <c r="HTS54" s="12"/>
      <c r="HTT54" s="12"/>
      <c r="HTU54" s="12"/>
      <c r="HTV54" s="12"/>
      <c r="HTW54" s="12"/>
      <c r="HTX54" s="12"/>
      <c r="HTY54" s="18"/>
      <c r="HUC54" s="13"/>
      <c r="HUD54" s="14"/>
      <c r="HUE54" s="14"/>
      <c r="HUF54" s="20"/>
      <c r="HUG54" s="13"/>
      <c r="HUH54" s="13"/>
      <c r="HUJ54" s="13"/>
      <c r="HUN54" s="13"/>
      <c r="HUO54" s="13"/>
      <c r="HUP54" s="15"/>
      <c r="HUQ54" s="16"/>
      <c r="HUR54" s="12"/>
      <c r="HUS54" s="12"/>
      <c r="HUT54" s="12"/>
      <c r="HUU54" s="12"/>
      <c r="HUV54" s="12"/>
      <c r="HUW54" s="12"/>
      <c r="HUX54" s="12"/>
      <c r="HUY54" s="18"/>
      <c r="HVC54" s="13"/>
      <c r="HVD54" s="14"/>
      <c r="HVE54" s="14"/>
      <c r="HVF54" s="20"/>
      <c r="HVG54" s="13"/>
      <c r="HVH54" s="13"/>
      <c r="HVJ54" s="13"/>
      <c r="HVN54" s="13"/>
      <c r="HVO54" s="13"/>
      <c r="HVP54" s="15"/>
      <c r="HVQ54" s="16"/>
      <c r="HVR54" s="12"/>
      <c r="HVS54" s="12"/>
      <c r="HVT54" s="12"/>
      <c r="HVU54" s="12"/>
      <c r="HVV54" s="12"/>
      <c r="HVW54" s="12"/>
      <c r="HVX54" s="12"/>
      <c r="HVY54" s="18"/>
      <c r="HWC54" s="13"/>
      <c r="HWD54" s="14"/>
      <c r="HWE54" s="14"/>
      <c r="HWF54" s="20"/>
      <c r="HWG54" s="13"/>
      <c r="HWH54" s="13"/>
      <c r="HWJ54" s="13"/>
      <c r="HWN54" s="13"/>
      <c r="HWO54" s="13"/>
      <c r="HWP54" s="15"/>
      <c r="HWQ54" s="16"/>
      <c r="HWR54" s="12"/>
      <c r="HWS54" s="12"/>
      <c r="HWT54" s="12"/>
      <c r="HWU54" s="12"/>
      <c r="HWV54" s="12"/>
      <c r="HWW54" s="12"/>
      <c r="HWX54" s="12"/>
      <c r="HWY54" s="18"/>
      <c r="HXC54" s="13"/>
      <c r="HXD54" s="14"/>
      <c r="HXE54" s="14"/>
      <c r="HXF54" s="20"/>
      <c r="HXG54" s="13"/>
      <c r="HXH54" s="13"/>
      <c r="HXJ54" s="13"/>
      <c r="HXN54" s="13"/>
      <c r="HXO54" s="13"/>
      <c r="HXP54" s="15"/>
      <c r="HXQ54" s="16"/>
      <c r="HXR54" s="12"/>
      <c r="HXS54" s="12"/>
      <c r="HXT54" s="12"/>
      <c r="HXU54" s="12"/>
      <c r="HXV54" s="12"/>
      <c r="HXW54" s="12"/>
      <c r="HXX54" s="12"/>
      <c r="HXY54" s="18"/>
      <c r="HYC54" s="13"/>
      <c r="HYD54" s="14"/>
      <c r="HYE54" s="14"/>
      <c r="HYF54" s="20"/>
      <c r="HYG54" s="13"/>
      <c r="HYH54" s="13"/>
      <c r="HYJ54" s="13"/>
      <c r="HYN54" s="13"/>
      <c r="HYO54" s="13"/>
      <c r="HYP54" s="15"/>
      <c r="HYQ54" s="16"/>
      <c r="HYR54" s="12"/>
      <c r="HYS54" s="12"/>
      <c r="HYT54" s="12"/>
      <c r="HYU54" s="12"/>
      <c r="HYV54" s="12"/>
      <c r="HYW54" s="12"/>
      <c r="HYX54" s="12"/>
      <c r="HYY54" s="18"/>
      <c r="HZC54" s="13"/>
      <c r="HZD54" s="14"/>
      <c r="HZE54" s="14"/>
      <c r="HZF54" s="20"/>
      <c r="HZG54" s="13"/>
      <c r="HZH54" s="13"/>
      <c r="HZJ54" s="13"/>
      <c r="HZN54" s="13"/>
      <c r="HZO54" s="13"/>
      <c r="HZP54" s="15"/>
      <c r="HZQ54" s="16"/>
      <c r="HZR54" s="12"/>
      <c r="HZS54" s="12"/>
      <c r="HZT54" s="12"/>
      <c r="HZU54" s="12"/>
      <c r="HZV54" s="12"/>
      <c r="HZW54" s="12"/>
      <c r="HZX54" s="12"/>
      <c r="HZY54" s="18"/>
      <c r="IAC54" s="13"/>
      <c r="IAD54" s="14"/>
      <c r="IAE54" s="14"/>
      <c r="IAF54" s="20"/>
      <c r="IAG54" s="13"/>
      <c r="IAH54" s="13"/>
      <c r="IAJ54" s="13"/>
      <c r="IAN54" s="13"/>
      <c r="IAO54" s="13"/>
      <c r="IAP54" s="15"/>
      <c r="IAQ54" s="16"/>
      <c r="IAR54" s="12"/>
      <c r="IAS54" s="12"/>
      <c r="IAT54" s="12"/>
      <c r="IAU54" s="12"/>
      <c r="IAV54" s="12"/>
      <c r="IAW54" s="12"/>
      <c r="IAX54" s="12"/>
      <c r="IAY54" s="18"/>
      <c r="IBC54" s="13"/>
      <c r="IBD54" s="14"/>
      <c r="IBE54" s="14"/>
      <c r="IBF54" s="20"/>
      <c r="IBG54" s="13"/>
      <c r="IBH54" s="13"/>
      <c r="IBJ54" s="13"/>
      <c r="IBN54" s="13"/>
      <c r="IBO54" s="13"/>
      <c r="IBP54" s="15"/>
      <c r="IBQ54" s="16"/>
      <c r="IBR54" s="12"/>
      <c r="IBS54" s="12"/>
      <c r="IBT54" s="12"/>
      <c r="IBU54" s="12"/>
      <c r="IBV54" s="12"/>
      <c r="IBW54" s="12"/>
      <c r="IBX54" s="12"/>
      <c r="IBY54" s="18"/>
      <c r="ICC54" s="13"/>
      <c r="ICD54" s="14"/>
      <c r="ICE54" s="14"/>
      <c r="ICF54" s="20"/>
      <c r="ICG54" s="13"/>
      <c r="ICH54" s="13"/>
      <c r="ICJ54" s="13"/>
      <c r="ICN54" s="13"/>
      <c r="ICO54" s="13"/>
      <c r="ICP54" s="15"/>
      <c r="ICQ54" s="16"/>
      <c r="ICR54" s="12"/>
      <c r="ICS54" s="12"/>
      <c r="ICT54" s="12"/>
      <c r="ICU54" s="12"/>
      <c r="ICV54" s="12"/>
      <c r="ICW54" s="12"/>
      <c r="ICX54" s="12"/>
      <c r="ICY54" s="18"/>
      <c r="IDC54" s="13"/>
      <c r="IDD54" s="14"/>
      <c r="IDE54" s="14"/>
      <c r="IDF54" s="20"/>
      <c r="IDG54" s="13"/>
      <c r="IDH54" s="13"/>
      <c r="IDJ54" s="13"/>
      <c r="IDN54" s="13"/>
      <c r="IDO54" s="13"/>
      <c r="IDP54" s="15"/>
      <c r="IDQ54" s="16"/>
      <c r="IDR54" s="12"/>
      <c r="IDS54" s="12"/>
      <c r="IDT54" s="12"/>
      <c r="IDU54" s="12"/>
      <c r="IDV54" s="12"/>
      <c r="IDW54" s="12"/>
      <c r="IDX54" s="12"/>
      <c r="IDY54" s="18"/>
      <c r="IEC54" s="13"/>
      <c r="IED54" s="14"/>
      <c r="IEE54" s="14"/>
      <c r="IEF54" s="20"/>
      <c r="IEG54" s="13"/>
      <c r="IEH54" s="13"/>
      <c r="IEJ54" s="13"/>
      <c r="IEN54" s="13"/>
      <c r="IEO54" s="13"/>
      <c r="IEP54" s="15"/>
      <c r="IEQ54" s="16"/>
      <c r="IER54" s="12"/>
      <c r="IES54" s="12"/>
      <c r="IET54" s="12"/>
      <c r="IEU54" s="12"/>
      <c r="IEV54" s="12"/>
      <c r="IEW54" s="12"/>
      <c r="IEX54" s="12"/>
      <c r="IEY54" s="18"/>
      <c r="IFC54" s="13"/>
      <c r="IFD54" s="14"/>
      <c r="IFE54" s="14"/>
      <c r="IFF54" s="20"/>
      <c r="IFG54" s="13"/>
      <c r="IFH54" s="13"/>
      <c r="IFJ54" s="13"/>
      <c r="IFN54" s="13"/>
      <c r="IFO54" s="13"/>
      <c r="IFP54" s="15"/>
      <c r="IFQ54" s="16"/>
      <c r="IFR54" s="12"/>
      <c r="IFS54" s="12"/>
      <c r="IFT54" s="12"/>
      <c r="IFU54" s="12"/>
      <c r="IFV54" s="12"/>
      <c r="IFW54" s="12"/>
      <c r="IFX54" s="12"/>
      <c r="IFY54" s="18"/>
      <c r="IGC54" s="13"/>
      <c r="IGD54" s="14"/>
      <c r="IGE54" s="14"/>
      <c r="IGF54" s="20"/>
      <c r="IGG54" s="13"/>
      <c r="IGH54" s="13"/>
      <c r="IGJ54" s="13"/>
      <c r="IGN54" s="13"/>
      <c r="IGO54" s="13"/>
      <c r="IGP54" s="15"/>
      <c r="IGQ54" s="16"/>
      <c r="IGR54" s="12"/>
      <c r="IGS54" s="12"/>
      <c r="IGT54" s="12"/>
      <c r="IGU54" s="12"/>
      <c r="IGV54" s="12"/>
      <c r="IGW54" s="12"/>
      <c r="IGX54" s="12"/>
      <c r="IGY54" s="18"/>
      <c r="IHC54" s="13"/>
      <c r="IHD54" s="14"/>
      <c r="IHE54" s="14"/>
      <c r="IHF54" s="20"/>
      <c r="IHG54" s="13"/>
      <c r="IHH54" s="13"/>
      <c r="IHJ54" s="13"/>
      <c r="IHN54" s="13"/>
      <c r="IHO54" s="13"/>
      <c r="IHP54" s="15"/>
      <c r="IHQ54" s="16"/>
      <c r="IHR54" s="12"/>
      <c r="IHS54" s="12"/>
      <c r="IHT54" s="12"/>
      <c r="IHU54" s="12"/>
      <c r="IHV54" s="12"/>
      <c r="IHW54" s="12"/>
      <c r="IHX54" s="12"/>
      <c r="IHY54" s="18"/>
      <c r="IIC54" s="13"/>
      <c r="IID54" s="14"/>
      <c r="IIE54" s="14"/>
      <c r="IIF54" s="20"/>
      <c r="IIG54" s="13"/>
      <c r="IIH54" s="13"/>
      <c r="IIJ54" s="13"/>
      <c r="IIN54" s="13"/>
      <c r="IIO54" s="13"/>
      <c r="IIP54" s="15"/>
      <c r="IIQ54" s="16"/>
      <c r="IIR54" s="12"/>
      <c r="IIS54" s="12"/>
      <c r="IIT54" s="12"/>
      <c r="IIU54" s="12"/>
      <c r="IIV54" s="12"/>
      <c r="IIW54" s="12"/>
      <c r="IIX54" s="12"/>
      <c r="IIY54" s="18"/>
      <c r="IJC54" s="13"/>
      <c r="IJD54" s="14"/>
      <c r="IJE54" s="14"/>
      <c r="IJF54" s="20"/>
      <c r="IJG54" s="13"/>
      <c r="IJH54" s="13"/>
      <c r="IJJ54" s="13"/>
      <c r="IJN54" s="13"/>
      <c r="IJO54" s="13"/>
      <c r="IJP54" s="15"/>
      <c r="IJQ54" s="16"/>
      <c r="IJR54" s="12"/>
      <c r="IJS54" s="12"/>
      <c r="IJT54" s="12"/>
      <c r="IJU54" s="12"/>
      <c r="IJV54" s="12"/>
      <c r="IJW54" s="12"/>
      <c r="IJX54" s="12"/>
      <c r="IJY54" s="18"/>
      <c r="IKC54" s="13"/>
      <c r="IKD54" s="14"/>
      <c r="IKE54" s="14"/>
      <c r="IKF54" s="20"/>
      <c r="IKG54" s="13"/>
      <c r="IKH54" s="13"/>
      <c r="IKJ54" s="13"/>
      <c r="IKN54" s="13"/>
      <c r="IKO54" s="13"/>
      <c r="IKP54" s="15"/>
      <c r="IKQ54" s="16"/>
      <c r="IKR54" s="12"/>
      <c r="IKS54" s="12"/>
      <c r="IKT54" s="12"/>
      <c r="IKU54" s="12"/>
      <c r="IKV54" s="12"/>
      <c r="IKW54" s="12"/>
      <c r="IKX54" s="12"/>
      <c r="IKY54" s="18"/>
      <c r="ILC54" s="13"/>
      <c r="ILD54" s="14"/>
      <c r="ILE54" s="14"/>
      <c r="ILF54" s="20"/>
      <c r="ILG54" s="13"/>
      <c r="ILH54" s="13"/>
      <c r="ILJ54" s="13"/>
      <c r="ILN54" s="13"/>
      <c r="ILO54" s="13"/>
      <c r="ILP54" s="15"/>
      <c r="ILQ54" s="16"/>
      <c r="ILR54" s="12"/>
      <c r="ILS54" s="12"/>
      <c r="ILT54" s="12"/>
      <c r="ILU54" s="12"/>
      <c r="ILV54" s="12"/>
      <c r="ILW54" s="12"/>
      <c r="ILX54" s="12"/>
      <c r="ILY54" s="18"/>
      <c r="IMC54" s="13"/>
      <c r="IMD54" s="14"/>
      <c r="IME54" s="14"/>
      <c r="IMF54" s="20"/>
      <c r="IMG54" s="13"/>
      <c r="IMH54" s="13"/>
      <c r="IMJ54" s="13"/>
      <c r="IMN54" s="13"/>
      <c r="IMO54" s="13"/>
      <c r="IMP54" s="15"/>
      <c r="IMQ54" s="16"/>
      <c r="IMR54" s="12"/>
      <c r="IMS54" s="12"/>
      <c r="IMT54" s="12"/>
      <c r="IMU54" s="12"/>
      <c r="IMV54" s="12"/>
      <c r="IMW54" s="12"/>
      <c r="IMX54" s="12"/>
      <c r="IMY54" s="18"/>
      <c r="INC54" s="13"/>
      <c r="IND54" s="14"/>
      <c r="INE54" s="14"/>
      <c r="INF54" s="20"/>
      <c r="ING54" s="13"/>
      <c r="INH54" s="13"/>
      <c r="INJ54" s="13"/>
      <c r="INN54" s="13"/>
      <c r="INO54" s="13"/>
      <c r="INP54" s="15"/>
      <c r="INQ54" s="16"/>
      <c r="INR54" s="12"/>
      <c r="INS54" s="12"/>
      <c r="INT54" s="12"/>
      <c r="INU54" s="12"/>
      <c r="INV54" s="12"/>
      <c r="INW54" s="12"/>
      <c r="INX54" s="12"/>
      <c r="INY54" s="18"/>
      <c r="IOC54" s="13"/>
      <c r="IOD54" s="14"/>
      <c r="IOE54" s="14"/>
      <c r="IOF54" s="20"/>
      <c r="IOG54" s="13"/>
      <c r="IOH54" s="13"/>
      <c r="IOJ54" s="13"/>
      <c r="ION54" s="13"/>
      <c r="IOO54" s="13"/>
      <c r="IOP54" s="15"/>
      <c r="IOQ54" s="16"/>
      <c r="IOR54" s="12"/>
      <c r="IOS54" s="12"/>
      <c r="IOT54" s="12"/>
      <c r="IOU54" s="12"/>
      <c r="IOV54" s="12"/>
      <c r="IOW54" s="12"/>
      <c r="IOX54" s="12"/>
      <c r="IOY54" s="18"/>
      <c r="IPC54" s="13"/>
      <c r="IPD54" s="14"/>
      <c r="IPE54" s="14"/>
      <c r="IPF54" s="20"/>
      <c r="IPG54" s="13"/>
      <c r="IPH54" s="13"/>
      <c r="IPJ54" s="13"/>
      <c r="IPN54" s="13"/>
      <c r="IPO54" s="13"/>
      <c r="IPP54" s="15"/>
      <c r="IPQ54" s="16"/>
      <c r="IPR54" s="12"/>
      <c r="IPS54" s="12"/>
      <c r="IPT54" s="12"/>
      <c r="IPU54" s="12"/>
      <c r="IPV54" s="12"/>
      <c r="IPW54" s="12"/>
      <c r="IPX54" s="12"/>
      <c r="IPY54" s="18"/>
      <c r="IQC54" s="13"/>
      <c r="IQD54" s="14"/>
      <c r="IQE54" s="14"/>
      <c r="IQF54" s="20"/>
      <c r="IQG54" s="13"/>
      <c r="IQH54" s="13"/>
      <c r="IQJ54" s="13"/>
      <c r="IQN54" s="13"/>
      <c r="IQO54" s="13"/>
      <c r="IQP54" s="15"/>
      <c r="IQQ54" s="16"/>
      <c r="IQR54" s="12"/>
      <c r="IQS54" s="12"/>
      <c r="IQT54" s="12"/>
      <c r="IQU54" s="12"/>
      <c r="IQV54" s="12"/>
      <c r="IQW54" s="12"/>
      <c r="IQX54" s="12"/>
      <c r="IQY54" s="18"/>
      <c r="IRC54" s="13"/>
      <c r="IRD54" s="14"/>
      <c r="IRE54" s="14"/>
      <c r="IRF54" s="20"/>
      <c r="IRG54" s="13"/>
      <c r="IRH54" s="13"/>
      <c r="IRJ54" s="13"/>
      <c r="IRN54" s="13"/>
      <c r="IRO54" s="13"/>
      <c r="IRP54" s="15"/>
      <c r="IRQ54" s="16"/>
      <c r="IRR54" s="12"/>
      <c r="IRS54" s="12"/>
      <c r="IRT54" s="12"/>
      <c r="IRU54" s="12"/>
      <c r="IRV54" s="12"/>
      <c r="IRW54" s="12"/>
      <c r="IRX54" s="12"/>
      <c r="IRY54" s="18"/>
      <c r="ISC54" s="13"/>
      <c r="ISD54" s="14"/>
      <c r="ISE54" s="14"/>
      <c r="ISF54" s="20"/>
      <c r="ISG54" s="13"/>
      <c r="ISH54" s="13"/>
      <c r="ISJ54" s="13"/>
      <c r="ISN54" s="13"/>
      <c r="ISO54" s="13"/>
      <c r="ISP54" s="15"/>
      <c r="ISQ54" s="16"/>
      <c r="ISR54" s="12"/>
      <c r="ISS54" s="12"/>
      <c r="IST54" s="12"/>
      <c r="ISU54" s="12"/>
      <c r="ISV54" s="12"/>
      <c r="ISW54" s="12"/>
      <c r="ISX54" s="12"/>
      <c r="ISY54" s="18"/>
      <c r="ITC54" s="13"/>
      <c r="ITD54" s="14"/>
      <c r="ITE54" s="14"/>
      <c r="ITF54" s="20"/>
      <c r="ITG54" s="13"/>
      <c r="ITH54" s="13"/>
      <c r="ITJ54" s="13"/>
      <c r="ITN54" s="13"/>
      <c r="ITO54" s="13"/>
      <c r="ITP54" s="15"/>
      <c r="ITQ54" s="16"/>
      <c r="ITR54" s="12"/>
      <c r="ITS54" s="12"/>
      <c r="ITT54" s="12"/>
      <c r="ITU54" s="12"/>
      <c r="ITV54" s="12"/>
      <c r="ITW54" s="12"/>
      <c r="ITX54" s="12"/>
      <c r="ITY54" s="18"/>
      <c r="IUC54" s="13"/>
      <c r="IUD54" s="14"/>
      <c r="IUE54" s="14"/>
      <c r="IUF54" s="20"/>
      <c r="IUG54" s="13"/>
      <c r="IUH54" s="13"/>
      <c r="IUJ54" s="13"/>
      <c r="IUN54" s="13"/>
      <c r="IUO54" s="13"/>
      <c r="IUP54" s="15"/>
      <c r="IUQ54" s="16"/>
      <c r="IUR54" s="12"/>
      <c r="IUS54" s="12"/>
      <c r="IUT54" s="12"/>
      <c r="IUU54" s="12"/>
      <c r="IUV54" s="12"/>
      <c r="IUW54" s="12"/>
      <c r="IUX54" s="12"/>
      <c r="IUY54" s="18"/>
      <c r="IVC54" s="13"/>
      <c r="IVD54" s="14"/>
      <c r="IVE54" s="14"/>
      <c r="IVF54" s="20"/>
      <c r="IVG54" s="13"/>
      <c r="IVH54" s="13"/>
      <c r="IVJ54" s="13"/>
      <c r="IVN54" s="13"/>
      <c r="IVO54" s="13"/>
      <c r="IVP54" s="15"/>
      <c r="IVQ54" s="16"/>
      <c r="IVR54" s="12"/>
      <c r="IVS54" s="12"/>
      <c r="IVT54" s="12"/>
      <c r="IVU54" s="12"/>
      <c r="IVV54" s="12"/>
      <c r="IVW54" s="12"/>
      <c r="IVX54" s="12"/>
      <c r="IVY54" s="18"/>
      <c r="IWC54" s="13"/>
      <c r="IWD54" s="14"/>
      <c r="IWE54" s="14"/>
      <c r="IWF54" s="20"/>
      <c r="IWG54" s="13"/>
      <c r="IWH54" s="13"/>
      <c r="IWJ54" s="13"/>
      <c r="IWN54" s="13"/>
      <c r="IWO54" s="13"/>
      <c r="IWP54" s="15"/>
      <c r="IWQ54" s="16"/>
      <c r="IWR54" s="12"/>
      <c r="IWS54" s="12"/>
      <c r="IWT54" s="12"/>
      <c r="IWU54" s="12"/>
      <c r="IWV54" s="12"/>
      <c r="IWW54" s="12"/>
      <c r="IWX54" s="12"/>
      <c r="IWY54" s="18"/>
      <c r="IXC54" s="13"/>
      <c r="IXD54" s="14"/>
      <c r="IXE54" s="14"/>
      <c r="IXF54" s="20"/>
      <c r="IXG54" s="13"/>
      <c r="IXH54" s="13"/>
      <c r="IXJ54" s="13"/>
      <c r="IXN54" s="13"/>
      <c r="IXO54" s="13"/>
      <c r="IXP54" s="15"/>
      <c r="IXQ54" s="16"/>
      <c r="IXR54" s="12"/>
      <c r="IXS54" s="12"/>
      <c r="IXT54" s="12"/>
      <c r="IXU54" s="12"/>
      <c r="IXV54" s="12"/>
      <c r="IXW54" s="12"/>
      <c r="IXX54" s="12"/>
      <c r="IXY54" s="18"/>
      <c r="IYC54" s="13"/>
      <c r="IYD54" s="14"/>
      <c r="IYE54" s="14"/>
      <c r="IYF54" s="20"/>
      <c r="IYG54" s="13"/>
      <c r="IYH54" s="13"/>
      <c r="IYJ54" s="13"/>
      <c r="IYN54" s="13"/>
      <c r="IYO54" s="13"/>
      <c r="IYP54" s="15"/>
      <c r="IYQ54" s="16"/>
      <c r="IYR54" s="12"/>
      <c r="IYS54" s="12"/>
      <c r="IYT54" s="12"/>
      <c r="IYU54" s="12"/>
      <c r="IYV54" s="12"/>
      <c r="IYW54" s="12"/>
      <c r="IYX54" s="12"/>
      <c r="IYY54" s="18"/>
      <c r="IZC54" s="13"/>
      <c r="IZD54" s="14"/>
      <c r="IZE54" s="14"/>
      <c r="IZF54" s="20"/>
      <c r="IZG54" s="13"/>
      <c r="IZH54" s="13"/>
      <c r="IZJ54" s="13"/>
      <c r="IZN54" s="13"/>
      <c r="IZO54" s="13"/>
      <c r="IZP54" s="15"/>
      <c r="IZQ54" s="16"/>
      <c r="IZR54" s="12"/>
      <c r="IZS54" s="12"/>
      <c r="IZT54" s="12"/>
      <c r="IZU54" s="12"/>
      <c r="IZV54" s="12"/>
      <c r="IZW54" s="12"/>
      <c r="IZX54" s="12"/>
      <c r="IZY54" s="18"/>
      <c r="JAC54" s="13"/>
      <c r="JAD54" s="14"/>
      <c r="JAE54" s="14"/>
      <c r="JAF54" s="20"/>
      <c r="JAG54" s="13"/>
      <c r="JAH54" s="13"/>
      <c r="JAJ54" s="13"/>
      <c r="JAN54" s="13"/>
      <c r="JAO54" s="13"/>
      <c r="JAP54" s="15"/>
      <c r="JAQ54" s="16"/>
      <c r="JAR54" s="12"/>
      <c r="JAS54" s="12"/>
      <c r="JAT54" s="12"/>
      <c r="JAU54" s="12"/>
      <c r="JAV54" s="12"/>
      <c r="JAW54" s="12"/>
      <c r="JAX54" s="12"/>
      <c r="JAY54" s="18"/>
      <c r="JBC54" s="13"/>
      <c r="JBD54" s="14"/>
      <c r="JBE54" s="14"/>
      <c r="JBF54" s="20"/>
      <c r="JBG54" s="13"/>
      <c r="JBH54" s="13"/>
      <c r="JBJ54" s="13"/>
      <c r="JBN54" s="13"/>
      <c r="JBO54" s="13"/>
      <c r="JBP54" s="15"/>
      <c r="JBQ54" s="16"/>
      <c r="JBR54" s="12"/>
      <c r="JBS54" s="12"/>
      <c r="JBT54" s="12"/>
      <c r="JBU54" s="12"/>
      <c r="JBV54" s="12"/>
      <c r="JBW54" s="12"/>
      <c r="JBX54" s="12"/>
      <c r="JBY54" s="18"/>
      <c r="JCC54" s="13"/>
      <c r="JCD54" s="14"/>
      <c r="JCE54" s="14"/>
      <c r="JCF54" s="20"/>
      <c r="JCG54" s="13"/>
      <c r="JCH54" s="13"/>
      <c r="JCJ54" s="13"/>
      <c r="JCN54" s="13"/>
      <c r="JCO54" s="13"/>
      <c r="JCP54" s="15"/>
      <c r="JCQ54" s="16"/>
      <c r="JCR54" s="12"/>
      <c r="JCS54" s="12"/>
      <c r="JCT54" s="12"/>
      <c r="JCU54" s="12"/>
      <c r="JCV54" s="12"/>
      <c r="JCW54" s="12"/>
      <c r="JCX54" s="12"/>
      <c r="JCY54" s="18"/>
      <c r="JDC54" s="13"/>
      <c r="JDD54" s="14"/>
      <c r="JDE54" s="14"/>
      <c r="JDF54" s="20"/>
      <c r="JDG54" s="13"/>
      <c r="JDH54" s="13"/>
      <c r="JDJ54" s="13"/>
      <c r="JDN54" s="13"/>
      <c r="JDO54" s="13"/>
      <c r="JDP54" s="15"/>
      <c r="JDQ54" s="16"/>
      <c r="JDR54" s="12"/>
      <c r="JDS54" s="12"/>
      <c r="JDT54" s="12"/>
      <c r="JDU54" s="12"/>
      <c r="JDV54" s="12"/>
      <c r="JDW54" s="12"/>
      <c r="JDX54" s="12"/>
      <c r="JDY54" s="18"/>
      <c r="JEC54" s="13"/>
      <c r="JED54" s="14"/>
      <c r="JEE54" s="14"/>
      <c r="JEF54" s="20"/>
      <c r="JEG54" s="13"/>
      <c r="JEH54" s="13"/>
      <c r="JEJ54" s="13"/>
      <c r="JEN54" s="13"/>
      <c r="JEO54" s="13"/>
      <c r="JEP54" s="15"/>
      <c r="JEQ54" s="16"/>
      <c r="JER54" s="12"/>
      <c r="JES54" s="12"/>
      <c r="JET54" s="12"/>
      <c r="JEU54" s="12"/>
      <c r="JEV54" s="12"/>
      <c r="JEW54" s="12"/>
      <c r="JEX54" s="12"/>
      <c r="JEY54" s="18"/>
      <c r="JFC54" s="13"/>
      <c r="JFD54" s="14"/>
      <c r="JFE54" s="14"/>
      <c r="JFF54" s="20"/>
      <c r="JFG54" s="13"/>
      <c r="JFH54" s="13"/>
      <c r="JFJ54" s="13"/>
      <c r="JFN54" s="13"/>
      <c r="JFO54" s="13"/>
      <c r="JFP54" s="15"/>
      <c r="JFQ54" s="16"/>
      <c r="JFR54" s="12"/>
      <c r="JFS54" s="12"/>
      <c r="JFT54" s="12"/>
      <c r="JFU54" s="12"/>
      <c r="JFV54" s="12"/>
      <c r="JFW54" s="12"/>
      <c r="JFX54" s="12"/>
      <c r="JFY54" s="18"/>
      <c r="JGC54" s="13"/>
      <c r="JGD54" s="14"/>
      <c r="JGE54" s="14"/>
      <c r="JGF54" s="20"/>
      <c r="JGG54" s="13"/>
      <c r="JGH54" s="13"/>
      <c r="JGJ54" s="13"/>
      <c r="JGN54" s="13"/>
      <c r="JGO54" s="13"/>
      <c r="JGP54" s="15"/>
      <c r="JGQ54" s="16"/>
      <c r="JGR54" s="12"/>
      <c r="JGS54" s="12"/>
      <c r="JGT54" s="12"/>
      <c r="JGU54" s="12"/>
      <c r="JGV54" s="12"/>
      <c r="JGW54" s="12"/>
      <c r="JGX54" s="12"/>
      <c r="JGY54" s="18"/>
      <c r="JHC54" s="13"/>
      <c r="JHD54" s="14"/>
      <c r="JHE54" s="14"/>
      <c r="JHF54" s="20"/>
      <c r="JHG54" s="13"/>
      <c r="JHH54" s="13"/>
      <c r="JHJ54" s="13"/>
      <c r="JHN54" s="13"/>
      <c r="JHO54" s="13"/>
      <c r="JHP54" s="15"/>
      <c r="JHQ54" s="16"/>
      <c r="JHR54" s="12"/>
      <c r="JHS54" s="12"/>
      <c r="JHT54" s="12"/>
      <c r="JHU54" s="12"/>
      <c r="JHV54" s="12"/>
      <c r="JHW54" s="12"/>
      <c r="JHX54" s="12"/>
      <c r="JHY54" s="18"/>
      <c r="JIC54" s="13"/>
      <c r="JID54" s="14"/>
      <c r="JIE54" s="14"/>
      <c r="JIF54" s="20"/>
      <c r="JIG54" s="13"/>
      <c r="JIH54" s="13"/>
      <c r="JIJ54" s="13"/>
      <c r="JIN54" s="13"/>
      <c r="JIO54" s="13"/>
      <c r="JIP54" s="15"/>
      <c r="JIQ54" s="16"/>
      <c r="JIR54" s="12"/>
      <c r="JIS54" s="12"/>
      <c r="JIT54" s="12"/>
      <c r="JIU54" s="12"/>
      <c r="JIV54" s="12"/>
      <c r="JIW54" s="12"/>
      <c r="JIX54" s="12"/>
      <c r="JIY54" s="18"/>
      <c r="JJC54" s="13"/>
      <c r="JJD54" s="14"/>
      <c r="JJE54" s="14"/>
      <c r="JJF54" s="20"/>
      <c r="JJG54" s="13"/>
      <c r="JJH54" s="13"/>
      <c r="JJJ54" s="13"/>
      <c r="JJN54" s="13"/>
      <c r="JJO54" s="13"/>
      <c r="JJP54" s="15"/>
      <c r="JJQ54" s="16"/>
      <c r="JJR54" s="12"/>
      <c r="JJS54" s="12"/>
      <c r="JJT54" s="12"/>
      <c r="JJU54" s="12"/>
      <c r="JJV54" s="12"/>
      <c r="JJW54" s="12"/>
      <c r="JJX54" s="12"/>
      <c r="JJY54" s="18"/>
      <c r="JKC54" s="13"/>
      <c r="JKD54" s="14"/>
      <c r="JKE54" s="14"/>
      <c r="JKF54" s="20"/>
      <c r="JKG54" s="13"/>
      <c r="JKH54" s="13"/>
      <c r="JKJ54" s="13"/>
      <c r="JKN54" s="13"/>
      <c r="JKO54" s="13"/>
      <c r="JKP54" s="15"/>
      <c r="JKQ54" s="16"/>
      <c r="JKR54" s="12"/>
      <c r="JKS54" s="12"/>
      <c r="JKT54" s="12"/>
      <c r="JKU54" s="12"/>
      <c r="JKV54" s="12"/>
      <c r="JKW54" s="12"/>
      <c r="JKX54" s="12"/>
      <c r="JKY54" s="18"/>
      <c r="JLC54" s="13"/>
      <c r="JLD54" s="14"/>
      <c r="JLE54" s="14"/>
      <c r="JLF54" s="20"/>
      <c r="JLG54" s="13"/>
      <c r="JLH54" s="13"/>
      <c r="JLJ54" s="13"/>
      <c r="JLN54" s="13"/>
      <c r="JLO54" s="13"/>
      <c r="JLP54" s="15"/>
      <c r="JLQ54" s="16"/>
      <c r="JLR54" s="12"/>
      <c r="JLS54" s="12"/>
      <c r="JLT54" s="12"/>
      <c r="JLU54" s="12"/>
      <c r="JLV54" s="12"/>
      <c r="JLW54" s="12"/>
      <c r="JLX54" s="12"/>
      <c r="JLY54" s="18"/>
      <c r="JMC54" s="13"/>
      <c r="JMD54" s="14"/>
      <c r="JME54" s="14"/>
      <c r="JMF54" s="20"/>
      <c r="JMG54" s="13"/>
      <c r="JMH54" s="13"/>
      <c r="JMJ54" s="13"/>
      <c r="JMN54" s="13"/>
      <c r="JMO54" s="13"/>
      <c r="JMP54" s="15"/>
      <c r="JMQ54" s="16"/>
      <c r="JMR54" s="12"/>
      <c r="JMS54" s="12"/>
      <c r="JMT54" s="12"/>
      <c r="JMU54" s="12"/>
      <c r="JMV54" s="12"/>
      <c r="JMW54" s="12"/>
      <c r="JMX54" s="12"/>
      <c r="JMY54" s="18"/>
      <c r="JNC54" s="13"/>
      <c r="JND54" s="14"/>
      <c r="JNE54" s="14"/>
      <c r="JNF54" s="20"/>
      <c r="JNG54" s="13"/>
      <c r="JNH54" s="13"/>
      <c r="JNJ54" s="13"/>
      <c r="JNN54" s="13"/>
      <c r="JNO54" s="13"/>
      <c r="JNP54" s="15"/>
      <c r="JNQ54" s="16"/>
      <c r="JNR54" s="12"/>
      <c r="JNS54" s="12"/>
      <c r="JNT54" s="12"/>
      <c r="JNU54" s="12"/>
      <c r="JNV54" s="12"/>
      <c r="JNW54" s="12"/>
      <c r="JNX54" s="12"/>
      <c r="JNY54" s="18"/>
      <c r="JOC54" s="13"/>
      <c r="JOD54" s="14"/>
      <c r="JOE54" s="14"/>
      <c r="JOF54" s="20"/>
      <c r="JOG54" s="13"/>
      <c r="JOH54" s="13"/>
      <c r="JOJ54" s="13"/>
      <c r="JON54" s="13"/>
      <c r="JOO54" s="13"/>
      <c r="JOP54" s="15"/>
      <c r="JOQ54" s="16"/>
      <c r="JOR54" s="12"/>
      <c r="JOS54" s="12"/>
      <c r="JOT54" s="12"/>
      <c r="JOU54" s="12"/>
      <c r="JOV54" s="12"/>
      <c r="JOW54" s="12"/>
      <c r="JOX54" s="12"/>
      <c r="JOY54" s="18"/>
      <c r="JPC54" s="13"/>
      <c r="JPD54" s="14"/>
      <c r="JPE54" s="14"/>
      <c r="JPF54" s="20"/>
      <c r="JPG54" s="13"/>
      <c r="JPH54" s="13"/>
      <c r="JPJ54" s="13"/>
      <c r="JPN54" s="13"/>
      <c r="JPO54" s="13"/>
      <c r="JPP54" s="15"/>
      <c r="JPQ54" s="16"/>
      <c r="JPR54" s="12"/>
      <c r="JPS54" s="12"/>
      <c r="JPT54" s="12"/>
      <c r="JPU54" s="12"/>
      <c r="JPV54" s="12"/>
      <c r="JPW54" s="12"/>
      <c r="JPX54" s="12"/>
      <c r="JPY54" s="18"/>
      <c r="JQC54" s="13"/>
      <c r="JQD54" s="14"/>
      <c r="JQE54" s="14"/>
      <c r="JQF54" s="20"/>
      <c r="JQG54" s="13"/>
      <c r="JQH54" s="13"/>
      <c r="JQJ54" s="13"/>
      <c r="JQN54" s="13"/>
      <c r="JQO54" s="13"/>
      <c r="JQP54" s="15"/>
      <c r="JQQ54" s="16"/>
      <c r="JQR54" s="12"/>
      <c r="JQS54" s="12"/>
      <c r="JQT54" s="12"/>
      <c r="JQU54" s="12"/>
      <c r="JQV54" s="12"/>
      <c r="JQW54" s="12"/>
      <c r="JQX54" s="12"/>
      <c r="JQY54" s="18"/>
      <c r="JRC54" s="13"/>
      <c r="JRD54" s="14"/>
      <c r="JRE54" s="14"/>
      <c r="JRF54" s="20"/>
      <c r="JRG54" s="13"/>
      <c r="JRH54" s="13"/>
      <c r="JRJ54" s="13"/>
      <c r="JRN54" s="13"/>
      <c r="JRO54" s="13"/>
      <c r="JRP54" s="15"/>
      <c r="JRQ54" s="16"/>
      <c r="JRR54" s="12"/>
      <c r="JRS54" s="12"/>
      <c r="JRT54" s="12"/>
      <c r="JRU54" s="12"/>
      <c r="JRV54" s="12"/>
      <c r="JRW54" s="12"/>
      <c r="JRX54" s="12"/>
      <c r="JRY54" s="18"/>
      <c r="JSC54" s="13"/>
      <c r="JSD54" s="14"/>
      <c r="JSE54" s="14"/>
      <c r="JSF54" s="20"/>
      <c r="JSG54" s="13"/>
      <c r="JSH54" s="13"/>
      <c r="JSJ54" s="13"/>
      <c r="JSN54" s="13"/>
      <c r="JSO54" s="13"/>
      <c r="JSP54" s="15"/>
      <c r="JSQ54" s="16"/>
      <c r="JSR54" s="12"/>
      <c r="JSS54" s="12"/>
      <c r="JST54" s="12"/>
      <c r="JSU54" s="12"/>
      <c r="JSV54" s="12"/>
      <c r="JSW54" s="12"/>
      <c r="JSX54" s="12"/>
      <c r="JSY54" s="18"/>
      <c r="JTC54" s="13"/>
      <c r="JTD54" s="14"/>
      <c r="JTE54" s="14"/>
      <c r="JTF54" s="20"/>
      <c r="JTG54" s="13"/>
      <c r="JTH54" s="13"/>
      <c r="JTJ54" s="13"/>
      <c r="JTN54" s="13"/>
      <c r="JTO54" s="13"/>
      <c r="JTP54" s="15"/>
      <c r="JTQ54" s="16"/>
      <c r="JTR54" s="12"/>
      <c r="JTS54" s="12"/>
      <c r="JTT54" s="12"/>
      <c r="JTU54" s="12"/>
      <c r="JTV54" s="12"/>
      <c r="JTW54" s="12"/>
      <c r="JTX54" s="12"/>
      <c r="JTY54" s="18"/>
      <c r="JUC54" s="13"/>
      <c r="JUD54" s="14"/>
      <c r="JUE54" s="14"/>
      <c r="JUF54" s="20"/>
      <c r="JUG54" s="13"/>
      <c r="JUH54" s="13"/>
      <c r="JUJ54" s="13"/>
      <c r="JUN54" s="13"/>
      <c r="JUO54" s="13"/>
      <c r="JUP54" s="15"/>
      <c r="JUQ54" s="16"/>
      <c r="JUR54" s="12"/>
      <c r="JUS54" s="12"/>
      <c r="JUT54" s="12"/>
      <c r="JUU54" s="12"/>
      <c r="JUV54" s="12"/>
      <c r="JUW54" s="12"/>
      <c r="JUX54" s="12"/>
      <c r="JUY54" s="18"/>
      <c r="JVC54" s="13"/>
      <c r="JVD54" s="14"/>
      <c r="JVE54" s="14"/>
      <c r="JVF54" s="20"/>
      <c r="JVG54" s="13"/>
      <c r="JVH54" s="13"/>
      <c r="JVJ54" s="13"/>
      <c r="JVN54" s="13"/>
      <c r="JVO54" s="13"/>
      <c r="JVP54" s="15"/>
      <c r="JVQ54" s="16"/>
      <c r="JVR54" s="12"/>
      <c r="JVS54" s="12"/>
      <c r="JVT54" s="12"/>
      <c r="JVU54" s="12"/>
      <c r="JVV54" s="12"/>
      <c r="JVW54" s="12"/>
      <c r="JVX54" s="12"/>
      <c r="JVY54" s="18"/>
      <c r="JWC54" s="13"/>
      <c r="JWD54" s="14"/>
      <c r="JWE54" s="14"/>
      <c r="JWF54" s="20"/>
      <c r="JWG54" s="13"/>
      <c r="JWH54" s="13"/>
      <c r="JWJ54" s="13"/>
      <c r="JWN54" s="13"/>
      <c r="JWO54" s="13"/>
      <c r="JWP54" s="15"/>
      <c r="JWQ54" s="16"/>
      <c r="JWR54" s="12"/>
      <c r="JWS54" s="12"/>
      <c r="JWT54" s="12"/>
      <c r="JWU54" s="12"/>
      <c r="JWV54" s="12"/>
      <c r="JWW54" s="12"/>
      <c r="JWX54" s="12"/>
      <c r="JWY54" s="18"/>
      <c r="JXC54" s="13"/>
      <c r="JXD54" s="14"/>
      <c r="JXE54" s="14"/>
      <c r="JXF54" s="20"/>
      <c r="JXG54" s="13"/>
      <c r="JXH54" s="13"/>
      <c r="JXJ54" s="13"/>
      <c r="JXN54" s="13"/>
      <c r="JXO54" s="13"/>
      <c r="JXP54" s="15"/>
      <c r="JXQ54" s="16"/>
      <c r="JXR54" s="12"/>
      <c r="JXS54" s="12"/>
      <c r="JXT54" s="12"/>
      <c r="JXU54" s="12"/>
      <c r="JXV54" s="12"/>
      <c r="JXW54" s="12"/>
      <c r="JXX54" s="12"/>
      <c r="JXY54" s="18"/>
      <c r="JYC54" s="13"/>
      <c r="JYD54" s="14"/>
      <c r="JYE54" s="14"/>
      <c r="JYF54" s="20"/>
      <c r="JYG54" s="13"/>
      <c r="JYH54" s="13"/>
      <c r="JYJ54" s="13"/>
      <c r="JYN54" s="13"/>
      <c r="JYO54" s="13"/>
      <c r="JYP54" s="15"/>
      <c r="JYQ54" s="16"/>
      <c r="JYR54" s="12"/>
      <c r="JYS54" s="12"/>
      <c r="JYT54" s="12"/>
      <c r="JYU54" s="12"/>
      <c r="JYV54" s="12"/>
      <c r="JYW54" s="12"/>
      <c r="JYX54" s="12"/>
      <c r="JYY54" s="18"/>
      <c r="JZC54" s="13"/>
      <c r="JZD54" s="14"/>
      <c r="JZE54" s="14"/>
      <c r="JZF54" s="20"/>
      <c r="JZG54" s="13"/>
      <c r="JZH54" s="13"/>
      <c r="JZJ54" s="13"/>
      <c r="JZN54" s="13"/>
      <c r="JZO54" s="13"/>
      <c r="JZP54" s="15"/>
      <c r="JZQ54" s="16"/>
      <c r="JZR54" s="12"/>
      <c r="JZS54" s="12"/>
      <c r="JZT54" s="12"/>
      <c r="JZU54" s="12"/>
      <c r="JZV54" s="12"/>
      <c r="JZW54" s="12"/>
      <c r="JZX54" s="12"/>
      <c r="JZY54" s="18"/>
      <c r="KAC54" s="13"/>
      <c r="KAD54" s="14"/>
      <c r="KAE54" s="14"/>
      <c r="KAF54" s="20"/>
      <c r="KAG54" s="13"/>
      <c r="KAH54" s="13"/>
      <c r="KAJ54" s="13"/>
      <c r="KAN54" s="13"/>
      <c r="KAO54" s="13"/>
      <c r="KAP54" s="15"/>
      <c r="KAQ54" s="16"/>
      <c r="KAR54" s="12"/>
      <c r="KAS54" s="12"/>
      <c r="KAT54" s="12"/>
      <c r="KAU54" s="12"/>
      <c r="KAV54" s="12"/>
      <c r="KAW54" s="12"/>
      <c r="KAX54" s="12"/>
      <c r="KAY54" s="18"/>
      <c r="KBC54" s="13"/>
      <c r="KBD54" s="14"/>
      <c r="KBE54" s="14"/>
      <c r="KBF54" s="20"/>
      <c r="KBG54" s="13"/>
      <c r="KBH54" s="13"/>
      <c r="KBJ54" s="13"/>
      <c r="KBN54" s="13"/>
      <c r="KBO54" s="13"/>
      <c r="KBP54" s="15"/>
      <c r="KBQ54" s="16"/>
      <c r="KBR54" s="12"/>
      <c r="KBS54" s="12"/>
      <c r="KBT54" s="12"/>
      <c r="KBU54" s="12"/>
      <c r="KBV54" s="12"/>
      <c r="KBW54" s="12"/>
      <c r="KBX54" s="12"/>
      <c r="KBY54" s="18"/>
      <c r="KCC54" s="13"/>
      <c r="KCD54" s="14"/>
      <c r="KCE54" s="14"/>
      <c r="KCF54" s="20"/>
      <c r="KCG54" s="13"/>
      <c r="KCH54" s="13"/>
      <c r="KCJ54" s="13"/>
      <c r="KCN54" s="13"/>
      <c r="KCO54" s="13"/>
      <c r="KCP54" s="15"/>
      <c r="KCQ54" s="16"/>
      <c r="KCR54" s="12"/>
      <c r="KCS54" s="12"/>
      <c r="KCT54" s="12"/>
      <c r="KCU54" s="12"/>
      <c r="KCV54" s="12"/>
      <c r="KCW54" s="12"/>
      <c r="KCX54" s="12"/>
      <c r="KCY54" s="18"/>
      <c r="KDC54" s="13"/>
      <c r="KDD54" s="14"/>
      <c r="KDE54" s="14"/>
      <c r="KDF54" s="20"/>
      <c r="KDG54" s="13"/>
      <c r="KDH54" s="13"/>
      <c r="KDJ54" s="13"/>
      <c r="KDN54" s="13"/>
      <c r="KDO54" s="13"/>
      <c r="KDP54" s="15"/>
      <c r="KDQ54" s="16"/>
      <c r="KDR54" s="12"/>
      <c r="KDS54" s="12"/>
      <c r="KDT54" s="12"/>
      <c r="KDU54" s="12"/>
      <c r="KDV54" s="12"/>
      <c r="KDW54" s="12"/>
      <c r="KDX54" s="12"/>
      <c r="KDY54" s="18"/>
      <c r="KEC54" s="13"/>
      <c r="KED54" s="14"/>
      <c r="KEE54" s="14"/>
      <c r="KEF54" s="20"/>
      <c r="KEG54" s="13"/>
      <c r="KEH54" s="13"/>
      <c r="KEJ54" s="13"/>
      <c r="KEN54" s="13"/>
      <c r="KEO54" s="13"/>
      <c r="KEP54" s="15"/>
      <c r="KEQ54" s="16"/>
      <c r="KER54" s="12"/>
      <c r="KES54" s="12"/>
      <c r="KET54" s="12"/>
      <c r="KEU54" s="12"/>
      <c r="KEV54" s="12"/>
      <c r="KEW54" s="12"/>
      <c r="KEX54" s="12"/>
      <c r="KEY54" s="18"/>
      <c r="KFC54" s="13"/>
      <c r="KFD54" s="14"/>
      <c r="KFE54" s="14"/>
      <c r="KFF54" s="20"/>
      <c r="KFG54" s="13"/>
      <c r="KFH54" s="13"/>
      <c r="KFJ54" s="13"/>
      <c r="KFN54" s="13"/>
      <c r="KFO54" s="13"/>
      <c r="KFP54" s="15"/>
      <c r="KFQ54" s="16"/>
      <c r="KFR54" s="12"/>
      <c r="KFS54" s="12"/>
      <c r="KFT54" s="12"/>
      <c r="KFU54" s="12"/>
      <c r="KFV54" s="12"/>
      <c r="KFW54" s="12"/>
      <c r="KFX54" s="12"/>
      <c r="KFY54" s="18"/>
      <c r="KGC54" s="13"/>
      <c r="KGD54" s="14"/>
      <c r="KGE54" s="14"/>
      <c r="KGF54" s="20"/>
      <c r="KGG54" s="13"/>
      <c r="KGH54" s="13"/>
      <c r="KGJ54" s="13"/>
      <c r="KGN54" s="13"/>
      <c r="KGO54" s="13"/>
      <c r="KGP54" s="15"/>
      <c r="KGQ54" s="16"/>
      <c r="KGR54" s="12"/>
      <c r="KGS54" s="12"/>
      <c r="KGT54" s="12"/>
      <c r="KGU54" s="12"/>
      <c r="KGV54" s="12"/>
      <c r="KGW54" s="12"/>
      <c r="KGX54" s="12"/>
      <c r="KGY54" s="18"/>
      <c r="KHC54" s="13"/>
      <c r="KHD54" s="14"/>
      <c r="KHE54" s="14"/>
      <c r="KHF54" s="20"/>
      <c r="KHG54" s="13"/>
      <c r="KHH54" s="13"/>
      <c r="KHJ54" s="13"/>
      <c r="KHN54" s="13"/>
      <c r="KHO54" s="13"/>
      <c r="KHP54" s="15"/>
      <c r="KHQ54" s="16"/>
      <c r="KHR54" s="12"/>
      <c r="KHS54" s="12"/>
      <c r="KHT54" s="12"/>
      <c r="KHU54" s="12"/>
      <c r="KHV54" s="12"/>
      <c r="KHW54" s="12"/>
      <c r="KHX54" s="12"/>
      <c r="KHY54" s="18"/>
      <c r="KIC54" s="13"/>
      <c r="KID54" s="14"/>
      <c r="KIE54" s="14"/>
      <c r="KIF54" s="20"/>
      <c r="KIG54" s="13"/>
      <c r="KIH54" s="13"/>
      <c r="KIJ54" s="13"/>
      <c r="KIN54" s="13"/>
      <c r="KIO54" s="13"/>
      <c r="KIP54" s="15"/>
      <c r="KIQ54" s="16"/>
      <c r="KIR54" s="12"/>
      <c r="KIS54" s="12"/>
      <c r="KIT54" s="12"/>
      <c r="KIU54" s="12"/>
      <c r="KIV54" s="12"/>
      <c r="KIW54" s="12"/>
      <c r="KIX54" s="12"/>
      <c r="KIY54" s="18"/>
      <c r="KJC54" s="13"/>
      <c r="KJD54" s="14"/>
      <c r="KJE54" s="14"/>
      <c r="KJF54" s="20"/>
      <c r="KJG54" s="13"/>
      <c r="KJH54" s="13"/>
      <c r="KJJ54" s="13"/>
      <c r="KJN54" s="13"/>
      <c r="KJO54" s="13"/>
      <c r="KJP54" s="15"/>
      <c r="KJQ54" s="16"/>
      <c r="KJR54" s="12"/>
      <c r="KJS54" s="12"/>
      <c r="KJT54" s="12"/>
      <c r="KJU54" s="12"/>
      <c r="KJV54" s="12"/>
      <c r="KJW54" s="12"/>
      <c r="KJX54" s="12"/>
      <c r="KJY54" s="18"/>
      <c r="KKC54" s="13"/>
      <c r="KKD54" s="14"/>
      <c r="KKE54" s="14"/>
      <c r="KKF54" s="20"/>
      <c r="KKG54" s="13"/>
      <c r="KKH54" s="13"/>
      <c r="KKJ54" s="13"/>
      <c r="KKN54" s="13"/>
      <c r="KKO54" s="13"/>
      <c r="KKP54" s="15"/>
      <c r="KKQ54" s="16"/>
      <c r="KKR54" s="12"/>
      <c r="KKS54" s="12"/>
      <c r="KKT54" s="12"/>
      <c r="KKU54" s="12"/>
      <c r="KKV54" s="12"/>
      <c r="KKW54" s="12"/>
      <c r="KKX54" s="12"/>
      <c r="KKY54" s="18"/>
      <c r="KLC54" s="13"/>
      <c r="KLD54" s="14"/>
      <c r="KLE54" s="14"/>
      <c r="KLF54" s="20"/>
      <c r="KLG54" s="13"/>
      <c r="KLH54" s="13"/>
      <c r="KLJ54" s="13"/>
      <c r="KLN54" s="13"/>
      <c r="KLO54" s="13"/>
      <c r="KLP54" s="15"/>
      <c r="KLQ54" s="16"/>
      <c r="KLR54" s="12"/>
      <c r="KLS54" s="12"/>
      <c r="KLT54" s="12"/>
      <c r="KLU54" s="12"/>
      <c r="KLV54" s="12"/>
      <c r="KLW54" s="12"/>
      <c r="KLX54" s="12"/>
      <c r="KLY54" s="18"/>
      <c r="KMC54" s="13"/>
      <c r="KMD54" s="14"/>
      <c r="KME54" s="14"/>
      <c r="KMF54" s="20"/>
      <c r="KMG54" s="13"/>
      <c r="KMH54" s="13"/>
      <c r="KMJ54" s="13"/>
      <c r="KMN54" s="13"/>
      <c r="KMO54" s="13"/>
      <c r="KMP54" s="15"/>
      <c r="KMQ54" s="16"/>
      <c r="KMR54" s="12"/>
      <c r="KMS54" s="12"/>
      <c r="KMT54" s="12"/>
      <c r="KMU54" s="12"/>
      <c r="KMV54" s="12"/>
      <c r="KMW54" s="12"/>
      <c r="KMX54" s="12"/>
      <c r="KMY54" s="18"/>
      <c r="KNC54" s="13"/>
      <c r="KND54" s="14"/>
      <c r="KNE54" s="14"/>
      <c r="KNF54" s="20"/>
      <c r="KNG54" s="13"/>
      <c r="KNH54" s="13"/>
      <c r="KNJ54" s="13"/>
      <c r="KNN54" s="13"/>
      <c r="KNO54" s="13"/>
      <c r="KNP54" s="15"/>
      <c r="KNQ54" s="16"/>
      <c r="KNR54" s="12"/>
      <c r="KNS54" s="12"/>
      <c r="KNT54" s="12"/>
      <c r="KNU54" s="12"/>
      <c r="KNV54" s="12"/>
      <c r="KNW54" s="12"/>
      <c r="KNX54" s="12"/>
      <c r="KNY54" s="18"/>
      <c r="KOC54" s="13"/>
      <c r="KOD54" s="14"/>
      <c r="KOE54" s="14"/>
      <c r="KOF54" s="20"/>
      <c r="KOG54" s="13"/>
      <c r="KOH54" s="13"/>
      <c r="KOJ54" s="13"/>
      <c r="KON54" s="13"/>
      <c r="KOO54" s="13"/>
      <c r="KOP54" s="15"/>
      <c r="KOQ54" s="16"/>
      <c r="KOR54" s="12"/>
      <c r="KOS54" s="12"/>
      <c r="KOT54" s="12"/>
      <c r="KOU54" s="12"/>
      <c r="KOV54" s="12"/>
      <c r="KOW54" s="12"/>
      <c r="KOX54" s="12"/>
      <c r="KOY54" s="18"/>
      <c r="KPC54" s="13"/>
      <c r="KPD54" s="14"/>
      <c r="KPE54" s="14"/>
      <c r="KPF54" s="20"/>
      <c r="KPG54" s="13"/>
      <c r="KPH54" s="13"/>
      <c r="KPJ54" s="13"/>
      <c r="KPN54" s="13"/>
      <c r="KPO54" s="13"/>
      <c r="KPP54" s="15"/>
      <c r="KPQ54" s="16"/>
      <c r="KPR54" s="12"/>
      <c r="KPS54" s="12"/>
      <c r="KPT54" s="12"/>
      <c r="KPU54" s="12"/>
      <c r="KPV54" s="12"/>
      <c r="KPW54" s="12"/>
      <c r="KPX54" s="12"/>
      <c r="KPY54" s="18"/>
      <c r="KQC54" s="13"/>
      <c r="KQD54" s="14"/>
      <c r="KQE54" s="14"/>
      <c r="KQF54" s="20"/>
      <c r="KQG54" s="13"/>
      <c r="KQH54" s="13"/>
      <c r="KQJ54" s="13"/>
      <c r="KQN54" s="13"/>
      <c r="KQO54" s="13"/>
      <c r="KQP54" s="15"/>
      <c r="KQQ54" s="16"/>
      <c r="KQR54" s="12"/>
      <c r="KQS54" s="12"/>
      <c r="KQT54" s="12"/>
      <c r="KQU54" s="12"/>
      <c r="KQV54" s="12"/>
      <c r="KQW54" s="12"/>
      <c r="KQX54" s="12"/>
      <c r="KQY54" s="18"/>
      <c r="KRC54" s="13"/>
      <c r="KRD54" s="14"/>
      <c r="KRE54" s="14"/>
      <c r="KRF54" s="20"/>
      <c r="KRG54" s="13"/>
      <c r="KRH54" s="13"/>
      <c r="KRJ54" s="13"/>
      <c r="KRN54" s="13"/>
      <c r="KRO54" s="13"/>
      <c r="KRP54" s="15"/>
      <c r="KRQ54" s="16"/>
      <c r="KRR54" s="12"/>
      <c r="KRS54" s="12"/>
      <c r="KRT54" s="12"/>
      <c r="KRU54" s="12"/>
      <c r="KRV54" s="12"/>
      <c r="KRW54" s="12"/>
      <c r="KRX54" s="12"/>
      <c r="KRY54" s="18"/>
      <c r="KSC54" s="13"/>
      <c r="KSD54" s="14"/>
      <c r="KSE54" s="14"/>
      <c r="KSF54" s="20"/>
      <c r="KSG54" s="13"/>
      <c r="KSH54" s="13"/>
      <c r="KSJ54" s="13"/>
      <c r="KSN54" s="13"/>
      <c r="KSO54" s="13"/>
      <c r="KSP54" s="15"/>
      <c r="KSQ54" s="16"/>
      <c r="KSR54" s="12"/>
      <c r="KSS54" s="12"/>
      <c r="KST54" s="12"/>
      <c r="KSU54" s="12"/>
      <c r="KSV54" s="12"/>
      <c r="KSW54" s="12"/>
      <c r="KSX54" s="12"/>
      <c r="KSY54" s="18"/>
      <c r="KTC54" s="13"/>
      <c r="KTD54" s="14"/>
      <c r="KTE54" s="14"/>
      <c r="KTF54" s="20"/>
      <c r="KTG54" s="13"/>
      <c r="KTH54" s="13"/>
      <c r="KTJ54" s="13"/>
      <c r="KTN54" s="13"/>
      <c r="KTO54" s="13"/>
      <c r="KTP54" s="15"/>
      <c r="KTQ54" s="16"/>
      <c r="KTR54" s="12"/>
      <c r="KTS54" s="12"/>
      <c r="KTT54" s="12"/>
      <c r="KTU54" s="12"/>
      <c r="KTV54" s="12"/>
      <c r="KTW54" s="12"/>
      <c r="KTX54" s="12"/>
      <c r="KTY54" s="18"/>
      <c r="KUC54" s="13"/>
      <c r="KUD54" s="14"/>
      <c r="KUE54" s="14"/>
      <c r="KUF54" s="20"/>
      <c r="KUG54" s="13"/>
      <c r="KUH54" s="13"/>
      <c r="KUJ54" s="13"/>
      <c r="KUN54" s="13"/>
      <c r="KUO54" s="13"/>
      <c r="KUP54" s="15"/>
      <c r="KUQ54" s="16"/>
      <c r="KUR54" s="12"/>
      <c r="KUS54" s="12"/>
      <c r="KUT54" s="12"/>
      <c r="KUU54" s="12"/>
      <c r="KUV54" s="12"/>
      <c r="KUW54" s="12"/>
      <c r="KUX54" s="12"/>
      <c r="KUY54" s="18"/>
      <c r="KVC54" s="13"/>
      <c r="KVD54" s="14"/>
      <c r="KVE54" s="14"/>
      <c r="KVF54" s="20"/>
      <c r="KVG54" s="13"/>
      <c r="KVH54" s="13"/>
      <c r="KVJ54" s="13"/>
      <c r="KVN54" s="13"/>
      <c r="KVO54" s="13"/>
      <c r="KVP54" s="15"/>
      <c r="KVQ54" s="16"/>
      <c r="KVR54" s="12"/>
      <c r="KVS54" s="12"/>
      <c r="KVT54" s="12"/>
      <c r="KVU54" s="12"/>
      <c r="KVV54" s="12"/>
      <c r="KVW54" s="12"/>
      <c r="KVX54" s="12"/>
      <c r="KVY54" s="18"/>
      <c r="KWC54" s="13"/>
      <c r="KWD54" s="14"/>
      <c r="KWE54" s="14"/>
      <c r="KWF54" s="20"/>
      <c r="KWG54" s="13"/>
      <c r="KWH54" s="13"/>
      <c r="KWJ54" s="13"/>
      <c r="KWN54" s="13"/>
      <c r="KWO54" s="13"/>
      <c r="KWP54" s="15"/>
      <c r="KWQ54" s="16"/>
      <c r="KWR54" s="12"/>
      <c r="KWS54" s="12"/>
      <c r="KWT54" s="12"/>
      <c r="KWU54" s="12"/>
      <c r="KWV54" s="12"/>
      <c r="KWW54" s="12"/>
      <c r="KWX54" s="12"/>
      <c r="KWY54" s="18"/>
      <c r="KXC54" s="13"/>
      <c r="KXD54" s="14"/>
      <c r="KXE54" s="14"/>
      <c r="KXF54" s="20"/>
      <c r="KXG54" s="13"/>
      <c r="KXH54" s="13"/>
      <c r="KXJ54" s="13"/>
      <c r="KXN54" s="13"/>
      <c r="KXO54" s="13"/>
      <c r="KXP54" s="15"/>
      <c r="KXQ54" s="16"/>
      <c r="KXR54" s="12"/>
      <c r="KXS54" s="12"/>
      <c r="KXT54" s="12"/>
      <c r="KXU54" s="12"/>
      <c r="KXV54" s="12"/>
      <c r="KXW54" s="12"/>
      <c r="KXX54" s="12"/>
      <c r="KXY54" s="18"/>
      <c r="KYC54" s="13"/>
      <c r="KYD54" s="14"/>
      <c r="KYE54" s="14"/>
      <c r="KYF54" s="20"/>
      <c r="KYG54" s="13"/>
      <c r="KYH54" s="13"/>
      <c r="KYJ54" s="13"/>
      <c r="KYN54" s="13"/>
      <c r="KYO54" s="13"/>
      <c r="KYP54" s="15"/>
      <c r="KYQ54" s="16"/>
      <c r="KYR54" s="12"/>
      <c r="KYS54" s="12"/>
      <c r="KYT54" s="12"/>
      <c r="KYU54" s="12"/>
      <c r="KYV54" s="12"/>
      <c r="KYW54" s="12"/>
      <c r="KYX54" s="12"/>
      <c r="KYY54" s="18"/>
      <c r="KZC54" s="13"/>
      <c r="KZD54" s="14"/>
      <c r="KZE54" s="14"/>
      <c r="KZF54" s="20"/>
      <c r="KZG54" s="13"/>
      <c r="KZH54" s="13"/>
      <c r="KZJ54" s="13"/>
      <c r="KZN54" s="13"/>
      <c r="KZO54" s="13"/>
      <c r="KZP54" s="15"/>
      <c r="KZQ54" s="16"/>
      <c r="KZR54" s="12"/>
      <c r="KZS54" s="12"/>
      <c r="KZT54" s="12"/>
      <c r="KZU54" s="12"/>
      <c r="KZV54" s="12"/>
      <c r="KZW54" s="12"/>
      <c r="KZX54" s="12"/>
      <c r="KZY54" s="18"/>
      <c r="LAC54" s="13"/>
      <c r="LAD54" s="14"/>
      <c r="LAE54" s="14"/>
      <c r="LAF54" s="20"/>
      <c r="LAG54" s="13"/>
      <c r="LAH54" s="13"/>
      <c r="LAJ54" s="13"/>
      <c r="LAN54" s="13"/>
      <c r="LAO54" s="13"/>
      <c r="LAP54" s="15"/>
      <c r="LAQ54" s="16"/>
      <c r="LAR54" s="12"/>
      <c r="LAS54" s="12"/>
      <c r="LAT54" s="12"/>
      <c r="LAU54" s="12"/>
      <c r="LAV54" s="12"/>
      <c r="LAW54" s="12"/>
      <c r="LAX54" s="12"/>
      <c r="LAY54" s="18"/>
      <c r="LBC54" s="13"/>
      <c r="LBD54" s="14"/>
      <c r="LBE54" s="14"/>
      <c r="LBF54" s="20"/>
      <c r="LBG54" s="13"/>
      <c r="LBH54" s="13"/>
      <c r="LBJ54" s="13"/>
      <c r="LBN54" s="13"/>
      <c r="LBO54" s="13"/>
      <c r="LBP54" s="15"/>
      <c r="LBQ54" s="16"/>
      <c r="LBR54" s="12"/>
      <c r="LBS54" s="12"/>
      <c r="LBT54" s="12"/>
      <c r="LBU54" s="12"/>
      <c r="LBV54" s="12"/>
      <c r="LBW54" s="12"/>
      <c r="LBX54" s="12"/>
      <c r="LBY54" s="18"/>
      <c r="LCC54" s="13"/>
      <c r="LCD54" s="14"/>
      <c r="LCE54" s="14"/>
      <c r="LCF54" s="20"/>
      <c r="LCG54" s="13"/>
      <c r="LCH54" s="13"/>
      <c r="LCJ54" s="13"/>
      <c r="LCN54" s="13"/>
      <c r="LCO54" s="13"/>
      <c r="LCP54" s="15"/>
      <c r="LCQ54" s="16"/>
      <c r="LCR54" s="12"/>
      <c r="LCS54" s="12"/>
      <c r="LCT54" s="12"/>
      <c r="LCU54" s="12"/>
      <c r="LCV54" s="12"/>
      <c r="LCW54" s="12"/>
      <c r="LCX54" s="12"/>
      <c r="LCY54" s="18"/>
      <c r="LDC54" s="13"/>
      <c r="LDD54" s="14"/>
      <c r="LDE54" s="14"/>
      <c r="LDF54" s="20"/>
      <c r="LDG54" s="13"/>
      <c r="LDH54" s="13"/>
      <c r="LDJ54" s="13"/>
      <c r="LDN54" s="13"/>
      <c r="LDO54" s="13"/>
      <c r="LDP54" s="15"/>
      <c r="LDQ54" s="16"/>
      <c r="LDR54" s="12"/>
      <c r="LDS54" s="12"/>
      <c r="LDT54" s="12"/>
      <c r="LDU54" s="12"/>
      <c r="LDV54" s="12"/>
      <c r="LDW54" s="12"/>
      <c r="LDX54" s="12"/>
      <c r="LDY54" s="18"/>
      <c r="LEC54" s="13"/>
      <c r="LED54" s="14"/>
      <c r="LEE54" s="14"/>
      <c r="LEF54" s="20"/>
      <c r="LEG54" s="13"/>
      <c r="LEH54" s="13"/>
      <c r="LEJ54" s="13"/>
      <c r="LEN54" s="13"/>
      <c r="LEO54" s="13"/>
      <c r="LEP54" s="15"/>
      <c r="LEQ54" s="16"/>
      <c r="LER54" s="12"/>
      <c r="LES54" s="12"/>
      <c r="LET54" s="12"/>
      <c r="LEU54" s="12"/>
      <c r="LEV54" s="12"/>
      <c r="LEW54" s="12"/>
      <c r="LEX54" s="12"/>
      <c r="LEY54" s="18"/>
      <c r="LFC54" s="13"/>
      <c r="LFD54" s="14"/>
      <c r="LFE54" s="14"/>
      <c r="LFF54" s="20"/>
      <c r="LFG54" s="13"/>
      <c r="LFH54" s="13"/>
      <c r="LFJ54" s="13"/>
      <c r="LFN54" s="13"/>
      <c r="LFO54" s="13"/>
      <c r="LFP54" s="15"/>
      <c r="LFQ54" s="16"/>
      <c r="LFR54" s="12"/>
      <c r="LFS54" s="12"/>
      <c r="LFT54" s="12"/>
      <c r="LFU54" s="12"/>
      <c r="LFV54" s="12"/>
      <c r="LFW54" s="12"/>
      <c r="LFX54" s="12"/>
      <c r="LFY54" s="18"/>
      <c r="LGC54" s="13"/>
      <c r="LGD54" s="14"/>
      <c r="LGE54" s="14"/>
      <c r="LGF54" s="20"/>
      <c r="LGG54" s="13"/>
      <c r="LGH54" s="13"/>
      <c r="LGJ54" s="13"/>
      <c r="LGN54" s="13"/>
      <c r="LGO54" s="13"/>
      <c r="LGP54" s="15"/>
      <c r="LGQ54" s="16"/>
      <c r="LGR54" s="12"/>
      <c r="LGS54" s="12"/>
      <c r="LGT54" s="12"/>
      <c r="LGU54" s="12"/>
      <c r="LGV54" s="12"/>
      <c r="LGW54" s="12"/>
      <c r="LGX54" s="12"/>
      <c r="LGY54" s="18"/>
      <c r="LHC54" s="13"/>
      <c r="LHD54" s="14"/>
      <c r="LHE54" s="14"/>
      <c r="LHF54" s="20"/>
      <c r="LHG54" s="13"/>
      <c r="LHH54" s="13"/>
      <c r="LHJ54" s="13"/>
      <c r="LHN54" s="13"/>
      <c r="LHO54" s="13"/>
      <c r="LHP54" s="15"/>
      <c r="LHQ54" s="16"/>
      <c r="LHR54" s="12"/>
      <c r="LHS54" s="12"/>
      <c r="LHT54" s="12"/>
      <c r="LHU54" s="12"/>
      <c r="LHV54" s="12"/>
      <c r="LHW54" s="12"/>
      <c r="LHX54" s="12"/>
      <c r="LHY54" s="18"/>
      <c r="LIC54" s="13"/>
      <c r="LID54" s="14"/>
      <c r="LIE54" s="14"/>
      <c r="LIF54" s="20"/>
      <c r="LIG54" s="13"/>
      <c r="LIH54" s="13"/>
      <c r="LIJ54" s="13"/>
      <c r="LIN54" s="13"/>
      <c r="LIO54" s="13"/>
      <c r="LIP54" s="15"/>
      <c r="LIQ54" s="16"/>
      <c r="LIR54" s="12"/>
      <c r="LIS54" s="12"/>
      <c r="LIT54" s="12"/>
      <c r="LIU54" s="12"/>
      <c r="LIV54" s="12"/>
      <c r="LIW54" s="12"/>
      <c r="LIX54" s="12"/>
      <c r="LIY54" s="18"/>
      <c r="LJC54" s="13"/>
      <c r="LJD54" s="14"/>
      <c r="LJE54" s="14"/>
      <c r="LJF54" s="20"/>
      <c r="LJG54" s="13"/>
      <c r="LJH54" s="13"/>
      <c r="LJJ54" s="13"/>
      <c r="LJN54" s="13"/>
      <c r="LJO54" s="13"/>
      <c r="LJP54" s="15"/>
      <c r="LJQ54" s="16"/>
      <c r="LJR54" s="12"/>
      <c r="LJS54" s="12"/>
      <c r="LJT54" s="12"/>
      <c r="LJU54" s="12"/>
      <c r="LJV54" s="12"/>
      <c r="LJW54" s="12"/>
      <c r="LJX54" s="12"/>
      <c r="LJY54" s="18"/>
      <c r="LKC54" s="13"/>
      <c r="LKD54" s="14"/>
      <c r="LKE54" s="14"/>
      <c r="LKF54" s="20"/>
      <c r="LKG54" s="13"/>
      <c r="LKH54" s="13"/>
      <c r="LKJ54" s="13"/>
      <c r="LKN54" s="13"/>
      <c r="LKO54" s="13"/>
      <c r="LKP54" s="15"/>
      <c r="LKQ54" s="16"/>
      <c r="LKR54" s="12"/>
      <c r="LKS54" s="12"/>
      <c r="LKT54" s="12"/>
      <c r="LKU54" s="12"/>
      <c r="LKV54" s="12"/>
      <c r="LKW54" s="12"/>
      <c r="LKX54" s="12"/>
      <c r="LKY54" s="18"/>
      <c r="LLC54" s="13"/>
      <c r="LLD54" s="14"/>
      <c r="LLE54" s="14"/>
      <c r="LLF54" s="20"/>
      <c r="LLG54" s="13"/>
      <c r="LLH54" s="13"/>
      <c r="LLJ54" s="13"/>
      <c r="LLN54" s="13"/>
      <c r="LLO54" s="13"/>
      <c r="LLP54" s="15"/>
      <c r="LLQ54" s="16"/>
      <c r="LLR54" s="12"/>
      <c r="LLS54" s="12"/>
      <c r="LLT54" s="12"/>
      <c r="LLU54" s="12"/>
      <c r="LLV54" s="12"/>
      <c r="LLW54" s="12"/>
      <c r="LLX54" s="12"/>
      <c r="LLY54" s="18"/>
      <c r="LMC54" s="13"/>
      <c r="LMD54" s="14"/>
      <c r="LME54" s="14"/>
      <c r="LMF54" s="20"/>
      <c r="LMG54" s="13"/>
      <c r="LMH54" s="13"/>
      <c r="LMJ54" s="13"/>
      <c r="LMN54" s="13"/>
      <c r="LMO54" s="13"/>
      <c r="LMP54" s="15"/>
      <c r="LMQ54" s="16"/>
      <c r="LMR54" s="12"/>
      <c r="LMS54" s="12"/>
      <c r="LMT54" s="12"/>
      <c r="LMU54" s="12"/>
      <c r="LMV54" s="12"/>
      <c r="LMW54" s="12"/>
      <c r="LMX54" s="12"/>
      <c r="LMY54" s="18"/>
      <c r="LNC54" s="13"/>
      <c r="LND54" s="14"/>
      <c r="LNE54" s="14"/>
      <c r="LNF54" s="20"/>
      <c r="LNG54" s="13"/>
      <c r="LNH54" s="13"/>
      <c r="LNJ54" s="13"/>
      <c r="LNN54" s="13"/>
      <c r="LNO54" s="13"/>
      <c r="LNP54" s="15"/>
      <c r="LNQ54" s="16"/>
      <c r="LNR54" s="12"/>
      <c r="LNS54" s="12"/>
      <c r="LNT54" s="12"/>
      <c r="LNU54" s="12"/>
      <c r="LNV54" s="12"/>
      <c r="LNW54" s="12"/>
      <c r="LNX54" s="12"/>
      <c r="LNY54" s="18"/>
      <c r="LOC54" s="13"/>
      <c r="LOD54" s="14"/>
      <c r="LOE54" s="14"/>
      <c r="LOF54" s="20"/>
      <c r="LOG54" s="13"/>
      <c r="LOH54" s="13"/>
      <c r="LOJ54" s="13"/>
      <c r="LON54" s="13"/>
      <c r="LOO54" s="13"/>
      <c r="LOP54" s="15"/>
      <c r="LOQ54" s="16"/>
      <c r="LOR54" s="12"/>
      <c r="LOS54" s="12"/>
      <c r="LOT54" s="12"/>
      <c r="LOU54" s="12"/>
      <c r="LOV54" s="12"/>
      <c r="LOW54" s="12"/>
      <c r="LOX54" s="12"/>
      <c r="LOY54" s="18"/>
      <c r="LPC54" s="13"/>
      <c r="LPD54" s="14"/>
      <c r="LPE54" s="14"/>
      <c r="LPF54" s="20"/>
      <c r="LPG54" s="13"/>
      <c r="LPH54" s="13"/>
      <c r="LPJ54" s="13"/>
      <c r="LPN54" s="13"/>
      <c r="LPO54" s="13"/>
      <c r="LPP54" s="15"/>
      <c r="LPQ54" s="16"/>
      <c r="LPR54" s="12"/>
      <c r="LPS54" s="12"/>
      <c r="LPT54" s="12"/>
      <c r="LPU54" s="12"/>
      <c r="LPV54" s="12"/>
      <c r="LPW54" s="12"/>
      <c r="LPX54" s="12"/>
      <c r="LPY54" s="18"/>
      <c r="LQC54" s="13"/>
      <c r="LQD54" s="14"/>
      <c r="LQE54" s="14"/>
      <c r="LQF54" s="20"/>
      <c r="LQG54" s="13"/>
      <c r="LQH54" s="13"/>
      <c r="LQJ54" s="13"/>
      <c r="LQN54" s="13"/>
      <c r="LQO54" s="13"/>
      <c r="LQP54" s="15"/>
      <c r="LQQ54" s="16"/>
      <c r="LQR54" s="12"/>
      <c r="LQS54" s="12"/>
      <c r="LQT54" s="12"/>
      <c r="LQU54" s="12"/>
      <c r="LQV54" s="12"/>
      <c r="LQW54" s="12"/>
      <c r="LQX54" s="12"/>
      <c r="LQY54" s="18"/>
      <c r="LRC54" s="13"/>
      <c r="LRD54" s="14"/>
      <c r="LRE54" s="14"/>
      <c r="LRF54" s="20"/>
      <c r="LRG54" s="13"/>
      <c r="LRH54" s="13"/>
      <c r="LRJ54" s="13"/>
      <c r="LRN54" s="13"/>
      <c r="LRO54" s="13"/>
      <c r="LRP54" s="15"/>
      <c r="LRQ54" s="16"/>
      <c r="LRR54" s="12"/>
      <c r="LRS54" s="12"/>
      <c r="LRT54" s="12"/>
      <c r="LRU54" s="12"/>
      <c r="LRV54" s="12"/>
      <c r="LRW54" s="12"/>
      <c r="LRX54" s="12"/>
      <c r="LRY54" s="18"/>
      <c r="LSC54" s="13"/>
      <c r="LSD54" s="14"/>
      <c r="LSE54" s="14"/>
      <c r="LSF54" s="20"/>
      <c r="LSG54" s="13"/>
      <c r="LSH54" s="13"/>
      <c r="LSJ54" s="13"/>
      <c r="LSN54" s="13"/>
      <c r="LSO54" s="13"/>
      <c r="LSP54" s="15"/>
      <c r="LSQ54" s="16"/>
      <c r="LSR54" s="12"/>
      <c r="LSS54" s="12"/>
      <c r="LST54" s="12"/>
      <c r="LSU54" s="12"/>
      <c r="LSV54" s="12"/>
      <c r="LSW54" s="12"/>
      <c r="LSX54" s="12"/>
      <c r="LSY54" s="18"/>
      <c r="LTC54" s="13"/>
      <c r="LTD54" s="14"/>
      <c r="LTE54" s="14"/>
      <c r="LTF54" s="20"/>
      <c r="LTG54" s="13"/>
      <c r="LTH54" s="13"/>
      <c r="LTJ54" s="13"/>
      <c r="LTN54" s="13"/>
      <c r="LTO54" s="13"/>
      <c r="LTP54" s="15"/>
      <c r="LTQ54" s="16"/>
      <c r="LTR54" s="12"/>
      <c r="LTS54" s="12"/>
      <c r="LTT54" s="12"/>
      <c r="LTU54" s="12"/>
      <c r="LTV54" s="12"/>
      <c r="LTW54" s="12"/>
      <c r="LTX54" s="12"/>
      <c r="LTY54" s="18"/>
      <c r="LUC54" s="13"/>
      <c r="LUD54" s="14"/>
      <c r="LUE54" s="14"/>
      <c r="LUF54" s="20"/>
      <c r="LUG54" s="13"/>
      <c r="LUH54" s="13"/>
      <c r="LUJ54" s="13"/>
      <c r="LUN54" s="13"/>
      <c r="LUO54" s="13"/>
      <c r="LUP54" s="15"/>
      <c r="LUQ54" s="16"/>
      <c r="LUR54" s="12"/>
      <c r="LUS54" s="12"/>
      <c r="LUT54" s="12"/>
      <c r="LUU54" s="12"/>
      <c r="LUV54" s="12"/>
      <c r="LUW54" s="12"/>
      <c r="LUX54" s="12"/>
      <c r="LUY54" s="18"/>
      <c r="LVC54" s="13"/>
      <c r="LVD54" s="14"/>
      <c r="LVE54" s="14"/>
      <c r="LVF54" s="20"/>
      <c r="LVG54" s="13"/>
      <c r="LVH54" s="13"/>
      <c r="LVJ54" s="13"/>
      <c r="LVN54" s="13"/>
      <c r="LVO54" s="13"/>
      <c r="LVP54" s="15"/>
      <c r="LVQ54" s="16"/>
      <c r="LVR54" s="12"/>
      <c r="LVS54" s="12"/>
      <c r="LVT54" s="12"/>
      <c r="LVU54" s="12"/>
      <c r="LVV54" s="12"/>
      <c r="LVW54" s="12"/>
      <c r="LVX54" s="12"/>
      <c r="LVY54" s="18"/>
      <c r="LWC54" s="13"/>
      <c r="LWD54" s="14"/>
      <c r="LWE54" s="14"/>
      <c r="LWF54" s="20"/>
      <c r="LWG54" s="13"/>
      <c r="LWH54" s="13"/>
      <c r="LWJ54" s="13"/>
      <c r="LWN54" s="13"/>
      <c r="LWO54" s="13"/>
      <c r="LWP54" s="15"/>
      <c r="LWQ54" s="16"/>
      <c r="LWR54" s="12"/>
      <c r="LWS54" s="12"/>
      <c r="LWT54" s="12"/>
      <c r="LWU54" s="12"/>
      <c r="LWV54" s="12"/>
      <c r="LWW54" s="12"/>
      <c r="LWX54" s="12"/>
      <c r="LWY54" s="18"/>
      <c r="LXC54" s="13"/>
      <c r="LXD54" s="14"/>
      <c r="LXE54" s="14"/>
      <c r="LXF54" s="20"/>
      <c r="LXG54" s="13"/>
      <c r="LXH54" s="13"/>
      <c r="LXJ54" s="13"/>
      <c r="LXN54" s="13"/>
      <c r="LXO54" s="13"/>
      <c r="LXP54" s="15"/>
      <c r="LXQ54" s="16"/>
      <c r="LXR54" s="12"/>
      <c r="LXS54" s="12"/>
      <c r="LXT54" s="12"/>
      <c r="LXU54" s="12"/>
      <c r="LXV54" s="12"/>
      <c r="LXW54" s="12"/>
      <c r="LXX54" s="12"/>
      <c r="LXY54" s="18"/>
      <c r="LYC54" s="13"/>
      <c r="LYD54" s="14"/>
      <c r="LYE54" s="14"/>
      <c r="LYF54" s="20"/>
      <c r="LYG54" s="13"/>
      <c r="LYH54" s="13"/>
      <c r="LYJ54" s="13"/>
      <c r="LYN54" s="13"/>
      <c r="LYO54" s="13"/>
      <c r="LYP54" s="15"/>
      <c r="LYQ54" s="16"/>
      <c r="LYR54" s="12"/>
      <c r="LYS54" s="12"/>
      <c r="LYT54" s="12"/>
      <c r="LYU54" s="12"/>
      <c r="LYV54" s="12"/>
      <c r="LYW54" s="12"/>
      <c r="LYX54" s="12"/>
      <c r="LYY54" s="18"/>
      <c r="LZC54" s="13"/>
      <c r="LZD54" s="14"/>
      <c r="LZE54" s="14"/>
      <c r="LZF54" s="20"/>
      <c r="LZG54" s="13"/>
      <c r="LZH54" s="13"/>
      <c r="LZJ54" s="13"/>
      <c r="LZN54" s="13"/>
      <c r="LZO54" s="13"/>
      <c r="LZP54" s="15"/>
      <c r="LZQ54" s="16"/>
      <c r="LZR54" s="12"/>
      <c r="LZS54" s="12"/>
      <c r="LZT54" s="12"/>
      <c r="LZU54" s="12"/>
      <c r="LZV54" s="12"/>
      <c r="LZW54" s="12"/>
      <c r="LZX54" s="12"/>
      <c r="LZY54" s="18"/>
      <c r="MAC54" s="13"/>
      <c r="MAD54" s="14"/>
      <c r="MAE54" s="14"/>
      <c r="MAF54" s="20"/>
      <c r="MAG54" s="13"/>
      <c r="MAH54" s="13"/>
      <c r="MAJ54" s="13"/>
      <c r="MAN54" s="13"/>
      <c r="MAO54" s="13"/>
      <c r="MAP54" s="15"/>
      <c r="MAQ54" s="16"/>
      <c r="MAR54" s="12"/>
      <c r="MAS54" s="12"/>
      <c r="MAT54" s="12"/>
      <c r="MAU54" s="12"/>
      <c r="MAV54" s="12"/>
      <c r="MAW54" s="12"/>
      <c r="MAX54" s="12"/>
      <c r="MAY54" s="18"/>
      <c r="MBC54" s="13"/>
      <c r="MBD54" s="14"/>
      <c r="MBE54" s="14"/>
      <c r="MBF54" s="20"/>
      <c r="MBG54" s="13"/>
      <c r="MBH54" s="13"/>
      <c r="MBJ54" s="13"/>
      <c r="MBN54" s="13"/>
      <c r="MBO54" s="13"/>
      <c r="MBP54" s="15"/>
      <c r="MBQ54" s="16"/>
      <c r="MBR54" s="12"/>
      <c r="MBS54" s="12"/>
      <c r="MBT54" s="12"/>
      <c r="MBU54" s="12"/>
      <c r="MBV54" s="12"/>
      <c r="MBW54" s="12"/>
      <c r="MBX54" s="12"/>
      <c r="MBY54" s="18"/>
      <c r="MCC54" s="13"/>
      <c r="MCD54" s="14"/>
      <c r="MCE54" s="14"/>
      <c r="MCF54" s="20"/>
      <c r="MCG54" s="13"/>
      <c r="MCH54" s="13"/>
      <c r="MCJ54" s="13"/>
      <c r="MCN54" s="13"/>
      <c r="MCO54" s="13"/>
      <c r="MCP54" s="15"/>
      <c r="MCQ54" s="16"/>
      <c r="MCR54" s="12"/>
      <c r="MCS54" s="12"/>
      <c r="MCT54" s="12"/>
      <c r="MCU54" s="12"/>
      <c r="MCV54" s="12"/>
      <c r="MCW54" s="12"/>
      <c r="MCX54" s="12"/>
      <c r="MCY54" s="18"/>
      <c r="MDC54" s="13"/>
      <c r="MDD54" s="14"/>
      <c r="MDE54" s="14"/>
      <c r="MDF54" s="20"/>
      <c r="MDG54" s="13"/>
      <c r="MDH54" s="13"/>
      <c r="MDJ54" s="13"/>
      <c r="MDN54" s="13"/>
      <c r="MDO54" s="13"/>
      <c r="MDP54" s="15"/>
      <c r="MDQ54" s="16"/>
      <c r="MDR54" s="12"/>
      <c r="MDS54" s="12"/>
      <c r="MDT54" s="12"/>
      <c r="MDU54" s="12"/>
      <c r="MDV54" s="12"/>
      <c r="MDW54" s="12"/>
      <c r="MDX54" s="12"/>
      <c r="MDY54" s="18"/>
      <c r="MEC54" s="13"/>
      <c r="MED54" s="14"/>
      <c r="MEE54" s="14"/>
      <c r="MEF54" s="20"/>
      <c r="MEG54" s="13"/>
      <c r="MEH54" s="13"/>
      <c r="MEJ54" s="13"/>
      <c r="MEN54" s="13"/>
      <c r="MEO54" s="13"/>
      <c r="MEP54" s="15"/>
      <c r="MEQ54" s="16"/>
      <c r="MER54" s="12"/>
      <c r="MES54" s="12"/>
      <c r="MET54" s="12"/>
      <c r="MEU54" s="12"/>
      <c r="MEV54" s="12"/>
      <c r="MEW54" s="12"/>
      <c r="MEX54" s="12"/>
      <c r="MEY54" s="18"/>
      <c r="MFC54" s="13"/>
      <c r="MFD54" s="14"/>
      <c r="MFE54" s="14"/>
      <c r="MFF54" s="20"/>
      <c r="MFG54" s="13"/>
      <c r="MFH54" s="13"/>
      <c r="MFJ54" s="13"/>
      <c r="MFN54" s="13"/>
      <c r="MFO54" s="13"/>
      <c r="MFP54" s="15"/>
      <c r="MFQ54" s="16"/>
      <c r="MFR54" s="12"/>
      <c r="MFS54" s="12"/>
      <c r="MFT54" s="12"/>
      <c r="MFU54" s="12"/>
      <c r="MFV54" s="12"/>
      <c r="MFW54" s="12"/>
      <c r="MFX54" s="12"/>
      <c r="MFY54" s="18"/>
      <c r="MGC54" s="13"/>
      <c r="MGD54" s="14"/>
      <c r="MGE54" s="14"/>
      <c r="MGF54" s="20"/>
      <c r="MGG54" s="13"/>
      <c r="MGH54" s="13"/>
      <c r="MGJ54" s="13"/>
      <c r="MGN54" s="13"/>
      <c r="MGO54" s="13"/>
      <c r="MGP54" s="15"/>
      <c r="MGQ54" s="16"/>
      <c r="MGR54" s="12"/>
      <c r="MGS54" s="12"/>
      <c r="MGT54" s="12"/>
      <c r="MGU54" s="12"/>
      <c r="MGV54" s="12"/>
      <c r="MGW54" s="12"/>
      <c r="MGX54" s="12"/>
      <c r="MGY54" s="18"/>
      <c r="MHC54" s="13"/>
      <c r="MHD54" s="14"/>
      <c r="MHE54" s="14"/>
      <c r="MHF54" s="20"/>
      <c r="MHG54" s="13"/>
      <c r="MHH54" s="13"/>
      <c r="MHJ54" s="13"/>
      <c r="MHN54" s="13"/>
      <c r="MHO54" s="13"/>
      <c r="MHP54" s="15"/>
      <c r="MHQ54" s="16"/>
      <c r="MHR54" s="12"/>
      <c r="MHS54" s="12"/>
      <c r="MHT54" s="12"/>
      <c r="MHU54" s="12"/>
      <c r="MHV54" s="12"/>
      <c r="MHW54" s="12"/>
      <c r="MHX54" s="12"/>
      <c r="MHY54" s="18"/>
      <c r="MIC54" s="13"/>
      <c r="MID54" s="14"/>
      <c r="MIE54" s="14"/>
      <c r="MIF54" s="20"/>
      <c r="MIG54" s="13"/>
      <c r="MIH54" s="13"/>
      <c r="MIJ54" s="13"/>
      <c r="MIN54" s="13"/>
      <c r="MIO54" s="13"/>
      <c r="MIP54" s="15"/>
      <c r="MIQ54" s="16"/>
      <c r="MIR54" s="12"/>
      <c r="MIS54" s="12"/>
      <c r="MIT54" s="12"/>
      <c r="MIU54" s="12"/>
      <c r="MIV54" s="12"/>
      <c r="MIW54" s="12"/>
      <c r="MIX54" s="12"/>
      <c r="MIY54" s="18"/>
      <c r="MJC54" s="13"/>
      <c r="MJD54" s="14"/>
      <c r="MJE54" s="14"/>
      <c r="MJF54" s="20"/>
      <c r="MJG54" s="13"/>
      <c r="MJH54" s="13"/>
      <c r="MJJ54" s="13"/>
      <c r="MJN54" s="13"/>
      <c r="MJO54" s="13"/>
      <c r="MJP54" s="15"/>
      <c r="MJQ54" s="16"/>
      <c r="MJR54" s="12"/>
      <c r="MJS54" s="12"/>
      <c r="MJT54" s="12"/>
      <c r="MJU54" s="12"/>
      <c r="MJV54" s="12"/>
      <c r="MJW54" s="12"/>
      <c r="MJX54" s="12"/>
      <c r="MJY54" s="18"/>
      <c r="MKC54" s="13"/>
      <c r="MKD54" s="14"/>
      <c r="MKE54" s="14"/>
      <c r="MKF54" s="20"/>
      <c r="MKG54" s="13"/>
      <c r="MKH54" s="13"/>
      <c r="MKJ54" s="13"/>
      <c r="MKN54" s="13"/>
      <c r="MKO54" s="13"/>
      <c r="MKP54" s="15"/>
      <c r="MKQ54" s="16"/>
      <c r="MKR54" s="12"/>
      <c r="MKS54" s="12"/>
      <c r="MKT54" s="12"/>
      <c r="MKU54" s="12"/>
      <c r="MKV54" s="12"/>
      <c r="MKW54" s="12"/>
      <c r="MKX54" s="12"/>
      <c r="MKY54" s="18"/>
      <c r="MLC54" s="13"/>
      <c r="MLD54" s="14"/>
      <c r="MLE54" s="14"/>
      <c r="MLF54" s="20"/>
      <c r="MLG54" s="13"/>
      <c r="MLH54" s="13"/>
      <c r="MLJ54" s="13"/>
      <c r="MLN54" s="13"/>
      <c r="MLO54" s="13"/>
      <c r="MLP54" s="15"/>
      <c r="MLQ54" s="16"/>
      <c r="MLR54" s="12"/>
      <c r="MLS54" s="12"/>
      <c r="MLT54" s="12"/>
      <c r="MLU54" s="12"/>
      <c r="MLV54" s="12"/>
      <c r="MLW54" s="12"/>
      <c r="MLX54" s="12"/>
      <c r="MLY54" s="18"/>
      <c r="MMC54" s="13"/>
      <c r="MMD54" s="14"/>
      <c r="MME54" s="14"/>
      <c r="MMF54" s="20"/>
      <c r="MMG54" s="13"/>
      <c r="MMH54" s="13"/>
      <c r="MMJ54" s="13"/>
      <c r="MMN54" s="13"/>
      <c r="MMO54" s="13"/>
      <c r="MMP54" s="15"/>
      <c r="MMQ54" s="16"/>
      <c r="MMR54" s="12"/>
      <c r="MMS54" s="12"/>
      <c r="MMT54" s="12"/>
      <c r="MMU54" s="12"/>
      <c r="MMV54" s="12"/>
      <c r="MMW54" s="12"/>
      <c r="MMX54" s="12"/>
      <c r="MMY54" s="18"/>
      <c r="MNC54" s="13"/>
      <c r="MND54" s="14"/>
      <c r="MNE54" s="14"/>
      <c r="MNF54" s="20"/>
      <c r="MNG54" s="13"/>
      <c r="MNH54" s="13"/>
      <c r="MNJ54" s="13"/>
      <c r="MNN54" s="13"/>
      <c r="MNO54" s="13"/>
      <c r="MNP54" s="15"/>
      <c r="MNQ54" s="16"/>
      <c r="MNR54" s="12"/>
      <c r="MNS54" s="12"/>
      <c r="MNT54" s="12"/>
      <c r="MNU54" s="12"/>
      <c r="MNV54" s="12"/>
      <c r="MNW54" s="12"/>
      <c r="MNX54" s="12"/>
      <c r="MNY54" s="18"/>
      <c r="MOC54" s="13"/>
      <c r="MOD54" s="14"/>
      <c r="MOE54" s="14"/>
      <c r="MOF54" s="20"/>
      <c r="MOG54" s="13"/>
      <c r="MOH54" s="13"/>
      <c r="MOJ54" s="13"/>
      <c r="MON54" s="13"/>
      <c r="MOO54" s="13"/>
      <c r="MOP54" s="15"/>
      <c r="MOQ54" s="16"/>
      <c r="MOR54" s="12"/>
      <c r="MOS54" s="12"/>
      <c r="MOT54" s="12"/>
      <c r="MOU54" s="12"/>
      <c r="MOV54" s="12"/>
      <c r="MOW54" s="12"/>
      <c r="MOX54" s="12"/>
      <c r="MOY54" s="18"/>
      <c r="MPC54" s="13"/>
      <c r="MPD54" s="14"/>
      <c r="MPE54" s="14"/>
      <c r="MPF54" s="20"/>
      <c r="MPG54" s="13"/>
      <c r="MPH54" s="13"/>
      <c r="MPJ54" s="13"/>
      <c r="MPN54" s="13"/>
      <c r="MPO54" s="13"/>
      <c r="MPP54" s="15"/>
      <c r="MPQ54" s="16"/>
      <c r="MPR54" s="12"/>
      <c r="MPS54" s="12"/>
      <c r="MPT54" s="12"/>
      <c r="MPU54" s="12"/>
      <c r="MPV54" s="12"/>
      <c r="MPW54" s="12"/>
      <c r="MPX54" s="12"/>
      <c r="MPY54" s="18"/>
      <c r="MQC54" s="13"/>
      <c r="MQD54" s="14"/>
      <c r="MQE54" s="14"/>
      <c r="MQF54" s="20"/>
      <c r="MQG54" s="13"/>
      <c r="MQH54" s="13"/>
      <c r="MQJ54" s="13"/>
      <c r="MQN54" s="13"/>
      <c r="MQO54" s="13"/>
      <c r="MQP54" s="15"/>
      <c r="MQQ54" s="16"/>
      <c r="MQR54" s="12"/>
      <c r="MQS54" s="12"/>
      <c r="MQT54" s="12"/>
      <c r="MQU54" s="12"/>
      <c r="MQV54" s="12"/>
      <c r="MQW54" s="12"/>
      <c r="MQX54" s="12"/>
      <c r="MQY54" s="18"/>
      <c r="MRC54" s="13"/>
      <c r="MRD54" s="14"/>
      <c r="MRE54" s="14"/>
      <c r="MRF54" s="20"/>
      <c r="MRG54" s="13"/>
      <c r="MRH54" s="13"/>
      <c r="MRJ54" s="13"/>
      <c r="MRN54" s="13"/>
      <c r="MRO54" s="13"/>
      <c r="MRP54" s="15"/>
      <c r="MRQ54" s="16"/>
      <c r="MRR54" s="12"/>
      <c r="MRS54" s="12"/>
      <c r="MRT54" s="12"/>
      <c r="MRU54" s="12"/>
      <c r="MRV54" s="12"/>
      <c r="MRW54" s="12"/>
      <c r="MRX54" s="12"/>
      <c r="MRY54" s="18"/>
      <c r="MSC54" s="13"/>
      <c r="MSD54" s="14"/>
      <c r="MSE54" s="14"/>
      <c r="MSF54" s="20"/>
      <c r="MSG54" s="13"/>
      <c r="MSH54" s="13"/>
      <c r="MSJ54" s="13"/>
      <c r="MSN54" s="13"/>
      <c r="MSO54" s="13"/>
      <c r="MSP54" s="15"/>
      <c r="MSQ54" s="16"/>
      <c r="MSR54" s="12"/>
      <c r="MSS54" s="12"/>
      <c r="MST54" s="12"/>
      <c r="MSU54" s="12"/>
      <c r="MSV54" s="12"/>
      <c r="MSW54" s="12"/>
      <c r="MSX54" s="12"/>
      <c r="MSY54" s="18"/>
      <c r="MTC54" s="13"/>
      <c r="MTD54" s="14"/>
      <c r="MTE54" s="14"/>
      <c r="MTF54" s="20"/>
      <c r="MTG54" s="13"/>
      <c r="MTH54" s="13"/>
      <c r="MTJ54" s="13"/>
      <c r="MTN54" s="13"/>
      <c r="MTO54" s="13"/>
      <c r="MTP54" s="15"/>
      <c r="MTQ54" s="16"/>
      <c r="MTR54" s="12"/>
      <c r="MTS54" s="12"/>
      <c r="MTT54" s="12"/>
      <c r="MTU54" s="12"/>
      <c r="MTV54" s="12"/>
      <c r="MTW54" s="12"/>
      <c r="MTX54" s="12"/>
      <c r="MTY54" s="18"/>
      <c r="MUC54" s="13"/>
      <c r="MUD54" s="14"/>
      <c r="MUE54" s="14"/>
      <c r="MUF54" s="20"/>
      <c r="MUG54" s="13"/>
      <c r="MUH54" s="13"/>
      <c r="MUJ54" s="13"/>
      <c r="MUN54" s="13"/>
      <c r="MUO54" s="13"/>
      <c r="MUP54" s="15"/>
      <c r="MUQ54" s="16"/>
      <c r="MUR54" s="12"/>
      <c r="MUS54" s="12"/>
      <c r="MUT54" s="12"/>
      <c r="MUU54" s="12"/>
      <c r="MUV54" s="12"/>
      <c r="MUW54" s="12"/>
      <c r="MUX54" s="12"/>
      <c r="MUY54" s="18"/>
      <c r="MVC54" s="13"/>
      <c r="MVD54" s="14"/>
      <c r="MVE54" s="14"/>
      <c r="MVF54" s="20"/>
      <c r="MVG54" s="13"/>
      <c r="MVH54" s="13"/>
      <c r="MVJ54" s="13"/>
      <c r="MVN54" s="13"/>
      <c r="MVO54" s="13"/>
      <c r="MVP54" s="15"/>
      <c r="MVQ54" s="16"/>
      <c r="MVR54" s="12"/>
      <c r="MVS54" s="12"/>
      <c r="MVT54" s="12"/>
      <c r="MVU54" s="12"/>
      <c r="MVV54" s="12"/>
      <c r="MVW54" s="12"/>
      <c r="MVX54" s="12"/>
      <c r="MVY54" s="18"/>
      <c r="MWC54" s="13"/>
      <c r="MWD54" s="14"/>
      <c r="MWE54" s="14"/>
      <c r="MWF54" s="20"/>
      <c r="MWG54" s="13"/>
      <c r="MWH54" s="13"/>
      <c r="MWJ54" s="13"/>
      <c r="MWN54" s="13"/>
      <c r="MWO54" s="13"/>
      <c r="MWP54" s="15"/>
      <c r="MWQ54" s="16"/>
      <c r="MWR54" s="12"/>
      <c r="MWS54" s="12"/>
      <c r="MWT54" s="12"/>
      <c r="MWU54" s="12"/>
      <c r="MWV54" s="12"/>
      <c r="MWW54" s="12"/>
      <c r="MWX54" s="12"/>
      <c r="MWY54" s="18"/>
      <c r="MXC54" s="13"/>
      <c r="MXD54" s="14"/>
      <c r="MXE54" s="14"/>
      <c r="MXF54" s="20"/>
      <c r="MXG54" s="13"/>
      <c r="MXH54" s="13"/>
      <c r="MXJ54" s="13"/>
      <c r="MXN54" s="13"/>
      <c r="MXO54" s="13"/>
      <c r="MXP54" s="15"/>
      <c r="MXQ54" s="16"/>
      <c r="MXR54" s="12"/>
      <c r="MXS54" s="12"/>
      <c r="MXT54" s="12"/>
      <c r="MXU54" s="12"/>
      <c r="MXV54" s="12"/>
      <c r="MXW54" s="12"/>
      <c r="MXX54" s="12"/>
      <c r="MXY54" s="18"/>
      <c r="MYC54" s="13"/>
      <c r="MYD54" s="14"/>
      <c r="MYE54" s="14"/>
      <c r="MYF54" s="20"/>
      <c r="MYG54" s="13"/>
      <c r="MYH54" s="13"/>
      <c r="MYJ54" s="13"/>
      <c r="MYN54" s="13"/>
      <c r="MYO54" s="13"/>
      <c r="MYP54" s="15"/>
      <c r="MYQ54" s="16"/>
      <c r="MYR54" s="12"/>
      <c r="MYS54" s="12"/>
      <c r="MYT54" s="12"/>
      <c r="MYU54" s="12"/>
      <c r="MYV54" s="12"/>
      <c r="MYW54" s="12"/>
      <c r="MYX54" s="12"/>
      <c r="MYY54" s="18"/>
      <c r="MZC54" s="13"/>
      <c r="MZD54" s="14"/>
      <c r="MZE54" s="14"/>
      <c r="MZF54" s="20"/>
      <c r="MZG54" s="13"/>
      <c r="MZH54" s="13"/>
      <c r="MZJ54" s="13"/>
      <c r="MZN54" s="13"/>
      <c r="MZO54" s="13"/>
      <c r="MZP54" s="15"/>
      <c r="MZQ54" s="16"/>
      <c r="MZR54" s="12"/>
      <c r="MZS54" s="12"/>
      <c r="MZT54" s="12"/>
      <c r="MZU54" s="12"/>
      <c r="MZV54" s="12"/>
      <c r="MZW54" s="12"/>
      <c r="MZX54" s="12"/>
      <c r="MZY54" s="18"/>
      <c r="NAC54" s="13"/>
      <c r="NAD54" s="14"/>
      <c r="NAE54" s="14"/>
      <c r="NAF54" s="20"/>
      <c r="NAG54" s="13"/>
      <c r="NAH54" s="13"/>
      <c r="NAJ54" s="13"/>
      <c r="NAN54" s="13"/>
      <c r="NAO54" s="13"/>
      <c r="NAP54" s="15"/>
      <c r="NAQ54" s="16"/>
      <c r="NAR54" s="12"/>
      <c r="NAS54" s="12"/>
      <c r="NAT54" s="12"/>
      <c r="NAU54" s="12"/>
      <c r="NAV54" s="12"/>
      <c r="NAW54" s="12"/>
      <c r="NAX54" s="12"/>
      <c r="NAY54" s="18"/>
      <c r="NBC54" s="13"/>
      <c r="NBD54" s="14"/>
      <c r="NBE54" s="14"/>
      <c r="NBF54" s="20"/>
      <c r="NBG54" s="13"/>
      <c r="NBH54" s="13"/>
      <c r="NBJ54" s="13"/>
      <c r="NBN54" s="13"/>
      <c r="NBO54" s="13"/>
      <c r="NBP54" s="15"/>
      <c r="NBQ54" s="16"/>
      <c r="NBR54" s="12"/>
      <c r="NBS54" s="12"/>
      <c r="NBT54" s="12"/>
      <c r="NBU54" s="12"/>
      <c r="NBV54" s="12"/>
      <c r="NBW54" s="12"/>
      <c r="NBX54" s="12"/>
      <c r="NBY54" s="18"/>
      <c r="NCC54" s="13"/>
      <c r="NCD54" s="14"/>
      <c r="NCE54" s="14"/>
      <c r="NCF54" s="20"/>
      <c r="NCG54" s="13"/>
      <c r="NCH54" s="13"/>
      <c r="NCJ54" s="13"/>
      <c r="NCN54" s="13"/>
      <c r="NCO54" s="13"/>
      <c r="NCP54" s="15"/>
      <c r="NCQ54" s="16"/>
      <c r="NCR54" s="12"/>
      <c r="NCS54" s="12"/>
      <c r="NCT54" s="12"/>
      <c r="NCU54" s="12"/>
      <c r="NCV54" s="12"/>
      <c r="NCW54" s="12"/>
      <c r="NCX54" s="12"/>
      <c r="NCY54" s="18"/>
      <c r="NDC54" s="13"/>
      <c r="NDD54" s="14"/>
      <c r="NDE54" s="14"/>
      <c r="NDF54" s="20"/>
      <c r="NDG54" s="13"/>
      <c r="NDH54" s="13"/>
      <c r="NDJ54" s="13"/>
      <c r="NDN54" s="13"/>
      <c r="NDO54" s="13"/>
      <c r="NDP54" s="15"/>
      <c r="NDQ54" s="16"/>
      <c r="NDR54" s="12"/>
      <c r="NDS54" s="12"/>
      <c r="NDT54" s="12"/>
      <c r="NDU54" s="12"/>
      <c r="NDV54" s="12"/>
      <c r="NDW54" s="12"/>
      <c r="NDX54" s="12"/>
      <c r="NDY54" s="18"/>
      <c r="NEC54" s="13"/>
      <c r="NED54" s="14"/>
      <c r="NEE54" s="14"/>
      <c r="NEF54" s="20"/>
      <c r="NEG54" s="13"/>
      <c r="NEH54" s="13"/>
      <c r="NEJ54" s="13"/>
      <c r="NEN54" s="13"/>
      <c r="NEO54" s="13"/>
      <c r="NEP54" s="15"/>
      <c r="NEQ54" s="16"/>
      <c r="NER54" s="12"/>
      <c r="NES54" s="12"/>
      <c r="NET54" s="12"/>
      <c r="NEU54" s="12"/>
      <c r="NEV54" s="12"/>
      <c r="NEW54" s="12"/>
      <c r="NEX54" s="12"/>
      <c r="NEY54" s="18"/>
      <c r="NFC54" s="13"/>
      <c r="NFD54" s="14"/>
      <c r="NFE54" s="14"/>
      <c r="NFF54" s="20"/>
      <c r="NFG54" s="13"/>
      <c r="NFH54" s="13"/>
      <c r="NFJ54" s="13"/>
      <c r="NFN54" s="13"/>
      <c r="NFO54" s="13"/>
      <c r="NFP54" s="15"/>
      <c r="NFQ54" s="16"/>
      <c r="NFR54" s="12"/>
      <c r="NFS54" s="12"/>
      <c r="NFT54" s="12"/>
      <c r="NFU54" s="12"/>
      <c r="NFV54" s="12"/>
      <c r="NFW54" s="12"/>
      <c r="NFX54" s="12"/>
      <c r="NFY54" s="18"/>
      <c r="NGC54" s="13"/>
      <c r="NGD54" s="14"/>
      <c r="NGE54" s="14"/>
      <c r="NGF54" s="20"/>
      <c r="NGG54" s="13"/>
      <c r="NGH54" s="13"/>
      <c r="NGJ54" s="13"/>
      <c r="NGN54" s="13"/>
      <c r="NGO54" s="13"/>
      <c r="NGP54" s="15"/>
      <c r="NGQ54" s="16"/>
      <c r="NGR54" s="12"/>
      <c r="NGS54" s="12"/>
      <c r="NGT54" s="12"/>
      <c r="NGU54" s="12"/>
      <c r="NGV54" s="12"/>
      <c r="NGW54" s="12"/>
      <c r="NGX54" s="12"/>
      <c r="NGY54" s="18"/>
      <c r="NHC54" s="13"/>
      <c r="NHD54" s="14"/>
      <c r="NHE54" s="14"/>
      <c r="NHF54" s="20"/>
      <c r="NHG54" s="13"/>
      <c r="NHH54" s="13"/>
      <c r="NHJ54" s="13"/>
      <c r="NHN54" s="13"/>
      <c r="NHO54" s="13"/>
      <c r="NHP54" s="15"/>
      <c r="NHQ54" s="16"/>
      <c r="NHR54" s="12"/>
      <c r="NHS54" s="12"/>
      <c r="NHT54" s="12"/>
      <c r="NHU54" s="12"/>
      <c r="NHV54" s="12"/>
      <c r="NHW54" s="12"/>
      <c r="NHX54" s="12"/>
      <c r="NHY54" s="18"/>
      <c r="NIC54" s="13"/>
      <c r="NID54" s="14"/>
      <c r="NIE54" s="14"/>
      <c r="NIF54" s="20"/>
      <c r="NIG54" s="13"/>
      <c r="NIH54" s="13"/>
      <c r="NIJ54" s="13"/>
      <c r="NIN54" s="13"/>
      <c r="NIO54" s="13"/>
      <c r="NIP54" s="15"/>
      <c r="NIQ54" s="16"/>
      <c r="NIR54" s="12"/>
      <c r="NIS54" s="12"/>
      <c r="NIT54" s="12"/>
      <c r="NIU54" s="12"/>
      <c r="NIV54" s="12"/>
      <c r="NIW54" s="12"/>
      <c r="NIX54" s="12"/>
      <c r="NIY54" s="18"/>
      <c r="NJC54" s="13"/>
      <c r="NJD54" s="14"/>
      <c r="NJE54" s="14"/>
      <c r="NJF54" s="20"/>
      <c r="NJG54" s="13"/>
      <c r="NJH54" s="13"/>
      <c r="NJJ54" s="13"/>
      <c r="NJN54" s="13"/>
      <c r="NJO54" s="13"/>
      <c r="NJP54" s="15"/>
      <c r="NJQ54" s="16"/>
      <c r="NJR54" s="12"/>
      <c r="NJS54" s="12"/>
      <c r="NJT54" s="12"/>
      <c r="NJU54" s="12"/>
      <c r="NJV54" s="12"/>
      <c r="NJW54" s="12"/>
      <c r="NJX54" s="12"/>
      <c r="NJY54" s="18"/>
      <c r="NKC54" s="13"/>
      <c r="NKD54" s="14"/>
      <c r="NKE54" s="14"/>
      <c r="NKF54" s="20"/>
      <c r="NKG54" s="13"/>
      <c r="NKH54" s="13"/>
      <c r="NKJ54" s="13"/>
      <c r="NKN54" s="13"/>
      <c r="NKO54" s="13"/>
      <c r="NKP54" s="15"/>
      <c r="NKQ54" s="16"/>
      <c r="NKR54" s="12"/>
      <c r="NKS54" s="12"/>
      <c r="NKT54" s="12"/>
      <c r="NKU54" s="12"/>
      <c r="NKV54" s="12"/>
      <c r="NKW54" s="12"/>
      <c r="NKX54" s="12"/>
      <c r="NKY54" s="18"/>
      <c r="NLC54" s="13"/>
      <c r="NLD54" s="14"/>
      <c r="NLE54" s="14"/>
      <c r="NLF54" s="20"/>
      <c r="NLG54" s="13"/>
      <c r="NLH54" s="13"/>
      <c r="NLJ54" s="13"/>
      <c r="NLN54" s="13"/>
      <c r="NLO54" s="13"/>
      <c r="NLP54" s="15"/>
      <c r="NLQ54" s="16"/>
      <c r="NLR54" s="12"/>
      <c r="NLS54" s="12"/>
      <c r="NLT54" s="12"/>
      <c r="NLU54" s="12"/>
      <c r="NLV54" s="12"/>
      <c r="NLW54" s="12"/>
      <c r="NLX54" s="12"/>
      <c r="NLY54" s="18"/>
      <c r="NMC54" s="13"/>
      <c r="NMD54" s="14"/>
      <c r="NME54" s="14"/>
      <c r="NMF54" s="20"/>
      <c r="NMG54" s="13"/>
      <c r="NMH54" s="13"/>
      <c r="NMJ54" s="13"/>
      <c r="NMN54" s="13"/>
      <c r="NMO54" s="13"/>
      <c r="NMP54" s="15"/>
      <c r="NMQ54" s="16"/>
      <c r="NMR54" s="12"/>
      <c r="NMS54" s="12"/>
      <c r="NMT54" s="12"/>
      <c r="NMU54" s="12"/>
      <c r="NMV54" s="12"/>
      <c r="NMW54" s="12"/>
      <c r="NMX54" s="12"/>
      <c r="NMY54" s="18"/>
      <c r="NNC54" s="13"/>
      <c r="NND54" s="14"/>
      <c r="NNE54" s="14"/>
      <c r="NNF54" s="20"/>
      <c r="NNG54" s="13"/>
      <c r="NNH54" s="13"/>
      <c r="NNJ54" s="13"/>
      <c r="NNN54" s="13"/>
      <c r="NNO54" s="13"/>
      <c r="NNP54" s="15"/>
      <c r="NNQ54" s="16"/>
      <c r="NNR54" s="12"/>
      <c r="NNS54" s="12"/>
      <c r="NNT54" s="12"/>
      <c r="NNU54" s="12"/>
      <c r="NNV54" s="12"/>
      <c r="NNW54" s="12"/>
      <c r="NNX54" s="12"/>
      <c r="NNY54" s="18"/>
      <c r="NOC54" s="13"/>
      <c r="NOD54" s="14"/>
      <c r="NOE54" s="14"/>
      <c r="NOF54" s="20"/>
      <c r="NOG54" s="13"/>
      <c r="NOH54" s="13"/>
      <c r="NOJ54" s="13"/>
      <c r="NON54" s="13"/>
      <c r="NOO54" s="13"/>
      <c r="NOP54" s="15"/>
      <c r="NOQ54" s="16"/>
      <c r="NOR54" s="12"/>
      <c r="NOS54" s="12"/>
      <c r="NOT54" s="12"/>
      <c r="NOU54" s="12"/>
      <c r="NOV54" s="12"/>
      <c r="NOW54" s="12"/>
      <c r="NOX54" s="12"/>
      <c r="NOY54" s="18"/>
      <c r="NPC54" s="13"/>
      <c r="NPD54" s="14"/>
      <c r="NPE54" s="14"/>
      <c r="NPF54" s="20"/>
      <c r="NPG54" s="13"/>
      <c r="NPH54" s="13"/>
      <c r="NPJ54" s="13"/>
      <c r="NPN54" s="13"/>
      <c r="NPO54" s="13"/>
      <c r="NPP54" s="15"/>
      <c r="NPQ54" s="16"/>
      <c r="NPR54" s="12"/>
      <c r="NPS54" s="12"/>
      <c r="NPT54" s="12"/>
      <c r="NPU54" s="12"/>
      <c r="NPV54" s="12"/>
      <c r="NPW54" s="12"/>
      <c r="NPX54" s="12"/>
      <c r="NPY54" s="18"/>
      <c r="NQC54" s="13"/>
      <c r="NQD54" s="14"/>
      <c r="NQE54" s="14"/>
      <c r="NQF54" s="20"/>
      <c r="NQG54" s="13"/>
      <c r="NQH54" s="13"/>
      <c r="NQJ54" s="13"/>
      <c r="NQN54" s="13"/>
      <c r="NQO54" s="13"/>
      <c r="NQP54" s="15"/>
      <c r="NQQ54" s="16"/>
      <c r="NQR54" s="12"/>
      <c r="NQS54" s="12"/>
      <c r="NQT54" s="12"/>
      <c r="NQU54" s="12"/>
      <c r="NQV54" s="12"/>
      <c r="NQW54" s="12"/>
      <c r="NQX54" s="12"/>
      <c r="NQY54" s="18"/>
      <c r="NRC54" s="13"/>
      <c r="NRD54" s="14"/>
      <c r="NRE54" s="14"/>
      <c r="NRF54" s="20"/>
      <c r="NRG54" s="13"/>
      <c r="NRH54" s="13"/>
      <c r="NRJ54" s="13"/>
      <c r="NRN54" s="13"/>
      <c r="NRO54" s="13"/>
      <c r="NRP54" s="15"/>
      <c r="NRQ54" s="16"/>
      <c r="NRR54" s="12"/>
      <c r="NRS54" s="12"/>
      <c r="NRT54" s="12"/>
      <c r="NRU54" s="12"/>
      <c r="NRV54" s="12"/>
      <c r="NRW54" s="12"/>
      <c r="NRX54" s="12"/>
      <c r="NRY54" s="18"/>
      <c r="NSC54" s="13"/>
      <c r="NSD54" s="14"/>
      <c r="NSE54" s="14"/>
      <c r="NSF54" s="20"/>
      <c r="NSG54" s="13"/>
      <c r="NSH54" s="13"/>
      <c r="NSJ54" s="13"/>
      <c r="NSN54" s="13"/>
      <c r="NSO54" s="13"/>
      <c r="NSP54" s="15"/>
      <c r="NSQ54" s="16"/>
      <c r="NSR54" s="12"/>
      <c r="NSS54" s="12"/>
      <c r="NST54" s="12"/>
      <c r="NSU54" s="12"/>
      <c r="NSV54" s="12"/>
      <c r="NSW54" s="12"/>
      <c r="NSX54" s="12"/>
      <c r="NSY54" s="18"/>
      <c r="NTC54" s="13"/>
      <c r="NTD54" s="14"/>
      <c r="NTE54" s="14"/>
      <c r="NTF54" s="20"/>
      <c r="NTG54" s="13"/>
      <c r="NTH54" s="13"/>
      <c r="NTJ54" s="13"/>
      <c r="NTN54" s="13"/>
      <c r="NTO54" s="13"/>
      <c r="NTP54" s="15"/>
      <c r="NTQ54" s="16"/>
      <c r="NTR54" s="12"/>
      <c r="NTS54" s="12"/>
      <c r="NTT54" s="12"/>
      <c r="NTU54" s="12"/>
      <c r="NTV54" s="12"/>
      <c r="NTW54" s="12"/>
      <c r="NTX54" s="12"/>
      <c r="NTY54" s="18"/>
      <c r="NUC54" s="13"/>
      <c r="NUD54" s="14"/>
      <c r="NUE54" s="14"/>
      <c r="NUF54" s="20"/>
      <c r="NUG54" s="13"/>
      <c r="NUH54" s="13"/>
      <c r="NUJ54" s="13"/>
      <c r="NUN54" s="13"/>
      <c r="NUO54" s="13"/>
      <c r="NUP54" s="15"/>
      <c r="NUQ54" s="16"/>
      <c r="NUR54" s="12"/>
      <c r="NUS54" s="12"/>
      <c r="NUT54" s="12"/>
      <c r="NUU54" s="12"/>
      <c r="NUV54" s="12"/>
      <c r="NUW54" s="12"/>
      <c r="NUX54" s="12"/>
      <c r="NUY54" s="18"/>
      <c r="NVC54" s="13"/>
      <c r="NVD54" s="14"/>
      <c r="NVE54" s="14"/>
      <c r="NVF54" s="20"/>
      <c r="NVG54" s="13"/>
      <c r="NVH54" s="13"/>
      <c r="NVJ54" s="13"/>
      <c r="NVN54" s="13"/>
      <c r="NVO54" s="13"/>
      <c r="NVP54" s="15"/>
      <c r="NVQ54" s="16"/>
      <c r="NVR54" s="12"/>
      <c r="NVS54" s="12"/>
      <c r="NVT54" s="12"/>
      <c r="NVU54" s="12"/>
      <c r="NVV54" s="12"/>
      <c r="NVW54" s="12"/>
      <c r="NVX54" s="12"/>
      <c r="NVY54" s="18"/>
      <c r="NWC54" s="13"/>
      <c r="NWD54" s="14"/>
      <c r="NWE54" s="14"/>
      <c r="NWF54" s="20"/>
      <c r="NWG54" s="13"/>
      <c r="NWH54" s="13"/>
      <c r="NWJ54" s="13"/>
      <c r="NWN54" s="13"/>
      <c r="NWO54" s="13"/>
      <c r="NWP54" s="15"/>
      <c r="NWQ54" s="16"/>
      <c r="NWR54" s="12"/>
      <c r="NWS54" s="12"/>
      <c r="NWT54" s="12"/>
      <c r="NWU54" s="12"/>
      <c r="NWV54" s="12"/>
      <c r="NWW54" s="12"/>
      <c r="NWX54" s="12"/>
      <c r="NWY54" s="18"/>
      <c r="NXC54" s="13"/>
      <c r="NXD54" s="14"/>
      <c r="NXE54" s="14"/>
      <c r="NXF54" s="20"/>
      <c r="NXG54" s="13"/>
      <c r="NXH54" s="13"/>
      <c r="NXJ54" s="13"/>
      <c r="NXN54" s="13"/>
      <c r="NXO54" s="13"/>
      <c r="NXP54" s="15"/>
      <c r="NXQ54" s="16"/>
      <c r="NXR54" s="12"/>
      <c r="NXS54" s="12"/>
      <c r="NXT54" s="12"/>
      <c r="NXU54" s="12"/>
      <c r="NXV54" s="12"/>
      <c r="NXW54" s="12"/>
      <c r="NXX54" s="12"/>
      <c r="NXY54" s="18"/>
      <c r="NYC54" s="13"/>
      <c r="NYD54" s="14"/>
      <c r="NYE54" s="14"/>
      <c r="NYF54" s="20"/>
      <c r="NYG54" s="13"/>
      <c r="NYH54" s="13"/>
      <c r="NYJ54" s="13"/>
      <c r="NYN54" s="13"/>
      <c r="NYO54" s="13"/>
      <c r="NYP54" s="15"/>
      <c r="NYQ54" s="16"/>
      <c r="NYR54" s="12"/>
      <c r="NYS54" s="12"/>
      <c r="NYT54" s="12"/>
      <c r="NYU54" s="12"/>
      <c r="NYV54" s="12"/>
      <c r="NYW54" s="12"/>
      <c r="NYX54" s="12"/>
      <c r="NYY54" s="18"/>
      <c r="NZC54" s="13"/>
      <c r="NZD54" s="14"/>
      <c r="NZE54" s="14"/>
      <c r="NZF54" s="20"/>
      <c r="NZG54" s="13"/>
      <c r="NZH54" s="13"/>
      <c r="NZJ54" s="13"/>
      <c r="NZN54" s="13"/>
      <c r="NZO54" s="13"/>
      <c r="NZP54" s="15"/>
      <c r="NZQ54" s="16"/>
      <c r="NZR54" s="12"/>
      <c r="NZS54" s="12"/>
      <c r="NZT54" s="12"/>
      <c r="NZU54" s="12"/>
      <c r="NZV54" s="12"/>
      <c r="NZW54" s="12"/>
      <c r="NZX54" s="12"/>
      <c r="NZY54" s="18"/>
      <c r="OAC54" s="13"/>
      <c r="OAD54" s="14"/>
      <c r="OAE54" s="14"/>
      <c r="OAF54" s="20"/>
      <c r="OAG54" s="13"/>
      <c r="OAH54" s="13"/>
      <c r="OAJ54" s="13"/>
      <c r="OAN54" s="13"/>
      <c r="OAO54" s="13"/>
      <c r="OAP54" s="15"/>
      <c r="OAQ54" s="16"/>
      <c r="OAR54" s="12"/>
      <c r="OAS54" s="12"/>
      <c r="OAT54" s="12"/>
      <c r="OAU54" s="12"/>
      <c r="OAV54" s="12"/>
      <c r="OAW54" s="12"/>
      <c r="OAX54" s="12"/>
      <c r="OAY54" s="18"/>
      <c r="OBC54" s="13"/>
      <c r="OBD54" s="14"/>
      <c r="OBE54" s="14"/>
      <c r="OBF54" s="20"/>
      <c r="OBG54" s="13"/>
      <c r="OBH54" s="13"/>
      <c r="OBJ54" s="13"/>
      <c r="OBN54" s="13"/>
      <c r="OBO54" s="13"/>
      <c r="OBP54" s="15"/>
      <c r="OBQ54" s="16"/>
      <c r="OBR54" s="12"/>
      <c r="OBS54" s="12"/>
      <c r="OBT54" s="12"/>
      <c r="OBU54" s="12"/>
      <c r="OBV54" s="12"/>
      <c r="OBW54" s="12"/>
      <c r="OBX54" s="12"/>
      <c r="OBY54" s="18"/>
      <c r="OCC54" s="13"/>
      <c r="OCD54" s="14"/>
      <c r="OCE54" s="14"/>
      <c r="OCF54" s="20"/>
      <c r="OCG54" s="13"/>
      <c r="OCH54" s="13"/>
      <c r="OCJ54" s="13"/>
      <c r="OCN54" s="13"/>
      <c r="OCO54" s="13"/>
      <c r="OCP54" s="15"/>
      <c r="OCQ54" s="16"/>
      <c r="OCR54" s="12"/>
      <c r="OCS54" s="12"/>
      <c r="OCT54" s="12"/>
      <c r="OCU54" s="12"/>
      <c r="OCV54" s="12"/>
      <c r="OCW54" s="12"/>
      <c r="OCX54" s="12"/>
      <c r="OCY54" s="18"/>
      <c r="ODC54" s="13"/>
      <c r="ODD54" s="14"/>
      <c r="ODE54" s="14"/>
      <c r="ODF54" s="20"/>
      <c r="ODG54" s="13"/>
      <c r="ODH54" s="13"/>
      <c r="ODJ54" s="13"/>
      <c r="ODN54" s="13"/>
      <c r="ODO54" s="13"/>
      <c r="ODP54" s="15"/>
      <c r="ODQ54" s="16"/>
      <c r="ODR54" s="12"/>
      <c r="ODS54" s="12"/>
      <c r="ODT54" s="12"/>
      <c r="ODU54" s="12"/>
      <c r="ODV54" s="12"/>
      <c r="ODW54" s="12"/>
      <c r="ODX54" s="12"/>
      <c r="ODY54" s="18"/>
      <c r="OEC54" s="13"/>
      <c r="OED54" s="14"/>
      <c r="OEE54" s="14"/>
      <c r="OEF54" s="20"/>
      <c r="OEG54" s="13"/>
      <c r="OEH54" s="13"/>
      <c r="OEJ54" s="13"/>
      <c r="OEN54" s="13"/>
      <c r="OEO54" s="13"/>
      <c r="OEP54" s="15"/>
      <c r="OEQ54" s="16"/>
      <c r="OER54" s="12"/>
      <c r="OES54" s="12"/>
      <c r="OET54" s="12"/>
      <c r="OEU54" s="12"/>
      <c r="OEV54" s="12"/>
      <c r="OEW54" s="12"/>
      <c r="OEX54" s="12"/>
      <c r="OEY54" s="18"/>
      <c r="OFC54" s="13"/>
      <c r="OFD54" s="14"/>
      <c r="OFE54" s="14"/>
      <c r="OFF54" s="20"/>
      <c r="OFG54" s="13"/>
      <c r="OFH54" s="13"/>
      <c r="OFJ54" s="13"/>
      <c r="OFN54" s="13"/>
      <c r="OFO54" s="13"/>
      <c r="OFP54" s="15"/>
      <c r="OFQ54" s="16"/>
      <c r="OFR54" s="12"/>
      <c r="OFS54" s="12"/>
      <c r="OFT54" s="12"/>
      <c r="OFU54" s="12"/>
      <c r="OFV54" s="12"/>
      <c r="OFW54" s="12"/>
      <c r="OFX54" s="12"/>
      <c r="OFY54" s="18"/>
      <c r="OGC54" s="13"/>
      <c r="OGD54" s="14"/>
      <c r="OGE54" s="14"/>
      <c r="OGF54" s="20"/>
      <c r="OGG54" s="13"/>
      <c r="OGH54" s="13"/>
      <c r="OGJ54" s="13"/>
      <c r="OGN54" s="13"/>
      <c r="OGO54" s="13"/>
      <c r="OGP54" s="15"/>
      <c r="OGQ54" s="16"/>
      <c r="OGR54" s="12"/>
      <c r="OGS54" s="12"/>
      <c r="OGT54" s="12"/>
      <c r="OGU54" s="12"/>
      <c r="OGV54" s="12"/>
      <c r="OGW54" s="12"/>
      <c r="OGX54" s="12"/>
      <c r="OGY54" s="18"/>
      <c r="OHC54" s="13"/>
      <c r="OHD54" s="14"/>
      <c r="OHE54" s="14"/>
      <c r="OHF54" s="20"/>
      <c r="OHG54" s="13"/>
      <c r="OHH54" s="13"/>
      <c r="OHJ54" s="13"/>
      <c r="OHN54" s="13"/>
      <c r="OHO54" s="13"/>
      <c r="OHP54" s="15"/>
      <c r="OHQ54" s="16"/>
      <c r="OHR54" s="12"/>
      <c r="OHS54" s="12"/>
      <c r="OHT54" s="12"/>
      <c r="OHU54" s="12"/>
      <c r="OHV54" s="12"/>
      <c r="OHW54" s="12"/>
      <c r="OHX54" s="12"/>
      <c r="OHY54" s="18"/>
      <c r="OIC54" s="13"/>
      <c r="OID54" s="14"/>
      <c r="OIE54" s="14"/>
      <c r="OIF54" s="20"/>
      <c r="OIG54" s="13"/>
      <c r="OIH54" s="13"/>
      <c r="OIJ54" s="13"/>
      <c r="OIN54" s="13"/>
      <c r="OIO54" s="13"/>
      <c r="OIP54" s="15"/>
      <c r="OIQ54" s="16"/>
      <c r="OIR54" s="12"/>
      <c r="OIS54" s="12"/>
      <c r="OIT54" s="12"/>
      <c r="OIU54" s="12"/>
      <c r="OIV54" s="12"/>
      <c r="OIW54" s="12"/>
      <c r="OIX54" s="12"/>
      <c r="OIY54" s="18"/>
      <c r="OJC54" s="13"/>
      <c r="OJD54" s="14"/>
      <c r="OJE54" s="14"/>
      <c r="OJF54" s="20"/>
      <c r="OJG54" s="13"/>
      <c r="OJH54" s="13"/>
      <c r="OJJ54" s="13"/>
      <c r="OJN54" s="13"/>
      <c r="OJO54" s="13"/>
      <c r="OJP54" s="15"/>
      <c r="OJQ54" s="16"/>
      <c r="OJR54" s="12"/>
      <c r="OJS54" s="12"/>
      <c r="OJT54" s="12"/>
      <c r="OJU54" s="12"/>
      <c r="OJV54" s="12"/>
      <c r="OJW54" s="12"/>
      <c r="OJX54" s="12"/>
      <c r="OJY54" s="18"/>
      <c r="OKC54" s="13"/>
      <c r="OKD54" s="14"/>
      <c r="OKE54" s="14"/>
      <c r="OKF54" s="20"/>
      <c r="OKG54" s="13"/>
      <c r="OKH54" s="13"/>
      <c r="OKJ54" s="13"/>
      <c r="OKN54" s="13"/>
      <c r="OKO54" s="13"/>
      <c r="OKP54" s="15"/>
      <c r="OKQ54" s="16"/>
      <c r="OKR54" s="12"/>
      <c r="OKS54" s="12"/>
      <c r="OKT54" s="12"/>
      <c r="OKU54" s="12"/>
      <c r="OKV54" s="12"/>
      <c r="OKW54" s="12"/>
      <c r="OKX54" s="12"/>
      <c r="OKY54" s="18"/>
      <c r="OLC54" s="13"/>
      <c r="OLD54" s="14"/>
      <c r="OLE54" s="14"/>
      <c r="OLF54" s="20"/>
      <c r="OLG54" s="13"/>
      <c r="OLH54" s="13"/>
      <c r="OLJ54" s="13"/>
      <c r="OLN54" s="13"/>
      <c r="OLO54" s="13"/>
      <c r="OLP54" s="15"/>
      <c r="OLQ54" s="16"/>
      <c r="OLR54" s="12"/>
      <c r="OLS54" s="12"/>
      <c r="OLT54" s="12"/>
      <c r="OLU54" s="12"/>
      <c r="OLV54" s="12"/>
      <c r="OLW54" s="12"/>
      <c r="OLX54" s="12"/>
      <c r="OLY54" s="18"/>
      <c r="OMC54" s="13"/>
      <c r="OMD54" s="14"/>
      <c r="OME54" s="14"/>
      <c r="OMF54" s="20"/>
      <c r="OMG54" s="13"/>
      <c r="OMH54" s="13"/>
      <c r="OMJ54" s="13"/>
      <c r="OMN54" s="13"/>
      <c r="OMO54" s="13"/>
      <c r="OMP54" s="15"/>
      <c r="OMQ54" s="16"/>
      <c r="OMR54" s="12"/>
      <c r="OMS54" s="12"/>
      <c r="OMT54" s="12"/>
      <c r="OMU54" s="12"/>
      <c r="OMV54" s="12"/>
      <c r="OMW54" s="12"/>
      <c r="OMX54" s="12"/>
      <c r="OMY54" s="18"/>
      <c r="ONC54" s="13"/>
      <c r="OND54" s="14"/>
      <c r="ONE54" s="14"/>
      <c r="ONF54" s="20"/>
      <c r="ONG54" s="13"/>
      <c r="ONH54" s="13"/>
      <c r="ONJ54" s="13"/>
      <c r="ONN54" s="13"/>
      <c r="ONO54" s="13"/>
      <c r="ONP54" s="15"/>
      <c r="ONQ54" s="16"/>
      <c r="ONR54" s="12"/>
      <c r="ONS54" s="12"/>
      <c r="ONT54" s="12"/>
      <c r="ONU54" s="12"/>
      <c r="ONV54" s="12"/>
      <c r="ONW54" s="12"/>
      <c r="ONX54" s="12"/>
      <c r="ONY54" s="18"/>
      <c r="OOC54" s="13"/>
      <c r="OOD54" s="14"/>
      <c r="OOE54" s="14"/>
      <c r="OOF54" s="20"/>
      <c r="OOG54" s="13"/>
      <c r="OOH54" s="13"/>
      <c r="OOJ54" s="13"/>
      <c r="OON54" s="13"/>
      <c r="OOO54" s="13"/>
      <c r="OOP54" s="15"/>
      <c r="OOQ54" s="16"/>
      <c r="OOR54" s="12"/>
      <c r="OOS54" s="12"/>
      <c r="OOT54" s="12"/>
      <c r="OOU54" s="12"/>
      <c r="OOV54" s="12"/>
      <c r="OOW54" s="12"/>
      <c r="OOX54" s="12"/>
      <c r="OOY54" s="18"/>
      <c r="OPC54" s="13"/>
      <c r="OPD54" s="14"/>
      <c r="OPE54" s="14"/>
      <c r="OPF54" s="20"/>
      <c r="OPG54" s="13"/>
      <c r="OPH54" s="13"/>
      <c r="OPJ54" s="13"/>
      <c r="OPN54" s="13"/>
      <c r="OPO54" s="13"/>
      <c r="OPP54" s="15"/>
      <c r="OPQ54" s="16"/>
      <c r="OPR54" s="12"/>
      <c r="OPS54" s="12"/>
      <c r="OPT54" s="12"/>
      <c r="OPU54" s="12"/>
      <c r="OPV54" s="12"/>
      <c r="OPW54" s="12"/>
      <c r="OPX54" s="12"/>
      <c r="OPY54" s="18"/>
      <c r="OQC54" s="13"/>
      <c r="OQD54" s="14"/>
      <c r="OQE54" s="14"/>
      <c r="OQF54" s="20"/>
      <c r="OQG54" s="13"/>
      <c r="OQH54" s="13"/>
      <c r="OQJ54" s="13"/>
      <c r="OQN54" s="13"/>
      <c r="OQO54" s="13"/>
      <c r="OQP54" s="15"/>
      <c r="OQQ54" s="16"/>
      <c r="OQR54" s="12"/>
      <c r="OQS54" s="12"/>
      <c r="OQT54" s="12"/>
      <c r="OQU54" s="12"/>
      <c r="OQV54" s="12"/>
      <c r="OQW54" s="12"/>
      <c r="OQX54" s="12"/>
      <c r="OQY54" s="18"/>
      <c r="ORC54" s="13"/>
      <c r="ORD54" s="14"/>
      <c r="ORE54" s="14"/>
      <c r="ORF54" s="20"/>
      <c r="ORG54" s="13"/>
      <c r="ORH54" s="13"/>
      <c r="ORJ54" s="13"/>
      <c r="ORN54" s="13"/>
      <c r="ORO54" s="13"/>
      <c r="ORP54" s="15"/>
      <c r="ORQ54" s="16"/>
      <c r="ORR54" s="12"/>
      <c r="ORS54" s="12"/>
      <c r="ORT54" s="12"/>
      <c r="ORU54" s="12"/>
      <c r="ORV54" s="12"/>
      <c r="ORW54" s="12"/>
      <c r="ORX54" s="12"/>
      <c r="ORY54" s="18"/>
      <c r="OSC54" s="13"/>
      <c r="OSD54" s="14"/>
      <c r="OSE54" s="14"/>
      <c r="OSF54" s="20"/>
      <c r="OSG54" s="13"/>
      <c r="OSH54" s="13"/>
      <c r="OSJ54" s="13"/>
      <c r="OSN54" s="13"/>
      <c r="OSO54" s="13"/>
      <c r="OSP54" s="15"/>
      <c r="OSQ54" s="16"/>
      <c r="OSR54" s="12"/>
      <c r="OSS54" s="12"/>
      <c r="OST54" s="12"/>
      <c r="OSU54" s="12"/>
      <c r="OSV54" s="12"/>
      <c r="OSW54" s="12"/>
      <c r="OSX54" s="12"/>
      <c r="OSY54" s="18"/>
      <c r="OTC54" s="13"/>
      <c r="OTD54" s="14"/>
      <c r="OTE54" s="14"/>
      <c r="OTF54" s="20"/>
      <c r="OTG54" s="13"/>
      <c r="OTH54" s="13"/>
      <c r="OTJ54" s="13"/>
      <c r="OTN54" s="13"/>
      <c r="OTO54" s="13"/>
      <c r="OTP54" s="15"/>
      <c r="OTQ54" s="16"/>
      <c r="OTR54" s="12"/>
      <c r="OTS54" s="12"/>
      <c r="OTT54" s="12"/>
      <c r="OTU54" s="12"/>
      <c r="OTV54" s="12"/>
      <c r="OTW54" s="12"/>
      <c r="OTX54" s="12"/>
      <c r="OTY54" s="18"/>
      <c r="OUC54" s="13"/>
      <c r="OUD54" s="14"/>
      <c r="OUE54" s="14"/>
      <c r="OUF54" s="20"/>
      <c r="OUG54" s="13"/>
      <c r="OUH54" s="13"/>
      <c r="OUJ54" s="13"/>
      <c r="OUN54" s="13"/>
      <c r="OUO54" s="13"/>
      <c r="OUP54" s="15"/>
      <c r="OUQ54" s="16"/>
      <c r="OUR54" s="12"/>
      <c r="OUS54" s="12"/>
      <c r="OUT54" s="12"/>
      <c r="OUU54" s="12"/>
      <c r="OUV54" s="12"/>
      <c r="OUW54" s="12"/>
      <c r="OUX54" s="12"/>
      <c r="OUY54" s="18"/>
      <c r="OVC54" s="13"/>
      <c r="OVD54" s="14"/>
      <c r="OVE54" s="14"/>
      <c r="OVF54" s="20"/>
      <c r="OVG54" s="13"/>
      <c r="OVH54" s="13"/>
      <c r="OVJ54" s="13"/>
      <c r="OVN54" s="13"/>
      <c r="OVO54" s="13"/>
      <c r="OVP54" s="15"/>
      <c r="OVQ54" s="16"/>
      <c r="OVR54" s="12"/>
      <c r="OVS54" s="12"/>
      <c r="OVT54" s="12"/>
      <c r="OVU54" s="12"/>
      <c r="OVV54" s="12"/>
      <c r="OVW54" s="12"/>
      <c r="OVX54" s="12"/>
      <c r="OVY54" s="18"/>
      <c r="OWC54" s="13"/>
      <c r="OWD54" s="14"/>
      <c r="OWE54" s="14"/>
      <c r="OWF54" s="20"/>
      <c r="OWG54" s="13"/>
      <c r="OWH54" s="13"/>
      <c r="OWJ54" s="13"/>
      <c r="OWN54" s="13"/>
      <c r="OWO54" s="13"/>
      <c r="OWP54" s="15"/>
      <c r="OWQ54" s="16"/>
      <c r="OWR54" s="12"/>
      <c r="OWS54" s="12"/>
      <c r="OWT54" s="12"/>
      <c r="OWU54" s="12"/>
      <c r="OWV54" s="12"/>
      <c r="OWW54" s="12"/>
      <c r="OWX54" s="12"/>
      <c r="OWY54" s="18"/>
      <c r="OXC54" s="13"/>
      <c r="OXD54" s="14"/>
      <c r="OXE54" s="14"/>
      <c r="OXF54" s="20"/>
      <c r="OXG54" s="13"/>
      <c r="OXH54" s="13"/>
      <c r="OXJ54" s="13"/>
      <c r="OXN54" s="13"/>
      <c r="OXO54" s="13"/>
      <c r="OXP54" s="15"/>
      <c r="OXQ54" s="16"/>
      <c r="OXR54" s="12"/>
      <c r="OXS54" s="12"/>
      <c r="OXT54" s="12"/>
      <c r="OXU54" s="12"/>
      <c r="OXV54" s="12"/>
      <c r="OXW54" s="12"/>
      <c r="OXX54" s="12"/>
      <c r="OXY54" s="18"/>
      <c r="OYC54" s="13"/>
      <c r="OYD54" s="14"/>
      <c r="OYE54" s="14"/>
      <c r="OYF54" s="20"/>
      <c r="OYG54" s="13"/>
      <c r="OYH54" s="13"/>
      <c r="OYJ54" s="13"/>
      <c r="OYN54" s="13"/>
      <c r="OYO54" s="13"/>
      <c r="OYP54" s="15"/>
      <c r="OYQ54" s="16"/>
      <c r="OYR54" s="12"/>
      <c r="OYS54" s="12"/>
      <c r="OYT54" s="12"/>
      <c r="OYU54" s="12"/>
      <c r="OYV54" s="12"/>
      <c r="OYW54" s="12"/>
      <c r="OYX54" s="12"/>
      <c r="OYY54" s="18"/>
      <c r="OZC54" s="13"/>
      <c r="OZD54" s="14"/>
      <c r="OZE54" s="14"/>
      <c r="OZF54" s="20"/>
      <c r="OZG54" s="13"/>
      <c r="OZH54" s="13"/>
      <c r="OZJ54" s="13"/>
      <c r="OZN54" s="13"/>
      <c r="OZO54" s="13"/>
      <c r="OZP54" s="15"/>
      <c r="OZQ54" s="16"/>
      <c r="OZR54" s="12"/>
      <c r="OZS54" s="12"/>
      <c r="OZT54" s="12"/>
      <c r="OZU54" s="12"/>
      <c r="OZV54" s="12"/>
      <c r="OZW54" s="12"/>
      <c r="OZX54" s="12"/>
      <c r="OZY54" s="18"/>
      <c r="PAC54" s="13"/>
      <c r="PAD54" s="14"/>
      <c r="PAE54" s="14"/>
      <c r="PAF54" s="20"/>
      <c r="PAG54" s="13"/>
      <c r="PAH54" s="13"/>
      <c r="PAJ54" s="13"/>
      <c r="PAN54" s="13"/>
      <c r="PAO54" s="13"/>
      <c r="PAP54" s="15"/>
      <c r="PAQ54" s="16"/>
      <c r="PAR54" s="12"/>
      <c r="PAS54" s="12"/>
      <c r="PAT54" s="12"/>
      <c r="PAU54" s="12"/>
      <c r="PAV54" s="12"/>
      <c r="PAW54" s="12"/>
      <c r="PAX54" s="12"/>
      <c r="PAY54" s="18"/>
      <c r="PBC54" s="13"/>
      <c r="PBD54" s="14"/>
      <c r="PBE54" s="14"/>
      <c r="PBF54" s="20"/>
      <c r="PBG54" s="13"/>
      <c r="PBH54" s="13"/>
      <c r="PBJ54" s="13"/>
      <c r="PBN54" s="13"/>
      <c r="PBO54" s="13"/>
      <c r="PBP54" s="15"/>
      <c r="PBQ54" s="16"/>
      <c r="PBR54" s="12"/>
      <c r="PBS54" s="12"/>
      <c r="PBT54" s="12"/>
      <c r="PBU54" s="12"/>
      <c r="PBV54" s="12"/>
      <c r="PBW54" s="12"/>
      <c r="PBX54" s="12"/>
      <c r="PBY54" s="18"/>
      <c r="PCC54" s="13"/>
      <c r="PCD54" s="14"/>
      <c r="PCE54" s="14"/>
      <c r="PCF54" s="20"/>
      <c r="PCG54" s="13"/>
      <c r="PCH54" s="13"/>
      <c r="PCJ54" s="13"/>
      <c r="PCN54" s="13"/>
      <c r="PCO54" s="13"/>
      <c r="PCP54" s="15"/>
      <c r="PCQ54" s="16"/>
      <c r="PCR54" s="12"/>
      <c r="PCS54" s="12"/>
      <c r="PCT54" s="12"/>
      <c r="PCU54" s="12"/>
      <c r="PCV54" s="12"/>
      <c r="PCW54" s="12"/>
      <c r="PCX54" s="12"/>
      <c r="PCY54" s="18"/>
      <c r="PDC54" s="13"/>
      <c r="PDD54" s="14"/>
      <c r="PDE54" s="14"/>
      <c r="PDF54" s="20"/>
      <c r="PDG54" s="13"/>
      <c r="PDH54" s="13"/>
      <c r="PDJ54" s="13"/>
      <c r="PDN54" s="13"/>
      <c r="PDO54" s="13"/>
      <c r="PDP54" s="15"/>
      <c r="PDQ54" s="16"/>
      <c r="PDR54" s="12"/>
      <c r="PDS54" s="12"/>
      <c r="PDT54" s="12"/>
      <c r="PDU54" s="12"/>
      <c r="PDV54" s="12"/>
      <c r="PDW54" s="12"/>
      <c r="PDX54" s="12"/>
      <c r="PDY54" s="18"/>
      <c r="PEC54" s="13"/>
      <c r="PED54" s="14"/>
      <c r="PEE54" s="14"/>
      <c r="PEF54" s="20"/>
      <c r="PEG54" s="13"/>
      <c r="PEH54" s="13"/>
      <c r="PEJ54" s="13"/>
      <c r="PEN54" s="13"/>
      <c r="PEO54" s="13"/>
      <c r="PEP54" s="15"/>
      <c r="PEQ54" s="16"/>
      <c r="PER54" s="12"/>
      <c r="PES54" s="12"/>
      <c r="PET54" s="12"/>
      <c r="PEU54" s="12"/>
      <c r="PEV54" s="12"/>
      <c r="PEW54" s="12"/>
      <c r="PEX54" s="12"/>
      <c r="PEY54" s="18"/>
      <c r="PFC54" s="13"/>
      <c r="PFD54" s="14"/>
      <c r="PFE54" s="14"/>
      <c r="PFF54" s="20"/>
      <c r="PFG54" s="13"/>
      <c r="PFH54" s="13"/>
      <c r="PFJ54" s="13"/>
      <c r="PFN54" s="13"/>
      <c r="PFO54" s="13"/>
      <c r="PFP54" s="15"/>
      <c r="PFQ54" s="16"/>
      <c r="PFR54" s="12"/>
      <c r="PFS54" s="12"/>
      <c r="PFT54" s="12"/>
      <c r="PFU54" s="12"/>
      <c r="PFV54" s="12"/>
      <c r="PFW54" s="12"/>
      <c r="PFX54" s="12"/>
      <c r="PFY54" s="18"/>
      <c r="PGC54" s="13"/>
      <c r="PGD54" s="14"/>
      <c r="PGE54" s="14"/>
      <c r="PGF54" s="20"/>
      <c r="PGG54" s="13"/>
      <c r="PGH54" s="13"/>
      <c r="PGJ54" s="13"/>
      <c r="PGN54" s="13"/>
      <c r="PGO54" s="13"/>
      <c r="PGP54" s="15"/>
      <c r="PGQ54" s="16"/>
      <c r="PGR54" s="12"/>
      <c r="PGS54" s="12"/>
      <c r="PGT54" s="12"/>
      <c r="PGU54" s="12"/>
      <c r="PGV54" s="12"/>
      <c r="PGW54" s="12"/>
      <c r="PGX54" s="12"/>
      <c r="PGY54" s="18"/>
      <c r="PHC54" s="13"/>
      <c r="PHD54" s="14"/>
      <c r="PHE54" s="14"/>
      <c r="PHF54" s="20"/>
      <c r="PHG54" s="13"/>
      <c r="PHH54" s="13"/>
      <c r="PHJ54" s="13"/>
      <c r="PHN54" s="13"/>
      <c r="PHO54" s="13"/>
      <c r="PHP54" s="15"/>
      <c r="PHQ54" s="16"/>
      <c r="PHR54" s="12"/>
      <c r="PHS54" s="12"/>
      <c r="PHT54" s="12"/>
      <c r="PHU54" s="12"/>
      <c r="PHV54" s="12"/>
      <c r="PHW54" s="12"/>
      <c r="PHX54" s="12"/>
      <c r="PHY54" s="18"/>
      <c r="PIC54" s="13"/>
      <c r="PID54" s="14"/>
      <c r="PIE54" s="14"/>
      <c r="PIF54" s="20"/>
      <c r="PIG54" s="13"/>
      <c r="PIH54" s="13"/>
      <c r="PIJ54" s="13"/>
      <c r="PIN54" s="13"/>
      <c r="PIO54" s="13"/>
      <c r="PIP54" s="15"/>
      <c r="PIQ54" s="16"/>
      <c r="PIR54" s="12"/>
      <c r="PIS54" s="12"/>
      <c r="PIT54" s="12"/>
      <c r="PIU54" s="12"/>
      <c r="PIV54" s="12"/>
      <c r="PIW54" s="12"/>
      <c r="PIX54" s="12"/>
      <c r="PIY54" s="18"/>
      <c r="PJC54" s="13"/>
      <c r="PJD54" s="14"/>
      <c r="PJE54" s="14"/>
      <c r="PJF54" s="20"/>
      <c r="PJG54" s="13"/>
      <c r="PJH54" s="13"/>
      <c r="PJJ54" s="13"/>
      <c r="PJN54" s="13"/>
      <c r="PJO54" s="13"/>
      <c r="PJP54" s="15"/>
      <c r="PJQ54" s="16"/>
      <c r="PJR54" s="12"/>
      <c r="PJS54" s="12"/>
      <c r="PJT54" s="12"/>
      <c r="PJU54" s="12"/>
      <c r="PJV54" s="12"/>
      <c r="PJW54" s="12"/>
      <c r="PJX54" s="12"/>
      <c r="PJY54" s="18"/>
      <c r="PKC54" s="13"/>
      <c r="PKD54" s="14"/>
      <c r="PKE54" s="14"/>
      <c r="PKF54" s="20"/>
      <c r="PKG54" s="13"/>
      <c r="PKH54" s="13"/>
      <c r="PKJ54" s="13"/>
      <c r="PKN54" s="13"/>
      <c r="PKO54" s="13"/>
      <c r="PKP54" s="15"/>
      <c r="PKQ54" s="16"/>
      <c r="PKR54" s="12"/>
      <c r="PKS54" s="12"/>
      <c r="PKT54" s="12"/>
      <c r="PKU54" s="12"/>
      <c r="PKV54" s="12"/>
      <c r="PKW54" s="12"/>
      <c r="PKX54" s="12"/>
      <c r="PKY54" s="18"/>
      <c r="PLC54" s="13"/>
      <c r="PLD54" s="14"/>
      <c r="PLE54" s="14"/>
      <c r="PLF54" s="20"/>
      <c r="PLG54" s="13"/>
      <c r="PLH54" s="13"/>
      <c r="PLJ54" s="13"/>
      <c r="PLN54" s="13"/>
      <c r="PLO54" s="13"/>
      <c r="PLP54" s="15"/>
      <c r="PLQ54" s="16"/>
      <c r="PLR54" s="12"/>
      <c r="PLS54" s="12"/>
      <c r="PLT54" s="12"/>
      <c r="PLU54" s="12"/>
      <c r="PLV54" s="12"/>
      <c r="PLW54" s="12"/>
      <c r="PLX54" s="12"/>
      <c r="PLY54" s="18"/>
      <c r="PMC54" s="13"/>
      <c r="PMD54" s="14"/>
      <c r="PME54" s="14"/>
      <c r="PMF54" s="20"/>
      <c r="PMG54" s="13"/>
      <c r="PMH54" s="13"/>
      <c r="PMJ54" s="13"/>
      <c r="PMN54" s="13"/>
      <c r="PMO54" s="13"/>
      <c r="PMP54" s="15"/>
      <c r="PMQ54" s="16"/>
      <c r="PMR54" s="12"/>
      <c r="PMS54" s="12"/>
      <c r="PMT54" s="12"/>
      <c r="PMU54" s="12"/>
      <c r="PMV54" s="12"/>
      <c r="PMW54" s="12"/>
      <c r="PMX54" s="12"/>
      <c r="PMY54" s="18"/>
      <c r="PNC54" s="13"/>
      <c r="PND54" s="14"/>
      <c r="PNE54" s="14"/>
      <c r="PNF54" s="20"/>
      <c r="PNG54" s="13"/>
      <c r="PNH54" s="13"/>
      <c r="PNJ54" s="13"/>
      <c r="PNN54" s="13"/>
      <c r="PNO54" s="13"/>
      <c r="PNP54" s="15"/>
      <c r="PNQ54" s="16"/>
      <c r="PNR54" s="12"/>
      <c r="PNS54" s="12"/>
      <c r="PNT54" s="12"/>
      <c r="PNU54" s="12"/>
      <c r="PNV54" s="12"/>
      <c r="PNW54" s="12"/>
      <c r="PNX54" s="12"/>
      <c r="PNY54" s="18"/>
      <c r="POC54" s="13"/>
      <c r="POD54" s="14"/>
      <c r="POE54" s="14"/>
      <c r="POF54" s="20"/>
      <c r="POG54" s="13"/>
      <c r="POH54" s="13"/>
      <c r="POJ54" s="13"/>
      <c r="PON54" s="13"/>
      <c r="POO54" s="13"/>
      <c r="POP54" s="15"/>
      <c r="POQ54" s="16"/>
      <c r="POR54" s="12"/>
      <c r="POS54" s="12"/>
      <c r="POT54" s="12"/>
      <c r="POU54" s="12"/>
      <c r="POV54" s="12"/>
      <c r="POW54" s="12"/>
      <c r="POX54" s="12"/>
      <c r="POY54" s="18"/>
      <c r="PPC54" s="13"/>
      <c r="PPD54" s="14"/>
      <c r="PPE54" s="14"/>
      <c r="PPF54" s="20"/>
      <c r="PPG54" s="13"/>
      <c r="PPH54" s="13"/>
      <c r="PPJ54" s="13"/>
      <c r="PPN54" s="13"/>
      <c r="PPO54" s="13"/>
      <c r="PPP54" s="15"/>
      <c r="PPQ54" s="16"/>
      <c r="PPR54" s="12"/>
      <c r="PPS54" s="12"/>
      <c r="PPT54" s="12"/>
      <c r="PPU54" s="12"/>
      <c r="PPV54" s="12"/>
      <c r="PPW54" s="12"/>
      <c r="PPX54" s="12"/>
      <c r="PPY54" s="18"/>
      <c r="PQC54" s="13"/>
      <c r="PQD54" s="14"/>
      <c r="PQE54" s="14"/>
      <c r="PQF54" s="20"/>
      <c r="PQG54" s="13"/>
      <c r="PQH54" s="13"/>
      <c r="PQJ54" s="13"/>
      <c r="PQN54" s="13"/>
      <c r="PQO54" s="13"/>
      <c r="PQP54" s="15"/>
      <c r="PQQ54" s="16"/>
      <c r="PQR54" s="12"/>
      <c r="PQS54" s="12"/>
      <c r="PQT54" s="12"/>
      <c r="PQU54" s="12"/>
      <c r="PQV54" s="12"/>
      <c r="PQW54" s="12"/>
      <c r="PQX54" s="12"/>
      <c r="PQY54" s="18"/>
      <c r="PRC54" s="13"/>
      <c r="PRD54" s="14"/>
      <c r="PRE54" s="14"/>
      <c r="PRF54" s="20"/>
      <c r="PRG54" s="13"/>
      <c r="PRH54" s="13"/>
      <c r="PRJ54" s="13"/>
      <c r="PRN54" s="13"/>
      <c r="PRO54" s="13"/>
      <c r="PRP54" s="15"/>
      <c r="PRQ54" s="16"/>
      <c r="PRR54" s="12"/>
      <c r="PRS54" s="12"/>
      <c r="PRT54" s="12"/>
      <c r="PRU54" s="12"/>
      <c r="PRV54" s="12"/>
      <c r="PRW54" s="12"/>
      <c r="PRX54" s="12"/>
      <c r="PRY54" s="18"/>
      <c r="PSC54" s="13"/>
      <c r="PSD54" s="14"/>
      <c r="PSE54" s="14"/>
      <c r="PSF54" s="20"/>
      <c r="PSG54" s="13"/>
      <c r="PSH54" s="13"/>
      <c r="PSJ54" s="13"/>
      <c r="PSN54" s="13"/>
      <c r="PSO54" s="13"/>
      <c r="PSP54" s="15"/>
      <c r="PSQ54" s="16"/>
      <c r="PSR54" s="12"/>
      <c r="PSS54" s="12"/>
      <c r="PST54" s="12"/>
      <c r="PSU54" s="12"/>
      <c r="PSV54" s="12"/>
      <c r="PSW54" s="12"/>
      <c r="PSX54" s="12"/>
      <c r="PSY54" s="18"/>
      <c r="PTC54" s="13"/>
      <c r="PTD54" s="14"/>
      <c r="PTE54" s="14"/>
      <c r="PTF54" s="20"/>
      <c r="PTG54" s="13"/>
      <c r="PTH54" s="13"/>
      <c r="PTJ54" s="13"/>
      <c r="PTN54" s="13"/>
      <c r="PTO54" s="13"/>
      <c r="PTP54" s="15"/>
      <c r="PTQ54" s="16"/>
      <c r="PTR54" s="12"/>
      <c r="PTS54" s="12"/>
      <c r="PTT54" s="12"/>
      <c r="PTU54" s="12"/>
      <c r="PTV54" s="12"/>
      <c r="PTW54" s="12"/>
      <c r="PTX54" s="12"/>
      <c r="PTY54" s="18"/>
      <c r="PUC54" s="13"/>
      <c r="PUD54" s="14"/>
      <c r="PUE54" s="14"/>
      <c r="PUF54" s="20"/>
      <c r="PUG54" s="13"/>
      <c r="PUH54" s="13"/>
      <c r="PUJ54" s="13"/>
      <c r="PUN54" s="13"/>
      <c r="PUO54" s="13"/>
      <c r="PUP54" s="15"/>
      <c r="PUQ54" s="16"/>
      <c r="PUR54" s="12"/>
      <c r="PUS54" s="12"/>
      <c r="PUT54" s="12"/>
      <c r="PUU54" s="12"/>
      <c r="PUV54" s="12"/>
      <c r="PUW54" s="12"/>
      <c r="PUX54" s="12"/>
      <c r="PUY54" s="18"/>
      <c r="PVC54" s="13"/>
      <c r="PVD54" s="14"/>
      <c r="PVE54" s="14"/>
      <c r="PVF54" s="20"/>
      <c r="PVG54" s="13"/>
      <c r="PVH54" s="13"/>
      <c r="PVJ54" s="13"/>
      <c r="PVN54" s="13"/>
      <c r="PVO54" s="13"/>
      <c r="PVP54" s="15"/>
      <c r="PVQ54" s="16"/>
      <c r="PVR54" s="12"/>
      <c r="PVS54" s="12"/>
      <c r="PVT54" s="12"/>
      <c r="PVU54" s="12"/>
      <c r="PVV54" s="12"/>
      <c r="PVW54" s="12"/>
      <c r="PVX54" s="12"/>
      <c r="PVY54" s="18"/>
      <c r="PWC54" s="13"/>
      <c r="PWD54" s="14"/>
      <c r="PWE54" s="14"/>
      <c r="PWF54" s="20"/>
      <c r="PWG54" s="13"/>
      <c r="PWH54" s="13"/>
      <c r="PWJ54" s="13"/>
      <c r="PWN54" s="13"/>
      <c r="PWO54" s="13"/>
      <c r="PWP54" s="15"/>
      <c r="PWQ54" s="16"/>
      <c r="PWR54" s="12"/>
      <c r="PWS54" s="12"/>
      <c r="PWT54" s="12"/>
      <c r="PWU54" s="12"/>
      <c r="PWV54" s="12"/>
      <c r="PWW54" s="12"/>
      <c r="PWX54" s="12"/>
      <c r="PWY54" s="18"/>
      <c r="PXC54" s="13"/>
      <c r="PXD54" s="14"/>
      <c r="PXE54" s="14"/>
      <c r="PXF54" s="20"/>
      <c r="PXG54" s="13"/>
      <c r="PXH54" s="13"/>
      <c r="PXJ54" s="13"/>
      <c r="PXN54" s="13"/>
      <c r="PXO54" s="13"/>
      <c r="PXP54" s="15"/>
      <c r="PXQ54" s="16"/>
      <c r="PXR54" s="12"/>
      <c r="PXS54" s="12"/>
      <c r="PXT54" s="12"/>
      <c r="PXU54" s="12"/>
      <c r="PXV54" s="12"/>
      <c r="PXW54" s="12"/>
      <c r="PXX54" s="12"/>
      <c r="PXY54" s="18"/>
      <c r="PYC54" s="13"/>
      <c r="PYD54" s="14"/>
      <c r="PYE54" s="14"/>
      <c r="PYF54" s="20"/>
      <c r="PYG54" s="13"/>
      <c r="PYH54" s="13"/>
      <c r="PYJ54" s="13"/>
      <c r="PYN54" s="13"/>
      <c r="PYO54" s="13"/>
      <c r="PYP54" s="15"/>
      <c r="PYQ54" s="16"/>
      <c r="PYR54" s="12"/>
      <c r="PYS54" s="12"/>
      <c r="PYT54" s="12"/>
      <c r="PYU54" s="12"/>
      <c r="PYV54" s="12"/>
      <c r="PYW54" s="12"/>
      <c r="PYX54" s="12"/>
      <c r="PYY54" s="18"/>
      <c r="PZC54" s="13"/>
      <c r="PZD54" s="14"/>
      <c r="PZE54" s="14"/>
      <c r="PZF54" s="20"/>
      <c r="PZG54" s="13"/>
      <c r="PZH54" s="13"/>
      <c r="PZJ54" s="13"/>
      <c r="PZN54" s="13"/>
      <c r="PZO54" s="13"/>
      <c r="PZP54" s="15"/>
      <c r="PZQ54" s="16"/>
      <c r="PZR54" s="12"/>
      <c r="PZS54" s="12"/>
      <c r="PZT54" s="12"/>
      <c r="PZU54" s="12"/>
      <c r="PZV54" s="12"/>
      <c r="PZW54" s="12"/>
      <c r="PZX54" s="12"/>
      <c r="PZY54" s="18"/>
      <c r="QAC54" s="13"/>
      <c r="QAD54" s="14"/>
      <c r="QAE54" s="14"/>
      <c r="QAF54" s="20"/>
      <c r="QAG54" s="13"/>
      <c r="QAH54" s="13"/>
      <c r="QAJ54" s="13"/>
      <c r="QAN54" s="13"/>
      <c r="QAO54" s="13"/>
      <c r="QAP54" s="15"/>
      <c r="QAQ54" s="16"/>
      <c r="QAR54" s="12"/>
      <c r="QAS54" s="12"/>
      <c r="QAT54" s="12"/>
      <c r="QAU54" s="12"/>
      <c r="QAV54" s="12"/>
      <c r="QAW54" s="12"/>
      <c r="QAX54" s="12"/>
      <c r="QAY54" s="18"/>
      <c r="QBC54" s="13"/>
      <c r="QBD54" s="14"/>
      <c r="QBE54" s="14"/>
      <c r="QBF54" s="20"/>
      <c r="QBG54" s="13"/>
      <c r="QBH54" s="13"/>
      <c r="QBJ54" s="13"/>
      <c r="QBN54" s="13"/>
      <c r="QBO54" s="13"/>
      <c r="QBP54" s="15"/>
      <c r="QBQ54" s="16"/>
      <c r="QBR54" s="12"/>
      <c r="QBS54" s="12"/>
      <c r="QBT54" s="12"/>
      <c r="QBU54" s="12"/>
      <c r="QBV54" s="12"/>
      <c r="QBW54" s="12"/>
      <c r="QBX54" s="12"/>
      <c r="QBY54" s="18"/>
      <c r="QCC54" s="13"/>
      <c r="QCD54" s="14"/>
      <c r="QCE54" s="14"/>
      <c r="QCF54" s="20"/>
      <c r="QCG54" s="13"/>
      <c r="QCH54" s="13"/>
      <c r="QCJ54" s="13"/>
      <c r="QCN54" s="13"/>
      <c r="QCO54" s="13"/>
      <c r="QCP54" s="15"/>
      <c r="QCQ54" s="16"/>
      <c r="QCR54" s="12"/>
      <c r="QCS54" s="12"/>
      <c r="QCT54" s="12"/>
      <c r="QCU54" s="12"/>
      <c r="QCV54" s="12"/>
      <c r="QCW54" s="12"/>
      <c r="QCX54" s="12"/>
      <c r="QCY54" s="18"/>
      <c r="QDC54" s="13"/>
      <c r="QDD54" s="14"/>
      <c r="QDE54" s="14"/>
      <c r="QDF54" s="20"/>
      <c r="QDG54" s="13"/>
      <c r="QDH54" s="13"/>
      <c r="QDJ54" s="13"/>
      <c r="QDN54" s="13"/>
      <c r="QDO54" s="13"/>
      <c r="QDP54" s="15"/>
      <c r="QDQ54" s="16"/>
      <c r="QDR54" s="12"/>
      <c r="QDS54" s="12"/>
      <c r="QDT54" s="12"/>
      <c r="QDU54" s="12"/>
      <c r="QDV54" s="12"/>
      <c r="QDW54" s="12"/>
      <c r="QDX54" s="12"/>
      <c r="QDY54" s="18"/>
      <c r="QEC54" s="13"/>
      <c r="QED54" s="14"/>
      <c r="QEE54" s="14"/>
      <c r="QEF54" s="20"/>
      <c r="QEG54" s="13"/>
      <c r="QEH54" s="13"/>
      <c r="QEJ54" s="13"/>
      <c r="QEN54" s="13"/>
      <c r="QEO54" s="13"/>
      <c r="QEP54" s="15"/>
      <c r="QEQ54" s="16"/>
      <c r="QER54" s="12"/>
      <c r="QES54" s="12"/>
      <c r="QET54" s="12"/>
      <c r="QEU54" s="12"/>
      <c r="QEV54" s="12"/>
      <c r="QEW54" s="12"/>
      <c r="QEX54" s="12"/>
      <c r="QEY54" s="18"/>
      <c r="QFC54" s="13"/>
      <c r="QFD54" s="14"/>
      <c r="QFE54" s="14"/>
      <c r="QFF54" s="20"/>
      <c r="QFG54" s="13"/>
      <c r="QFH54" s="13"/>
      <c r="QFJ54" s="13"/>
      <c r="QFN54" s="13"/>
      <c r="QFO54" s="13"/>
      <c r="QFP54" s="15"/>
      <c r="QFQ54" s="16"/>
      <c r="QFR54" s="12"/>
      <c r="QFS54" s="12"/>
      <c r="QFT54" s="12"/>
      <c r="QFU54" s="12"/>
      <c r="QFV54" s="12"/>
      <c r="QFW54" s="12"/>
      <c r="QFX54" s="12"/>
      <c r="QFY54" s="18"/>
      <c r="QGC54" s="13"/>
      <c r="QGD54" s="14"/>
      <c r="QGE54" s="14"/>
      <c r="QGF54" s="20"/>
      <c r="QGG54" s="13"/>
      <c r="QGH54" s="13"/>
      <c r="QGJ54" s="13"/>
      <c r="QGN54" s="13"/>
      <c r="QGO54" s="13"/>
      <c r="QGP54" s="15"/>
      <c r="QGQ54" s="16"/>
      <c r="QGR54" s="12"/>
      <c r="QGS54" s="12"/>
      <c r="QGT54" s="12"/>
      <c r="QGU54" s="12"/>
      <c r="QGV54" s="12"/>
      <c r="QGW54" s="12"/>
      <c r="QGX54" s="12"/>
      <c r="QGY54" s="18"/>
      <c r="QHC54" s="13"/>
      <c r="QHD54" s="14"/>
      <c r="QHE54" s="14"/>
      <c r="QHF54" s="20"/>
      <c r="QHG54" s="13"/>
      <c r="QHH54" s="13"/>
      <c r="QHJ54" s="13"/>
      <c r="QHN54" s="13"/>
      <c r="QHO54" s="13"/>
      <c r="QHP54" s="15"/>
      <c r="QHQ54" s="16"/>
      <c r="QHR54" s="12"/>
      <c r="QHS54" s="12"/>
      <c r="QHT54" s="12"/>
      <c r="QHU54" s="12"/>
      <c r="QHV54" s="12"/>
      <c r="QHW54" s="12"/>
      <c r="QHX54" s="12"/>
      <c r="QHY54" s="18"/>
      <c r="QIC54" s="13"/>
      <c r="QID54" s="14"/>
      <c r="QIE54" s="14"/>
      <c r="QIF54" s="20"/>
      <c r="QIG54" s="13"/>
      <c r="QIH54" s="13"/>
      <c r="QIJ54" s="13"/>
      <c r="QIN54" s="13"/>
      <c r="QIO54" s="13"/>
      <c r="QIP54" s="15"/>
      <c r="QIQ54" s="16"/>
      <c r="QIR54" s="12"/>
      <c r="QIS54" s="12"/>
      <c r="QIT54" s="12"/>
      <c r="QIU54" s="12"/>
      <c r="QIV54" s="12"/>
      <c r="QIW54" s="12"/>
      <c r="QIX54" s="12"/>
      <c r="QIY54" s="18"/>
      <c r="QJC54" s="13"/>
      <c r="QJD54" s="14"/>
      <c r="QJE54" s="14"/>
      <c r="QJF54" s="20"/>
      <c r="QJG54" s="13"/>
      <c r="QJH54" s="13"/>
      <c r="QJJ54" s="13"/>
      <c r="QJN54" s="13"/>
      <c r="QJO54" s="13"/>
      <c r="QJP54" s="15"/>
      <c r="QJQ54" s="16"/>
      <c r="QJR54" s="12"/>
      <c r="QJS54" s="12"/>
      <c r="QJT54" s="12"/>
      <c r="QJU54" s="12"/>
      <c r="QJV54" s="12"/>
      <c r="QJW54" s="12"/>
      <c r="QJX54" s="12"/>
      <c r="QJY54" s="18"/>
      <c r="QKC54" s="13"/>
      <c r="QKD54" s="14"/>
      <c r="QKE54" s="14"/>
      <c r="QKF54" s="20"/>
      <c r="QKG54" s="13"/>
      <c r="QKH54" s="13"/>
      <c r="QKJ54" s="13"/>
      <c r="QKN54" s="13"/>
      <c r="QKO54" s="13"/>
      <c r="QKP54" s="15"/>
      <c r="QKQ54" s="16"/>
      <c r="QKR54" s="12"/>
      <c r="QKS54" s="12"/>
      <c r="QKT54" s="12"/>
      <c r="QKU54" s="12"/>
      <c r="QKV54" s="12"/>
      <c r="QKW54" s="12"/>
      <c r="QKX54" s="12"/>
      <c r="QKY54" s="18"/>
      <c r="QLC54" s="13"/>
      <c r="QLD54" s="14"/>
      <c r="QLE54" s="14"/>
      <c r="QLF54" s="20"/>
      <c r="QLG54" s="13"/>
      <c r="QLH54" s="13"/>
      <c r="QLJ54" s="13"/>
      <c r="QLN54" s="13"/>
      <c r="QLO54" s="13"/>
      <c r="QLP54" s="15"/>
      <c r="QLQ54" s="16"/>
      <c r="QLR54" s="12"/>
      <c r="QLS54" s="12"/>
      <c r="QLT54" s="12"/>
      <c r="QLU54" s="12"/>
      <c r="QLV54" s="12"/>
      <c r="QLW54" s="12"/>
      <c r="QLX54" s="12"/>
      <c r="QLY54" s="18"/>
      <c r="QMC54" s="13"/>
      <c r="QMD54" s="14"/>
      <c r="QME54" s="14"/>
      <c r="QMF54" s="20"/>
      <c r="QMG54" s="13"/>
      <c r="QMH54" s="13"/>
      <c r="QMJ54" s="13"/>
      <c r="QMN54" s="13"/>
      <c r="QMO54" s="13"/>
      <c r="QMP54" s="15"/>
      <c r="QMQ54" s="16"/>
      <c r="QMR54" s="12"/>
      <c r="QMS54" s="12"/>
      <c r="QMT54" s="12"/>
      <c r="QMU54" s="12"/>
      <c r="QMV54" s="12"/>
      <c r="QMW54" s="12"/>
      <c r="QMX54" s="12"/>
      <c r="QMY54" s="18"/>
      <c r="QNC54" s="13"/>
      <c r="QND54" s="14"/>
      <c r="QNE54" s="14"/>
      <c r="QNF54" s="20"/>
      <c r="QNG54" s="13"/>
      <c r="QNH54" s="13"/>
      <c r="QNJ54" s="13"/>
      <c r="QNN54" s="13"/>
      <c r="QNO54" s="13"/>
      <c r="QNP54" s="15"/>
      <c r="QNQ54" s="16"/>
      <c r="QNR54" s="12"/>
      <c r="QNS54" s="12"/>
      <c r="QNT54" s="12"/>
      <c r="QNU54" s="12"/>
      <c r="QNV54" s="12"/>
      <c r="QNW54" s="12"/>
      <c r="QNX54" s="12"/>
      <c r="QNY54" s="18"/>
      <c r="QOC54" s="13"/>
      <c r="QOD54" s="14"/>
      <c r="QOE54" s="14"/>
      <c r="QOF54" s="20"/>
      <c r="QOG54" s="13"/>
      <c r="QOH54" s="13"/>
      <c r="QOJ54" s="13"/>
      <c r="QON54" s="13"/>
      <c r="QOO54" s="13"/>
      <c r="QOP54" s="15"/>
      <c r="QOQ54" s="16"/>
      <c r="QOR54" s="12"/>
      <c r="QOS54" s="12"/>
      <c r="QOT54" s="12"/>
      <c r="QOU54" s="12"/>
      <c r="QOV54" s="12"/>
      <c r="QOW54" s="12"/>
      <c r="QOX54" s="12"/>
      <c r="QOY54" s="18"/>
      <c r="QPC54" s="13"/>
      <c r="QPD54" s="14"/>
      <c r="QPE54" s="14"/>
      <c r="QPF54" s="20"/>
      <c r="QPG54" s="13"/>
      <c r="QPH54" s="13"/>
      <c r="QPJ54" s="13"/>
      <c r="QPN54" s="13"/>
      <c r="QPO54" s="13"/>
      <c r="QPP54" s="15"/>
      <c r="QPQ54" s="16"/>
      <c r="QPR54" s="12"/>
      <c r="QPS54" s="12"/>
      <c r="QPT54" s="12"/>
      <c r="QPU54" s="12"/>
      <c r="QPV54" s="12"/>
      <c r="QPW54" s="12"/>
      <c r="QPX54" s="12"/>
      <c r="QPY54" s="18"/>
      <c r="QQC54" s="13"/>
      <c r="QQD54" s="14"/>
      <c r="QQE54" s="14"/>
      <c r="QQF54" s="20"/>
      <c r="QQG54" s="13"/>
      <c r="QQH54" s="13"/>
      <c r="QQJ54" s="13"/>
      <c r="QQN54" s="13"/>
      <c r="QQO54" s="13"/>
      <c r="QQP54" s="15"/>
      <c r="QQQ54" s="16"/>
      <c r="QQR54" s="12"/>
      <c r="QQS54" s="12"/>
      <c r="QQT54" s="12"/>
      <c r="QQU54" s="12"/>
      <c r="QQV54" s="12"/>
      <c r="QQW54" s="12"/>
      <c r="QQX54" s="12"/>
      <c r="QQY54" s="18"/>
      <c r="QRC54" s="13"/>
      <c r="QRD54" s="14"/>
      <c r="QRE54" s="14"/>
      <c r="QRF54" s="20"/>
      <c r="QRG54" s="13"/>
      <c r="QRH54" s="13"/>
      <c r="QRJ54" s="13"/>
      <c r="QRN54" s="13"/>
      <c r="QRO54" s="13"/>
      <c r="QRP54" s="15"/>
      <c r="QRQ54" s="16"/>
      <c r="QRR54" s="12"/>
      <c r="QRS54" s="12"/>
      <c r="QRT54" s="12"/>
      <c r="QRU54" s="12"/>
      <c r="QRV54" s="12"/>
      <c r="QRW54" s="12"/>
      <c r="QRX54" s="12"/>
      <c r="QRY54" s="18"/>
      <c r="QSC54" s="13"/>
      <c r="QSD54" s="14"/>
      <c r="QSE54" s="14"/>
      <c r="QSF54" s="20"/>
      <c r="QSG54" s="13"/>
      <c r="QSH54" s="13"/>
      <c r="QSJ54" s="13"/>
      <c r="QSN54" s="13"/>
      <c r="QSO54" s="13"/>
      <c r="QSP54" s="15"/>
      <c r="QSQ54" s="16"/>
      <c r="QSR54" s="12"/>
      <c r="QSS54" s="12"/>
      <c r="QST54" s="12"/>
      <c r="QSU54" s="12"/>
      <c r="QSV54" s="12"/>
      <c r="QSW54" s="12"/>
      <c r="QSX54" s="12"/>
      <c r="QSY54" s="18"/>
      <c r="QTC54" s="13"/>
      <c r="QTD54" s="14"/>
      <c r="QTE54" s="14"/>
      <c r="QTF54" s="20"/>
      <c r="QTG54" s="13"/>
      <c r="QTH54" s="13"/>
      <c r="QTJ54" s="13"/>
      <c r="QTN54" s="13"/>
      <c r="QTO54" s="13"/>
      <c r="QTP54" s="15"/>
      <c r="QTQ54" s="16"/>
      <c r="QTR54" s="12"/>
      <c r="QTS54" s="12"/>
      <c r="QTT54" s="12"/>
      <c r="QTU54" s="12"/>
      <c r="QTV54" s="12"/>
      <c r="QTW54" s="12"/>
      <c r="QTX54" s="12"/>
      <c r="QTY54" s="18"/>
      <c r="QUC54" s="13"/>
      <c r="QUD54" s="14"/>
      <c r="QUE54" s="14"/>
      <c r="QUF54" s="20"/>
      <c r="QUG54" s="13"/>
      <c r="QUH54" s="13"/>
      <c r="QUJ54" s="13"/>
      <c r="QUN54" s="13"/>
      <c r="QUO54" s="13"/>
      <c r="QUP54" s="15"/>
      <c r="QUQ54" s="16"/>
      <c r="QUR54" s="12"/>
      <c r="QUS54" s="12"/>
      <c r="QUT54" s="12"/>
      <c r="QUU54" s="12"/>
      <c r="QUV54" s="12"/>
      <c r="QUW54" s="12"/>
      <c r="QUX54" s="12"/>
      <c r="QUY54" s="18"/>
      <c r="QVC54" s="13"/>
      <c r="QVD54" s="14"/>
      <c r="QVE54" s="14"/>
      <c r="QVF54" s="20"/>
      <c r="QVG54" s="13"/>
      <c r="QVH54" s="13"/>
      <c r="QVJ54" s="13"/>
      <c r="QVN54" s="13"/>
      <c r="QVO54" s="13"/>
      <c r="QVP54" s="15"/>
      <c r="QVQ54" s="16"/>
      <c r="QVR54" s="12"/>
      <c r="QVS54" s="12"/>
      <c r="QVT54" s="12"/>
      <c r="QVU54" s="12"/>
      <c r="QVV54" s="12"/>
      <c r="QVW54" s="12"/>
      <c r="QVX54" s="12"/>
      <c r="QVY54" s="18"/>
      <c r="QWC54" s="13"/>
      <c r="QWD54" s="14"/>
      <c r="QWE54" s="14"/>
      <c r="QWF54" s="20"/>
      <c r="QWG54" s="13"/>
      <c r="QWH54" s="13"/>
      <c r="QWJ54" s="13"/>
      <c r="QWN54" s="13"/>
      <c r="QWO54" s="13"/>
      <c r="QWP54" s="15"/>
      <c r="QWQ54" s="16"/>
      <c r="QWR54" s="12"/>
      <c r="QWS54" s="12"/>
      <c r="QWT54" s="12"/>
      <c r="QWU54" s="12"/>
      <c r="QWV54" s="12"/>
      <c r="QWW54" s="12"/>
      <c r="QWX54" s="12"/>
      <c r="QWY54" s="18"/>
      <c r="QXC54" s="13"/>
      <c r="QXD54" s="14"/>
      <c r="QXE54" s="14"/>
      <c r="QXF54" s="20"/>
      <c r="QXG54" s="13"/>
      <c r="QXH54" s="13"/>
      <c r="QXJ54" s="13"/>
      <c r="QXN54" s="13"/>
      <c r="QXO54" s="13"/>
      <c r="QXP54" s="15"/>
      <c r="QXQ54" s="16"/>
      <c r="QXR54" s="12"/>
      <c r="QXS54" s="12"/>
      <c r="QXT54" s="12"/>
      <c r="QXU54" s="12"/>
      <c r="QXV54" s="12"/>
      <c r="QXW54" s="12"/>
      <c r="QXX54" s="12"/>
      <c r="QXY54" s="18"/>
      <c r="QYC54" s="13"/>
      <c r="QYD54" s="14"/>
      <c r="QYE54" s="14"/>
      <c r="QYF54" s="20"/>
      <c r="QYG54" s="13"/>
      <c r="QYH54" s="13"/>
      <c r="QYJ54" s="13"/>
      <c r="QYN54" s="13"/>
      <c r="QYO54" s="13"/>
      <c r="QYP54" s="15"/>
      <c r="QYQ54" s="16"/>
      <c r="QYR54" s="12"/>
      <c r="QYS54" s="12"/>
      <c r="QYT54" s="12"/>
      <c r="QYU54" s="12"/>
      <c r="QYV54" s="12"/>
      <c r="QYW54" s="12"/>
      <c r="QYX54" s="12"/>
      <c r="QYY54" s="18"/>
      <c r="QZC54" s="13"/>
      <c r="QZD54" s="14"/>
      <c r="QZE54" s="14"/>
      <c r="QZF54" s="20"/>
      <c r="QZG54" s="13"/>
      <c r="QZH54" s="13"/>
      <c r="QZJ54" s="13"/>
      <c r="QZN54" s="13"/>
      <c r="QZO54" s="13"/>
      <c r="QZP54" s="15"/>
      <c r="QZQ54" s="16"/>
      <c r="QZR54" s="12"/>
      <c r="QZS54" s="12"/>
      <c r="QZT54" s="12"/>
      <c r="QZU54" s="12"/>
      <c r="QZV54" s="12"/>
      <c r="QZW54" s="12"/>
      <c r="QZX54" s="12"/>
      <c r="QZY54" s="18"/>
      <c r="RAC54" s="13"/>
      <c r="RAD54" s="14"/>
      <c r="RAE54" s="14"/>
      <c r="RAF54" s="20"/>
      <c r="RAG54" s="13"/>
      <c r="RAH54" s="13"/>
      <c r="RAJ54" s="13"/>
      <c r="RAN54" s="13"/>
      <c r="RAO54" s="13"/>
      <c r="RAP54" s="15"/>
      <c r="RAQ54" s="16"/>
      <c r="RAR54" s="12"/>
      <c r="RAS54" s="12"/>
      <c r="RAT54" s="12"/>
      <c r="RAU54" s="12"/>
      <c r="RAV54" s="12"/>
      <c r="RAW54" s="12"/>
      <c r="RAX54" s="12"/>
      <c r="RAY54" s="18"/>
      <c r="RBC54" s="13"/>
      <c r="RBD54" s="14"/>
      <c r="RBE54" s="14"/>
      <c r="RBF54" s="20"/>
      <c r="RBG54" s="13"/>
      <c r="RBH54" s="13"/>
      <c r="RBJ54" s="13"/>
      <c r="RBN54" s="13"/>
      <c r="RBO54" s="13"/>
      <c r="RBP54" s="15"/>
      <c r="RBQ54" s="16"/>
      <c r="RBR54" s="12"/>
      <c r="RBS54" s="12"/>
      <c r="RBT54" s="12"/>
      <c r="RBU54" s="12"/>
      <c r="RBV54" s="12"/>
      <c r="RBW54" s="12"/>
      <c r="RBX54" s="12"/>
      <c r="RBY54" s="18"/>
      <c r="RCC54" s="13"/>
      <c r="RCD54" s="14"/>
      <c r="RCE54" s="14"/>
      <c r="RCF54" s="20"/>
      <c r="RCG54" s="13"/>
      <c r="RCH54" s="13"/>
      <c r="RCJ54" s="13"/>
      <c r="RCN54" s="13"/>
      <c r="RCO54" s="13"/>
      <c r="RCP54" s="15"/>
      <c r="RCQ54" s="16"/>
      <c r="RCR54" s="12"/>
      <c r="RCS54" s="12"/>
      <c r="RCT54" s="12"/>
      <c r="RCU54" s="12"/>
      <c r="RCV54" s="12"/>
      <c r="RCW54" s="12"/>
      <c r="RCX54" s="12"/>
      <c r="RCY54" s="18"/>
      <c r="RDC54" s="13"/>
      <c r="RDD54" s="14"/>
      <c r="RDE54" s="14"/>
      <c r="RDF54" s="20"/>
      <c r="RDG54" s="13"/>
      <c r="RDH54" s="13"/>
      <c r="RDJ54" s="13"/>
      <c r="RDN54" s="13"/>
      <c r="RDO54" s="13"/>
      <c r="RDP54" s="15"/>
      <c r="RDQ54" s="16"/>
      <c r="RDR54" s="12"/>
      <c r="RDS54" s="12"/>
      <c r="RDT54" s="12"/>
      <c r="RDU54" s="12"/>
      <c r="RDV54" s="12"/>
      <c r="RDW54" s="12"/>
      <c r="RDX54" s="12"/>
      <c r="RDY54" s="18"/>
      <c r="REC54" s="13"/>
      <c r="RED54" s="14"/>
      <c r="REE54" s="14"/>
      <c r="REF54" s="20"/>
      <c r="REG54" s="13"/>
      <c r="REH54" s="13"/>
      <c r="REJ54" s="13"/>
      <c r="REN54" s="13"/>
      <c r="REO54" s="13"/>
      <c r="REP54" s="15"/>
      <c r="REQ54" s="16"/>
      <c r="RER54" s="12"/>
      <c r="RES54" s="12"/>
      <c r="RET54" s="12"/>
      <c r="REU54" s="12"/>
      <c r="REV54" s="12"/>
      <c r="REW54" s="12"/>
      <c r="REX54" s="12"/>
      <c r="REY54" s="18"/>
      <c r="RFC54" s="13"/>
      <c r="RFD54" s="14"/>
      <c r="RFE54" s="14"/>
      <c r="RFF54" s="20"/>
      <c r="RFG54" s="13"/>
      <c r="RFH54" s="13"/>
      <c r="RFJ54" s="13"/>
      <c r="RFN54" s="13"/>
      <c r="RFO54" s="13"/>
      <c r="RFP54" s="15"/>
      <c r="RFQ54" s="16"/>
      <c r="RFR54" s="12"/>
      <c r="RFS54" s="12"/>
      <c r="RFT54" s="12"/>
      <c r="RFU54" s="12"/>
      <c r="RFV54" s="12"/>
      <c r="RFW54" s="12"/>
      <c r="RFX54" s="12"/>
      <c r="RFY54" s="18"/>
      <c r="RGC54" s="13"/>
      <c r="RGD54" s="14"/>
      <c r="RGE54" s="14"/>
      <c r="RGF54" s="20"/>
      <c r="RGG54" s="13"/>
      <c r="RGH54" s="13"/>
      <c r="RGJ54" s="13"/>
      <c r="RGN54" s="13"/>
      <c r="RGO54" s="13"/>
      <c r="RGP54" s="15"/>
      <c r="RGQ54" s="16"/>
      <c r="RGR54" s="12"/>
      <c r="RGS54" s="12"/>
      <c r="RGT54" s="12"/>
      <c r="RGU54" s="12"/>
      <c r="RGV54" s="12"/>
      <c r="RGW54" s="12"/>
      <c r="RGX54" s="12"/>
      <c r="RGY54" s="18"/>
      <c r="RHC54" s="13"/>
      <c r="RHD54" s="14"/>
      <c r="RHE54" s="14"/>
      <c r="RHF54" s="20"/>
      <c r="RHG54" s="13"/>
      <c r="RHH54" s="13"/>
      <c r="RHJ54" s="13"/>
      <c r="RHN54" s="13"/>
      <c r="RHO54" s="13"/>
      <c r="RHP54" s="15"/>
      <c r="RHQ54" s="16"/>
      <c r="RHR54" s="12"/>
      <c r="RHS54" s="12"/>
      <c r="RHT54" s="12"/>
      <c r="RHU54" s="12"/>
      <c r="RHV54" s="12"/>
      <c r="RHW54" s="12"/>
      <c r="RHX54" s="12"/>
      <c r="RHY54" s="18"/>
      <c r="RIC54" s="13"/>
      <c r="RID54" s="14"/>
      <c r="RIE54" s="14"/>
      <c r="RIF54" s="20"/>
      <c r="RIG54" s="13"/>
      <c r="RIH54" s="13"/>
      <c r="RIJ54" s="13"/>
      <c r="RIN54" s="13"/>
      <c r="RIO54" s="13"/>
      <c r="RIP54" s="15"/>
      <c r="RIQ54" s="16"/>
      <c r="RIR54" s="12"/>
      <c r="RIS54" s="12"/>
      <c r="RIT54" s="12"/>
      <c r="RIU54" s="12"/>
      <c r="RIV54" s="12"/>
      <c r="RIW54" s="12"/>
      <c r="RIX54" s="12"/>
      <c r="RIY54" s="18"/>
      <c r="RJC54" s="13"/>
      <c r="RJD54" s="14"/>
      <c r="RJE54" s="14"/>
      <c r="RJF54" s="20"/>
      <c r="RJG54" s="13"/>
      <c r="RJH54" s="13"/>
      <c r="RJJ54" s="13"/>
      <c r="RJN54" s="13"/>
      <c r="RJO54" s="13"/>
      <c r="RJP54" s="15"/>
      <c r="RJQ54" s="16"/>
      <c r="RJR54" s="12"/>
      <c r="RJS54" s="12"/>
      <c r="RJT54" s="12"/>
      <c r="RJU54" s="12"/>
      <c r="RJV54" s="12"/>
      <c r="RJW54" s="12"/>
      <c r="RJX54" s="12"/>
      <c r="RJY54" s="18"/>
      <c r="RKC54" s="13"/>
      <c r="RKD54" s="14"/>
      <c r="RKE54" s="14"/>
      <c r="RKF54" s="20"/>
      <c r="RKG54" s="13"/>
      <c r="RKH54" s="13"/>
      <c r="RKJ54" s="13"/>
      <c r="RKN54" s="13"/>
      <c r="RKO54" s="13"/>
      <c r="RKP54" s="15"/>
      <c r="RKQ54" s="16"/>
      <c r="RKR54" s="12"/>
      <c r="RKS54" s="12"/>
      <c r="RKT54" s="12"/>
      <c r="RKU54" s="12"/>
      <c r="RKV54" s="12"/>
      <c r="RKW54" s="12"/>
      <c r="RKX54" s="12"/>
      <c r="RKY54" s="18"/>
      <c r="RLC54" s="13"/>
      <c r="RLD54" s="14"/>
      <c r="RLE54" s="14"/>
      <c r="RLF54" s="20"/>
      <c r="RLG54" s="13"/>
      <c r="RLH54" s="13"/>
      <c r="RLJ54" s="13"/>
      <c r="RLN54" s="13"/>
      <c r="RLO54" s="13"/>
      <c r="RLP54" s="15"/>
      <c r="RLQ54" s="16"/>
      <c r="RLR54" s="12"/>
      <c r="RLS54" s="12"/>
      <c r="RLT54" s="12"/>
      <c r="RLU54" s="12"/>
      <c r="RLV54" s="12"/>
      <c r="RLW54" s="12"/>
      <c r="RLX54" s="12"/>
      <c r="RLY54" s="18"/>
      <c r="RMC54" s="13"/>
      <c r="RMD54" s="14"/>
      <c r="RME54" s="14"/>
      <c r="RMF54" s="20"/>
      <c r="RMG54" s="13"/>
      <c r="RMH54" s="13"/>
      <c r="RMJ54" s="13"/>
      <c r="RMN54" s="13"/>
      <c r="RMO54" s="13"/>
      <c r="RMP54" s="15"/>
      <c r="RMQ54" s="16"/>
      <c r="RMR54" s="12"/>
      <c r="RMS54" s="12"/>
      <c r="RMT54" s="12"/>
      <c r="RMU54" s="12"/>
      <c r="RMV54" s="12"/>
      <c r="RMW54" s="12"/>
      <c r="RMX54" s="12"/>
      <c r="RMY54" s="18"/>
      <c r="RNC54" s="13"/>
      <c r="RND54" s="14"/>
      <c r="RNE54" s="14"/>
      <c r="RNF54" s="20"/>
      <c r="RNG54" s="13"/>
      <c r="RNH54" s="13"/>
      <c r="RNJ54" s="13"/>
      <c r="RNN54" s="13"/>
      <c r="RNO54" s="13"/>
      <c r="RNP54" s="15"/>
      <c r="RNQ54" s="16"/>
      <c r="RNR54" s="12"/>
      <c r="RNS54" s="12"/>
      <c r="RNT54" s="12"/>
      <c r="RNU54" s="12"/>
      <c r="RNV54" s="12"/>
      <c r="RNW54" s="12"/>
      <c r="RNX54" s="12"/>
      <c r="RNY54" s="18"/>
      <c r="ROC54" s="13"/>
      <c r="ROD54" s="14"/>
      <c r="ROE54" s="14"/>
      <c r="ROF54" s="20"/>
      <c r="ROG54" s="13"/>
      <c r="ROH54" s="13"/>
      <c r="ROJ54" s="13"/>
      <c r="RON54" s="13"/>
      <c r="ROO54" s="13"/>
      <c r="ROP54" s="15"/>
      <c r="ROQ54" s="16"/>
      <c r="ROR54" s="12"/>
      <c r="ROS54" s="12"/>
      <c r="ROT54" s="12"/>
      <c r="ROU54" s="12"/>
      <c r="ROV54" s="12"/>
      <c r="ROW54" s="12"/>
      <c r="ROX54" s="12"/>
      <c r="ROY54" s="18"/>
      <c r="RPC54" s="13"/>
      <c r="RPD54" s="14"/>
      <c r="RPE54" s="14"/>
      <c r="RPF54" s="20"/>
      <c r="RPG54" s="13"/>
      <c r="RPH54" s="13"/>
      <c r="RPJ54" s="13"/>
      <c r="RPN54" s="13"/>
      <c r="RPO54" s="13"/>
      <c r="RPP54" s="15"/>
      <c r="RPQ54" s="16"/>
      <c r="RPR54" s="12"/>
      <c r="RPS54" s="12"/>
      <c r="RPT54" s="12"/>
      <c r="RPU54" s="12"/>
      <c r="RPV54" s="12"/>
      <c r="RPW54" s="12"/>
      <c r="RPX54" s="12"/>
      <c r="RPY54" s="18"/>
      <c r="RQC54" s="13"/>
      <c r="RQD54" s="14"/>
      <c r="RQE54" s="14"/>
      <c r="RQF54" s="20"/>
      <c r="RQG54" s="13"/>
      <c r="RQH54" s="13"/>
      <c r="RQJ54" s="13"/>
      <c r="RQN54" s="13"/>
      <c r="RQO54" s="13"/>
      <c r="RQP54" s="15"/>
      <c r="RQQ54" s="16"/>
      <c r="RQR54" s="12"/>
      <c r="RQS54" s="12"/>
      <c r="RQT54" s="12"/>
      <c r="RQU54" s="12"/>
      <c r="RQV54" s="12"/>
      <c r="RQW54" s="12"/>
      <c r="RQX54" s="12"/>
      <c r="RQY54" s="18"/>
      <c r="RRC54" s="13"/>
      <c r="RRD54" s="14"/>
      <c r="RRE54" s="14"/>
      <c r="RRF54" s="20"/>
      <c r="RRG54" s="13"/>
      <c r="RRH54" s="13"/>
      <c r="RRJ54" s="13"/>
      <c r="RRN54" s="13"/>
      <c r="RRO54" s="13"/>
      <c r="RRP54" s="15"/>
      <c r="RRQ54" s="16"/>
      <c r="RRR54" s="12"/>
      <c r="RRS54" s="12"/>
      <c r="RRT54" s="12"/>
      <c r="RRU54" s="12"/>
      <c r="RRV54" s="12"/>
      <c r="RRW54" s="12"/>
      <c r="RRX54" s="12"/>
      <c r="RRY54" s="18"/>
      <c r="RSC54" s="13"/>
      <c r="RSD54" s="14"/>
      <c r="RSE54" s="14"/>
      <c r="RSF54" s="20"/>
      <c r="RSG54" s="13"/>
      <c r="RSH54" s="13"/>
      <c r="RSJ54" s="13"/>
      <c r="RSN54" s="13"/>
      <c r="RSO54" s="13"/>
      <c r="RSP54" s="15"/>
      <c r="RSQ54" s="16"/>
      <c r="RSR54" s="12"/>
      <c r="RSS54" s="12"/>
      <c r="RST54" s="12"/>
      <c r="RSU54" s="12"/>
      <c r="RSV54" s="12"/>
      <c r="RSW54" s="12"/>
      <c r="RSX54" s="12"/>
      <c r="RSY54" s="18"/>
      <c r="RTC54" s="13"/>
      <c r="RTD54" s="14"/>
      <c r="RTE54" s="14"/>
      <c r="RTF54" s="20"/>
      <c r="RTG54" s="13"/>
      <c r="RTH54" s="13"/>
      <c r="RTJ54" s="13"/>
      <c r="RTN54" s="13"/>
      <c r="RTO54" s="13"/>
      <c r="RTP54" s="15"/>
      <c r="RTQ54" s="16"/>
      <c r="RTR54" s="12"/>
      <c r="RTS54" s="12"/>
      <c r="RTT54" s="12"/>
      <c r="RTU54" s="12"/>
      <c r="RTV54" s="12"/>
      <c r="RTW54" s="12"/>
      <c r="RTX54" s="12"/>
      <c r="RTY54" s="18"/>
      <c r="RUC54" s="13"/>
      <c r="RUD54" s="14"/>
      <c r="RUE54" s="14"/>
      <c r="RUF54" s="20"/>
      <c r="RUG54" s="13"/>
      <c r="RUH54" s="13"/>
      <c r="RUJ54" s="13"/>
      <c r="RUN54" s="13"/>
      <c r="RUO54" s="13"/>
      <c r="RUP54" s="15"/>
      <c r="RUQ54" s="16"/>
      <c r="RUR54" s="12"/>
      <c r="RUS54" s="12"/>
      <c r="RUT54" s="12"/>
      <c r="RUU54" s="12"/>
      <c r="RUV54" s="12"/>
      <c r="RUW54" s="12"/>
      <c r="RUX54" s="12"/>
      <c r="RUY54" s="18"/>
      <c r="RVC54" s="13"/>
      <c r="RVD54" s="14"/>
      <c r="RVE54" s="14"/>
      <c r="RVF54" s="20"/>
      <c r="RVG54" s="13"/>
      <c r="RVH54" s="13"/>
      <c r="RVJ54" s="13"/>
      <c r="RVN54" s="13"/>
      <c r="RVO54" s="13"/>
      <c r="RVP54" s="15"/>
      <c r="RVQ54" s="16"/>
      <c r="RVR54" s="12"/>
      <c r="RVS54" s="12"/>
      <c r="RVT54" s="12"/>
      <c r="RVU54" s="12"/>
      <c r="RVV54" s="12"/>
      <c r="RVW54" s="12"/>
      <c r="RVX54" s="12"/>
      <c r="RVY54" s="18"/>
      <c r="RWC54" s="13"/>
      <c r="RWD54" s="14"/>
      <c r="RWE54" s="14"/>
      <c r="RWF54" s="20"/>
      <c r="RWG54" s="13"/>
      <c r="RWH54" s="13"/>
      <c r="RWJ54" s="13"/>
      <c r="RWN54" s="13"/>
      <c r="RWO54" s="13"/>
      <c r="RWP54" s="15"/>
      <c r="RWQ54" s="16"/>
      <c r="RWR54" s="12"/>
      <c r="RWS54" s="12"/>
      <c r="RWT54" s="12"/>
      <c r="RWU54" s="12"/>
      <c r="RWV54" s="12"/>
      <c r="RWW54" s="12"/>
      <c r="RWX54" s="12"/>
      <c r="RWY54" s="18"/>
      <c r="RXC54" s="13"/>
      <c r="RXD54" s="14"/>
      <c r="RXE54" s="14"/>
      <c r="RXF54" s="20"/>
      <c r="RXG54" s="13"/>
      <c r="RXH54" s="13"/>
      <c r="RXJ54" s="13"/>
      <c r="RXN54" s="13"/>
      <c r="RXO54" s="13"/>
      <c r="RXP54" s="15"/>
      <c r="RXQ54" s="16"/>
      <c r="RXR54" s="12"/>
      <c r="RXS54" s="12"/>
      <c r="RXT54" s="12"/>
      <c r="RXU54" s="12"/>
      <c r="RXV54" s="12"/>
      <c r="RXW54" s="12"/>
      <c r="RXX54" s="12"/>
      <c r="RXY54" s="18"/>
      <c r="RYC54" s="13"/>
      <c r="RYD54" s="14"/>
      <c r="RYE54" s="14"/>
      <c r="RYF54" s="20"/>
      <c r="RYG54" s="13"/>
      <c r="RYH54" s="13"/>
      <c r="RYJ54" s="13"/>
      <c r="RYN54" s="13"/>
      <c r="RYO54" s="13"/>
      <c r="RYP54" s="15"/>
      <c r="RYQ54" s="16"/>
      <c r="RYR54" s="12"/>
      <c r="RYS54" s="12"/>
      <c r="RYT54" s="12"/>
      <c r="RYU54" s="12"/>
      <c r="RYV54" s="12"/>
      <c r="RYW54" s="12"/>
      <c r="RYX54" s="12"/>
      <c r="RYY54" s="18"/>
      <c r="RZC54" s="13"/>
      <c r="RZD54" s="14"/>
      <c r="RZE54" s="14"/>
      <c r="RZF54" s="20"/>
      <c r="RZG54" s="13"/>
      <c r="RZH54" s="13"/>
      <c r="RZJ54" s="13"/>
      <c r="RZN54" s="13"/>
      <c r="RZO54" s="13"/>
      <c r="RZP54" s="15"/>
      <c r="RZQ54" s="16"/>
      <c r="RZR54" s="12"/>
      <c r="RZS54" s="12"/>
      <c r="RZT54" s="12"/>
      <c r="RZU54" s="12"/>
      <c r="RZV54" s="12"/>
      <c r="RZW54" s="12"/>
      <c r="RZX54" s="12"/>
      <c r="RZY54" s="18"/>
      <c r="SAC54" s="13"/>
      <c r="SAD54" s="14"/>
      <c r="SAE54" s="14"/>
      <c r="SAF54" s="20"/>
      <c r="SAG54" s="13"/>
      <c r="SAH54" s="13"/>
      <c r="SAJ54" s="13"/>
      <c r="SAN54" s="13"/>
      <c r="SAO54" s="13"/>
      <c r="SAP54" s="15"/>
      <c r="SAQ54" s="16"/>
      <c r="SAR54" s="12"/>
      <c r="SAS54" s="12"/>
      <c r="SAT54" s="12"/>
      <c r="SAU54" s="12"/>
      <c r="SAV54" s="12"/>
      <c r="SAW54" s="12"/>
      <c r="SAX54" s="12"/>
      <c r="SAY54" s="18"/>
      <c r="SBC54" s="13"/>
      <c r="SBD54" s="14"/>
      <c r="SBE54" s="14"/>
      <c r="SBF54" s="20"/>
      <c r="SBG54" s="13"/>
      <c r="SBH54" s="13"/>
      <c r="SBJ54" s="13"/>
      <c r="SBN54" s="13"/>
      <c r="SBO54" s="13"/>
      <c r="SBP54" s="15"/>
      <c r="SBQ54" s="16"/>
      <c r="SBR54" s="12"/>
      <c r="SBS54" s="12"/>
      <c r="SBT54" s="12"/>
      <c r="SBU54" s="12"/>
      <c r="SBV54" s="12"/>
      <c r="SBW54" s="12"/>
      <c r="SBX54" s="12"/>
      <c r="SBY54" s="18"/>
      <c r="SCC54" s="13"/>
      <c r="SCD54" s="14"/>
      <c r="SCE54" s="14"/>
      <c r="SCF54" s="20"/>
      <c r="SCG54" s="13"/>
      <c r="SCH54" s="13"/>
      <c r="SCJ54" s="13"/>
      <c r="SCN54" s="13"/>
      <c r="SCO54" s="13"/>
      <c r="SCP54" s="15"/>
      <c r="SCQ54" s="16"/>
      <c r="SCR54" s="12"/>
      <c r="SCS54" s="12"/>
      <c r="SCT54" s="12"/>
      <c r="SCU54" s="12"/>
      <c r="SCV54" s="12"/>
      <c r="SCW54" s="12"/>
      <c r="SCX54" s="12"/>
      <c r="SCY54" s="18"/>
      <c r="SDC54" s="13"/>
      <c r="SDD54" s="14"/>
      <c r="SDE54" s="14"/>
      <c r="SDF54" s="20"/>
      <c r="SDG54" s="13"/>
      <c r="SDH54" s="13"/>
      <c r="SDJ54" s="13"/>
      <c r="SDN54" s="13"/>
      <c r="SDO54" s="13"/>
      <c r="SDP54" s="15"/>
      <c r="SDQ54" s="16"/>
      <c r="SDR54" s="12"/>
      <c r="SDS54" s="12"/>
      <c r="SDT54" s="12"/>
      <c r="SDU54" s="12"/>
      <c r="SDV54" s="12"/>
      <c r="SDW54" s="12"/>
      <c r="SDX54" s="12"/>
      <c r="SDY54" s="18"/>
      <c r="SEC54" s="13"/>
      <c r="SED54" s="14"/>
      <c r="SEE54" s="14"/>
      <c r="SEF54" s="20"/>
      <c r="SEG54" s="13"/>
      <c r="SEH54" s="13"/>
      <c r="SEJ54" s="13"/>
      <c r="SEN54" s="13"/>
      <c r="SEO54" s="13"/>
      <c r="SEP54" s="15"/>
      <c r="SEQ54" s="16"/>
      <c r="SER54" s="12"/>
      <c r="SES54" s="12"/>
      <c r="SET54" s="12"/>
      <c r="SEU54" s="12"/>
      <c r="SEV54" s="12"/>
      <c r="SEW54" s="12"/>
      <c r="SEX54" s="12"/>
      <c r="SEY54" s="18"/>
      <c r="SFC54" s="13"/>
      <c r="SFD54" s="14"/>
      <c r="SFE54" s="14"/>
      <c r="SFF54" s="20"/>
      <c r="SFG54" s="13"/>
      <c r="SFH54" s="13"/>
      <c r="SFJ54" s="13"/>
      <c r="SFN54" s="13"/>
      <c r="SFO54" s="13"/>
      <c r="SFP54" s="15"/>
      <c r="SFQ54" s="16"/>
      <c r="SFR54" s="12"/>
      <c r="SFS54" s="12"/>
      <c r="SFT54" s="12"/>
      <c r="SFU54" s="12"/>
      <c r="SFV54" s="12"/>
      <c r="SFW54" s="12"/>
      <c r="SFX54" s="12"/>
      <c r="SFY54" s="18"/>
      <c r="SGC54" s="13"/>
      <c r="SGD54" s="14"/>
      <c r="SGE54" s="14"/>
      <c r="SGF54" s="20"/>
      <c r="SGG54" s="13"/>
      <c r="SGH54" s="13"/>
      <c r="SGJ54" s="13"/>
      <c r="SGN54" s="13"/>
      <c r="SGO54" s="13"/>
      <c r="SGP54" s="15"/>
      <c r="SGQ54" s="16"/>
      <c r="SGR54" s="12"/>
      <c r="SGS54" s="12"/>
      <c r="SGT54" s="12"/>
      <c r="SGU54" s="12"/>
      <c r="SGV54" s="12"/>
      <c r="SGW54" s="12"/>
      <c r="SGX54" s="12"/>
      <c r="SGY54" s="18"/>
      <c r="SHC54" s="13"/>
      <c r="SHD54" s="14"/>
      <c r="SHE54" s="14"/>
      <c r="SHF54" s="20"/>
      <c r="SHG54" s="13"/>
      <c r="SHH54" s="13"/>
      <c r="SHJ54" s="13"/>
      <c r="SHN54" s="13"/>
      <c r="SHO54" s="13"/>
      <c r="SHP54" s="15"/>
      <c r="SHQ54" s="16"/>
      <c r="SHR54" s="12"/>
      <c r="SHS54" s="12"/>
      <c r="SHT54" s="12"/>
      <c r="SHU54" s="12"/>
      <c r="SHV54" s="12"/>
      <c r="SHW54" s="12"/>
      <c r="SHX54" s="12"/>
      <c r="SHY54" s="18"/>
      <c r="SIC54" s="13"/>
      <c r="SID54" s="14"/>
      <c r="SIE54" s="14"/>
      <c r="SIF54" s="20"/>
      <c r="SIG54" s="13"/>
      <c r="SIH54" s="13"/>
      <c r="SIJ54" s="13"/>
      <c r="SIN54" s="13"/>
      <c r="SIO54" s="13"/>
      <c r="SIP54" s="15"/>
      <c r="SIQ54" s="16"/>
      <c r="SIR54" s="12"/>
      <c r="SIS54" s="12"/>
      <c r="SIT54" s="12"/>
      <c r="SIU54" s="12"/>
      <c r="SIV54" s="12"/>
      <c r="SIW54" s="12"/>
      <c r="SIX54" s="12"/>
      <c r="SIY54" s="18"/>
      <c r="SJC54" s="13"/>
      <c r="SJD54" s="14"/>
      <c r="SJE54" s="14"/>
      <c r="SJF54" s="20"/>
      <c r="SJG54" s="13"/>
      <c r="SJH54" s="13"/>
      <c r="SJJ54" s="13"/>
      <c r="SJN54" s="13"/>
      <c r="SJO54" s="13"/>
      <c r="SJP54" s="15"/>
      <c r="SJQ54" s="16"/>
      <c r="SJR54" s="12"/>
      <c r="SJS54" s="12"/>
      <c r="SJT54" s="12"/>
      <c r="SJU54" s="12"/>
      <c r="SJV54" s="12"/>
      <c r="SJW54" s="12"/>
      <c r="SJX54" s="12"/>
      <c r="SJY54" s="18"/>
      <c r="SKC54" s="13"/>
      <c r="SKD54" s="14"/>
      <c r="SKE54" s="14"/>
      <c r="SKF54" s="20"/>
      <c r="SKG54" s="13"/>
      <c r="SKH54" s="13"/>
      <c r="SKJ54" s="13"/>
      <c r="SKN54" s="13"/>
      <c r="SKO54" s="13"/>
      <c r="SKP54" s="15"/>
      <c r="SKQ54" s="16"/>
      <c r="SKR54" s="12"/>
      <c r="SKS54" s="12"/>
      <c r="SKT54" s="12"/>
      <c r="SKU54" s="12"/>
      <c r="SKV54" s="12"/>
      <c r="SKW54" s="12"/>
      <c r="SKX54" s="12"/>
      <c r="SKY54" s="18"/>
      <c r="SLC54" s="13"/>
      <c r="SLD54" s="14"/>
      <c r="SLE54" s="14"/>
      <c r="SLF54" s="20"/>
      <c r="SLG54" s="13"/>
      <c r="SLH54" s="13"/>
      <c r="SLJ54" s="13"/>
      <c r="SLN54" s="13"/>
      <c r="SLO54" s="13"/>
      <c r="SLP54" s="15"/>
      <c r="SLQ54" s="16"/>
      <c r="SLR54" s="12"/>
      <c r="SLS54" s="12"/>
      <c r="SLT54" s="12"/>
      <c r="SLU54" s="12"/>
      <c r="SLV54" s="12"/>
      <c r="SLW54" s="12"/>
      <c r="SLX54" s="12"/>
      <c r="SLY54" s="18"/>
      <c r="SMC54" s="13"/>
      <c r="SMD54" s="14"/>
      <c r="SME54" s="14"/>
      <c r="SMF54" s="20"/>
      <c r="SMG54" s="13"/>
      <c r="SMH54" s="13"/>
      <c r="SMJ54" s="13"/>
      <c r="SMN54" s="13"/>
      <c r="SMO54" s="13"/>
      <c r="SMP54" s="15"/>
      <c r="SMQ54" s="16"/>
      <c r="SMR54" s="12"/>
      <c r="SMS54" s="12"/>
      <c r="SMT54" s="12"/>
      <c r="SMU54" s="12"/>
      <c r="SMV54" s="12"/>
      <c r="SMW54" s="12"/>
      <c r="SMX54" s="12"/>
      <c r="SMY54" s="18"/>
      <c r="SNC54" s="13"/>
      <c r="SND54" s="14"/>
      <c r="SNE54" s="14"/>
      <c r="SNF54" s="20"/>
      <c r="SNG54" s="13"/>
      <c r="SNH54" s="13"/>
      <c r="SNJ54" s="13"/>
      <c r="SNN54" s="13"/>
      <c r="SNO54" s="13"/>
      <c r="SNP54" s="15"/>
      <c r="SNQ54" s="16"/>
      <c r="SNR54" s="12"/>
      <c r="SNS54" s="12"/>
      <c r="SNT54" s="12"/>
      <c r="SNU54" s="12"/>
      <c r="SNV54" s="12"/>
      <c r="SNW54" s="12"/>
      <c r="SNX54" s="12"/>
      <c r="SNY54" s="18"/>
      <c r="SOC54" s="13"/>
      <c r="SOD54" s="14"/>
      <c r="SOE54" s="14"/>
      <c r="SOF54" s="20"/>
      <c r="SOG54" s="13"/>
      <c r="SOH54" s="13"/>
      <c r="SOJ54" s="13"/>
      <c r="SON54" s="13"/>
      <c r="SOO54" s="13"/>
      <c r="SOP54" s="15"/>
      <c r="SOQ54" s="16"/>
      <c r="SOR54" s="12"/>
      <c r="SOS54" s="12"/>
      <c r="SOT54" s="12"/>
      <c r="SOU54" s="12"/>
      <c r="SOV54" s="12"/>
      <c r="SOW54" s="12"/>
      <c r="SOX54" s="12"/>
      <c r="SOY54" s="18"/>
      <c r="SPC54" s="13"/>
      <c r="SPD54" s="14"/>
      <c r="SPE54" s="14"/>
      <c r="SPF54" s="20"/>
      <c r="SPG54" s="13"/>
      <c r="SPH54" s="13"/>
      <c r="SPJ54" s="13"/>
      <c r="SPN54" s="13"/>
      <c r="SPO54" s="13"/>
      <c r="SPP54" s="15"/>
      <c r="SPQ54" s="16"/>
      <c r="SPR54" s="12"/>
      <c r="SPS54" s="12"/>
      <c r="SPT54" s="12"/>
      <c r="SPU54" s="12"/>
      <c r="SPV54" s="12"/>
      <c r="SPW54" s="12"/>
      <c r="SPX54" s="12"/>
      <c r="SPY54" s="18"/>
      <c r="SQC54" s="13"/>
      <c r="SQD54" s="14"/>
      <c r="SQE54" s="14"/>
      <c r="SQF54" s="20"/>
      <c r="SQG54" s="13"/>
      <c r="SQH54" s="13"/>
      <c r="SQJ54" s="13"/>
      <c r="SQN54" s="13"/>
      <c r="SQO54" s="13"/>
      <c r="SQP54" s="15"/>
      <c r="SQQ54" s="16"/>
      <c r="SQR54" s="12"/>
      <c r="SQS54" s="12"/>
      <c r="SQT54" s="12"/>
      <c r="SQU54" s="12"/>
      <c r="SQV54" s="12"/>
      <c r="SQW54" s="12"/>
      <c r="SQX54" s="12"/>
      <c r="SQY54" s="18"/>
      <c r="SRC54" s="13"/>
      <c r="SRD54" s="14"/>
      <c r="SRE54" s="14"/>
      <c r="SRF54" s="20"/>
      <c r="SRG54" s="13"/>
      <c r="SRH54" s="13"/>
      <c r="SRJ54" s="13"/>
      <c r="SRN54" s="13"/>
      <c r="SRO54" s="13"/>
      <c r="SRP54" s="15"/>
      <c r="SRQ54" s="16"/>
      <c r="SRR54" s="12"/>
      <c r="SRS54" s="12"/>
      <c r="SRT54" s="12"/>
      <c r="SRU54" s="12"/>
      <c r="SRV54" s="12"/>
      <c r="SRW54" s="12"/>
      <c r="SRX54" s="12"/>
      <c r="SRY54" s="18"/>
      <c r="SSC54" s="13"/>
      <c r="SSD54" s="14"/>
      <c r="SSE54" s="14"/>
      <c r="SSF54" s="20"/>
      <c r="SSG54" s="13"/>
      <c r="SSH54" s="13"/>
      <c r="SSJ54" s="13"/>
      <c r="SSN54" s="13"/>
      <c r="SSO54" s="13"/>
      <c r="SSP54" s="15"/>
      <c r="SSQ54" s="16"/>
      <c r="SSR54" s="12"/>
      <c r="SSS54" s="12"/>
      <c r="SST54" s="12"/>
      <c r="SSU54" s="12"/>
      <c r="SSV54" s="12"/>
      <c r="SSW54" s="12"/>
      <c r="SSX54" s="12"/>
      <c r="SSY54" s="18"/>
      <c r="STC54" s="13"/>
      <c r="STD54" s="14"/>
      <c r="STE54" s="14"/>
      <c r="STF54" s="20"/>
      <c r="STG54" s="13"/>
      <c r="STH54" s="13"/>
      <c r="STJ54" s="13"/>
      <c r="STN54" s="13"/>
      <c r="STO54" s="13"/>
      <c r="STP54" s="15"/>
      <c r="STQ54" s="16"/>
      <c r="STR54" s="12"/>
      <c r="STS54" s="12"/>
      <c r="STT54" s="12"/>
      <c r="STU54" s="12"/>
      <c r="STV54" s="12"/>
      <c r="STW54" s="12"/>
      <c r="STX54" s="12"/>
      <c r="STY54" s="18"/>
      <c r="SUC54" s="13"/>
      <c r="SUD54" s="14"/>
      <c r="SUE54" s="14"/>
      <c r="SUF54" s="20"/>
      <c r="SUG54" s="13"/>
      <c r="SUH54" s="13"/>
      <c r="SUJ54" s="13"/>
      <c r="SUN54" s="13"/>
      <c r="SUO54" s="13"/>
      <c r="SUP54" s="15"/>
      <c r="SUQ54" s="16"/>
      <c r="SUR54" s="12"/>
      <c r="SUS54" s="12"/>
      <c r="SUT54" s="12"/>
      <c r="SUU54" s="12"/>
      <c r="SUV54" s="12"/>
      <c r="SUW54" s="12"/>
      <c r="SUX54" s="12"/>
      <c r="SUY54" s="18"/>
      <c r="SVC54" s="13"/>
      <c r="SVD54" s="14"/>
      <c r="SVE54" s="14"/>
      <c r="SVF54" s="20"/>
      <c r="SVG54" s="13"/>
      <c r="SVH54" s="13"/>
      <c r="SVJ54" s="13"/>
      <c r="SVN54" s="13"/>
      <c r="SVO54" s="13"/>
      <c r="SVP54" s="15"/>
      <c r="SVQ54" s="16"/>
      <c r="SVR54" s="12"/>
      <c r="SVS54" s="12"/>
      <c r="SVT54" s="12"/>
      <c r="SVU54" s="12"/>
      <c r="SVV54" s="12"/>
      <c r="SVW54" s="12"/>
      <c r="SVX54" s="12"/>
      <c r="SVY54" s="18"/>
      <c r="SWC54" s="13"/>
      <c r="SWD54" s="14"/>
      <c r="SWE54" s="14"/>
      <c r="SWF54" s="20"/>
      <c r="SWG54" s="13"/>
      <c r="SWH54" s="13"/>
      <c r="SWJ54" s="13"/>
      <c r="SWN54" s="13"/>
      <c r="SWO54" s="13"/>
      <c r="SWP54" s="15"/>
      <c r="SWQ54" s="16"/>
      <c r="SWR54" s="12"/>
      <c r="SWS54" s="12"/>
      <c r="SWT54" s="12"/>
      <c r="SWU54" s="12"/>
      <c r="SWV54" s="12"/>
      <c r="SWW54" s="12"/>
      <c r="SWX54" s="12"/>
      <c r="SWY54" s="18"/>
      <c r="SXC54" s="13"/>
      <c r="SXD54" s="14"/>
      <c r="SXE54" s="14"/>
      <c r="SXF54" s="20"/>
      <c r="SXG54" s="13"/>
      <c r="SXH54" s="13"/>
      <c r="SXJ54" s="13"/>
      <c r="SXN54" s="13"/>
      <c r="SXO54" s="13"/>
      <c r="SXP54" s="15"/>
      <c r="SXQ54" s="16"/>
      <c r="SXR54" s="12"/>
      <c r="SXS54" s="12"/>
      <c r="SXT54" s="12"/>
      <c r="SXU54" s="12"/>
      <c r="SXV54" s="12"/>
      <c r="SXW54" s="12"/>
      <c r="SXX54" s="12"/>
      <c r="SXY54" s="18"/>
      <c r="SYC54" s="13"/>
      <c r="SYD54" s="14"/>
      <c r="SYE54" s="14"/>
      <c r="SYF54" s="20"/>
      <c r="SYG54" s="13"/>
      <c r="SYH54" s="13"/>
      <c r="SYJ54" s="13"/>
      <c r="SYN54" s="13"/>
      <c r="SYO54" s="13"/>
      <c r="SYP54" s="15"/>
      <c r="SYQ54" s="16"/>
      <c r="SYR54" s="12"/>
      <c r="SYS54" s="12"/>
      <c r="SYT54" s="12"/>
      <c r="SYU54" s="12"/>
      <c r="SYV54" s="12"/>
      <c r="SYW54" s="12"/>
      <c r="SYX54" s="12"/>
      <c r="SYY54" s="18"/>
      <c r="SZC54" s="13"/>
      <c r="SZD54" s="14"/>
      <c r="SZE54" s="14"/>
      <c r="SZF54" s="20"/>
      <c r="SZG54" s="13"/>
      <c r="SZH54" s="13"/>
      <c r="SZJ54" s="13"/>
      <c r="SZN54" s="13"/>
      <c r="SZO54" s="13"/>
      <c r="SZP54" s="15"/>
      <c r="SZQ54" s="16"/>
      <c r="SZR54" s="12"/>
      <c r="SZS54" s="12"/>
      <c r="SZT54" s="12"/>
      <c r="SZU54" s="12"/>
      <c r="SZV54" s="12"/>
      <c r="SZW54" s="12"/>
      <c r="SZX54" s="12"/>
      <c r="SZY54" s="18"/>
      <c r="TAC54" s="13"/>
      <c r="TAD54" s="14"/>
      <c r="TAE54" s="14"/>
      <c r="TAF54" s="20"/>
      <c r="TAG54" s="13"/>
      <c r="TAH54" s="13"/>
      <c r="TAJ54" s="13"/>
      <c r="TAN54" s="13"/>
      <c r="TAO54" s="13"/>
      <c r="TAP54" s="15"/>
      <c r="TAQ54" s="16"/>
      <c r="TAR54" s="12"/>
      <c r="TAS54" s="12"/>
      <c r="TAT54" s="12"/>
      <c r="TAU54" s="12"/>
      <c r="TAV54" s="12"/>
      <c r="TAW54" s="12"/>
      <c r="TAX54" s="12"/>
      <c r="TAY54" s="18"/>
      <c r="TBC54" s="13"/>
      <c r="TBD54" s="14"/>
      <c r="TBE54" s="14"/>
      <c r="TBF54" s="20"/>
      <c r="TBG54" s="13"/>
      <c r="TBH54" s="13"/>
      <c r="TBJ54" s="13"/>
      <c r="TBN54" s="13"/>
      <c r="TBO54" s="13"/>
      <c r="TBP54" s="15"/>
      <c r="TBQ54" s="16"/>
      <c r="TBR54" s="12"/>
      <c r="TBS54" s="12"/>
      <c r="TBT54" s="12"/>
      <c r="TBU54" s="12"/>
      <c r="TBV54" s="12"/>
      <c r="TBW54" s="12"/>
      <c r="TBX54" s="12"/>
      <c r="TBY54" s="18"/>
      <c r="TCC54" s="13"/>
      <c r="TCD54" s="14"/>
      <c r="TCE54" s="14"/>
      <c r="TCF54" s="20"/>
      <c r="TCG54" s="13"/>
      <c r="TCH54" s="13"/>
      <c r="TCJ54" s="13"/>
      <c r="TCN54" s="13"/>
      <c r="TCO54" s="13"/>
      <c r="TCP54" s="15"/>
      <c r="TCQ54" s="16"/>
      <c r="TCR54" s="12"/>
      <c r="TCS54" s="12"/>
      <c r="TCT54" s="12"/>
      <c r="TCU54" s="12"/>
      <c r="TCV54" s="12"/>
      <c r="TCW54" s="12"/>
      <c r="TCX54" s="12"/>
      <c r="TCY54" s="18"/>
      <c r="TDC54" s="13"/>
      <c r="TDD54" s="14"/>
      <c r="TDE54" s="14"/>
      <c r="TDF54" s="20"/>
      <c r="TDG54" s="13"/>
      <c r="TDH54" s="13"/>
      <c r="TDJ54" s="13"/>
      <c r="TDN54" s="13"/>
      <c r="TDO54" s="13"/>
      <c r="TDP54" s="15"/>
      <c r="TDQ54" s="16"/>
      <c r="TDR54" s="12"/>
      <c r="TDS54" s="12"/>
      <c r="TDT54" s="12"/>
      <c r="TDU54" s="12"/>
      <c r="TDV54" s="12"/>
      <c r="TDW54" s="12"/>
      <c r="TDX54" s="12"/>
      <c r="TDY54" s="18"/>
      <c r="TEC54" s="13"/>
      <c r="TED54" s="14"/>
      <c r="TEE54" s="14"/>
      <c r="TEF54" s="20"/>
      <c r="TEG54" s="13"/>
      <c r="TEH54" s="13"/>
      <c r="TEJ54" s="13"/>
      <c r="TEN54" s="13"/>
      <c r="TEO54" s="13"/>
      <c r="TEP54" s="15"/>
      <c r="TEQ54" s="16"/>
      <c r="TER54" s="12"/>
      <c r="TES54" s="12"/>
      <c r="TET54" s="12"/>
      <c r="TEU54" s="12"/>
      <c r="TEV54" s="12"/>
      <c r="TEW54" s="12"/>
      <c r="TEX54" s="12"/>
      <c r="TEY54" s="18"/>
      <c r="TFC54" s="13"/>
      <c r="TFD54" s="14"/>
      <c r="TFE54" s="14"/>
      <c r="TFF54" s="20"/>
      <c r="TFG54" s="13"/>
      <c r="TFH54" s="13"/>
      <c r="TFJ54" s="13"/>
      <c r="TFN54" s="13"/>
      <c r="TFO54" s="13"/>
      <c r="TFP54" s="15"/>
      <c r="TFQ54" s="16"/>
      <c r="TFR54" s="12"/>
      <c r="TFS54" s="12"/>
      <c r="TFT54" s="12"/>
      <c r="TFU54" s="12"/>
      <c r="TFV54" s="12"/>
      <c r="TFW54" s="12"/>
      <c r="TFX54" s="12"/>
      <c r="TFY54" s="18"/>
      <c r="TGC54" s="13"/>
      <c r="TGD54" s="14"/>
      <c r="TGE54" s="14"/>
      <c r="TGF54" s="20"/>
      <c r="TGG54" s="13"/>
      <c r="TGH54" s="13"/>
      <c r="TGJ54" s="13"/>
      <c r="TGN54" s="13"/>
      <c r="TGO54" s="13"/>
      <c r="TGP54" s="15"/>
      <c r="TGQ54" s="16"/>
      <c r="TGR54" s="12"/>
      <c r="TGS54" s="12"/>
      <c r="TGT54" s="12"/>
      <c r="TGU54" s="12"/>
      <c r="TGV54" s="12"/>
      <c r="TGW54" s="12"/>
      <c r="TGX54" s="12"/>
      <c r="TGY54" s="18"/>
      <c r="THC54" s="13"/>
      <c r="THD54" s="14"/>
      <c r="THE54" s="14"/>
      <c r="THF54" s="20"/>
      <c r="THG54" s="13"/>
      <c r="THH54" s="13"/>
      <c r="THJ54" s="13"/>
      <c r="THN54" s="13"/>
      <c r="THO54" s="13"/>
      <c r="THP54" s="15"/>
      <c r="THQ54" s="16"/>
      <c r="THR54" s="12"/>
      <c r="THS54" s="12"/>
      <c r="THT54" s="12"/>
      <c r="THU54" s="12"/>
      <c r="THV54" s="12"/>
      <c r="THW54" s="12"/>
      <c r="THX54" s="12"/>
      <c r="THY54" s="18"/>
      <c r="TIC54" s="13"/>
      <c r="TID54" s="14"/>
      <c r="TIE54" s="14"/>
      <c r="TIF54" s="20"/>
      <c r="TIG54" s="13"/>
      <c r="TIH54" s="13"/>
      <c r="TIJ54" s="13"/>
      <c r="TIN54" s="13"/>
      <c r="TIO54" s="13"/>
      <c r="TIP54" s="15"/>
      <c r="TIQ54" s="16"/>
      <c r="TIR54" s="12"/>
      <c r="TIS54" s="12"/>
      <c r="TIT54" s="12"/>
      <c r="TIU54" s="12"/>
      <c r="TIV54" s="12"/>
      <c r="TIW54" s="12"/>
      <c r="TIX54" s="12"/>
      <c r="TIY54" s="18"/>
      <c r="TJC54" s="13"/>
      <c r="TJD54" s="14"/>
      <c r="TJE54" s="14"/>
      <c r="TJF54" s="20"/>
      <c r="TJG54" s="13"/>
      <c r="TJH54" s="13"/>
      <c r="TJJ54" s="13"/>
      <c r="TJN54" s="13"/>
      <c r="TJO54" s="13"/>
      <c r="TJP54" s="15"/>
      <c r="TJQ54" s="16"/>
      <c r="TJR54" s="12"/>
      <c r="TJS54" s="12"/>
      <c r="TJT54" s="12"/>
      <c r="TJU54" s="12"/>
      <c r="TJV54" s="12"/>
      <c r="TJW54" s="12"/>
      <c r="TJX54" s="12"/>
      <c r="TJY54" s="18"/>
      <c r="TKC54" s="13"/>
      <c r="TKD54" s="14"/>
      <c r="TKE54" s="14"/>
      <c r="TKF54" s="20"/>
      <c r="TKG54" s="13"/>
      <c r="TKH54" s="13"/>
      <c r="TKJ54" s="13"/>
      <c r="TKN54" s="13"/>
      <c r="TKO54" s="13"/>
      <c r="TKP54" s="15"/>
      <c r="TKQ54" s="16"/>
      <c r="TKR54" s="12"/>
      <c r="TKS54" s="12"/>
      <c r="TKT54" s="12"/>
      <c r="TKU54" s="12"/>
      <c r="TKV54" s="12"/>
      <c r="TKW54" s="12"/>
      <c r="TKX54" s="12"/>
      <c r="TKY54" s="18"/>
      <c r="TLC54" s="13"/>
      <c r="TLD54" s="14"/>
      <c r="TLE54" s="14"/>
      <c r="TLF54" s="20"/>
      <c r="TLG54" s="13"/>
      <c r="TLH54" s="13"/>
      <c r="TLJ54" s="13"/>
      <c r="TLN54" s="13"/>
      <c r="TLO54" s="13"/>
      <c r="TLP54" s="15"/>
      <c r="TLQ54" s="16"/>
      <c r="TLR54" s="12"/>
      <c r="TLS54" s="12"/>
      <c r="TLT54" s="12"/>
      <c r="TLU54" s="12"/>
      <c r="TLV54" s="12"/>
      <c r="TLW54" s="12"/>
      <c r="TLX54" s="12"/>
      <c r="TLY54" s="18"/>
      <c r="TMC54" s="13"/>
      <c r="TMD54" s="14"/>
      <c r="TME54" s="14"/>
      <c r="TMF54" s="20"/>
      <c r="TMG54" s="13"/>
      <c r="TMH54" s="13"/>
      <c r="TMJ54" s="13"/>
      <c r="TMN54" s="13"/>
      <c r="TMO54" s="13"/>
      <c r="TMP54" s="15"/>
      <c r="TMQ54" s="16"/>
      <c r="TMR54" s="12"/>
      <c r="TMS54" s="12"/>
      <c r="TMT54" s="12"/>
      <c r="TMU54" s="12"/>
      <c r="TMV54" s="12"/>
      <c r="TMW54" s="12"/>
      <c r="TMX54" s="12"/>
      <c r="TMY54" s="18"/>
      <c r="TNC54" s="13"/>
      <c r="TND54" s="14"/>
      <c r="TNE54" s="14"/>
      <c r="TNF54" s="20"/>
      <c r="TNG54" s="13"/>
      <c r="TNH54" s="13"/>
      <c r="TNJ54" s="13"/>
      <c r="TNN54" s="13"/>
      <c r="TNO54" s="13"/>
      <c r="TNP54" s="15"/>
      <c r="TNQ54" s="16"/>
      <c r="TNR54" s="12"/>
      <c r="TNS54" s="12"/>
      <c r="TNT54" s="12"/>
      <c r="TNU54" s="12"/>
      <c r="TNV54" s="12"/>
      <c r="TNW54" s="12"/>
      <c r="TNX54" s="12"/>
      <c r="TNY54" s="18"/>
      <c r="TOC54" s="13"/>
      <c r="TOD54" s="14"/>
      <c r="TOE54" s="14"/>
      <c r="TOF54" s="20"/>
      <c r="TOG54" s="13"/>
      <c r="TOH54" s="13"/>
      <c r="TOJ54" s="13"/>
      <c r="TON54" s="13"/>
      <c r="TOO54" s="13"/>
      <c r="TOP54" s="15"/>
      <c r="TOQ54" s="16"/>
      <c r="TOR54" s="12"/>
      <c r="TOS54" s="12"/>
      <c r="TOT54" s="12"/>
      <c r="TOU54" s="12"/>
      <c r="TOV54" s="12"/>
      <c r="TOW54" s="12"/>
      <c r="TOX54" s="12"/>
      <c r="TOY54" s="18"/>
      <c r="TPC54" s="13"/>
      <c r="TPD54" s="14"/>
      <c r="TPE54" s="14"/>
      <c r="TPF54" s="20"/>
      <c r="TPG54" s="13"/>
      <c r="TPH54" s="13"/>
      <c r="TPJ54" s="13"/>
      <c r="TPN54" s="13"/>
      <c r="TPO54" s="13"/>
      <c r="TPP54" s="15"/>
      <c r="TPQ54" s="16"/>
      <c r="TPR54" s="12"/>
      <c r="TPS54" s="12"/>
      <c r="TPT54" s="12"/>
      <c r="TPU54" s="12"/>
      <c r="TPV54" s="12"/>
      <c r="TPW54" s="12"/>
      <c r="TPX54" s="12"/>
      <c r="TPY54" s="18"/>
      <c r="TQC54" s="13"/>
      <c r="TQD54" s="14"/>
      <c r="TQE54" s="14"/>
      <c r="TQF54" s="20"/>
      <c r="TQG54" s="13"/>
      <c r="TQH54" s="13"/>
      <c r="TQJ54" s="13"/>
      <c r="TQN54" s="13"/>
      <c r="TQO54" s="13"/>
      <c r="TQP54" s="15"/>
      <c r="TQQ54" s="16"/>
      <c r="TQR54" s="12"/>
      <c r="TQS54" s="12"/>
      <c r="TQT54" s="12"/>
      <c r="TQU54" s="12"/>
      <c r="TQV54" s="12"/>
      <c r="TQW54" s="12"/>
      <c r="TQX54" s="12"/>
      <c r="TQY54" s="18"/>
      <c r="TRC54" s="13"/>
      <c r="TRD54" s="14"/>
      <c r="TRE54" s="14"/>
      <c r="TRF54" s="20"/>
      <c r="TRG54" s="13"/>
      <c r="TRH54" s="13"/>
      <c r="TRJ54" s="13"/>
      <c r="TRN54" s="13"/>
      <c r="TRO54" s="13"/>
      <c r="TRP54" s="15"/>
      <c r="TRQ54" s="16"/>
      <c r="TRR54" s="12"/>
      <c r="TRS54" s="12"/>
      <c r="TRT54" s="12"/>
      <c r="TRU54" s="12"/>
      <c r="TRV54" s="12"/>
      <c r="TRW54" s="12"/>
      <c r="TRX54" s="12"/>
      <c r="TRY54" s="18"/>
      <c r="TSC54" s="13"/>
      <c r="TSD54" s="14"/>
      <c r="TSE54" s="14"/>
      <c r="TSF54" s="20"/>
      <c r="TSG54" s="13"/>
      <c r="TSH54" s="13"/>
      <c r="TSJ54" s="13"/>
      <c r="TSN54" s="13"/>
      <c r="TSO54" s="13"/>
      <c r="TSP54" s="15"/>
      <c r="TSQ54" s="16"/>
      <c r="TSR54" s="12"/>
      <c r="TSS54" s="12"/>
      <c r="TST54" s="12"/>
      <c r="TSU54" s="12"/>
      <c r="TSV54" s="12"/>
      <c r="TSW54" s="12"/>
      <c r="TSX54" s="12"/>
      <c r="TSY54" s="18"/>
      <c r="TTC54" s="13"/>
      <c r="TTD54" s="14"/>
      <c r="TTE54" s="14"/>
      <c r="TTF54" s="20"/>
      <c r="TTG54" s="13"/>
      <c r="TTH54" s="13"/>
      <c r="TTJ54" s="13"/>
      <c r="TTN54" s="13"/>
      <c r="TTO54" s="13"/>
      <c r="TTP54" s="15"/>
      <c r="TTQ54" s="16"/>
      <c r="TTR54" s="12"/>
      <c r="TTS54" s="12"/>
      <c r="TTT54" s="12"/>
      <c r="TTU54" s="12"/>
      <c r="TTV54" s="12"/>
      <c r="TTW54" s="12"/>
      <c r="TTX54" s="12"/>
      <c r="TTY54" s="18"/>
      <c r="TUC54" s="13"/>
      <c r="TUD54" s="14"/>
      <c r="TUE54" s="14"/>
      <c r="TUF54" s="20"/>
      <c r="TUG54" s="13"/>
      <c r="TUH54" s="13"/>
      <c r="TUJ54" s="13"/>
      <c r="TUN54" s="13"/>
      <c r="TUO54" s="13"/>
      <c r="TUP54" s="15"/>
      <c r="TUQ54" s="16"/>
      <c r="TUR54" s="12"/>
      <c r="TUS54" s="12"/>
      <c r="TUT54" s="12"/>
      <c r="TUU54" s="12"/>
      <c r="TUV54" s="12"/>
      <c r="TUW54" s="12"/>
      <c r="TUX54" s="12"/>
      <c r="TUY54" s="18"/>
      <c r="TVC54" s="13"/>
      <c r="TVD54" s="14"/>
      <c r="TVE54" s="14"/>
      <c r="TVF54" s="20"/>
      <c r="TVG54" s="13"/>
      <c r="TVH54" s="13"/>
      <c r="TVJ54" s="13"/>
      <c r="TVN54" s="13"/>
      <c r="TVO54" s="13"/>
      <c r="TVP54" s="15"/>
      <c r="TVQ54" s="16"/>
      <c r="TVR54" s="12"/>
      <c r="TVS54" s="12"/>
      <c r="TVT54" s="12"/>
      <c r="TVU54" s="12"/>
      <c r="TVV54" s="12"/>
      <c r="TVW54" s="12"/>
      <c r="TVX54" s="12"/>
      <c r="TVY54" s="18"/>
      <c r="TWC54" s="13"/>
      <c r="TWD54" s="14"/>
      <c r="TWE54" s="14"/>
      <c r="TWF54" s="20"/>
      <c r="TWG54" s="13"/>
      <c r="TWH54" s="13"/>
      <c r="TWJ54" s="13"/>
      <c r="TWN54" s="13"/>
      <c r="TWO54" s="13"/>
      <c r="TWP54" s="15"/>
      <c r="TWQ54" s="16"/>
      <c r="TWR54" s="12"/>
      <c r="TWS54" s="12"/>
      <c r="TWT54" s="12"/>
      <c r="TWU54" s="12"/>
      <c r="TWV54" s="12"/>
      <c r="TWW54" s="12"/>
      <c r="TWX54" s="12"/>
      <c r="TWY54" s="18"/>
      <c r="TXC54" s="13"/>
      <c r="TXD54" s="14"/>
      <c r="TXE54" s="14"/>
      <c r="TXF54" s="20"/>
      <c r="TXG54" s="13"/>
      <c r="TXH54" s="13"/>
      <c r="TXJ54" s="13"/>
      <c r="TXN54" s="13"/>
      <c r="TXO54" s="13"/>
      <c r="TXP54" s="15"/>
      <c r="TXQ54" s="16"/>
      <c r="TXR54" s="12"/>
      <c r="TXS54" s="12"/>
      <c r="TXT54" s="12"/>
      <c r="TXU54" s="12"/>
      <c r="TXV54" s="12"/>
      <c r="TXW54" s="12"/>
      <c r="TXX54" s="12"/>
      <c r="TXY54" s="18"/>
      <c r="TYC54" s="13"/>
      <c r="TYD54" s="14"/>
      <c r="TYE54" s="14"/>
      <c r="TYF54" s="20"/>
      <c r="TYG54" s="13"/>
      <c r="TYH54" s="13"/>
      <c r="TYJ54" s="13"/>
      <c r="TYN54" s="13"/>
      <c r="TYO54" s="13"/>
      <c r="TYP54" s="15"/>
      <c r="TYQ54" s="16"/>
      <c r="TYR54" s="12"/>
      <c r="TYS54" s="12"/>
      <c r="TYT54" s="12"/>
      <c r="TYU54" s="12"/>
      <c r="TYV54" s="12"/>
      <c r="TYW54" s="12"/>
      <c r="TYX54" s="12"/>
      <c r="TYY54" s="18"/>
      <c r="TZC54" s="13"/>
      <c r="TZD54" s="14"/>
      <c r="TZE54" s="14"/>
      <c r="TZF54" s="20"/>
      <c r="TZG54" s="13"/>
      <c r="TZH54" s="13"/>
      <c r="TZJ54" s="13"/>
      <c r="TZN54" s="13"/>
      <c r="TZO54" s="13"/>
      <c r="TZP54" s="15"/>
      <c r="TZQ54" s="16"/>
      <c r="TZR54" s="12"/>
      <c r="TZS54" s="12"/>
      <c r="TZT54" s="12"/>
      <c r="TZU54" s="12"/>
      <c r="TZV54" s="12"/>
      <c r="TZW54" s="12"/>
      <c r="TZX54" s="12"/>
      <c r="TZY54" s="18"/>
      <c r="UAC54" s="13"/>
      <c r="UAD54" s="14"/>
      <c r="UAE54" s="14"/>
      <c r="UAF54" s="20"/>
      <c r="UAG54" s="13"/>
      <c r="UAH54" s="13"/>
      <c r="UAJ54" s="13"/>
      <c r="UAN54" s="13"/>
      <c r="UAO54" s="13"/>
      <c r="UAP54" s="15"/>
      <c r="UAQ54" s="16"/>
      <c r="UAR54" s="12"/>
      <c r="UAS54" s="12"/>
      <c r="UAT54" s="12"/>
      <c r="UAU54" s="12"/>
      <c r="UAV54" s="12"/>
      <c r="UAW54" s="12"/>
      <c r="UAX54" s="12"/>
      <c r="UAY54" s="18"/>
      <c r="UBC54" s="13"/>
      <c r="UBD54" s="14"/>
      <c r="UBE54" s="14"/>
      <c r="UBF54" s="20"/>
      <c r="UBG54" s="13"/>
      <c r="UBH54" s="13"/>
      <c r="UBJ54" s="13"/>
      <c r="UBN54" s="13"/>
      <c r="UBO54" s="13"/>
      <c r="UBP54" s="15"/>
      <c r="UBQ54" s="16"/>
      <c r="UBR54" s="12"/>
      <c r="UBS54" s="12"/>
      <c r="UBT54" s="12"/>
      <c r="UBU54" s="12"/>
      <c r="UBV54" s="12"/>
      <c r="UBW54" s="12"/>
      <c r="UBX54" s="12"/>
      <c r="UBY54" s="18"/>
      <c r="UCC54" s="13"/>
      <c r="UCD54" s="14"/>
      <c r="UCE54" s="14"/>
      <c r="UCF54" s="20"/>
      <c r="UCG54" s="13"/>
      <c r="UCH54" s="13"/>
      <c r="UCJ54" s="13"/>
      <c r="UCN54" s="13"/>
      <c r="UCO54" s="13"/>
      <c r="UCP54" s="15"/>
      <c r="UCQ54" s="16"/>
      <c r="UCR54" s="12"/>
      <c r="UCS54" s="12"/>
      <c r="UCT54" s="12"/>
      <c r="UCU54" s="12"/>
      <c r="UCV54" s="12"/>
      <c r="UCW54" s="12"/>
      <c r="UCX54" s="12"/>
      <c r="UCY54" s="18"/>
      <c r="UDC54" s="13"/>
      <c r="UDD54" s="14"/>
      <c r="UDE54" s="14"/>
      <c r="UDF54" s="20"/>
      <c r="UDG54" s="13"/>
      <c r="UDH54" s="13"/>
      <c r="UDJ54" s="13"/>
      <c r="UDN54" s="13"/>
      <c r="UDO54" s="13"/>
      <c r="UDP54" s="15"/>
      <c r="UDQ54" s="16"/>
      <c r="UDR54" s="12"/>
      <c r="UDS54" s="12"/>
      <c r="UDT54" s="12"/>
      <c r="UDU54" s="12"/>
      <c r="UDV54" s="12"/>
      <c r="UDW54" s="12"/>
      <c r="UDX54" s="12"/>
      <c r="UDY54" s="18"/>
      <c r="UEC54" s="13"/>
      <c r="UED54" s="14"/>
      <c r="UEE54" s="14"/>
      <c r="UEF54" s="20"/>
      <c r="UEG54" s="13"/>
      <c r="UEH54" s="13"/>
      <c r="UEJ54" s="13"/>
      <c r="UEN54" s="13"/>
      <c r="UEO54" s="13"/>
      <c r="UEP54" s="15"/>
      <c r="UEQ54" s="16"/>
      <c r="UER54" s="12"/>
      <c r="UES54" s="12"/>
      <c r="UET54" s="12"/>
      <c r="UEU54" s="12"/>
      <c r="UEV54" s="12"/>
      <c r="UEW54" s="12"/>
      <c r="UEX54" s="12"/>
      <c r="UEY54" s="18"/>
      <c r="UFC54" s="13"/>
      <c r="UFD54" s="14"/>
      <c r="UFE54" s="14"/>
      <c r="UFF54" s="20"/>
      <c r="UFG54" s="13"/>
      <c r="UFH54" s="13"/>
      <c r="UFJ54" s="13"/>
      <c r="UFN54" s="13"/>
      <c r="UFO54" s="13"/>
      <c r="UFP54" s="15"/>
      <c r="UFQ54" s="16"/>
      <c r="UFR54" s="12"/>
      <c r="UFS54" s="12"/>
      <c r="UFT54" s="12"/>
      <c r="UFU54" s="12"/>
      <c r="UFV54" s="12"/>
      <c r="UFW54" s="12"/>
      <c r="UFX54" s="12"/>
      <c r="UFY54" s="18"/>
      <c r="UGC54" s="13"/>
      <c r="UGD54" s="14"/>
      <c r="UGE54" s="14"/>
      <c r="UGF54" s="20"/>
      <c r="UGG54" s="13"/>
      <c r="UGH54" s="13"/>
      <c r="UGJ54" s="13"/>
      <c r="UGN54" s="13"/>
      <c r="UGO54" s="13"/>
      <c r="UGP54" s="15"/>
      <c r="UGQ54" s="16"/>
      <c r="UGR54" s="12"/>
      <c r="UGS54" s="12"/>
      <c r="UGT54" s="12"/>
      <c r="UGU54" s="12"/>
      <c r="UGV54" s="12"/>
      <c r="UGW54" s="12"/>
      <c r="UGX54" s="12"/>
      <c r="UGY54" s="18"/>
      <c r="UHC54" s="13"/>
      <c r="UHD54" s="14"/>
      <c r="UHE54" s="14"/>
      <c r="UHF54" s="20"/>
      <c r="UHG54" s="13"/>
      <c r="UHH54" s="13"/>
      <c r="UHJ54" s="13"/>
      <c r="UHN54" s="13"/>
      <c r="UHO54" s="13"/>
      <c r="UHP54" s="15"/>
      <c r="UHQ54" s="16"/>
      <c r="UHR54" s="12"/>
      <c r="UHS54" s="12"/>
      <c r="UHT54" s="12"/>
      <c r="UHU54" s="12"/>
      <c r="UHV54" s="12"/>
      <c r="UHW54" s="12"/>
      <c r="UHX54" s="12"/>
      <c r="UHY54" s="18"/>
      <c r="UIC54" s="13"/>
      <c r="UID54" s="14"/>
      <c r="UIE54" s="14"/>
      <c r="UIF54" s="20"/>
      <c r="UIG54" s="13"/>
      <c r="UIH54" s="13"/>
      <c r="UIJ54" s="13"/>
      <c r="UIN54" s="13"/>
      <c r="UIO54" s="13"/>
      <c r="UIP54" s="15"/>
      <c r="UIQ54" s="16"/>
      <c r="UIR54" s="12"/>
      <c r="UIS54" s="12"/>
      <c r="UIT54" s="12"/>
      <c r="UIU54" s="12"/>
      <c r="UIV54" s="12"/>
      <c r="UIW54" s="12"/>
      <c r="UIX54" s="12"/>
      <c r="UIY54" s="18"/>
      <c r="UJC54" s="13"/>
      <c r="UJD54" s="14"/>
      <c r="UJE54" s="14"/>
      <c r="UJF54" s="20"/>
      <c r="UJG54" s="13"/>
      <c r="UJH54" s="13"/>
      <c r="UJJ54" s="13"/>
      <c r="UJN54" s="13"/>
      <c r="UJO54" s="13"/>
      <c r="UJP54" s="15"/>
      <c r="UJQ54" s="16"/>
      <c r="UJR54" s="12"/>
      <c r="UJS54" s="12"/>
      <c r="UJT54" s="12"/>
      <c r="UJU54" s="12"/>
      <c r="UJV54" s="12"/>
      <c r="UJW54" s="12"/>
      <c r="UJX54" s="12"/>
      <c r="UJY54" s="18"/>
      <c r="UKC54" s="13"/>
      <c r="UKD54" s="14"/>
      <c r="UKE54" s="14"/>
      <c r="UKF54" s="20"/>
      <c r="UKG54" s="13"/>
      <c r="UKH54" s="13"/>
      <c r="UKJ54" s="13"/>
      <c r="UKN54" s="13"/>
      <c r="UKO54" s="13"/>
      <c r="UKP54" s="15"/>
      <c r="UKQ54" s="16"/>
      <c r="UKR54" s="12"/>
      <c r="UKS54" s="12"/>
      <c r="UKT54" s="12"/>
      <c r="UKU54" s="12"/>
      <c r="UKV54" s="12"/>
      <c r="UKW54" s="12"/>
      <c r="UKX54" s="12"/>
      <c r="UKY54" s="18"/>
      <c r="ULC54" s="13"/>
      <c r="ULD54" s="14"/>
      <c r="ULE54" s="14"/>
      <c r="ULF54" s="20"/>
      <c r="ULG54" s="13"/>
      <c r="ULH54" s="13"/>
      <c r="ULJ54" s="13"/>
      <c r="ULN54" s="13"/>
      <c r="ULO54" s="13"/>
      <c r="ULP54" s="15"/>
      <c r="ULQ54" s="16"/>
      <c r="ULR54" s="12"/>
      <c r="ULS54" s="12"/>
      <c r="ULT54" s="12"/>
      <c r="ULU54" s="12"/>
      <c r="ULV54" s="12"/>
      <c r="ULW54" s="12"/>
      <c r="ULX54" s="12"/>
      <c r="ULY54" s="18"/>
      <c r="UMC54" s="13"/>
      <c r="UMD54" s="14"/>
      <c r="UME54" s="14"/>
      <c r="UMF54" s="20"/>
      <c r="UMG54" s="13"/>
      <c r="UMH54" s="13"/>
      <c r="UMJ54" s="13"/>
      <c r="UMN54" s="13"/>
      <c r="UMO54" s="13"/>
      <c r="UMP54" s="15"/>
      <c r="UMQ54" s="16"/>
      <c r="UMR54" s="12"/>
      <c r="UMS54" s="12"/>
      <c r="UMT54" s="12"/>
      <c r="UMU54" s="12"/>
      <c r="UMV54" s="12"/>
      <c r="UMW54" s="12"/>
      <c r="UMX54" s="12"/>
      <c r="UMY54" s="18"/>
      <c r="UNC54" s="13"/>
      <c r="UND54" s="14"/>
      <c r="UNE54" s="14"/>
      <c r="UNF54" s="20"/>
      <c r="UNG54" s="13"/>
      <c r="UNH54" s="13"/>
      <c r="UNJ54" s="13"/>
      <c r="UNN54" s="13"/>
      <c r="UNO54" s="13"/>
      <c r="UNP54" s="15"/>
      <c r="UNQ54" s="16"/>
      <c r="UNR54" s="12"/>
      <c r="UNS54" s="12"/>
      <c r="UNT54" s="12"/>
      <c r="UNU54" s="12"/>
      <c r="UNV54" s="12"/>
      <c r="UNW54" s="12"/>
      <c r="UNX54" s="12"/>
      <c r="UNY54" s="18"/>
      <c r="UOC54" s="13"/>
      <c r="UOD54" s="14"/>
      <c r="UOE54" s="14"/>
      <c r="UOF54" s="20"/>
      <c r="UOG54" s="13"/>
      <c r="UOH54" s="13"/>
      <c r="UOJ54" s="13"/>
      <c r="UON54" s="13"/>
      <c r="UOO54" s="13"/>
      <c r="UOP54" s="15"/>
      <c r="UOQ54" s="16"/>
      <c r="UOR54" s="12"/>
      <c r="UOS54" s="12"/>
      <c r="UOT54" s="12"/>
      <c r="UOU54" s="12"/>
      <c r="UOV54" s="12"/>
      <c r="UOW54" s="12"/>
      <c r="UOX54" s="12"/>
      <c r="UOY54" s="18"/>
      <c r="UPC54" s="13"/>
      <c r="UPD54" s="14"/>
      <c r="UPE54" s="14"/>
      <c r="UPF54" s="20"/>
      <c r="UPG54" s="13"/>
      <c r="UPH54" s="13"/>
      <c r="UPJ54" s="13"/>
      <c r="UPN54" s="13"/>
      <c r="UPO54" s="13"/>
      <c r="UPP54" s="15"/>
      <c r="UPQ54" s="16"/>
      <c r="UPR54" s="12"/>
      <c r="UPS54" s="12"/>
      <c r="UPT54" s="12"/>
      <c r="UPU54" s="12"/>
      <c r="UPV54" s="12"/>
      <c r="UPW54" s="12"/>
      <c r="UPX54" s="12"/>
      <c r="UPY54" s="18"/>
      <c r="UQC54" s="13"/>
      <c r="UQD54" s="14"/>
      <c r="UQE54" s="14"/>
      <c r="UQF54" s="20"/>
      <c r="UQG54" s="13"/>
      <c r="UQH54" s="13"/>
      <c r="UQJ54" s="13"/>
      <c r="UQN54" s="13"/>
      <c r="UQO54" s="13"/>
      <c r="UQP54" s="15"/>
      <c r="UQQ54" s="16"/>
      <c r="UQR54" s="12"/>
      <c r="UQS54" s="12"/>
      <c r="UQT54" s="12"/>
      <c r="UQU54" s="12"/>
      <c r="UQV54" s="12"/>
      <c r="UQW54" s="12"/>
      <c r="UQX54" s="12"/>
      <c r="UQY54" s="18"/>
      <c r="URC54" s="13"/>
      <c r="URD54" s="14"/>
      <c r="URE54" s="14"/>
      <c r="URF54" s="20"/>
      <c r="URG54" s="13"/>
      <c r="URH54" s="13"/>
      <c r="URJ54" s="13"/>
      <c r="URN54" s="13"/>
      <c r="URO54" s="13"/>
      <c r="URP54" s="15"/>
      <c r="URQ54" s="16"/>
      <c r="URR54" s="12"/>
      <c r="URS54" s="12"/>
      <c r="URT54" s="12"/>
      <c r="URU54" s="12"/>
      <c r="URV54" s="12"/>
      <c r="URW54" s="12"/>
      <c r="URX54" s="12"/>
      <c r="URY54" s="18"/>
      <c r="USC54" s="13"/>
      <c r="USD54" s="14"/>
      <c r="USE54" s="14"/>
      <c r="USF54" s="20"/>
      <c r="USG54" s="13"/>
      <c r="USH54" s="13"/>
      <c r="USJ54" s="13"/>
      <c r="USN54" s="13"/>
      <c r="USO54" s="13"/>
      <c r="USP54" s="15"/>
      <c r="USQ54" s="16"/>
      <c r="USR54" s="12"/>
      <c r="USS54" s="12"/>
      <c r="UST54" s="12"/>
      <c r="USU54" s="12"/>
      <c r="USV54" s="12"/>
      <c r="USW54" s="12"/>
      <c r="USX54" s="12"/>
      <c r="USY54" s="18"/>
      <c r="UTC54" s="13"/>
      <c r="UTD54" s="14"/>
      <c r="UTE54" s="14"/>
      <c r="UTF54" s="20"/>
      <c r="UTG54" s="13"/>
      <c r="UTH54" s="13"/>
      <c r="UTJ54" s="13"/>
      <c r="UTN54" s="13"/>
      <c r="UTO54" s="13"/>
      <c r="UTP54" s="15"/>
      <c r="UTQ54" s="16"/>
      <c r="UTR54" s="12"/>
      <c r="UTS54" s="12"/>
      <c r="UTT54" s="12"/>
      <c r="UTU54" s="12"/>
      <c r="UTV54" s="12"/>
      <c r="UTW54" s="12"/>
      <c r="UTX54" s="12"/>
      <c r="UTY54" s="18"/>
      <c r="UUC54" s="13"/>
      <c r="UUD54" s="14"/>
      <c r="UUE54" s="14"/>
      <c r="UUF54" s="20"/>
      <c r="UUG54" s="13"/>
      <c r="UUH54" s="13"/>
      <c r="UUJ54" s="13"/>
      <c r="UUN54" s="13"/>
      <c r="UUO54" s="13"/>
      <c r="UUP54" s="15"/>
      <c r="UUQ54" s="16"/>
      <c r="UUR54" s="12"/>
      <c r="UUS54" s="12"/>
      <c r="UUT54" s="12"/>
      <c r="UUU54" s="12"/>
      <c r="UUV54" s="12"/>
      <c r="UUW54" s="12"/>
      <c r="UUX54" s="12"/>
      <c r="UUY54" s="18"/>
      <c r="UVC54" s="13"/>
      <c r="UVD54" s="14"/>
      <c r="UVE54" s="14"/>
      <c r="UVF54" s="20"/>
      <c r="UVG54" s="13"/>
      <c r="UVH54" s="13"/>
      <c r="UVJ54" s="13"/>
      <c r="UVN54" s="13"/>
      <c r="UVO54" s="13"/>
      <c r="UVP54" s="15"/>
      <c r="UVQ54" s="16"/>
      <c r="UVR54" s="12"/>
      <c r="UVS54" s="12"/>
      <c r="UVT54" s="12"/>
      <c r="UVU54" s="12"/>
      <c r="UVV54" s="12"/>
      <c r="UVW54" s="12"/>
      <c r="UVX54" s="12"/>
      <c r="UVY54" s="18"/>
      <c r="UWC54" s="13"/>
      <c r="UWD54" s="14"/>
      <c r="UWE54" s="14"/>
      <c r="UWF54" s="20"/>
      <c r="UWG54" s="13"/>
      <c r="UWH54" s="13"/>
      <c r="UWJ54" s="13"/>
      <c r="UWN54" s="13"/>
      <c r="UWO54" s="13"/>
      <c r="UWP54" s="15"/>
      <c r="UWQ54" s="16"/>
      <c r="UWR54" s="12"/>
      <c r="UWS54" s="12"/>
      <c r="UWT54" s="12"/>
      <c r="UWU54" s="12"/>
      <c r="UWV54" s="12"/>
      <c r="UWW54" s="12"/>
      <c r="UWX54" s="12"/>
      <c r="UWY54" s="18"/>
      <c r="UXC54" s="13"/>
      <c r="UXD54" s="14"/>
      <c r="UXE54" s="14"/>
      <c r="UXF54" s="20"/>
      <c r="UXG54" s="13"/>
      <c r="UXH54" s="13"/>
      <c r="UXJ54" s="13"/>
      <c r="UXN54" s="13"/>
      <c r="UXO54" s="13"/>
      <c r="UXP54" s="15"/>
      <c r="UXQ54" s="16"/>
      <c r="UXR54" s="12"/>
      <c r="UXS54" s="12"/>
      <c r="UXT54" s="12"/>
      <c r="UXU54" s="12"/>
      <c r="UXV54" s="12"/>
      <c r="UXW54" s="12"/>
      <c r="UXX54" s="12"/>
      <c r="UXY54" s="18"/>
      <c r="UYC54" s="13"/>
      <c r="UYD54" s="14"/>
      <c r="UYE54" s="14"/>
      <c r="UYF54" s="20"/>
      <c r="UYG54" s="13"/>
      <c r="UYH54" s="13"/>
      <c r="UYJ54" s="13"/>
      <c r="UYN54" s="13"/>
      <c r="UYO54" s="13"/>
      <c r="UYP54" s="15"/>
      <c r="UYQ54" s="16"/>
      <c r="UYR54" s="12"/>
      <c r="UYS54" s="12"/>
      <c r="UYT54" s="12"/>
      <c r="UYU54" s="12"/>
      <c r="UYV54" s="12"/>
      <c r="UYW54" s="12"/>
      <c r="UYX54" s="12"/>
      <c r="UYY54" s="18"/>
      <c r="UZC54" s="13"/>
      <c r="UZD54" s="14"/>
      <c r="UZE54" s="14"/>
      <c r="UZF54" s="20"/>
      <c r="UZG54" s="13"/>
      <c r="UZH54" s="13"/>
      <c r="UZJ54" s="13"/>
      <c r="UZN54" s="13"/>
      <c r="UZO54" s="13"/>
      <c r="UZP54" s="15"/>
      <c r="UZQ54" s="16"/>
      <c r="UZR54" s="12"/>
      <c r="UZS54" s="12"/>
      <c r="UZT54" s="12"/>
      <c r="UZU54" s="12"/>
      <c r="UZV54" s="12"/>
      <c r="UZW54" s="12"/>
      <c r="UZX54" s="12"/>
      <c r="UZY54" s="18"/>
      <c r="VAC54" s="13"/>
      <c r="VAD54" s="14"/>
      <c r="VAE54" s="14"/>
      <c r="VAF54" s="20"/>
      <c r="VAG54" s="13"/>
      <c r="VAH54" s="13"/>
      <c r="VAJ54" s="13"/>
      <c r="VAN54" s="13"/>
      <c r="VAO54" s="13"/>
      <c r="VAP54" s="15"/>
      <c r="VAQ54" s="16"/>
      <c r="VAR54" s="12"/>
      <c r="VAS54" s="12"/>
      <c r="VAT54" s="12"/>
      <c r="VAU54" s="12"/>
      <c r="VAV54" s="12"/>
      <c r="VAW54" s="12"/>
      <c r="VAX54" s="12"/>
      <c r="VAY54" s="18"/>
      <c r="VBC54" s="13"/>
      <c r="VBD54" s="14"/>
      <c r="VBE54" s="14"/>
      <c r="VBF54" s="20"/>
      <c r="VBG54" s="13"/>
      <c r="VBH54" s="13"/>
      <c r="VBJ54" s="13"/>
      <c r="VBN54" s="13"/>
      <c r="VBO54" s="13"/>
      <c r="VBP54" s="15"/>
      <c r="VBQ54" s="16"/>
      <c r="VBR54" s="12"/>
      <c r="VBS54" s="12"/>
      <c r="VBT54" s="12"/>
      <c r="VBU54" s="12"/>
      <c r="VBV54" s="12"/>
      <c r="VBW54" s="12"/>
      <c r="VBX54" s="12"/>
      <c r="VBY54" s="18"/>
      <c r="VCC54" s="13"/>
      <c r="VCD54" s="14"/>
      <c r="VCE54" s="14"/>
      <c r="VCF54" s="20"/>
      <c r="VCG54" s="13"/>
      <c r="VCH54" s="13"/>
      <c r="VCJ54" s="13"/>
      <c r="VCN54" s="13"/>
      <c r="VCO54" s="13"/>
      <c r="VCP54" s="15"/>
      <c r="VCQ54" s="16"/>
      <c r="VCR54" s="12"/>
      <c r="VCS54" s="12"/>
      <c r="VCT54" s="12"/>
      <c r="VCU54" s="12"/>
      <c r="VCV54" s="12"/>
      <c r="VCW54" s="12"/>
      <c r="VCX54" s="12"/>
      <c r="VCY54" s="18"/>
      <c r="VDC54" s="13"/>
      <c r="VDD54" s="14"/>
      <c r="VDE54" s="14"/>
      <c r="VDF54" s="20"/>
      <c r="VDG54" s="13"/>
      <c r="VDH54" s="13"/>
      <c r="VDJ54" s="13"/>
      <c r="VDN54" s="13"/>
      <c r="VDO54" s="13"/>
      <c r="VDP54" s="15"/>
      <c r="VDQ54" s="16"/>
      <c r="VDR54" s="12"/>
      <c r="VDS54" s="12"/>
      <c r="VDT54" s="12"/>
      <c r="VDU54" s="12"/>
      <c r="VDV54" s="12"/>
      <c r="VDW54" s="12"/>
      <c r="VDX54" s="12"/>
      <c r="VDY54" s="18"/>
      <c r="VEC54" s="13"/>
      <c r="VED54" s="14"/>
      <c r="VEE54" s="14"/>
      <c r="VEF54" s="20"/>
      <c r="VEG54" s="13"/>
      <c r="VEH54" s="13"/>
      <c r="VEJ54" s="13"/>
      <c r="VEN54" s="13"/>
      <c r="VEO54" s="13"/>
      <c r="VEP54" s="15"/>
      <c r="VEQ54" s="16"/>
      <c r="VER54" s="12"/>
      <c r="VES54" s="12"/>
      <c r="VET54" s="12"/>
      <c r="VEU54" s="12"/>
      <c r="VEV54" s="12"/>
      <c r="VEW54" s="12"/>
      <c r="VEX54" s="12"/>
      <c r="VEY54" s="18"/>
      <c r="VFC54" s="13"/>
      <c r="VFD54" s="14"/>
      <c r="VFE54" s="14"/>
      <c r="VFF54" s="20"/>
      <c r="VFG54" s="13"/>
      <c r="VFH54" s="13"/>
      <c r="VFJ54" s="13"/>
      <c r="VFN54" s="13"/>
      <c r="VFO54" s="13"/>
      <c r="VFP54" s="15"/>
      <c r="VFQ54" s="16"/>
      <c r="VFR54" s="12"/>
      <c r="VFS54" s="12"/>
      <c r="VFT54" s="12"/>
      <c r="VFU54" s="12"/>
      <c r="VFV54" s="12"/>
      <c r="VFW54" s="12"/>
      <c r="VFX54" s="12"/>
      <c r="VFY54" s="18"/>
      <c r="VGC54" s="13"/>
      <c r="VGD54" s="14"/>
      <c r="VGE54" s="14"/>
      <c r="VGF54" s="20"/>
      <c r="VGG54" s="13"/>
      <c r="VGH54" s="13"/>
      <c r="VGJ54" s="13"/>
      <c r="VGN54" s="13"/>
      <c r="VGO54" s="13"/>
      <c r="VGP54" s="15"/>
      <c r="VGQ54" s="16"/>
      <c r="VGR54" s="12"/>
      <c r="VGS54" s="12"/>
      <c r="VGT54" s="12"/>
      <c r="VGU54" s="12"/>
      <c r="VGV54" s="12"/>
      <c r="VGW54" s="12"/>
      <c r="VGX54" s="12"/>
      <c r="VGY54" s="18"/>
      <c r="VHC54" s="13"/>
      <c r="VHD54" s="14"/>
      <c r="VHE54" s="14"/>
      <c r="VHF54" s="20"/>
      <c r="VHG54" s="13"/>
      <c r="VHH54" s="13"/>
      <c r="VHJ54" s="13"/>
      <c r="VHN54" s="13"/>
      <c r="VHO54" s="13"/>
      <c r="VHP54" s="15"/>
      <c r="VHQ54" s="16"/>
      <c r="VHR54" s="12"/>
      <c r="VHS54" s="12"/>
      <c r="VHT54" s="12"/>
      <c r="VHU54" s="12"/>
      <c r="VHV54" s="12"/>
      <c r="VHW54" s="12"/>
      <c r="VHX54" s="12"/>
      <c r="VHY54" s="18"/>
      <c r="VIC54" s="13"/>
      <c r="VID54" s="14"/>
      <c r="VIE54" s="14"/>
      <c r="VIF54" s="20"/>
      <c r="VIG54" s="13"/>
      <c r="VIH54" s="13"/>
      <c r="VIJ54" s="13"/>
      <c r="VIN54" s="13"/>
      <c r="VIO54" s="13"/>
      <c r="VIP54" s="15"/>
      <c r="VIQ54" s="16"/>
      <c r="VIR54" s="12"/>
      <c r="VIS54" s="12"/>
      <c r="VIT54" s="12"/>
      <c r="VIU54" s="12"/>
      <c r="VIV54" s="12"/>
      <c r="VIW54" s="12"/>
      <c r="VIX54" s="12"/>
      <c r="VIY54" s="18"/>
      <c r="VJC54" s="13"/>
      <c r="VJD54" s="14"/>
      <c r="VJE54" s="14"/>
      <c r="VJF54" s="20"/>
      <c r="VJG54" s="13"/>
      <c r="VJH54" s="13"/>
      <c r="VJJ54" s="13"/>
      <c r="VJN54" s="13"/>
      <c r="VJO54" s="13"/>
      <c r="VJP54" s="15"/>
      <c r="VJQ54" s="16"/>
      <c r="VJR54" s="12"/>
      <c r="VJS54" s="12"/>
      <c r="VJT54" s="12"/>
      <c r="VJU54" s="12"/>
      <c r="VJV54" s="12"/>
      <c r="VJW54" s="12"/>
      <c r="VJX54" s="12"/>
      <c r="VJY54" s="18"/>
      <c r="VKC54" s="13"/>
      <c r="VKD54" s="14"/>
      <c r="VKE54" s="14"/>
      <c r="VKF54" s="20"/>
      <c r="VKG54" s="13"/>
      <c r="VKH54" s="13"/>
      <c r="VKJ54" s="13"/>
      <c r="VKN54" s="13"/>
      <c r="VKO54" s="13"/>
      <c r="VKP54" s="15"/>
      <c r="VKQ54" s="16"/>
      <c r="VKR54" s="12"/>
      <c r="VKS54" s="12"/>
      <c r="VKT54" s="12"/>
      <c r="VKU54" s="12"/>
      <c r="VKV54" s="12"/>
      <c r="VKW54" s="12"/>
      <c r="VKX54" s="12"/>
      <c r="VKY54" s="18"/>
      <c r="VLC54" s="13"/>
      <c r="VLD54" s="14"/>
      <c r="VLE54" s="14"/>
      <c r="VLF54" s="20"/>
      <c r="VLG54" s="13"/>
      <c r="VLH54" s="13"/>
      <c r="VLJ54" s="13"/>
      <c r="VLN54" s="13"/>
      <c r="VLO54" s="13"/>
      <c r="VLP54" s="15"/>
      <c r="VLQ54" s="16"/>
      <c r="VLR54" s="12"/>
      <c r="VLS54" s="12"/>
      <c r="VLT54" s="12"/>
      <c r="VLU54" s="12"/>
      <c r="VLV54" s="12"/>
      <c r="VLW54" s="12"/>
      <c r="VLX54" s="12"/>
      <c r="VLY54" s="18"/>
      <c r="VMC54" s="13"/>
      <c r="VMD54" s="14"/>
      <c r="VME54" s="14"/>
      <c r="VMF54" s="20"/>
      <c r="VMG54" s="13"/>
      <c r="VMH54" s="13"/>
      <c r="VMJ54" s="13"/>
      <c r="VMN54" s="13"/>
      <c r="VMO54" s="13"/>
      <c r="VMP54" s="15"/>
      <c r="VMQ54" s="16"/>
      <c r="VMR54" s="12"/>
      <c r="VMS54" s="12"/>
      <c r="VMT54" s="12"/>
      <c r="VMU54" s="12"/>
      <c r="VMV54" s="12"/>
      <c r="VMW54" s="12"/>
      <c r="VMX54" s="12"/>
      <c r="VMY54" s="18"/>
      <c r="VNC54" s="13"/>
      <c r="VND54" s="14"/>
      <c r="VNE54" s="14"/>
      <c r="VNF54" s="20"/>
      <c r="VNG54" s="13"/>
      <c r="VNH54" s="13"/>
      <c r="VNJ54" s="13"/>
      <c r="VNN54" s="13"/>
      <c r="VNO54" s="13"/>
      <c r="VNP54" s="15"/>
      <c r="VNQ54" s="16"/>
      <c r="VNR54" s="12"/>
      <c r="VNS54" s="12"/>
      <c r="VNT54" s="12"/>
      <c r="VNU54" s="12"/>
      <c r="VNV54" s="12"/>
      <c r="VNW54" s="12"/>
      <c r="VNX54" s="12"/>
      <c r="VNY54" s="18"/>
      <c r="VOC54" s="13"/>
      <c r="VOD54" s="14"/>
      <c r="VOE54" s="14"/>
      <c r="VOF54" s="20"/>
      <c r="VOG54" s="13"/>
      <c r="VOH54" s="13"/>
      <c r="VOJ54" s="13"/>
      <c r="VON54" s="13"/>
      <c r="VOO54" s="13"/>
      <c r="VOP54" s="15"/>
      <c r="VOQ54" s="16"/>
      <c r="VOR54" s="12"/>
      <c r="VOS54" s="12"/>
      <c r="VOT54" s="12"/>
      <c r="VOU54" s="12"/>
      <c r="VOV54" s="12"/>
      <c r="VOW54" s="12"/>
      <c r="VOX54" s="12"/>
      <c r="VOY54" s="18"/>
      <c r="VPC54" s="13"/>
      <c r="VPD54" s="14"/>
      <c r="VPE54" s="14"/>
      <c r="VPF54" s="20"/>
      <c r="VPG54" s="13"/>
      <c r="VPH54" s="13"/>
      <c r="VPJ54" s="13"/>
      <c r="VPN54" s="13"/>
      <c r="VPO54" s="13"/>
      <c r="VPP54" s="15"/>
      <c r="VPQ54" s="16"/>
      <c r="VPR54" s="12"/>
      <c r="VPS54" s="12"/>
      <c r="VPT54" s="12"/>
      <c r="VPU54" s="12"/>
      <c r="VPV54" s="12"/>
      <c r="VPW54" s="12"/>
      <c r="VPX54" s="12"/>
      <c r="VPY54" s="18"/>
      <c r="VQC54" s="13"/>
      <c r="VQD54" s="14"/>
      <c r="VQE54" s="14"/>
      <c r="VQF54" s="20"/>
      <c r="VQG54" s="13"/>
      <c r="VQH54" s="13"/>
      <c r="VQJ54" s="13"/>
      <c r="VQN54" s="13"/>
      <c r="VQO54" s="13"/>
      <c r="VQP54" s="15"/>
      <c r="VQQ54" s="16"/>
      <c r="VQR54" s="12"/>
      <c r="VQS54" s="12"/>
      <c r="VQT54" s="12"/>
      <c r="VQU54" s="12"/>
      <c r="VQV54" s="12"/>
      <c r="VQW54" s="12"/>
      <c r="VQX54" s="12"/>
      <c r="VQY54" s="18"/>
      <c r="VRC54" s="13"/>
      <c r="VRD54" s="14"/>
      <c r="VRE54" s="14"/>
      <c r="VRF54" s="20"/>
      <c r="VRG54" s="13"/>
      <c r="VRH54" s="13"/>
      <c r="VRJ54" s="13"/>
      <c r="VRN54" s="13"/>
      <c r="VRO54" s="13"/>
      <c r="VRP54" s="15"/>
      <c r="VRQ54" s="16"/>
      <c r="VRR54" s="12"/>
      <c r="VRS54" s="12"/>
      <c r="VRT54" s="12"/>
      <c r="VRU54" s="12"/>
      <c r="VRV54" s="12"/>
      <c r="VRW54" s="12"/>
      <c r="VRX54" s="12"/>
      <c r="VRY54" s="18"/>
      <c r="VSC54" s="13"/>
      <c r="VSD54" s="14"/>
      <c r="VSE54" s="14"/>
      <c r="VSF54" s="20"/>
      <c r="VSG54" s="13"/>
      <c r="VSH54" s="13"/>
      <c r="VSJ54" s="13"/>
      <c r="VSN54" s="13"/>
      <c r="VSO54" s="13"/>
      <c r="VSP54" s="15"/>
      <c r="VSQ54" s="16"/>
      <c r="VSR54" s="12"/>
      <c r="VSS54" s="12"/>
      <c r="VST54" s="12"/>
      <c r="VSU54" s="12"/>
      <c r="VSV54" s="12"/>
      <c r="VSW54" s="12"/>
      <c r="VSX54" s="12"/>
      <c r="VSY54" s="18"/>
      <c r="VTC54" s="13"/>
      <c r="VTD54" s="14"/>
      <c r="VTE54" s="14"/>
      <c r="VTF54" s="20"/>
      <c r="VTG54" s="13"/>
      <c r="VTH54" s="13"/>
      <c r="VTJ54" s="13"/>
      <c r="VTN54" s="13"/>
      <c r="VTO54" s="13"/>
      <c r="VTP54" s="15"/>
      <c r="VTQ54" s="16"/>
      <c r="VTR54" s="12"/>
      <c r="VTS54" s="12"/>
      <c r="VTT54" s="12"/>
      <c r="VTU54" s="12"/>
      <c r="VTV54" s="12"/>
      <c r="VTW54" s="12"/>
      <c r="VTX54" s="12"/>
      <c r="VTY54" s="18"/>
      <c r="VUC54" s="13"/>
      <c r="VUD54" s="14"/>
      <c r="VUE54" s="14"/>
      <c r="VUF54" s="20"/>
      <c r="VUG54" s="13"/>
      <c r="VUH54" s="13"/>
      <c r="VUJ54" s="13"/>
      <c r="VUN54" s="13"/>
      <c r="VUO54" s="13"/>
      <c r="VUP54" s="15"/>
      <c r="VUQ54" s="16"/>
      <c r="VUR54" s="12"/>
      <c r="VUS54" s="12"/>
      <c r="VUT54" s="12"/>
      <c r="VUU54" s="12"/>
      <c r="VUV54" s="12"/>
      <c r="VUW54" s="12"/>
      <c r="VUX54" s="12"/>
      <c r="VUY54" s="18"/>
      <c r="VVC54" s="13"/>
      <c r="VVD54" s="14"/>
      <c r="VVE54" s="14"/>
      <c r="VVF54" s="20"/>
      <c r="VVG54" s="13"/>
      <c r="VVH54" s="13"/>
      <c r="VVJ54" s="13"/>
      <c r="VVN54" s="13"/>
      <c r="VVO54" s="13"/>
      <c r="VVP54" s="15"/>
      <c r="VVQ54" s="16"/>
      <c r="VVR54" s="12"/>
      <c r="VVS54" s="12"/>
      <c r="VVT54" s="12"/>
      <c r="VVU54" s="12"/>
      <c r="VVV54" s="12"/>
      <c r="VVW54" s="12"/>
      <c r="VVX54" s="12"/>
      <c r="VVY54" s="18"/>
      <c r="VWC54" s="13"/>
      <c r="VWD54" s="14"/>
      <c r="VWE54" s="14"/>
      <c r="VWF54" s="20"/>
      <c r="VWG54" s="13"/>
      <c r="VWH54" s="13"/>
      <c r="VWJ54" s="13"/>
      <c r="VWN54" s="13"/>
      <c r="VWO54" s="13"/>
      <c r="VWP54" s="15"/>
      <c r="VWQ54" s="16"/>
      <c r="VWR54" s="12"/>
      <c r="VWS54" s="12"/>
      <c r="VWT54" s="12"/>
      <c r="VWU54" s="12"/>
      <c r="VWV54" s="12"/>
      <c r="VWW54" s="12"/>
      <c r="VWX54" s="12"/>
      <c r="VWY54" s="18"/>
      <c r="VXC54" s="13"/>
      <c r="VXD54" s="14"/>
      <c r="VXE54" s="14"/>
      <c r="VXF54" s="20"/>
      <c r="VXG54" s="13"/>
      <c r="VXH54" s="13"/>
      <c r="VXJ54" s="13"/>
      <c r="VXN54" s="13"/>
      <c r="VXO54" s="13"/>
      <c r="VXP54" s="15"/>
      <c r="VXQ54" s="16"/>
      <c r="VXR54" s="12"/>
      <c r="VXS54" s="12"/>
      <c r="VXT54" s="12"/>
      <c r="VXU54" s="12"/>
      <c r="VXV54" s="12"/>
      <c r="VXW54" s="12"/>
      <c r="VXX54" s="12"/>
      <c r="VXY54" s="18"/>
      <c r="VYC54" s="13"/>
      <c r="VYD54" s="14"/>
      <c r="VYE54" s="14"/>
      <c r="VYF54" s="20"/>
      <c r="VYG54" s="13"/>
      <c r="VYH54" s="13"/>
      <c r="VYJ54" s="13"/>
      <c r="VYN54" s="13"/>
      <c r="VYO54" s="13"/>
      <c r="VYP54" s="15"/>
      <c r="VYQ54" s="16"/>
      <c r="VYR54" s="12"/>
      <c r="VYS54" s="12"/>
      <c r="VYT54" s="12"/>
      <c r="VYU54" s="12"/>
      <c r="VYV54" s="12"/>
      <c r="VYW54" s="12"/>
      <c r="VYX54" s="12"/>
      <c r="VYY54" s="18"/>
      <c r="VZC54" s="13"/>
      <c r="VZD54" s="14"/>
      <c r="VZE54" s="14"/>
      <c r="VZF54" s="20"/>
      <c r="VZG54" s="13"/>
      <c r="VZH54" s="13"/>
      <c r="VZJ54" s="13"/>
      <c r="VZN54" s="13"/>
      <c r="VZO54" s="13"/>
      <c r="VZP54" s="15"/>
      <c r="VZQ54" s="16"/>
      <c r="VZR54" s="12"/>
      <c r="VZS54" s="12"/>
      <c r="VZT54" s="12"/>
      <c r="VZU54" s="12"/>
      <c r="VZV54" s="12"/>
      <c r="VZW54" s="12"/>
      <c r="VZX54" s="12"/>
      <c r="VZY54" s="18"/>
      <c r="WAC54" s="13"/>
      <c r="WAD54" s="14"/>
      <c r="WAE54" s="14"/>
      <c r="WAF54" s="20"/>
      <c r="WAG54" s="13"/>
      <c r="WAH54" s="13"/>
      <c r="WAJ54" s="13"/>
      <c r="WAN54" s="13"/>
      <c r="WAO54" s="13"/>
      <c r="WAP54" s="15"/>
      <c r="WAQ54" s="16"/>
      <c r="WAR54" s="12"/>
      <c r="WAS54" s="12"/>
      <c r="WAT54" s="12"/>
      <c r="WAU54" s="12"/>
      <c r="WAV54" s="12"/>
      <c r="WAW54" s="12"/>
      <c r="WAX54" s="12"/>
      <c r="WAY54" s="18"/>
      <c r="WBC54" s="13"/>
      <c r="WBD54" s="14"/>
      <c r="WBE54" s="14"/>
      <c r="WBF54" s="20"/>
      <c r="WBG54" s="13"/>
      <c r="WBH54" s="13"/>
      <c r="WBJ54" s="13"/>
      <c r="WBN54" s="13"/>
      <c r="WBO54" s="13"/>
      <c r="WBP54" s="15"/>
      <c r="WBQ54" s="16"/>
      <c r="WBR54" s="12"/>
      <c r="WBS54" s="12"/>
      <c r="WBT54" s="12"/>
      <c r="WBU54" s="12"/>
      <c r="WBV54" s="12"/>
      <c r="WBW54" s="12"/>
      <c r="WBX54" s="12"/>
      <c r="WBY54" s="18"/>
      <c r="WCC54" s="13"/>
      <c r="WCD54" s="14"/>
      <c r="WCE54" s="14"/>
      <c r="WCF54" s="20"/>
      <c r="WCG54" s="13"/>
      <c r="WCH54" s="13"/>
      <c r="WCJ54" s="13"/>
      <c r="WCN54" s="13"/>
      <c r="WCO54" s="13"/>
      <c r="WCP54" s="15"/>
      <c r="WCQ54" s="16"/>
      <c r="WCR54" s="12"/>
      <c r="WCS54" s="12"/>
      <c r="WCT54" s="12"/>
      <c r="WCU54" s="12"/>
      <c r="WCV54" s="12"/>
      <c r="WCW54" s="12"/>
      <c r="WCX54" s="12"/>
      <c r="WCY54" s="18"/>
      <c r="WDC54" s="13"/>
      <c r="WDD54" s="14"/>
      <c r="WDE54" s="14"/>
      <c r="WDF54" s="20"/>
      <c r="WDG54" s="13"/>
      <c r="WDH54" s="13"/>
      <c r="WDJ54" s="13"/>
      <c r="WDN54" s="13"/>
      <c r="WDO54" s="13"/>
      <c r="WDP54" s="15"/>
      <c r="WDQ54" s="16"/>
      <c r="WDR54" s="12"/>
      <c r="WDS54" s="12"/>
      <c r="WDT54" s="12"/>
      <c r="WDU54" s="12"/>
      <c r="WDV54" s="12"/>
      <c r="WDW54" s="12"/>
      <c r="WDX54" s="12"/>
      <c r="WDY54" s="18"/>
      <c r="WEC54" s="13"/>
      <c r="WED54" s="14"/>
      <c r="WEE54" s="14"/>
      <c r="WEF54" s="20"/>
      <c r="WEG54" s="13"/>
      <c r="WEH54" s="13"/>
      <c r="WEJ54" s="13"/>
      <c r="WEN54" s="13"/>
      <c r="WEO54" s="13"/>
      <c r="WEP54" s="15"/>
      <c r="WEQ54" s="16"/>
      <c r="WER54" s="12"/>
      <c r="WES54" s="12"/>
      <c r="WET54" s="12"/>
      <c r="WEU54" s="12"/>
      <c r="WEV54" s="12"/>
      <c r="WEW54" s="12"/>
      <c r="WEX54" s="12"/>
      <c r="WEY54" s="18"/>
      <c r="WFC54" s="13"/>
      <c r="WFD54" s="14"/>
      <c r="WFE54" s="14"/>
      <c r="WFF54" s="20"/>
      <c r="WFG54" s="13"/>
      <c r="WFH54" s="13"/>
      <c r="WFJ54" s="13"/>
      <c r="WFN54" s="13"/>
      <c r="WFO54" s="13"/>
      <c r="WFP54" s="15"/>
      <c r="WFQ54" s="16"/>
      <c r="WFR54" s="12"/>
      <c r="WFS54" s="12"/>
      <c r="WFT54" s="12"/>
      <c r="WFU54" s="12"/>
      <c r="WFV54" s="12"/>
      <c r="WFW54" s="12"/>
      <c r="WFX54" s="12"/>
      <c r="WFY54" s="18"/>
      <c r="WGC54" s="13"/>
      <c r="WGD54" s="14"/>
      <c r="WGE54" s="14"/>
      <c r="WGF54" s="20"/>
      <c r="WGG54" s="13"/>
      <c r="WGH54" s="13"/>
      <c r="WGJ54" s="13"/>
      <c r="WGN54" s="13"/>
      <c r="WGO54" s="13"/>
      <c r="WGP54" s="15"/>
      <c r="WGQ54" s="16"/>
      <c r="WGR54" s="12"/>
      <c r="WGS54" s="12"/>
      <c r="WGT54" s="12"/>
      <c r="WGU54" s="12"/>
      <c r="WGV54" s="12"/>
      <c r="WGW54" s="12"/>
      <c r="WGX54" s="12"/>
      <c r="WGY54" s="18"/>
      <c r="WHC54" s="13"/>
      <c r="WHD54" s="14"/>
      <c r="WHE54" s="14"/>
      <c r="WHF54" s="20"/>
      <c r="WHG54" s="13"/>
      <c r="WHH54" s="13"/>
      <c r="WHJ54" s="13"/>
      <c r="WHN54" s="13"/>
      <c r="WHO54" s="13"/>
      <c r="WHP54" s="15"/>
      <c r="WHQ54" s="16"/>
      <c r="WHR54" s="12"/>
      <c r="WHS54" s="12"/>
      <c r="WHT54" s="12"/>
      <c r="WHU54" s="12"/>
      <c r="WHV54" s="12"/>
      <c r="WHW54" s="12"/>
      <c r="WHX54" s="12"/>
      <c r="WHY54" s="18"/>
      <c r="WIC54" s="13"/>
      <c r="WID54" s="14"/>
      <c r="WIE54" s="14"/>
      <c r="WIF54" s="20"/>
      <c r="WIG54" s="13"/>
      <c r="WIH54" s="13"/>
      <c r="WIJ54" s="13"/>
      <c r="WIN54" s="13"/>
      <c r="WIO54" s="13"/>
      <c r="WIP54" s="15"/>
      <c r="WIQ54" s="16"/>
      <c r="WIR54" s="12"/>
      <c r="WIS54" s="12"/>
      <c r="WIT54" s="12"/>
      <c r="WIU54" s="12"/>
      <c r="WIV54" s="12"/>
      <c r="WIW54" s="12"/>
      <c r="WIX54" s="12"/>
      <c r="WIY54" s="18"/>
      <c r="WJC54" s="13"/>
      <c r="WJD54" s="14"/>
      <c r="WJE54" s="14"/>
      <c r="WJF54" s="20"/>
      <c r="WJG54" s="13"/>
      <c r="WJH54" s="13"/>
      <c r="WJJ54" s="13"/>
      <c r="WJN54" s="13"/>
      <c r="WJO54" s="13"/>
      <c r="WJP54" s="15"/>
      <c r="WJQ54" s="16"/>
      <c r="WJR54" s="12"/>
      <c r="WJS54" s="12"/>
      <c r="WJT54" s="12"/>
      <c r="WJU54" s="12"/>
      <c r="WJV54" s="12"/>
      <c r="WJW54" s="12"/>
      <c r="WJX54" s="12"/>
      <c r="WJY54" s="18"/>
      <c r="WKC54" s="13"/>
      <c r="WKD54" s="14"/>
      <c r="WKE54" s="14"/>
      <c r="WKF54" s="20"/>
      <c r="WKG54" s="13"/>
      <c r="WKH54" s="13"/>
      <c r="WKJ54" s="13"/>
      <c r="WKN54" s="13"/>
      <c r="WKO54" s="13"/>
      <c r="WKP54" s="15"/>
      <c r="WKQ54" s="16"/>
      <c r="WKR54" s="12"/>
      <c r="WKS54" s="12"/>
      <c r="WKT54" s="12"/>
      <c r="WKU54" s="12"/>
      <c r="WKV54" s="12"/>
      <c r="WKW54" s="12"/>
      <c r="WKX54" s="12"/>
      <c r="WKY54" s="18"/>
      <c r="WLC54" s="13"/>
      <c r="WLD54" s="14"/>
      <c r="WLE54" s="14"/>
      <c r="WLF54" s="20"/>
      <c r="WLG54" s="13"/>
      <c r="WLH54" s="13"/>
      <c r="WLJ54" s="13"/>
      <c r="WLN54" s="13"/>
      <c r="WLO54" s="13"/>
      <c r="WLP54" s="15"/>
      <c r="WLQ54" s="16"/>
      <c r="WLR54" s="12"/>
      <c r="WLS54" s="12"/>
      <c r="WLT54" s="12"/>
      <c r="WLU54" s="12"/>
      <c r="WLV54" s="12"/>
      <c r="WLW54" s="12"/>
      <c r="WLX54" s="12"/>
      <c r="WLY54" s="18"/>
      <c r="WMC54" s="13"/>
      <c r="WMD54" s="14"/>
      <c r="WME54" s="14"/>
      <c r="WMF54" s="20"/>
      <c r="WMG54" s="13"/>
      <c r="WMH54" s="13"/>
      <c r="WMJ54" s="13"/>
      <c r="WMN54" s="13"/>
      <c r="WMO54" s="13"/>
      <c r="WMP54" s="15"/>
      <c r="WMQ54" s="16"/>
      <c r="WMR54" s="12"/>
      <c r="WMS54" s="12"/>
      <c r="WMT54" s="12"/>
      <c r="WMU54" s="12"/>
      <c r="WMV54" s="12"/>
      <c r="WMW54" s="12"/>
      <c r="WMX54" s="12"/>
      <c r="WMY54" s="18"/>
      <c r="WNC54" s="13"/>
      <c r="WND54" s="14"/>
      <c r="WNE54" s="14"/>
      <c r="WNF54" s="20"/>
      <c r="WNG54" s="13"/>
      <c r="WNH54" s="13"/>
      <c r="WNJ54" s="13"/>
      <c r="WNN54" s="13"/>
      <c r="WNO54" s="13"/>
      <c r="WNP54" s="15"/>
      <c r="WNQ54" s="16"/>
      <c r="WNR54" s="12"/>
      <c r="WNS54" s="12"/>
      <c r="WNT54" s="12"/>
      <c r="WNU54" s="12"/>
      <c r="WNV54" s="12"/>
      <c r="WNW54" s="12"/>
      <c r="WNX54" s="12"/>
      <c r="WNY54" s="18"/>
      <c r="WOC54" s="13"/>
      <c r="WOD54" s="14"/>
      <c r="WOE54" s="14"/>
      <c r="WOF54" s="20"/>
      <c r="WOG54" s="13"/>
      <c r="WOH54" s="13"/>
      <c r="WOJ54" s="13"/>
      <c r="WON54" s="13"/>
      <c r="WOO54" s="13"/>
      <c r="WOP54" s="15"/>
      <c r="WOQ54" s="16"/>
      <c r="WOR54" s="12"/>
      <c r="WOS54" s="12"/>
      <c r="WOT54" s="12"/>
      <c r="WOU54" s="12"/>
      <c r="WOV54" s="12"/>
      <c r="WOW54" s="12"/>
      <c r="WOX54" s="12"/>
      <c r="WOY54" s="18"/>
      <c r="WPC54" s="13"/>
      <c r="WPD54" s="14"/>
      <c r="WPE54" s="14"/>
      <c r="WPF54" s="20"/>
      <c r="WPG54" s="13"/>
      <c r="WPH54" s="13"/>
      <c r="WPJ54" s="13"/>
      <c r="WPN54" s="13"/>
      <c r="WPO54" s="13"/>
      <c r="WPP54" s="15"/>
      <c r="WPQ54" s="16"/>
      <c r="WPR54" s="12"/>
      <c r="WPS54" s="12"/>
      <c r="WPT54" s="12"/>
      <c r="WPU54" s="12"/>
      <c r="WPV54" s="12"/>
      <c r="WPW54" s="12"/>
      <c r="WPX54" s="12"/>
      <c r="WPY54" s="18"/>
      <c r="WQC54" s="13"/>
      <c r="WQD54" s="14"/>
      <c r="WQE54" s="14"/>
      <c r="WQF54" s="20"/>
      <c r="WQG54" s="13"/>
      <c r="WQH54" s="13"/>
      <c r="WQJ54" s="13"/>
      <c r="WQN54" s="13"/>
      <c r="WQO54" s="13"/>
      <c r="WQP54" s="15"/>
      <c r="WQQ54" s="16"/>
      <c r="WQR54" s="12"/>
      <c r="WQS54" s="12"/>
      <c r="WQT54" s="12"/>
      <c r="WQU54" s="12"/>
      <c r="WQV54" s="12"/>
      <c r="WQW54" s="12"/>
      <c r="WQX54" s="12"/>
      <c r="WQY54" s="18"/>
      <c r="WRC54" s="13"/>
      <c r="WRD54" s="14"/>
      <c r="WRE54" s="14"/>
      <c r="WRF54" s="20"/>
      <c r="WRG54" s="13"/>
      <c r="WRH54" s="13"/>
      <c r="WRJ54" s="13"/>
      <c r="WRN54" s="13"/>
      <c r="WRO54" s="13"/>
      <c r="WRP54" s="15"/>
      <c r="WRQ54" s="16"/>
      <c r="WRR54" s="12"/>
      <c r="WRS54" s="12"/>
      <c r="WRT54" s="12"/>
      <c r="WRU54" s="12"/>
      <c r="WRV54" s="12"/>
      <c r="WRW54" s="12"/>
      <c r="WRX54" s="12"/>
      <c r="WRY54" s="18"/>
      <c r="WSC54" s="13"/>
      <c r="WSD54" s="14"/>
      <c r="WSE54" s="14"/>
      <c r="WSF54" s="20"/>
      <c r="WSG54" s="13"/>
      <c r="WSH54" s="13"/>
      <c r="WSJ54" s="13"/>
      <c r="WSN54" s="13"/>
      <c r="WSO54" s="13"/>
      <c r="WSP54" s="15"/>
      <c r="WSQ54" s="16"/>
      <c r="WSR54" s="12"/>
      <c r="WSS54" s="12"/>
      <c r="WST54" s="12"/>
      <c r="WSU54" s="12"/>
      <c r="WSV54" s="12"/>
      <c r="WSW54" s="12"/>
      <c r="WSX54" s="12"/>
      <c r="WSY54" s="18"/>
      <c r="WTC54" s="13"/>
      <c r="WTD54" s="14"/>
      <c r="WTE54" s="14"/>
      <c r="WTF54" s="20"/>
      <c r="WTG54" s="13"/>
      <c r="WTH54" s="13"/>
      <c r="WTJ54" s="13"/>
      <c r="WTN54" s="13"/>
      <c r="WTO54" s="13"/>
      <c r="WTP54" s="15"/>
      <c r="WTQ54" s="16"/>
      <c r="WTR54" s="12"/>
      <c r="WTS54" s="12"/>
      <c r="WTT54" s="12"/>
      <c r="WTU54" s="12"/>
      <c r="WTV54" s="12"/>
      <c r="WTW54" s="12"/>
      <c r="WTX54" s="12"/>
      <c r="WTY54" s="18"/>
      <c r="WUC54" s="13"/>
      <c r="WUD54" s="14"/>
      <c r="WUE54" s="14"/>
      <c r="WUF54" s="20"/>
      <c r="WUG54" s="13"/>
      <c r="WUH54" s="13"/>
      <c r="WUJ54" s="13"/>
      <c r="WUN54" s="13"/>
      <c r="WUO54" s="13"/>
      <c r="WUP54" s="15"/>
      <c r="WUQ54" s="16"/>
      <c r="WUR54" s="12"/>
      <c r="WUS54" s="12"/>
      <c r="WUT54" s="12"/>
      <c r="WUU54" s="12"/>
      <c r="WUV54" s="12"/>
      <c r="WUW54" s="12"/>
      <c r="WUX54" s="12"/>
      <c r="WUY54" s="18"/>
      <c r="WVC54" s="13"/>
      <c r="WVD54" s="14"/>
      <c r="WVE54" s="14"/>
      <c r="WVF54" s="20"/>
      <c r="WVG54" s="13"/>
      <c r="WVH54" s="13"/>
      <c r="WVJ54" s="13"/>
      <c r="WVN54" s="13"/>
      <c r="WVO54" s="13"/>
      <c r="WVP54" s="15"/>
      <c r="WVQ54" s="16"/>
      <c r="WVR54" s="12"/>
      <c r="WVS54" s="12"/>
      <c r="WVT54" s="12"/>
      <c r="WVU54" s="12"/>
      <c r="WVV54" s="12"/>
      <c r="WVW54" s="12"/>
      <c r="WVX54" s="12"/>
      <c r="WVY54" s="18"/>
      <c r="WWC54" s="13"/>
      <c r="WWD54" s="14"/>
      <c r="WWE54" s="14"/>
      <c r="WWF54" s="20"/>
      <c r="WWG54" s="13"/>
      <c r="WWH54" s="13"/>
      <c r="WWJ54" s="13"/>
      <c r="WWN54" s="13"/>
      <c r="WWO54" s="13"/>
      <c r="WWP54" s="15"/>
      <c r="WWQ54" s="16"/>
      <c r="WWR54" s="12"/>
      <c r="WWS54" s="12"/>
      <c r="WWT54" s="12"/>
      <c r="WWU54" s="12"/>
      <c r="WWV54" s="12"/>
      <c r="WWW54" s="12"/>
      <c r="WWX54" s="12"/>
      <c r="WWY54" s="18"/>
      <c r="WXC54" s="13"/>
      <c r="WXD54" s="14"/>
      <c r="WXE54" s="14"/>
      <c r="WXF54" s="20"/>
      <c r="WXG54" s="13"/>
      <c r="WXH54" s="13"/>
      <c r="WXJ54" s="13"/>
      <c r="WXN54" s="13"/>
      <c r="WXO54" s="13"/>
      <c r="WXP54" s="15"/>
      <c r="WXQ54" s="16"/>
      <c r="WXR54" s="12"/>
      <c r="WXS54" s="12"/>
      <c r="WXT54" s="12"/>
      <c r="WXU54" s="12"/>
      <c r="WXV54" s="12"/>
      <c r="WXW54" s="12"/>
      <c r="WXX54" s="12"/>
      <c r="WXY54" s="18"/>
      <c r="WYC54" s="13"/>
      <c r="WYD54" s="14"/>
      <c r="WYE54" s="14"/>
      <c r="WYF54" s="20"/>
      <c r="WYG54" s="13"/>
      <c r="WYH54" s="13"/>
      <c r="WYJ54" s="13"/>
      <c r="WYN54" s="13"/>
      <c r="WYO54" s="13"/>
      <c r="WYP54" s="15"/>
      <c r="WYQ54" s="16"/>
      <c r="WYR54" s="12"/>
      <c r="WYS54" s="12"/>
      <c r="WYT54" s="12"/>
      <c r="WYU54" s="12"/>
      <c r="WYV54" s="12"/>
      <c r="WYW54" s="12"/>
      <c r="WYX54" s="12"/>
      <c r="WYY54" s="18"/>
      <c r="WZC54" s="13"/>
      <c r="WZD54" s="14"/>
      <c r="WZE54" s="14"/>
      <c r="WZF54" s="20"/>
      <c r="WZG54" s="13"/>
      <c r="WZH54" s="13"/>
      <c r="WZJ54" s="13"/>
      <c r="WZN54" s="13"/>
      <c r="WZO54" s="13"/>
      <c r="WZP54" s="15"/>
      <c r="WZQ54" s="16"/>
      <c r="WZR54" s="12"/>
      <c r="WZS54" s="12"/>
      <c r="WZT54" s="12"/>
      <c r="WZU54" s="12"/>
      <c r="WZV54" s="12"/>
      <c r="WZW54" s="12"/>
      <c r="WZX54" s="12"/>
      <c r="WZY54" s="18"/>
      <c r="XAC54" s="13"/>
      <c r="XAD54" s="14"/>
      <c r="XAE54" s="14"/>
      <c r="XAF54" s="20"/>
      <c r="XAG54" s="13"/>
      <c r="XAH54" s="13"/>
      <c r="XAJ54" s="13"/>
      <c r="XAN54" s="13"/>
      <c r="XAO54" s="13"/>
      <c r="XAP54" s="15"/>
      <c r="XAQ54" s="16"/>
      <c r="XAR54" s="12"/>
      <c r="XAS54" s="12"/>
      <c r="XAT54" s="12"/>
      <c r="XAU54" s="12"/>
      <c r="XAV54" s="12"/>
      <c r="XAW54" s="12"/>
      <c r="XAX54" s="12"/>
      <c r="XAY54" s="18"/>
      <c r="XBC54" s="13"/>
      <c r="XBD54" s="14"/>
      <c r="XBE54" s="14"/>
      <c r="XBF54" s="20"/>
      <c r="XBG54" s="13"/>
      <c r="XBH54" s="13"/>
      <c r="XBJ54" s="13"/>
      <c r="XBN54" s="13"/>
      <c r="XBO54" s="13"/>
      <c r="XBP54" s="15"/>
      <c r="XBQ54" s="16"/>
      <c r="XBR54" s="12"/>
      <c r="XBS54" s="12"/>
      <c r="XBT54" s="12"/>
      <c r="XBU54" s="12"/>
      <c r="XBV54" s="12"/>
      <c r="XBW54" s="12"/>
      <c r="XBX54" s="12"/>
      <c r="XBY54" s="18"/>
      <c r="XCC54" s="13"/>
      <c r="XCD54" s="14"/>
      <c r="XCE54" s="14"/>
      <c r="XCF54" s="20"/>
      <c r="XCG54" s="13"/>
      <c r="XCH54" s="13"/>
      <c r="XCJ54" s="13"/>
      <c r="XCN54" s="13"/>
      <c r="XCO54" s="13"/>
      <c r="XCP54" s="15"/>
      <c r="XCQ54" s="16"/>
      <c r="XCR54" s="12"/>
      <c r="XCS54" s="12"/>
      <c r="XCT54" s="12"/>
      <c r="XCU54" s="12"/>
      <c r="XCV54" s="12"/>
      <c r="XCW54" s="12"/>
      <c r="XCX54" s="12"/>
      <c r="XCY54" s="18"/>
      <c r="XDC54" s="13"/>
      <c r="XDD54" s="14"/>
      <c r="XDE54" s="14"/>
      <c r="XDF54" s="20"/>
      <c r="XDG54" s="13"/>
      <c r="XDH54" s="13"/>
      <c r="XDJ54" s="13"/>
      <c r="XDN54" s="13"/>
      <c r="XDO54" s="13"/>
      <c r="XDP54" s="15"/>
      <c r="XDQ54" s="16"/>
      <c r="XDR54" s="12"/>
      <c r="XDS54" s="12"/>
      <c r="XDT54" s="12"/>
      <c r="XDU54" s="12"/>
      <c r="XDV54" s="12"/>
      <c r="XDW54" s="12"/>
      <c r="XDX54" s="12"/>
      <c r="XDY54" s="18"/>
      <c r="XEC54" s="13"/>
      <c r="XED54" s="14"/>
      <c r="XEE54" s="14"/>
      <c r="XEF54" s="20"/>
      <c r="XEG54" s="13"/>
      <c r="XEH54" s="13"/>
      <c r="XEJ54" s="13"/>
      <c r="XEN54" s="13"/>
      <c r="XEO54" s="13"/>
      <c r="XEP54" s="15"/>
      <c r="XEQ54" s="16"/>
      <c r="XER54" s="12"/>
      <c r="XES54" s="12"/>
      <c r="XET54" s="12"/>
      <c r="XEU54" s="12"/>
      <c r="XEV54" s="12"/>
      <c r="XEW54" s="12"/>
      <c r="XEX54" s="12"/>
      <c r="XEY54" s="18"/>
      <c r="XFC54" s="13"/>
    </row>
    <row r="55" spans="2:1024 1028:6144 6146:8189 8193:9214 9218:13311 13315:14336 14340:16383" ht="15" customHeight="1" x14ac:dyDescent="0.2">
      <c r="B55" s="11" t="s">
        <v>1211</v>
      </c>
      <c r="C55" s="11">
        <v>10035</v>
      </c>
      <c r="D55" s="13" t="s">
        <v>420</v>
      </c>
      <c r="E55" s="14" t="s">
        <v>298</v>
      </c>
      <c r="F55" s="14">
        <v>142</v>
      </c>
      <c r="G55" s="20">
        <v>1054</v>
      </c>
      <c r="H55" s="13" t="s">
        <v>485</v>
      </c>
      <c r="I55" s="13" t="str">
        <f t="shared" si="16"/>
        <v>SW 30th St (@  University Dr)</v>
      </c>
      <c r="J55" s="11" t="s">
        <v>347</v>
      </c>
      <c r="K55" s="13" t="str">
        <f>VLOOKUP(J55,'Data-ProjectTypes'!A$3:B$13,2,FALSE)</f>
        <v>Project</v>
      </c>
      <c r="L55" s="11" t="s">
        <v>85</v>
      </c>
      <c r="M55" s="11" t="s">
        <v>2835</v>
      </c>
      <c r="N55" s="11" t="s">
        <v>1804</v>
      </c>
      <c r="O55" s="13" t="s">
        <v>365</v>
      </c>
      <c r="P55" s="13" t="s">
        <v>365</v>
      </c>
      <c r="Q55" s="15"/>
      <c r="R55" s="16">
        <v>9426949.8170891684</v>
      </c>
      <c r="S55" s="12"/>
      <c r="T55" s="12"/>
      <c r="U55" s="12"/>
      <c r="V55" s="12" t="s">
        <v>662</v>
      </c>
      <c r="W55" s="12"/>
      <c r="X55" s="12"/>
      <c r="Y55" s="12"/>
      <c r="Z55" s="18">
        <f>ROUND(R55*'Data-CostAssumptions'!$C$10,-3)</f>
        <v>9427000</v>
      </c>
      <c r="AA55" s="11">
        <f t="shared" si="9"/>
        <v>1</v>
      </c>
      <c r="AB55" s="11">
        <v>2041</v>
      </c>
      <c r="AC55" s="11">
        <v>2041</v>
      </c>
      <c r="AD55" s="11">
        <v>2041</v>
      </c>
      <c r="AE55" s="19">
        <f>ROUND((Z55*'Data-CostAssumptions'!$G$5)*(1+'Data-CostAssumptions'!$G$3)^(AB55-'Data-CostAssumptions'!$G$4),-3)</f>
        <v>5317000</v>
      </c>
      <c r="AF55" s="19">
        <f>ROUND((Z55)*(1+'Data-CostAssumptions'!$G$3)^(AD55-'Data-CostAssumptions'!$G$4),-3)</f>
        <v>24170000</v>
      </c>
      <c r="AG55" s="170" t="str">
        <f t="shared" si="11"/>
        <v>No</v>
      </c>
      <c r="AH55" s="19">
        <f t="shared" si="12"/>
        <v>0</v>
      </c>
      <c r="AI55" s="19">
        <f t="shared" si="13"/>
        <v>0</v>
      </c>
      <c r="AJ55" s="19">
        <f t="shared" si="14"/>
        <v>0</v>
      </c>
      <c r="AK55" s="19">
        <f t="shared" si="15"/>
        <v>0</v>
      </c>
      <c r="AL55" s="19">
        <f>IF(AB55&gt;2040,Z55+Z55*'Data-CostAssumptions'!$G$5,0)</f>
        <v>11500940</v>
      </c>
    </row>
    <row r="56" spans="2:1024 1028:6144 6146:8189 8193:9214 9218:13311 13315:14336 14340:16383" ht="15" customHeight="1" x14ac:dyDescent="0.2">
      <c r="B56" s="11" t="s">
        <v>1211</v>
      </c>
      <c r="C56" s="11">
        <v>14505</v>
      </c>
      <c r="D56" s="13" t="s">
        <v>286</v>
      </c>
      <c r="E56" s="14"/>
      <c r="F56" s="14"/>
      <c r="G56" s="20">
        <v>1118</v>
      </c>
      <c r="H56" s="13" t="s">
        <v>1143</v>
      </c>
      <c r="I56" s="13" t="str">
        <f t="shared" si="16"/>
        <v>Area-wide improvements for multi-modal station (NE 1st St to SE 1st St)</v>
      </c>
      <c r="J56" s="11" t="s">
        <v>347</v>
      </c>
      <c r="K56" s="13" t="str">
        <f>VLOOKUP(J56,'Data-ProjectTypes'!A$3:B$13,2,FALSE)</f>
        <v>Project</v>
      </c>
      <c r="L56" s="11" t="s">
        <v>1149</v>
      </c>
      <c r="M56" s="11" t="s">
        <v>2482</v>
      </c>
      <c r="N56" s="11" t="s">
        <v>2481</v>
      </c>
      <c r="O56" s="13"/>
      <c r="P56" s="13"/>
      <c r="Q56" s="15">
        <v>0.26</v>
      </c>
      <c r="R56" s="16">
        <v>212500</v>
      </c>
      <c r="V56" s="85" t="s">
        <v>662</v>
      </c>
      <c r="Y56" s="12"/>
      <c r="Z56" s="18">
        <f>ROUND(R56*'Data-CostAssumptions'!$C$10,-3)</f>
        <v>213000</v>
      </c>
      <c r="AA56" s="11">
        <f t="shared" si="9"/>
        <v>1</v>
      </c>
      <c r="AB56" s="11">
        <v>2041</v>
      </c>
      <c r="AC56" s="11">
        <v>2041</v>
      </c>
      <c r="AD56" s="11">
        <f t="shared" si="10"/>
        <v>2041</v>
      </c>
      <c r="AE56" s="19">
        <f>ROUND((Z56*'Data-CostAssumptions'!$G$5)*(1+'Data-CostAssumptions'!$G$3)^(AB56-'Data-CostAssumptions'!$G$4),-3)</f>
        <v>120000</v>
      </c>
      <c r="AF56" s="19">
        <f>ROUND((Z56)*(1+'Data-CostAssumptions'!$G$3)^(AD56-'Data-CostAssumptions'!$G$4),-3)</f>
        <v>546000</v>
      </c>
      <c r="AG56" s="170" t="str">
        <f t="shared" si="11"/>
        <v>No</v>
      </c>
      <c r="AH56" s="19">
        <f t="shared" si="12"/>
        <v>0</v>
      </c>
      <c r="AI56" s="19">
        <f t="shared" si="13"/>
        <v>0</v>
      </c>
      <c r="AJ56" s="19">
        <f t="shared" si="14"/>
        <v>0</v>
      </c>
      <c r="AK56" s="19">
        <f t="shared" si="15"/>
        <v>0</v>
      </c>
      <c r="AL56" s="19">
        <f>IF(AB56&gt;2040,Z56+Z56*'Data-CostAssumptions'!$G$5,0)</f>
        <v>259860</v>
      </c>
    </row>
    <row r="57" spans="2:1024 1028:6144 6146:8189 8193:9214 9218:13311 13315:14336 14340:16383" s="81" customFormat="1" ht="15" customHeight="1" x14ac:dyDescent="0.2">
      <c r="B57" s="81" t="s">
        <v>1211</v>
      </c>
      <c r="C57" s="81">
        <v>12807</v>
      </c>
      <c r="D57" s="78" t="s">
        <v>365</v>
      </c>
      <c r="E57" s="99"/>
      <c r="F57" s="99"/>
      <c r="G57" s="235">
        <v>1075</v>
      </c>
      <c r="H57" s="78" t="s">
        <v>2209</v>
      </c>
      <c r="I57" s="78" t="str">
        <f t="shared" si="16"/>
        <v>SR 5/ US 1 (Broward Terminal to Aventura Mall (Miami-Dade County))</v>
      </c>
      <c r="J57" s="81" t="s">
        <v>347</v>
      </c>
      <c r="K57" s="78" t="str">
        <f>VLOOKUP(J57,'Data-ProjectTypes'!A$3:B$13,2,FALSE)</f>
        <v>Project</v>
      </c>
      <c r="L57" s="81" t="s">
        <v>863</v>
      </c>
      <c r="M57" s="81" t="s">
        <v>867</v>
      </c>
      <c r="N57" s="81" t="s">
        <v>866</v>
      </c>
      <c r="O57" s="78" t="s">
        <v>365</v>
      </c>
      <c r="P57" s="78" t="s">
        <v>365</v>
      </c>
      <c r="Q57" s="101"/>
      <c r="R57" s="102">
        <v>2439636</v>
      </c>
      <c r="S57" s="27"/>
      <c r="T57" s="27"/>
      <c r="U57" s="27"/>
      <c r="V57" s="27" t="s">
        <v>662</v>
      </c>
      <c r="W57" s="27"/>
      <c r="X57" s="27"/>
      <c r="Y57" s="27"/>
      <c r="Z57" s="135">
        <f>ROUND(R57*'Data-CostAssumptions'!$C$10,-3)</f>
        <v>2440000</v>
      </c>
      <c r="AA57" s="81">
        <f t="shared" si="9"/>
        <v>1</v>
      </c>
      <c r="AB57" s="81">
        <v>2019</v>
      </c>
      <c r="AC57" s="81">
        <v>2019</v>
      </c>
      <c r="AD57" s="81">
        <f t="shared" si="10"/>
        <v>2019</v>
      </c>
      <c r="AE57" s="199">
        <f>ROUND((Z57*'Data-CostAssumptions'!$G$5)*(1+'Data-CostAssumptions'!$G$3)^(AB57-'Data-CostAssumptions'!$G$4),-3)</f>
        <v>674000</v>
      </c>
      <c r="AF57" s="199">
        <f>ROUND((Z57)*(1+'Data-CostAssumptions'!$G$3)^(AD57-'Data-CostAssumptions'!$G$4),-3)</f>
        <v>3063000</v>
      </c>
      <c r="AG57" s="202" t="str">
        <f t="shared" si="11"/>
        <v>Yes</v>
      </c>
      <c r="AH57" s="199">
        <f t="shared" si="12"/>
        <v>3737000</v>
      </c>
      <c r="AI57" s="199">
        <f t="shared" si="13"/>
        <v>0</v>
      </c>
      <c r="AJ57" s="199">
        <f t="shared" si="14"/>
        <v>0</v>
      </c>
      <c r="AK57" s="199">
        <f t="shared" si="15"/>
        <v>0</v>
      </c>
      <c r="AL57" s="199">
        <f>IF(AB57&gt;2040,Z57+Z57*'Data-CostAssumptions'!$G$5,0)</f>
        <v>0</v>
      </c>
    </row>
    <row r="58" spans="2:1024 1028:6144 6146:8189 8193:9214 9218:13311 13315:14336 14340:16383" ht="15" customHeight="1" x14ac:dyDescent="0.2">
      <c r="B58" s="11" t="s">
        <v>1211</v>
      </c>
      <c r="C58" s="11">
        <v>12805</v>
      </c>
      <c r="D58" s="13" t="s">
        <v>365</v>
      </c>
      <c r="E58" s="14"/>
      <c r="F58" s="14"/>
      <c r="G58" s="20">
        <v>1076</v>
      </c>
      <c r="H58" s="13" t="s">
        <v>57</v>
      </c>
      <c r="I58" s="13" t="str">
        <f t="shared" si="16"/>
        <v>SR 7/US 441 (Sandalfoot Bl to Golden Glades)</v>
      </c>
      <c r="J58" s="11" t="s">
        <v>347</v>
      </c>
      <c r="K58" s="13" t="str">
        <f>VLOOKUP(J58,'Data-ProjectTypes'!A$3:B$13,2,FALSE)</f>
        <v>Project</v>
      </c>
      <c r="L58" s="11" t="s">
        <v>863</v>
      </c>
      <c r="M58" s="11" t="s">
        <v>2324</v>
      </c>
      <c r="N58" s="11" t="s">
        <v>864</v>
      </c>
      <c r="O58" s="13" t="s">
        <v>365</v>
      </c>
      <c r="P58" s="13" t="s">
        <v>365</v>
      </c>
      <c r="Q58" s="15"/>
      <c r="R58" s="16">
        <v>6323878</v>
      </c>
      <c r="S58" s="12"/>
      <c r="T58" s="12"/>
      <c r="U58" s="12"/>
      <c r="V58" s="12" t="s">
        <v>662</v>
      </c>
      <c r="W58" s="12"/>
      <c r="X58" s="12"/>
      <c r="Y58" s="12"/>
      <c r="Z58" s="18">
        <f>ROUND(R58*'Data-CostAssumptions'!$C$10,-3)</f>
        <v>6324000</v>
      </c>
      <c r="AA58" s="11">
        <f t="shared" si="9"/>
        <v>1</v>
      </c>
      <c r="AB58" s="11">
        <v>2041</v>
      </c>
      <c r="AC58" s="11">
        <v>2041</v>
      </c>
      <c r="AD58" s="11">
        <f t="shared" si="10"/>
        <v>2041</v>
      </c>
      <c r="AE58" s="19">
        <f>ROUND((Z58*'Data-CostAssumptions'!$G$5)*(1+'Data-CostAssumptions'!$G$3)^(AB58-'Data-CostAssumptions'!$G$4),-3)</f>
        <v>3567000</v>
      </c>
      <c r="AF58" s="19">
        <f>ROUND((Z58)*(1+'Data-CostAssumptions'!$G$3)^(AD58-'Data-CostAssumptions'!$G$4),-3)</f>
        <v>16214000</v>
      </c>
      <c r="AG58" s="170" t="str">
        <f t="shared" si="11"/>
        <v>No</v>
      </c>
      <c r="AH58" s="19">
        <f t="shared" si="12"/>
        <v>0</v>
      </c>
      <c r="AI58" s="19">
        <f t="shared" si="13"/>
        <v>0</v>
      </c>
      <c r="AJ58" s="19">
        <f t="shared" si="14"/>
        <v>0</v>
      </c>
      <c r="AK58" s="19">
        <f t="shared" si="15"/>
        <v>0</v>
      </c>
      <c r="AL58" s="19">
        <f>IF(AB58&gt;2040,Z58+Z58*'Data-CostAssumptions'!$G$5,0)</f>
        <v>7715280</v>
      </c>
    </row>
    <row r="59" spans="2:1024 1028:6144 6146:8189 8193:9214 9218:13311 13315:14336 14340:16383" ht="15" customHeight="1" x14ac:dyDescent="0.2">
      <c r="B59" s="11" t="s">
        <v>1211</v>
      </c>
      <c r="C59" s="11">
        <v>12806</v>
      </c>
      <c r="D59" s="13" t="s">
        <v>365</v>
      </c>
      <c r="E59" s="14"/>
      <c r="F59" s="14"/>
      <c r="G59" s="20">
        <v>1077</v>
      </c>
      <c r="H59" s="13" t="s">
        <v>2710</v>
      </c>
      <c r="I59" s="13" t="str">
        <f t="shared" si="16"/>
        <v>SR 816/Oakland Park Bl (Sawgrass Mills Mall to SR A1A)</v>
      </c>
      <c r="J59" s="11" t="s">
        <v>347</v>
      </c>
      <c r="K59" s="13" t="str">
        <f>VLOOKUP(J59,'Data-ProjectTypes'!A$3:B$13,2,FALSE)</f>
        <v>Project</v>
      </c>
      <c r="L59" s="11" t="s">
        <v>863</v>
      </c>
      <c r="M59" s="11" t="s">
        <v>865</v>
      </c>
      <c r="N59" s="11" t="s">
        <v>110</v>
      </c>
      <c r="O59" s="13" t="s">
        <v>365</v>
      </c>
      <c r="P59" s="13" t="s">
        <v>365</v>
      </c>
      <c r="Q59" s="15"/>
      <c r="R59" s="23">
        <v>7105740</v>
      </c>
      <c r="S59" s="12"/>
      <c r="T59" s="12"/>
      <c r="U59" s="12"/>
      <c r="V59" s="12" t="s">
        <v>662</v>
      </c>
      <c r="W59" s="12"/>
      <c r="X59" s="12"/>
      <c r="Y59" s="12"/>
      <c r="Z59" s="18">
        <f>ROUND(R59*'Data-CostAssumptions'!$C$10,-3)</f>
        <v>7106000</v>
      </c>
      <c r="AA59" s="11">
        <f t="shared" si="9"/>
        <v>1</v>
      </c>
      <c r="AB59" s="11">
        <v>2041</v>
      </c>
      <c r="AC59" s="11">
        <v>2041</v>
      </c>
      <c r="AD59" s="11">
        <f t="shared" si="10"/>
        <v>2041</v>
      </c>
      <c r="AE59" s="19">
        <f>ROUND((Z59*'Data-CostAssumptions'!$G$5)*(1+'Data-CostAssumptions'!$G$3)^(AB59-'Data-CostAssumptions'!$G$4),-3)</f>
        <v>4008000</v>
      </c>
      <c r="AF59" s="19">
        <f>ROUND((Z59)*(1+'Data-CostAssumptions'!$G$3)^(AD59-'Data-CostAssumptions'!$G$4),-3)</f>
        <v>18219000</v>
      </c>
      <c r="AG59" s="170" t="str">
        <f t="shared" si="11"/>
        <v>No</v>
      </c>
      <c r="AH59" s="19">
        <f t="shared" si="12"/>
        <v>0</v>
      </c>
      <c r="AI59" s="19">
        <f t="shared" si="13"/>
        <v>0</v>
      </c>
      <c r="AJ59" s="19">
        <f t="shared" si="14"/>
        <v>0</v>
      </c>
      <c r="AK59" s="19">
        <f t="shared" si="15"/>
        <v>0</v>
      </c>
      <c r="AL59" s="19">
        <f>IF(AB59&gt;2040,Z59+Z59*'Data-CostAssumptions'!$G$5,0)</f>
        <v>8669320</v>
      </c>
    </row>
    <row r="60" spans="2:1024 1028:6144 6146:8189 8193:9214 9218:13311 13315:14336 14340:16383" ht="15" customHeight="1" x14ac:dyDescent="0.2">
      <c r="B60" s="11" t="s">
        <v>1211</v>
      </c>
      <c r="C60" s="11">
        <v>12808</v>
      </c>
      <c r="D60" s="13" t="s">
        <v>365</v>
      </c>
      <c r="E60" s="14"/>
      <c r="F60" s="14"/>
      <c r="G60" s="20">
        <v>1078</v>
      </c>
      <c r="H60" s="13" t="s">
        <v>2709</v>
      </c>
      <c r="I60" s="13" t="str">
        <f t="shared" si="16"/>
        <v>SR 817/University Dr (Sample Rd to Golden Glades)</v>
      </c>
      <c r="J60" s="11" t="s">
        <v>347</v>
      </c>
      <c r="K60" s="13" t="str">
        <f>VLOOKUP(J60,'Data-ProjectTypes'!A$3:B$13,2,FALSE)</f>
        <v>Project</v>
      </c>
      <c r="L60" s="11" t="s">
        <v>863</v>
      </c>
      <c r="M60" s="11" t="s">
        <v>1864</v>
      </c>
      <c r="N60" s="11" t="s">
        <v>864</v>
      </c>
      <c r="O60" s="13" t="s">
        <v>365</v>
      </c>
      <c r="P60" s="13" t="s">
        <v>365</v>
      </c>
      <c r="Q60" s="15"/>
      <c r="R60" s="23">
        <v>1258612</v>
      </c>
      <c r="S60" s="12"/>
      <c r="T60" s="12"/>
      <c r="U60" s="12"/>
      <c r="V60" s="12" t="s">
        <v>662</v>
      </c>
      <c r="W60" s="12"/>
      <c r="X60" s="12"/>
      <c r="Y60" s="12"/>
      <c r="Z60" s="18">
        <f>ROUND(R60*'Data-CostAssumptions'!$C$10,-3)</f>
        <v>1259000</v>
      </c>
      <c r="AA60" s="11">
        <f t="shared" si="9"/>
        <v>1</v>
      </c>
      <c r="AB60" s="11">
        <v>2041</v>
      </c>
      <c r="AC60" s="11">
        <v>2041</v>
      </c>
      <c r="AD60" s="11">
        <f t="shared" si="10"/>
        <v>2041</v>
      </c>
      <c r="AE60" s="19">
        <f>ROUND((Z60*'Data-CostAssumptions'!$G$5)*(1+'Data-CostAssumptions'!$G$3)^(AB60-'Data-CostAssumptions'!$G$4),-3)</f>
        <v>710000</v>
      </c>
      <c r="AF60" s="19">
        <f>ROUND((Z60)*(1+'Data-CostAssumptions'!$G$3)^(AD60-'Data-CostAssumptions'!$G$4),-3)</f>
        <v>3228000</v>
      </c>
      <c r="AG60" s="170" t="str">
        <f t="shared" si="11"/>
        <v>No</v>
      </c>
      <c r="AH60" s="19">
        <f t="shared" si="12"/>
        <v>0</v>
      </c>
      <c r="AI60" s="19">
        <f t="shared" si="13"/>
        <v>0</v>
      </c>
      <c r="AJ60" s="19">
        <f t="shared" si="14"/>
        <v>0</v>
      </c>
      <c r="AK60" s="19">
        <f t="shared" si="15"/>
        <v>0</v>
      </c>
      <c r="AL60" s="19">
        <f>IF(AB60&gt;2040,Z60+Z60*'Data-CostAssumptions'!$G$5,0)</f>
        <v>1535980</v>
      </c>
    </row>
    <row r="61" spans="2:1024 1028:6144 6146:8189 8193:9214 9218:13311 13315:14336 14340:16383" ht="15" customHeight="1" x14ac:dyDescent="0.2">
      <c r="B61" s="11" t="s">
        <v>1211</v>
      </c>
      <c r="C61" s="11">
        <v>12811</v>
      </c>
      <c r="D61" s="13" t="s">
        <v>365</v>
      </c>
      <c r="E61" s="14"/>
      <c r="F61" s="14"/>
      <c r="G61" s="20">
        <v>1079</v>
      </c>
      <c r="H61" s="13" t="s">
        <v>2724</v>
      </c>
      <c r="I61" s="13" t="str">
        <f t="shared" si="16"/>
        <v>SR 820/Pines/Hollywood Bl (Pembroke Lanes Mall to Young Circle)</v>
      </c>
      <c r="J61" s="11" t="s">
        <v>347</v>
      </c>
      <c r="K61" s="13" t="str">
        <f>VLOOKUP(J61,'Data-ProjectTypes'!A$3:B$13,2,FALSE)</f>
        <v>Project</v>
      </c>
      <c r="L61" s="11" t="s">
        <v>863</v>
      </c>
      <c r="M61" s="11" t="s">
        <v>868</v>
      </c>
      <c r="N61" s="11" t="s">
        <v>189</v>
      </c>
      <c r="O61" s="13" t="s">
        <v>365</v>
      </c>
      <c r="P61" s="13" t="s">
        <v>365</v>
      </c>
      <c r="Q61" s="15"/>
      <c r="R61" s="23">
        <v>4797170</v>
      </c>
      <c r="S61" s="12"/>
      <c r="T61" s="12"/>
      <c r="U61" s="12"/>
      <c r="V61" s="12" t="s">
        <v>662</v>
      </c>
      <c r="W61" s="12"/>
      <c r="X61" s="12"/>
      <c r="Y61" s="12"/>
      <c r="Z61" s="18">
        <f>ROUND(R61*'Data-CostAssumptions'!$C$10,-3)</f>
        <v>4797000</v>
      </c>
      <c r="AA61" s="11">
        <f t="shared" si="9"/>
        <v>1</v>
      </c>
      <c r="AB61" s="11">
        <v>2041</v>
      </c>
      <c r="AC61" s="11">
        <v>2041</v>
      </c>
      <c r="AD61" s="11">
        <f t="shared" si="10"/>
        <v>2041</v>
      </c>
      <c r="AE61" s="19">
        <f>ROUND((Z61*'Data-CostAssumptions'!$G$5)*(1+'Data-CostAssumptions'!$G$3)^(AB61-'Data-CostAssumptions'!$G$4),-3)</f>
        <v>2706000</v>
      </c>
      <c r="AF61" s="19">
        <f>ROUND((Z61)*(1+'Data-CostAssumptions'!$G$3)^(AD61-'Data-CostAssumptions'!$G$4),-3)</f>
        <v>12299000</v>
      </c>
      <c r="AG61" s="170" t="str">
        <f t="shared" si="11"/>
        <v>No</v>
      </c>
      <c r="AH61" s="19">
        <f t="shared" si="12"/>
        <v>0</v>
      </c>
      <c r="AI61" s="19">
        <f t="shared" si="13"/>
        <v>0</v>
      </c>
      <c r="AJ61" s="19">
        <f t="shared" si="14"/>
        <v>0</v>
      </c>
      <c r="AK61" s="19">
        <f t="shared" si="15"/>
        <v>0</v>
      </c>
      <c r="AL61" s="19">
        <f>IF(AB61&gt;2040,Z61+Z61*'Data-CostAssumptions'!$G$5,0)</f>
        <v>5852340</v>
      </c>
    </row>
    <row r="62" spans="2:1024 1028:6144 6146:8189 8193:9214 9218:13311 13315:14336 14340:16383" s="81" customFormat="1" ht="15" customHeight="1" x14ac:dyDescent="0.2">
      <c r="B62" s="81" t="s">
        <v>1211</v>
      </c>
      <c r="C62" s="81">
        <v>12812</v>
      </c>
      <c r="D62" s="78" t="s">
        <v>365</v>
      </c>
      <c r="E62" s="99"/>
      <c r="F62" s="99"/>
      <c r="G62" s="235">
        <v>1080</v>
      </c>
      <c r="H62" s="78" t="s">
        <v>2793</v>
      </c>
      <c r="I62" s="78" t="str">
        <f t="shared" si="16"/>
        <v>SR 834/Sample Rd (Coral Ridge Dr to US 1)</v>
      </c>
      <c r="J62" s="81" t="s">
        <v>347</v>
      </c>
      <c r="K62" s="78" t="str">
        <f>VLOOKUP(J62,'Data-ProjectTypes'!A$3:B$13,2,FALSE)</f>
        <v>Project</v>
      </c>
      <c r="L62" s="81" t="s">
        <v>863</v>
      </c>
      <c r="M62" s="81" t="s">
        <v>1786</v>
      </c>
      <c r="N62" s="81" t="s">
        <v>98</v>
      </c>
      <c r="O62" s="78" t="s">
        <v>365</v>
      </c>
      <c r="P62" s="78" t="s">
        <v>365</v>
      </c>
      <c r="Q62" s="101"/>
      <c r="R62" s="102">
        <v>3426550</v>
      </c>
      <c r="S62" s="27"/>
      <c r="T62" s="27"/>
      <c r="U62" s="27"/>
      <c r="V62" s="27" t="s">
        <v>662</v>
      </c>
      <c r="W62" s="27"/>
      <c r="X62" s="27"/>
      <c r="Y62" s="27"/>
      <c r="Z62" s="135">
        <f>ROUND(R62*'Data-CostAssumptions'!$C$10,-3)</f>
        <v>3427000</v>
      </c>
      <c r="AA62" s="81">
        <f t="shared" si="9"/>
        <v>1</v>
      </c>
      <c r="AB62" s="81">
        <v>2019</v>
      </c>
      <c r="AC62" s="81">
        <v>2023</v>
      </c>
      <c r="AD62" s="81">
        <f t="shared" si="10"/>
        <v>2023</v>
      </c>
      <c r="AE62" s="199">
        <f>ROUND((Z62*'Data-CostAssumptions'!$G$5)*(1+'Data-CostAssumptions'!$G$3)^(AB62-'Data-CostAssumptions'!$G$4),-3)</f>
        <v>946000</v>
      </c>
      <c r="AF62" s="199">
        <f>ROUND((Z62)*(1+'Data-CostAssumptions'!$G$3)^(AD62-'Data-CostAssumptions'!$G$4),-3)</f>
        <v>4898000</v>
      </c>
      <c r="AG62" s="202" t="str">
        <f t="shared" si="11"/>
        <v>Yes</v>
      </c>
      <c r="AH62" s="199">
        <f t="shared" si="12"/>
        <v>946000</v>
      </c>
      <c r="AI62" s="199">
        <f t="shared" si="13"/>
        <v>4898000</v>
      </c>
      <c r="AJ62" s="199">
        <f t="shared" si="14"/>
        <v>0</v>
      </c>
      <c r="AK62" s="199">
        <f t="shared" si="15"/>
        <v>0</v>
      </c>
      <c r="AL62" s="199">
        <f>IF(AB62&gt;2040,Z62+Z62*'Data-CostAssumptions'!$G$5,0)</f>
        <v>0</v>
      </c>
    </row>
    <row r="63" spans="2:1024 1028:6144 6146:8189 8193:9214 9218:13311 13315:14336 14340:16383" s="81" customFormat="1" ht="15" customHeight="1" x14ac:dyDescent="0.2">
      <c r="B63" s="81" t="s">
        <v>1211</v>
      </c>
      <c r="C63" s="81">
        <v>12810</v>
      </c>
      <c r="D63" s="78" t="s">
        <v>365</v>
      </c>
      <c r="E63" s="99"/>
      <c r="F63" s="99"/>
      <c r="G63" s="235">
        <v>1081</v>
      </c>
      <c r="H63" s="78" t="s">
        <v>2728</v>
      </c>
      <c r="I63" s="78" t="str">
        <f t="shared" si="16"/>
        <v>SR 838/Sunrise Bl (Sawgrass Mills Mall to SR A1A)</v>
      </c>
      <c r="J63" s="81" t="s">
        <v>347</v>
      </c>
      <c r="K63" s="78" t="str">
        <f>VLOOKUP(J63,'Data-ProjectTypes'!A$3:B$13,2,FALSE)</f>
        <v>Project</v>
      </c>
      <c r="L63" s="81" t="s">
        <v>863</v>
      </c>
      <c r="M63" s="81" t="s">
        <v>865</v>
      </c>
      <c r="N63" s="81" t="s">
        <v>110</v>
      </c>
      <c r="O63" s="78" t="s">
        <v>365</v>
      </c>
      <c r="P63" s="78" t="s">
        <v>365</v>
      </c>
      <c r="Q63" s="101"/>
      <c r="R63" s="258">
        <v>1997697</v>
      </c>
      <c r="S63" s="27"/>
      <c r="T63" s="27"/>
      <c r="U63" s="27"/>
      <c r="V63" s="27" t="s">
        <v>662</v>
      </c>
      <c r="W63" s="27"/>
      <c r="X63" s="27"/>
      <c r="Y63" s="27"/>
      <c r="Z63" s="135">
        <f>ROUND(R63*'Data-CostAssumptions'!$C$10,-3)</f>
        <v>1998000</v>
      </c>
      <c r="AA63" s="81">
        <f t="shared" si="9"/>
        <v>1</v>
      </c>
      <c r="AB63" s="81">
        <v>2028</v>
      </c>
      <c r="AC63" s="81">
        <v>2028</v>
      </c>
      <c r="AD63" s="81">
        <f t="shared" si="10"/>
        <v>2028</v>
      </c>
      <c r="AE63" s="199">
        <f>ROUND((Z63*'Data-CostAssumptions'!$G$5)*(1+'Data-CostAssumptions'!$G$3)^(AB63-'Data-CostAssumptions'!$G$4),-3)</f>
        <v>739000</v>
      </c>
      <c r="AF63" s="199">
        <f>ROUND((Z63)*(1+'Data-CostAssumptions'!$G$3)^(AD63-'Data-CostAssumptions'!$G$4),-3)</f>
        <v>3359000</v>
      </c>
      <c r="AG63" s="202" t="str">
        <f t="shared" si="11"/>
        <v>Yes</v>
      </c>
      <c r="AH63" s="199">
        <f t="shared" si="12"/>
        <v>0</v>
      </c>
      <c r="AI63" s="199">
        <f t="shared" si="13"/>
        <v>0</v>
      </c>
      <c r="AJ63" s="199">
        <f t="shared" si="14"/>
        <v>4098000</v>
      </c>
      <c r="AK63" s="199">
        <f t="shared" si="15"/>
        <v>0</v>
      </c>
      <c r="AL63" s="199">
        <f>IF(AB63&gt;2040,Z63+Z63*'Data-CostAssumptions'!$G$5,0)</f>
        <v>0</v>
      </c>
    </row>
    <row r="64" spans="2:1024 1028:6144 6146:8189 8193:9214 9218:13311 13315:14336 14340:16383" s="81" customFormat="1" ht="15" customHeight="1" x14ac:dyDescent="0.2">
      <c r="B64" s="81" t="s">
        <v>1211</v>
      </c>
      <c r="C64" s="81">
        <v>12809</v>
      </c>
      <c r="D64" s="98" t="s">
        <v>365</v>
      </c>
      <c r="E64" s="99"/>
      <c r="F64" s="99"/>
      <c r="G64" s="235">
        <v>1082</v>
      </c>
      <c r="H64" s="78" t="s">
        <v>2798</v>
      </c>
      <c r="I64" s="78" t="str">
        <f t="shared" si="16"/>
        <v>SR 842/Broward Bl (Sawgrass Mills Mall to Broward Terminal)</v>
      </c>
      <c r="J64" s="98" t="s">
        <v>347</v>
      </c>
      <c r="K64" s="78" t="str">
        <f>VLOOKUP(J64,'Data-ProjectTypes'!A$3:B$13,2,FALSE)</f>
        <v>Project</v>
      </c>
      <c r="L64" s="100" t="s">
        <v>863</v>
      </c>
      <c r="M64" s="100" t="s">
        <v>865</v>
      </c>
      <c r="N64" s="98" t="s">
        <v>867</v>
      </c>
      <c r="O64" s="98" t="s">
        <v>365</v>
      </c>
      <c r="P64" s="100" t="s">
        <v>365</v>
      </c>
      <c r="Q64" s="101"/>
      <c r="R64" s="258">
        <v>3882318</v>
      </c>
      <c r="V64" s="100" t="s">
        <v>662</v>
      </c>
      <c r="Y64" s="27"/>
      <c r="Z64" s="135">
        <f>ROUND(R64*'Data-CostAssumptions'!$C$10,-3)</f>
        <v>3882000</v>
      </c>
      <c r="AA64" s="81">
        <f t="shared" si="9"/>
        <v>1</v>
      </c>
      <c r="AB64" s="81">
        <v>2019</v>
      </c>
      <c r="AC64" s="81">
        <v>2019</v>
      </c>
      <c r="AD64" s="81">
        <f t="shared" si="10"/>
        <v>2019</v>
      </c>
      <c r="AE64" s="199">
        <f>ROUND((Z64*'Data-CostAssumptions'!$G$5)*(1+'Data-CostAssumptions'!$G$3)^(AB64-'Data-CostAssumptions'!$G$4),-3)</f>
        <v>1072000</v>
      </c>
      <c r="AF64" s="199">
        <f>ROUND((Z64)*(1+'Data-CostAssumptions'!$G$3)^(AD64-'Data-CostAssumptions'!$G$4),-3)</f>
        <v>4873000</v>
      </c>
      <c r="AG64" s="202" t="str">
        <f t="shared" si="11"/>
        <v>Yes</v>
      </c>
      <c r="AH64" s="199">
        <f t="shared" si="12"/>
        <v>5945000</v>
      </c>
      <c r="AI64" s="199">
        <f t="shared" si="13"/>
        <v>0</v>
      </c>
      <c r="AJ64" s="199">
        <f t="shared" si="14"/>
        <v>0</v>
      </c>
      <c r="AK64" s="199">
        <f t="shared" si="15"/>
        <v>0</v>
      </c>
      <c r="AL64" s="199">
        <f>IF(AB64&gt;2040,Z64+Z64*'Data-CostAssumptions'!$G$5,0)</f>
        <v>0</v>
      </c>
    </row>
    <row r="65" spans="1:38" ht="15" customHeight="1" x14ac:dyDescent="0.2">
      <c r="B65" s="11" t="s">
        <v>1211</v>
      </c>
      <c r="C65" s="11">
        <v>12813</v>
      </c>
      <c r="D65" s="13" t="s">
        <v>365</v>
      </c>
      <c r="E65" s="14"/>
      <c r="F65" s="14"/>
      <c r="G65" s="20">
        <v>1083</v>
      </c>
      <c r="H65" s="13" t="s">
        <v>2699</v>
      </c>
      <c r="I65" s="13" t="str">
        <f t="shared" si="16"/>
        <v>SR 93 /I-75 Express Bus Route (Miami-Dade International Airport jobs centers to I-595/I-75 area)</v>
      </c>
      <c r="J65" s="11" t="s">
        <v>347</v>
      </c>
      <c r="K65" s="13" t="str">
        <f>VLOOKUP(J65,'Data-ProjectTypes'!A$3:B$13,2,FALSE)</f>
        <v>Project</v>
      </c>
      <c r="L65" s="11" t="s">
        <v>869</v>
      </c>
      <c r="M65" s="11" t="s">
        <v>872</v>
      </c>
      <c r="N65" s="11" t="s">
        <v>871</v>
      </c>
      <c r="O65" s="13" t="s">
        <v>365</v>
      </c>
      <c r="P65" s="13" t="s">
        <v>365</v>
      </c>
      <c r="Q65" s="15"/>
      <c r="R65" s="16">
        <v>3552870</v>
      </c>
      <c r="V65" s="85" t="s">
        <v>662</v>
      </c>
      <c r="Y65" s="12"/>
      <c r="Z65" s="18">
        <f>ROUND(R65*'Data-CostAssumptions'!$C$10,-3)</f>
        <v>3553000</v>
      </c>
      <c r="AA65" s="11">
        <f t="shared" si="9"/>
        <v>1</v>
      </c>
      <c r="AB65" s="11">
        <v>2041</v>
      </c>
      <c r="AC65" s="11">
        <v>2041</v>
      </c>
      <c r="AD65" s="11">
        <f t="shared" si="10"/>
        <v>2041</v>
      </c>
      <c r="AE65" s="19">
        <f>ROUND((Z65*'Data-CostAssumptions'!$G$5)*(1+'Data-CostAssumptions'!$G$3)^(AB65-'Data-CostAssumptions'!$G$4),-3)</f>
        <v>2004000</v>
      </c>
      <c r="AF65" s="19">
        <f>ROUND((Z65)*(1+'Data-CostAssumptions'!$G$3)^(AD65-'Data-CostAssumptions'!$G$4),-3)</f>
        <v>9110000</v>
      </c>
      <c r="AG65" s="170" t="str">
        <f t="shared" si="11"/>
        <v>No</v>
      </c>
      <c r="AH65" s="19">
        <f t="shared" si="12"/>
        <v>0</v>
      </c>
      <c r="AI65" s="19">
        <f t="shared" si="13"/>
        <v>0</v>
      </c>
      <c r="AJ65" s="19">
        <f t="shared" si="14"/>
        <v>0</v>
      </c>
      <c r="AK65" s="19">
        <f t="shared" si="15"/>
        <v>0</v>
      </c>
      <c r="AL65" s="19">
        <f>IF(AB65&gt;2040,Z65+Z65*'Data-CostAssumptions'!$G$5,0)</f>
        <v>4334660</v>
      </c>
    </row>
    <row r="66" spans="1:38" ht="15" customHeight="1" x14ac:dyDescent="0.2">
      <c r="B66" s="11" t="s">
        <v>1211</v>
      </c>
      <c r="C66" s="11">
        <v>12816</v>
      </c>
      <c r="D66" s="13" t="s">
        <v>365</v>
      </c>
      <c r="E66" s="14"/>
      <c r="F66" s="14"/>
      <c r="G66" s="20">
        <v>1069</v>
      </c>
      <c r="H66" s="13" t="s">
        <v>1814</v>
      </c>
      <c r="I66" s="13" t="str">
        <f t="shared" si="16"/>
        <v>Cypress Creek Bl (Federal Hwy to Hiatus Rd)</v>
      </c>
      <c r="J66" s="11" t="s">
        <v>347</v>
      </c>
      <c r="K66" s="13" t="str">
        <f>VLOOKUP(J66,'Data-ProjectTypes'!A$3:B$13,2,FALSE)</f>
        <v>Project</v>
      </c>
      <c r="L66" s="11" t="s">
        <v>873</v>
      </c>
      <c r="M66" s="11" t="s">
        <v>2595</v>
      </c>
      <c r="N66" s="11" t="s">
        <v>1752</v>
      </c>
      <c r="O66" s="13" t="s">
        <v>365</v>
      </c>
      <c r="P66" s="13" t="s">
        <v>365</v>
      </c>
      <c r="Q66" s="15"/>
      <c r="R66" s="16">
        <f>504471*2</f>
        <v>1008942</v>
      </c>
      <c r="S66" s="12"/>
      <c r="T66" s="12"/>
      <c r="U66" s="12"/>
      <c r="V66" s="12" t="s">
        <v>662</v>
      </c>
      <c r="W66" s="12"/>
      <c r="X66" s="12"/>
      <c r="Y66" s="12"/>
      <c r="Z66" s="18">
        <f>ROUND(R66*'Data-CostAssumptions'!$C$10,-3)</f>
        <v>1009000</v>
      </c>
      <c r="AA66" s="11">
        <f t="shared" ref="AA66:AA101" si="17">IF(V66="",IF(W66="",0,1),1)</f>
        <v>1</v>
      </c>
      <c r="AB66" s="11">
        <v>2041</v>
      </c>
      <c r="AC66" s="11">
        <v>2041</v>
      </c>
      <c r="AD66" s="11">
        <f t="shared" ref="AD66:AD97" si="18">+AC66</f>
        <v>2041</v>
      </c>
      <c r="AE66" s="19">
        <f>ROUND((Z66*'Data-CostAssumptions'!$G$5)*(1+'Data-CostAssumptions'!$G$3)^(AB66-'Data-CostAssumptions'!$G$4),-3)</f>
        <v>569000</v>
      </c>
      <c r="AF66" s="19">
        <f>ROUND((Z66)*(1+'Data-CostAssumptions'!$G$3)^(AD66-'Data-CostAssumptions'!$G$4),-3)</f>
        <v>2587000</v>
      </c>
      <c r="AG66" s="170" t="str">
        <f t="shared" ref="AG66:AG101" si="19">IF(MIN(AC66:AD66)&lt;2041,"Yes","No")</f>
        <v>No</v>
      </c>
      <c r="AH66" s="19">
        <f t="shared" ref="AH66:AH101" si="20">IF(AB66&gt;2018,IF(AB66&lt;2021,AE66,0),0)+IF(AC66&gt;2018,IF(AC66&lt;2021,AF66,0),0)</f>
        <v>0</v>
      </c>
      <c r="AI66" s="19">
        <f t="shared" ref="AI66:AI101" si="21">IF(AB66&gt;2020,IF(AB66&lt;2026,AE66,0),0)+IF(AC66&gt;2020,IF(AC66&lt;2026,AF66,0),0)</f>
        <v>0</v>
      </c>
      <c r="AJ66" s="19">
        <f t="shared" ref="AJ66:AJ101" si="22">IF(AB66&gt;2025,IF(AB66&lt;2031,AE66,0),0)+IF(AC66&gt;2025,IF(AC66&lt;2031,AF66,0),0)</f>
        <v>0</v>
      </c>
      <c r="AK66" s="19">
        <f t="shared" ref="AK66:AK101" si="23">IF(AB66&gt;2030,IF(AB66&lt;2041,AE66,0),0)+IF(AC66&gt;2030,IF(AC66&lt;2041,AF66,0),0)</f>
        <v>0</v>
      </c>
      <c r="AL66" s="19">
        <f>IF(AB66&gt;2040,Z66+Z66*'Data-CostAssumptions'!$G$5,0)</f>
        <v>1230980</v>
      </c>
    </row>
    <row r="67" spans="1:38" ht="15" customHeight="1" x14ac:dyDescent="0.2">
      <c r="B67" s="11" t="s">
        <v>1211</v>
      </c>
      <c r="C67" s="11">
        <v>12815</v>
      </c>
      <c r="D67" s="84" t="s">
        <v>365</v>
      </c>
      <c r="E67" s="14"/>
      <c r="F67" s="14"/>
      <c r="G67" s="20">
        <v>1073</v>
      </c>
      <c r="H67" s="13" t="s">
        <v>1854</v>
      </c>
      <c r="I67" s="13" t="str">
        <f t="shared" si="16"/>
        <v>McNab Rd (Federal Hwy to Hiatus Rd)</v>
      </c>
      <c r="J67" s="84" t="s">
        <v>347</v>
      </c>
      <c r="K67" s="13" t="str">
        <f>VLOOKUP(J67,'Data-ProjectTypes'!A$3:B$13,2,FALSE)</f>
        <v>Project</v>
      </c>
      <c r="L67" s="85" t="s">
        <v>873</v>
      </c>
      <c r="M67" s="85" t="s">
        <v>2595</v>
      </c>
      <c r="N67" s="84" t="s">
        <v>1752</v>
      </c>
      <c r="O67" s="84" t="s">
        <v>365</v>
      </c>
      <c r="P67" s="85" t="s">
        <v>365</v>
      </c>
      <c r="Q67" s="15"/>
      <c r="R67" s="23">
        <v>48791905</v>
      </c>
      <c r="V67" s="85" t="s">
        <v>662</v>
      </c>
      <c r="Y67" s="12"/>
      <c r="Z67" s="18">
        <f>ROUND(R67*'Data-CostAssumptions'!$C$10,-3)</f>
        <v>48792000</v>
      </c>
      <c r="AA67" s="11">
        <f t="shared" si="17"/>
        <v>1</v>
      </c>
      <c r="AB67" s="11">
        <v>2041</v>
      </c>
      <c r="AC67" s="11">
        <v>2041</v>
      </c>
      <c r="AD67" s="11">
        <f t="shared" si="18"/>
        <v>2041</v>
      </c>
      <c r="AE67" s="19">
        <f>ROUND((Z67*'Data-CostAssumptions'!$G$5)*(1+'Data-CostAssumptions'!$G$3)^(AB67-'Data-CostAssumptions'!$G$4),-3)</f>
        <v>27522000</v>
      </c>
      <c r="AF67" s="19">
        <f>ROUND((Z67)*(1+'Data-CostAssumptions'!$G$3)^(AD67-'Data-CostAssumptions'!$G$4),-3)</f>
        <v>125100000</v>
      </c>
      <c r="AG67" s="170" t="str">
        <f t="shared" si="19"/>
        <v>No</v>
      </c>
      <c r="AH67" s="19">
        <f t="shared" si="20"/>
        <v>0</v>
      </c>
      <c r="AI67" s="19">
        <f t="shared" si="21"/>
        <v>0</v>
      </c>
      <c r="AJ67" s="19">
        <f t="shared" si="22"/>
        <v>0</v>
      </c>
      <c r="AK67" s="19">
        <f t="shared" si="23"/>
        <v>0</v>
      </c>
      <c r="AL67" s="19">
        <f>IF(AB67&gt;2040,Z67+Z67*'Data-CostAssumptions'!$G$5,0)</f>
        <v>59526240</v>
      </c>
    </row>
    <row r="68" spans="1:38" ht="15" customHeight="1" x14ac:dyDescent="0.2">
      <c r="B68" s="11" t="s">
        <v>1211</v>
      </c>
      <c r="C68" s="11">
        <v>12814</v>
      </c>
      <c r="D68" s="13" t="s">
        <v>365</v>
      </c>
      <c r="E68" s="14"/>
      <c r="F68" s="14"/>
      <c r="G68" s="20">
        <v>1074</v>
      </c>
      <c r="H68" s="13" t="s">
        <v>1755</v>
      </c>
      <c r="I68" s="13" t="str">
        <f t="shared" si="16"/>
        <v>Nob Hill Rd (Broward Bl to Holmberg Rd)</v>
      </c>
      <c r="J68" s="11" t="s">
        <v>347</v>
      </c>
      <c r="K68" s="13" t="str">
        <f>VLOOKUP(J68,'Data-ProjectTypes'!A$3:B$13,2,FALSE)</f>
        <v>Project</v>
      </c>
      <c r="L68" s="11" t="s">
        <v>873</v>
      </c>
      <c r="M68" s="11" t="s">
        <v>1811</v>
      </c>
      <c r="N68" s="11" t="s">
        <v>2404</v>
      </c>
      <c r="O68" s="13" t="s">
        <v>365</v>
      </c>
      <c r="P68" s="13" t="s">
        <v>365</v>
      </c>
      <c r="Q68" s="15"/>
      <c r="R68" s="16">
        <v>2409456</v>
      </c>
      <c r="S68" s="12"/>
      <c r="T68" s="12"/>
      <c r="U68" s="12"/>
      <c r="V68" s="12" t="s">
        <v>662</v>
      </c>
      <c r="W68" s="12"/>
      <c r="X68" s="12"/>
      <c r="Y68" s="12" t="s">
        <v>2830</v>
      </c>
      <c r="Z68" s="18">
        <f>ROUND(R68*'Data-CostAssumptions'!$C$10,-3)</f>
        <v>2409000</v>
      </c>
      <c r="AA68" s="11">
        <f t="shared" si="17"/>
        <v>1</v>
      </c>
      <c r="AB68" s="11">
        <v>2041</v>
      </c>
      <c r="AC68" s="11">
        <v>2041</v>
      </c>
      <c r="AD68" s="11">
        <f t="shared" si="18"/>
        <v>2041</v>
      </c>
      <c r="AE68" s="19">
        <f>ROUND((Z68*'Data-CostAssumptions'!$G$5)*(1+'Data-CostAssumptions'!$G$3)^(AB68-'Data-CostAssumptions'!$G$4),-3)</f>
        <v>1359000</v>
      </c>
      <c r="AF68" s="19">
        <f>ROUND((Z68)*(1+'Data-CostAssumptions'!$G$3)^(AD68-'Data-CostAssumptions'!$G$4),-3)</f>
        <v>6177000</v>
      </c>
      <c r="AG68" s="170" t="str">
        <f t="shared" si="19"/>
        <v>No</v>
      </c>
      <c r="AH68" s="19">
        <f t="shared" si="20"/>
        <v>0</v>
      </c>
      <c r="AI68" s="19">
        <f t="shared" si="21"/>
        <v>0</v>
      </c>
      <c r="AJ68" s="19">
        <f t="shared" si="22"/>
        <v>0</v>
      </c>
      <c r="AK68" s="19">
        <f t="shared" si="23"/>
        <v>0</v>
      </c>
      <c r="AL68" s="19">
        <f>IF(AB68&gt;2040,Z68+Z68*'Data-CostAssumptions'!$G$5,0)</f>
        <v>2938980</v>
      </c>
    </row>
    <row r="69" spans="1:38" ht="15" customHeight="1" x14ac:dyDescent="0.2">
      <c r="A69" s="11" t="s">
        <v>1041</v>
      </c>
      <c r="B69" s="11" t="s">
        <v>1211</v>
      </c>
      <c r="C69" s="11">
        <v>13148</v>
      </c>
      <c r="D69" s="13" t="s">
        <v>1732</v>
      </c>
      <c r="E69" s="14"/>
      <c r="F69" s="14"/>
      <c r="G69" s="20">
        <v>1255</v>
      </c>
      <c r="H69" s="13" t="s">
        <v>2851</v>
      </c>
      <c r="I69" s="13" t="str">
        <f t="shared" ref="I69:I92" si="24">IF(M69="@",H69&amp;" ("&amp;M69&amp;"  "&amp;N69&amp;")",H69&amp;" ("&amp;M69&amp;" to "&amp;N69&amp;")")</f>
        <v>FLL Airport (@  US-1 / FLL)</v>
      </c>
      <c r="J69" s="11" t="s">
        <v>347</v>
      </c>
      <c r="K69" s="13" t="str">
        <f>VLOOKUP(J69,'Data-ProjectTypes'!A$3:B$13,2,FALSE)</f>
        <v>Project</v>
      </c>
      <c r="L69" s="11" t="s">
        <v>2822</v>
      </c>
      <c r="M69" s="11" t="s">
        <v>2835</v>
      </c>
      <c r="N69" s="11" t="s">
        <v>3122</v>
      </c>
      <c r="O69" s="13" t="s">
        <v>270</v>
      </c>
      <c r="P69" s="13" t="s">
        <v>270</v>
      </c>
      <c r="Q69" s="15"/>
      <c r="R69" s="16">
        <v>10000000</v>
      </c>
      <c r="S69" s="12"/>
      <c r="T69" s="12"/>
      <c r="U69" s="12"/>
      <c r="V69" s="12" t="s">
        <v>662</v>
      </c>
      <c r="W69" s="12"/>
      <c r="X69" s="12"/>
      <c r="Y69" s="12"/>
      <c r="Z69" s="18">
        <f>ROUND(R69*'Data-CostAssumptions'!$C$10,-3)</f>
        <v>10000000</v>
      </c>
      <c r="AA69" s="11">
        <f t="shared" si="17"/>
        <v>1</v>
      </c>
      <c r="AB69" s="11">
        <v>2041</v>
      </c>
      <c r="AC69" s="11">
        <v>2041</v>
      </c>
      <c r="AD69" s="11">
        <v>2041</v>
      </c>
      <c r="AE69" s="19">
        <f>ROUND((Z69*'Data-CostAssumptions'!$G$5)*(1+'Data-CostAssumptions'!$G$3)^(AB69-'Data-CostAssumptions'!$G$4),-3)</f>
        <v>5641000</v>
      </c>
      <c r="AF69" s="19">
        <f>ROUND((Z69)*(1+'Data-CostAssumptions'!$G$3)^(AD69-'Data-CostAssumptions'!$G$4),-3)</f>
        <v>25639000</v>
      </c>
      <c r="AG69" s="170" t="str">
        <f t="shared" si="19"/>
        <v>No</v>
      </c>
      <c r="AH69" s="19">
        <f t="shared" si="20"/>
        <v>0</v>
      </c>
      <c r="AI69" s="19">
        <f t="shared" si="21"/>
        <v>0</v>
      </c>
      <c r="AJ69" s="19">
        <f t="shared" si="22"/>
        <v>0</v>
      </c>
      <c r="AK69" s="19">
        <f t="shared" si="23"/>
        <v>0</v>
      </c>
      <c r="AL69" s="19">
        <f>IF(AB69&gt;2040,Z69+Z69*'Data-CostAssumptions'!$G$5,0)</f>
        <v>12200000</v>
      </c>
    </row>
    <row r="70" spans="1:38" ht="15" customHeight="1" x14ac:dyDescent="0.2">
      <c r="A70" s="11" t="s">
        <v>1039</v>
      </c>
      <c r="B70" s="11" t="s">
        <v>1211</v>
      </c>
      <c r="C70" s="11">
        <v>13146</v>
      </c>
      <c r="D70" s="84" t="s">
        <v>1732</v>
      </c>
      <c r="E70" s="14"/>
      <c r="F70" s="14"/>
      <c r="G70" s="20">
        <v>1244</v>
      </c>
      <c r="H70" s="13" t="s">
        <v>1043</v>
      </c>
      <c r="I70" s="13" t="str">
        <f t="shared" si="24"/>
        <v>Broward County Transit Hub (@  FEC/Broward Bl)</v>
      </c>
      <c r="J70" s="84" t="s">
        <v>347</v>
      </c>
      <c r="K70" s="13" t="str">
        <f>VLOOKUP(J70,'Data-ProjectTypes'!A$3:B$13,2,FALSE)</f>
        <v>Project</v>
      </c>
      <c r="L70" s="85" t="s">
        <v>1044</v>
      </c>
      <c r="M70" s="96" t="s">
        <v>2835</v>
      </c>
      <c r="N70" s="11" t="s">
        <v>3005</v>
      </c>
      <c r="O70" s="84" t="s">
        <v>270</v>
      </c>
      <c r="P70" s="85" t="s">
        <v>270</v>
      </c>
      <c r="Q70" s="15"/>
      <c r="R70" s="16">
        <v>10000000</v>
      </c>
      <c r="S70" s="76"/>
      <c r="T70" s="76"/>
      <c r="U70" s="76"/>
      <c r="V70" s="142" t="s">
        <v>662</v>
      </c>
      <c r="W70" s="76"/>
      <c r="X70" s="76"/>
      <c r="Y70" s="83"/>
      <c r="Z70" s="146">
        <f>ROUND(R70*'Data-CostAssumptions'!$C$10,-3)</f>
        <v>10000000</v>
      </c>
      <c r="AA70" s="11">
        <f t="shared" si="17"/>
        <v>1</v>
      </c>
      <c r="AB70" s="11">
        <v>2041</v>
      </c>
      <c r="AC70" s="11">
        <v>2041</v>
      </c>
      <c r="AD70" s="11">
        <v>2041</v>
      </c>
      <c r="AE70" s="19">
        <f>ROUND((Z70*'Data-CostAssumptions'!$G$5)*(1+'Data-CostAssumptions'!$G$3)^(AB70-'Data-CostAssumptions'!$G$4),-3)</f>
        <v>5641000</v>
      </c>
      <c r="AF70" s="19">
        <f>ROUND((Z70)*(1+'Data-CostAssumptions'!$G$3)^(AD70-'Data-CostAssumptions'!$G$4),-3)</f>
        <v>25639000</v>
      </c>
      <c r="AG70" s="170" t="s">
        <v>25</v>
      </c>
      <c r="AH70" s="19">
        <f t="shared" si="20"/>
        <v>0</v>
      </c>
      <c r="AI70" s="19">
        <f t="shared" si="21"/>
        <v>0</v>
      </c>
      <c r="AJ70" s="19">
        <f t="shared" si="22"/>
        <v>0</v>
      </c>
      <c r="AK70" s="19">
        <f t="shared" si="23"/>
        <v>0</v>
      </c>
      <c r="AL70" s="19">
        <f>IF(AB70&gt;2040,Z70+Z70*'Data-CostAssumptions'!$G$5,0)</f>
        <v>12200000</v>
      </c>
    </row>
    <row r="71" spans="1:38" ht="15" customHeight="1" x14ac:dyDescent="0.2">
      <c r="A71" s="11" t="s">
        <v>1040</v>
      </c>
      <c r="B71" s="11" t="s">
        <v>1211</v>
      </c>
      <c r="C71" s="11">
        <v>13147</v>
      </c>
      <c r="D71" s="84" t="s">
        <v>1732</v>
      </c>
      <c r="E71" s="14"/>
      <c r="F71" s="14"/>
      <c r="G71" s="20">
        <v>1246</v>
      </c>
      <c r="H71" s="13" t="s">
        <v>1046</v>
      </c>
      <c r="I71" s="13" t="str">
        <f t="shared" si="24"/>
        <v>Coral Springs Gateway Hub (@  University Dr / Sample Rd)</v>
      </c>
      <c r="J71" s="84" t="s">
        <v>347</v>
      </c>
      <c r="K71" s="13" t="str">
        <f>VLOOKUP(J71,'Data-ProjectTypes'!A$3:B$13,2,FALSE)</f>
        <v>Project</v>
      </c>
      <c r="L71" s="85" t="s">
        <v>1044</v>
      </c>
      <c r="M71" s="11" t="s">
        <v>2835</v>
      </c>
      <c r="N71" s="11" t="s">
        <v>3121</v>
      </c>
      <c r="O71" s="84" t="s">
        <v>270</v>
      </c>
      <c r="P71" s="85" t="s">
        <v>270</v>
      </c>
      <c r="Q71" s="15"/>
      <c r="R71" s="16">
        <v>10000000</v>
      </c>
      <c r="V71" s="85" t="s">
        <v>662</v>
      </c>
      <c r="Y71" s="12"/>
      <c r="Z71" s="18">
        <f>ROUND(R71*'Data-CostAssumptions'!$C$10,-3)</f>
        <v>10000000</v>
      </c>
      <c r="AA71" s="11">
        <f t="shared" si="17"/>
        <v>1</v>
      </c>
      <c r="AB71" s="11">
        <v>2041</v>
      </c>
      <c r="AC71" s="11">
        <v>2041</v>
      </c>
      <c r="AD71" s="11">
        <f t="shared" si="18"/>
        <v>2041</v>
      </c>
      <c r="AE71" s="19">
        <f>ROUND((Z71*'Data-CostAssumptions'!$G$5)*(1+'Data-CostAssumptions'!$G$3)^(AB71-'Data-CostAssumptions'!$G$4),-3)</f>
        <v>5641000</v>
      </c>
      <c r="AF71" s="19">
        <f>ROUND((Z71)*(1+'Data-CostAssumptions'!$G$3)^(AD71-'Data-CostAssumptions'!$G$4),-3)</f>
        <v>25639000</v>
      </c>
      <c r="AG71" s="170" t="str">
        <f t="shared" si="19"/>
        <v>No</v>
      </c>
      <c r="AH71" s="19">
        <f t="shared" si="20"/>
        <v>0</v>
      </c>
      <c r="AI71" s="19">
        <f t="shared" si="21"/>
        <v>0</v>
      </c>
      <c r="AJ71" s="19">
        <f t="shared" si="22"/>
        <v>0</v>
      </c>
      <c r="AK71" s="19">
        <f t="shared" si="23"/>
        <v>0</v>
      </c>
      <c r="AL71" s="19">
        <f>IF(AB71&gt;2040,Z71+Z71*'Data-CostAssumptions'!$G$5,0)</f>
        <v>12200000</v>
      </c>
    </row>
    <row r="72" spans="1:38" ht="15" customHeight="1" x14ac:dyDescent="0.2">
      <c r="A72" s="11" t="s">
        <v>1042</v>
      </c>
      <c r="B72" s="11" t="s">
        <v>1211</v>
      </c>
      <c r="C72" s="11">
        <v>13149</v>
      </c>
      <c r="D72" s="84" t="s">
        <v>1732</v>
      </c>
      <c r="E72" s="14"/>
      <c r="F72" s="14"/>
      <c r="G72" s="20">
        <v>1257</v>
      </c>
      <c r="H72" s="13" t="s">
        <v>1047</v>
      </c>
      <c r="I72" s="13" t="str">
        <f t="shared" si="24"/>
        <v>Sawgrass Mall (@  Sawgrass Mills)</v>
      </c>
      <c r="J72" s="84" t="s">
        <v>347</v>
      </c>
      <c r="K72" s="13" t="str">
        <f>VLOOKUP(J72,'Data-ProjectTypes'!A$3:B$13,2,FALSE)</f>
        <v>Project</v>
      </c>
      <c r="L72" s="85" t="s">
        <v>1044</v>
      </c>
      <c r="M72" s="97" t="s">
        <v>2835</v>
      </c>
      <c r="N72" s="97" t="s">
        <v>411</v>
      </c>
      <c r="O72" s="84" t="s">
        <v>270</v>
      </c>
      <c r="P72" s="85" t="s">
        <v>270</v>
      </c>
      <c r="Q72" s="15"/>
      <c r="R72" s="16">
        <v>10000000</v>
      </c>
      <c r="V72" s="85" t="s">
        <v>662</v>
      </c>
      <c r="Y72" s="12"/>
      <c r="Z72" s="18">
        <f>ROUND(R72*'Data-CostAssumptions'!$C$10,-3)</f>
        <v>10000000</v>
      </c>
      <c r="AA72" s="11">
        <f t="shared" si="17"/>
        <v>1</v>
      </c>
      <c r="AB72" s="11">
        <v>2041</v>
      </c>
      <c r="AC72" s="11">
        <v>2041</v>
      </c>
      <c r="AD72" s="11">
        <f t="shared" si="18"/>
        <v>2041</v>
      </c>
      <c r="AE72" s="19">
        <f>ROUND((Z72*'Data-CostAssumptions'!$G$5)*(1+'Data-CostAssumptions'!$G$3)^(AB72-'Data-CostAssumptions'!$G$4),-3)</f>
        <v>5641000</v>
      </c>
      <c r="AF72" s="19">
        <f>ROUND((Z72)*(1+'Data-CostAssumptions'!$G$3)^(AD72-'Data-CostAssumptions'!$G$4),-3)</f>
        <v>25639000</v>
      </c>
      <c r="AG72" s="170" t="str">
        <f t="shared" si="19"/>
        <v>No</v>
      </c>
      <c r="AH72" s="19">
        <f t="shared" si="20"/>
        <v>0</v>
      </c>
      <c r="AI72" s="19">
        <f t="shared" si="21"/>
        <v>0</v>
      </c>
      <c r="AJ72" s="19">
        <f t="shared" si="22"/>
        <v>0</v>
      </c>
      <c r="AK72" s="19">
        <f t="shared" si="23"/>
        <v>0</v>
      </c>
      <c r="AL72" s="19">
        <f>IF(AB72&gt;2040,Z72+Z72*'Data-CostAssumptions'!$G$5,0)</f>
        <v>12200000</v>
      </c>
    </row>
    <row r="73" spans="1:38" ht="15" customHeight="1" x14ac:dyDescent="0.2">
      <c r="B73" s="11" t="s">
        <v>1211</v>
      </c>
      <c r="C73" s="11">
        <v>12817</v>
      </c>
      <c r="D73" s="84" t="s">
        <v>365</v>
      </c>
      <c r="E73" s="14"/>
      <c r="F73" s="14"/>
      <c r="G73" s="20">
        <v>1072</v>
      </c>
      <c r="H73" s="13" t="s">
        <v>874</v>
      </c>
      <c r="I73" s="13" t="str">
        <f t="shared" si="24"/>
        <v>Maintenace/Operations Facility ( to )</v>
      </c>
      <c r="J73" s="84" t="s">
        <v>347</v>
      </c>
      <c r="K73" s="13" t="str">
        <f>VLOOKUP(J73,'Data-ProjectTypes'!A$3:B$13,2,FALSE)</f>
        <v>Project</v>
      </c>
      <c r="L73" s="85" t="s">
        <v>875</v>
      </c>
      <c r="O73" s="84" t="s">
        <v>365</v>
      </c>
      <c r="P73" s="85" t="s">
        <v>365</v>
      </c>
      <c r="Q73" s="15"/>
      <c r="R73" s="23">
        <v>273000000</v>
      </c>
      <c r="V73" s="85" t="s">
        <v>662</v>
      </c>
      <c r="Y73" s="12"/>
      <c r="Z73" s="18">
        <f>ROUND(R73*'Data-CostAssumptions'!$C$10,-3)</f>
        <v>273000000</v>
      </c>
      <c r="AA73" s="11">
        <f t="shared" si="17"/>
        <v>1</v>
      </c>
      <c r="AB73" s="11">
        <v>2041</v>
      </c>
      <c r="AC73" s="11">
        <v>2041</v>
      </c>
      <c r="AD73" s="11">
        <f t="shared" si="18"/>
        <v>2041</v>
      </c>
      <c r="AE73" s="19">
        <f>ROUND((Z73*'Data-CostAssumptions'!$G$5)*(1+'Data-CostAssumptions'!$G$3)^(AB73-'Data-CostAssumptions'!$G$4),-3)</f>
        <v>153991000</v>
      </c>
      <c r="AF73" s="19">
        <f>ROUND((Z73)*(1+'Data-CostAssumptions'!$G$3)^(AD73-'Data-CostAssumptions'!$G$4),-3)</f>
        <v>699958000</v>
      </c>
      <c r="AG73" s="170" t="str">
        <f t="shared" si="19"/>
        <v>No</v>
      </c>
      <c r="AH73" s="19">
        <f t="shared" si="20"/>
        <v>0</v>
      </c>
      <c r="AI73" s="19">
        <f t="shared" si="21"/>
        <v>0</v>
      </c>
      <c r="AJ73" s="19">
        <f t="shared" si="22"/>
        <v>0</v>
      </c>
      <c r="AK73" s="19">
        <f t="shared" si="23"/>
        <v>0</v>
      </c>
      <c r="AL73" s="19">
        <f>IF(AB73&gt;2040,Z73+Z73*'Data-CostAssumptions'!$G$5,0)</f>
        <v>333060000</v>
      </c>
    </row>
    <row r="74" spans="1:38" ht="15" customHeight="1" x14ac:dyDescent="0.2">
      <c r="B74" s="11" t="s">
        <v>1211</v>
      </c>
      <c r="C74" s="11">
        <v>12208</v>
      </c>
      <c r="D74" s="13" t="s">
        <v>297</v>
      </c>
      <c r="E74" s="14"/>
      <c r="F74" s="14"/>
      <c r="G74" s="20">
        <v>1739</v>
      </c>
      <c r="H74" s="13" t="s">
        <v>519</v>
      </c>
      <c r="I74" s="13" t="str">
        <f t="shared" si="24"/>
        <v>Passenger Rail Station Parking Garage ( to )</v>
      </c>
      <c r="J74" s="11" t="s">
        <v>347</v>
      </c>
      <c r="K74" s="13" t="str">
        <f>VLOOKUP(J74,'Data-ProjectTypes'!A$3:B$13,2,FALSE)</f>
        <v>Project</v>
      </c>
      <c r="L74" s="11" t="s">
        <v>525</v>
      </c>
      <c r="O74" s="13"/>
      <c r="P74" s="13"/>
      <c r="Q74" s="15"/>
      <c r="R74" s="16">
        <v>11200000</v>
      </c>
      <c r="S74" s="12"/>
      <c r="T74" s="12"/>
      <c r="U74" s="12"/>
      <c r="V74" s="12"/>
      <c r="W74" s="12"/>
      <c r="X74" s="12"/>
      <c r="Y74" s="12"/>
      <c r="Z74" s="18">
        <f>ROUND(R74*'Data-CostAssumptions'!$C$8,-3)</f>
        <v>11200000</v>
      </c>
      <c r="AA74" s="11">
        <f t="shared" si="17"/>
        <v>0</v>
      </c>
      <c r="AB74" s="11">
        <v>2041</v>
      </c>
      <c r="AC74" s="11">
        <v>2041</v>
      </c>
      <c r="AD74" s="11">
        <f t="shared" si="18"/>
        <v>2041</v>
      </c>
      <c r="AE74" s="19">
        <f>ROUND((Z74*'Data-CostAssumptions'!$G$5)*(1+'Data-CostAssumptions'!$G$3)^(AB74-'Data-CostAssumptions'!$G$4),-3)</f>
        <v>6318000</v>
      </c>
      <c r="AF74" s="19">
        <f>ROUND((Z74)*(1+'Data-CostAssumptions'!$G$3)^(AD74-'Data-CostAssumptions'!$G$4),-3)</f>
        <v>28716000</v>
      </c>
      <c r="AG74" s="170" t="str">
        <f t="shared" si="19"/>
        <v>No</v>
      </c>
      <c r="AH74" s="19">
        <f t="shared" si="20"/>
        <v>0</v>
      </c>
      <c r="AI74" s="19">
        <f t="shared" si="21"/>
        <v>0</v>
      </c>
      <c r="AJ74" s="19">
        <f t="shared" si="22"/>
        <v>0</v>
      </c>
      <c r="AK74" s="19">
        <f t="shared" si="23"/>
        <v>0</v>
      </c>
      <c r="AL74" s="19">
        <f>IF(AB74&gt;2040,Z74+Z74*'Data-CostAssumptions'!$G$5,0)</f>
        <v>13664000</v>
      </c>
    </row>
    <row r="75" spans="1:38" ht="15" customHeight="1" x14ac:dyDescent="0.2">
      <c r="B75" s="11" t="s">
        <v>1211</v>
      </c>
      <c r="C75" s="11">
        <v>12504</v>
      </c>
      <c r="D75" s="13" t="s">
        <v>287</v>
      </c>
      <c r="E75" s="14"/>
      <c r="F75" s="14"/>
      <c r="G75" s="20">
        <v>1820</v>
      </c>
      <c r="H75" s="13" t="s">
        <v>722</v>
      </c>
      <c r="I75" s="13" t="str">
        <f t="shared" si="24"/>
        <v>Downtown Parking Garage (Dixie Hwy to OPB)</v>
      </c>
      <c r="J75" s="11" t="s">
        <v>347</v>
      </c>
      <c r="K75" s="13" t="str">
        <f>VLOOKUP(J75,'Data-ProjectTypes'!A$3:B$13,2,FALSE)</f>
        <v>Project</v>
      </c>
      <c r="L75" s="11" t="s">
        <v>723</v>
      </c>
      <c r="M75" s="11" t="s">
        <v>728</v>
      </c>
      <c r="N75" s="11" t="s">
        <v>726</v>
      </c>
      <c r="O75" s="13"/>
      <c r="P75" s="13"/>
      <c r="Q75" s="15">
        <v>0</v>
      </c>
      <c r="R75" s="16">
        <v>5500000</v>
      </c>
      <c r="S75" s="12"/>
      <c r="T75" s="12"/>
      <c r="U75" s="12"/>
      <c r="V75" s="12"/>
      <c r="W75" s="12"/>
      <c r="X75" s="12"/>
      <c r="Y75" s="12"/>
      <c r="Z75" s="18">
        <f>ROUND(R75*'Data-CostAssumptions'!$C$8,-3)</f>
        <v>5500000</v>
      </c>
      <c r="AA75" s="11">
        <f t="shared" si="17"/>
        <v>0</v>
      </c>
      <c r="AB75" s="11">
        <v>2041</v>
      </c>
      <c r="AC75" s="11">
        <v>2041</v>
      </c>
      <c r="AD75" s="11">
        <f t="shared" si="18"/>
        <v>2041</v>
      </c>
      <c r="AE75" s="19">
        <f>ROUND((Z75*'Data-CostAssumptions'!$G$5)*(1+'Data-CostAssumptions'!$G$3)^(AB75-'Data-CostAssumptions'!$G$4),-3)</f>
        <v>3102000</v>
      </c>
      <c r="AF75" s="19">
        <f>ROUND((Z75)*(1+'Data-CostAssumptions'!$G$3)^(AD75-'Data-CostAssumptions'!$G$4),-3)</f>
        <v>14102000</v>
      </c>
      <c r="AG75" s="170" t="str">
        <f t="shared" si="19"/>
        <v>No</v>
      </c>
      <c r="AH75" s="19">
        <f t="shared" si="20"/>
        <v>0</v>
      </c>
      <c r="AI75" s="19">
        <f t="shared" si="21"/>
        <v>0</v>
      </c>
      <c r="AJ75" s="19">
        <f t="shared" si="22"/>
        <v>0</v>
      </c>
      <c r="AK75" s="19">
        <f t="shared" si="23"/>
        <v>0</v>
      </c>
      <c r="AL75" s="19">
        <f>IF(AB75&gt;2040,Z75+Z75*'Data-CostAssumptions'!$G$5,0)</f>
        <v>6710000</v>
      </c>
    </row>
    <row r="76" spans="1:38" ht="15" customHeight="1" x14ac:dyDescent="0.2">
      <c r="A76" s="11">
        <v>4335111</v>
      </c>
      <c r="B76" s="11" t="s">
        <v>1211</v>
      </c>
      <c r="C76" s="11">
        <v>13055</v>
      </c>
      <c r="D76" s="13" t="s">
        <v>1732</v>
      </c>
      <c r="E76" s="14"/>
      <c r="F76" s="14"/>
      <c r="G76" s="20">
        <v>1256</v>
      </c>
      <c r="H76" s="13" t="s">
        <v>3010</v>
      </c>
      <c r="I76" s="13" t="str">
        <f t="shared" si="24"/>
        <v>NE 203 ST &amp; NE 215ST INTERSECTION IMPROVMTS (SR5/US 1 to W. Dixie Hwy)</v>
      </c>
      <c r="J76" s="11" t="s">
        <v>347</v>
      </c>
      <c r="K76" s="13" t="str">
        <f>VLOOKUP(J76,'Data-ProjectTypes'!A$3:B$13,2,FALSE)</f>
        <v>Project</v>
      </c>
      <c r="L76" s="11" t="s">
        <v>904</v>
      </c>
      <c r="M76" s="11" t="s">
        <v>2812</v>
      </c>
      <c r="N76" s="11" t="s">
        <v>3011</v>
      </c>
      <c r="O76" s="13" t="s">
        <v>270</v>
      </c>
      <c r="P76" s="13" t="s">
        <v>270</v>
      </c>
      <c r="Q76" s="15"/>
      <c r="R76" s="16"/>
      <c r="S76" s="12"/>
      <c r="T76" s="12"/>
      <c r="U76" s="12"/>
      <c r="V76" s="12" t="s">
        <v>662</v>
      </c>
      <c r="W76" s="12"/>
      <c r="X76" s="12"/>
      <c r="Y76" s="12"/>
      <c r="Z76" s="18">
        <f>ROUND(R76*'Data-CostAssumptions'!$C$10,-3)</f>
        <v>0</v>
      </c>
      <c r="AA76" s="11">
        <f t="shared" si="17"/>
        <v>1</v>
      </c>
      <c r="AB76" s="11">
        <v>2041</v>
      </c>
      <c r="AC76" s="11">
        <v>2041</v>
      </c>
      <c r="AD76" s="11">
        <f t="shared" si="18"/>
        <v>2041</v>
      </c>
      <c r="AE76" s="19">
        <f>ROUND((Z76*'Data-CostAssumptions'!$G$5)*(1+'Data-CostAssumptions'!$G$3)^(AB76-'Data-CostAssumptions'!$G$4),-3)</f>
        <v>0</v>
      </c>
      <c r="AF76" s="19">
        <f>ROUND((Z76)*(1+'Data-CostAssumptions'!$G$3)^(AD76-'Data-CostAssumptions'!$G$4),-3)</f>
        <v>0</v>
      </c>
      <c r="AG76" s="170" t="str">
        <f t="shared" si="19"/>
        <v>No</v>
      </c>
      <c r="AH76" s="19">
        <f t="shared" si="20"/>
        <v>0</v>
      </c>
      <c r="AI76" s="19">
        <f t="shared" si="21"/>
        <v>0</v>
      </c>
      <c r="AJ76" s="19">
        <f t="shared" si="22"/>
        <v>0</v>
      </c>
      <c r="AK76" s="19">
        <f t="shared" si="23"/>
        <v>0</v>
      </c>
      <c r="AL76" s="19">
        <f>IF(AB76&gt;2040,Z76+Z76*'Data-CostAssumptions'!$G$5,0)</f>
        <v>0</v>
      </c>
    </row>
    <row r="77" spans="1:38" ht="15" customHeight="1" x14ac:dyDescent="0.2">
      <c r="B77" s="11" t="s">
        <v>1213</v>
      </c>
      <c r="C77" s="259">
        <v>10186</v>
      </c>
      <c r="D77" s="260" t="s">
        <v>420</v>
      </c>
      <c r="E77" s="261"/>
      <c r="F77" s="261">
        <v>137</v>
      </c>
      <c r="G77" s="262">
        <v>1018</v>
      </c>
      <c r="H77" s="260" t="s">
        <v>2793</v>
      </c>
      <c r="I77" s="260" t="str">
        <f t="shared" si="24"/>
        <v>SR 834/Sample Rd ( to )</v>
      </c>
      <c r="J77" s="259" t="s">
        <v>347</v>
      </c>
      <c r="K77" s="260" t="str">
        <f>VLOOKUP(J77,'Data-ProjectTypes'!A$3:B$13,2,FALSE)</f>
        <v>Project</v>
      </c>
      <c r="L77" s="259" t="s">
        <v>405</v>
      </c>
      <c r="M77" s="259"/>
      <c r="N77" s="259"/>
      <c r="O77" s="260" t="s">
        <v>365</v>
      </c>
      <c r="P77" s="260" t="s">
        <v>365</v>
      </c>
      <c r="Q77" s="263"/>
      <c r="R77" s="264">
        <v>211153600</v>
      </c>
      <c r="S77" s="265"/>
      <c r="T77" s="265"/>
      <c r="U77" s="265"/>
      <c r="V77" s="265"/>
      <c r="W77" s="265"/>
      <c r="X77" s="265"/>
      <c r="Y77" s="265"/>
      <c r="Z77" s="266">
        <f>ROUND(R77*'Data-CostAssumptions'!$C$8,-3)</f>
        <v>211154000</v>
      </c>
      <c r="AA77" s="11">
        <f t="shared" si="17"/>
        <v>0</v>
      </c>
      <c r="AB77" s="11">
        <v>2041</v>
      </c>
      <c r="AC77" s="11">
        <v>2041</v>
      </c>
      <c r="AD77" s="11">
        <f t="shared" si="18"/>
        <v>2041</v>
      </c>
      <c r="AE77" s="19">
        <f>ROUND((Z77*'Data-CostAssumptions'!$G$5)*(1+'Data-CostAssumptions'!$G$3)^(AB77-'Data-CostAssumptions'!$G$4),-3)</f>
        <v>119105000</v>
      </c>
      <c r="AF77" s="19">
        <f>ROUND((Z77)*(1+'Data-CostAssumptions'!$G$3)^(AD77-'Data-CostAssumptions'!$G$4),-3)</f>
        <v>541388000</v>
      </c>
      <c r="AG77" s="170" t="str">
        <f t="shared" si="19"/>
        <v>No</v>
      </c>
      <c r="AH77" s="19">
        <f t="shared" si="20"/>
        <v>0</v>
      </c>
      <c r="AI77" s="19">
        <f t="shared" si="21"/>
        <v>0</v>
      </c>
      <c r="AJ77" s="19">
        <f t="shared" si="22"/>
        <v>0</v>
      </c>
      <c r="AK77" s="19">
        <f t="shared" si="23"/>
        <v>0</v>
      </c>
      <c r="AL77" s="19">
        <f>IF(AB77&gt;2040,Z77+Z77*'Data-CostAssumptions'!$G$5,0)</f>
        <v>257607880</v>
      </c>
    </row>
    <row r="78" spans="1:38" ht="15" customHeight="1" x14ac:dyDescent="0.2">
      <c r="B78" s="11" t="s">
        <v>1213</v>
      </c>
      <c r="C78" s="259">
        <v>10182</v>
      </c>
      <c r="D78" s="260" t="s">
        <v>420</v>
      </c>
      <c r="E78" s="261"/>
      <c r="F78" s="261">
        <v>137</v>
      </c>
      <c r="G78" s="262">
        <v>1025</v>
      </c>
      <c r="H78" s="260" t="s">
        <v>2728</v>
      </c>
      <c r="I78" s="260" t="str">
        <f t="shared" si="24"/>
        <v>SR 838/Sunrise Bl ( to )</v>
      </c>
      <c r="J78" s="259" t="s">
        <v>347</v>
      </c>
      <c r="K78" s="260" t="str">
        <f>VLOOKUP(J78,'Data-ProjectTypes'!A$3:B$13,2,FALSE)</f>
        <v>Project</v>
      </c>
      <c r="L78" s="259" t="s">
        <v>405</v>
      </c>
      <c r="M78" s="259"/>
      <c r="N78" s="259"/>
      <c r="O78" s="260" t="s">
        <v>365</v>
      </c>
      <c r="P78" s="260" t="s">
        <v>365</v>
      </c>
      <c r="Q78" s="263"/>
      <c r="R78" s="264">
        <v>259210000</v>
      </c>
      <c r="S78" s="265"/>
      <c r="T78" s="265"/>
      <c r="U78" s="265"/>
      <c r="V78" s="265"/>
      <c r="W78" s="265"/>
      <c r="X78" s="265"/>
      <c r="Y78" s="265"/>
      <c r="Z78" s="266">
        <f>ROUND(R78*'Data-CostAssumptions'!$C$8,-3)</f>
        <v>259210000</v>
      </c>
      <c r="AA78" s="11">
        <f t="shared" si="17"/>
        <v>0</v>
      </c>
      <c r="AB78" s="11">
        <v>2041</v>
      </c>
      <c r="AC78" s="11">
        <v>2041</v>
      </c>
      <c r="AD78" s="11">
        <f t="shared" si="18"/>
        <v>2041</v>
      </c>
      <c r="AE78" s="19">
        <f>ROUND((Z78*'Data-CostAssumptions'!$G$5)*(1+'Data-CostAssumptions'!$G$3)^(AB78-'Data-CostAssumptions'!$G$4),-3)</f>
        <v>146212000</v>
      </c>
      <c r="AF78" s="19">
        <f>ROUND((Z78)*(1+'Data-CostAssumptions'!$G$3)^(AD78-'Data-CostAssumptions'!$G$4),-3)</f>
        <v>664601000</v>
      </c>
      <c r="AG78" s="170" t="str">
        <f t="shared" si="19"/>
        <v>No</v>
      </c>
      <c r="AH78" s="19">
        <f t="shared" si="20"/>
        <v>0</v>
      </c>
      <c r="AI78" s="19">
        <f t="shared" si="21"/>
        <v>0</v>
      </c>
      <c r="AJ78" s="19">
        <f t="shared" si="22"/>
        <v>0</v>
      </c>
      <c r="AK78" s="19">
        <f t="shared" si="23"/>
        <v>0</v>
      </c>
      <c r="AL78" s="19">
        <f>IF(AB78&gt;2040,Z78+Z78*'Data-CostAssumptions'!$G$5,0)</f>
        <v>316236200</v>
      </c>
    </row>
    <row r="79" spans="1:38" ht="15" customHeight="1" x14ac:dyDescent="0.2">
      <c r="B79" s="11" t="s">
        <v>1211</v>
      </c>
      <c r="C79" s="11">
        <v>10187</v>
      </c>
      <c r="D79" s="13" t="s">
        <v>420</v>
      </c>
      <c r="E79" s="14"/>
      <c r="F79" s="14">
        <v>137</v>
      </c>
      <c r="G79" s="20">
        <v>1034</v>
      </c>
      <c r="H79" s="13" t="s">
        <v>2798</v>
      </c>
      <c r="I79" s="13" t="str">
        <f t="shared" si="24"/>
        <v>SR 842/Broward Bl (State Rd 7 to downtown Fort Lauderdale)</v>
      </c>
      <c r="J79" s="11" t="s">
        <v>347</v>
      </c>
      <c r="K79" s="13" t="str">
        <f>VLOOKUP(J79,'Data-ProjectTypes'!A$3:B$13,2,FALSE)</f>
        <v>Project</v>
      </c>
      <c r="L79" s="11" t="s">
        <v>405</v>
      </c>
      <c r="M79" s="11" t="s">
        <v>1772</v>
      </c>
      <c r="N79" s="11" t="s">
        <v>410</v>
      </c>
      <c r="O79" s="13" t="s">
        <v>365</v>
      </c>
      <c r="P79" s="13" t="s">
        <v>365</v>
      </c>
      <c r="Q79" s="15"/>
      <c r="R79" s="16">
        <v>97375900</v>
      </c>
      <c r="V79" s="85" t="s">
        <v>534</v>
      </c>
      <c r="Y79" s="12"/>
      <c r="Z79" s="18">
        <f>ROUND(R79*'Data-CostAssumptions'!$C$9,-3)</f>
        <v>97376000</v>
      </c>
      <c r="AA79" s="11">
        <f t="shared" si="17"/>
        <v>1</v>
      </c>
      <c r="AB79" s="11">
        <v>2041</v>
      </c>
      <c r="AC79" s="11">
        <v>2041</v>
      </c>
      <c r="AD79" s="11">
        <f t="shared" si="18"/>
        <v>2041</v>
      </c>
      <c r="AE79" s="19">
        <f>ROUND((Z79*'Data-CostAssumptions'!$G$5)*(1+'Data-CostAssumptions'!$G$3)^(AB79-'Data-CostAssumptions'!$G$4),-3)</f>
        <v>54927000</v>
      </c>
      <c r="AF79" s="19">
        <f>ROUND((Z79)*(1+'Data-CostAssumptions'!$G$3)^(AD79-'Data-CostAssumptions'!$G$4),-3)</f>
        <v>249667000</v>
      </c>
      <c r="AG79" s="170" t="str">
        <f t="shared" si="19"/>
        <v>No</v>
      </c>
      <c r="AH79" s="19">
        <f t="shared" si="20"/>
        <v>0</v>
      </c>
      <c r="AI79" s="19">
        <f t="shared" si="21"/>
        <v>0</v>
      </c>
      <c r="AJ79" s="19">
        <f t="shared" si="22"/>
        <v>0</v>
      </c>
      <c r="AK79" s="19">
        <f t="shared" si="23"/>
        <v>0</v>
      </c>
      <c r="AL79" s="19">
        <f>IF(AB79&gt;2040,Z79+Z79*'Data-CostAssumptions'!$G$5,0)</f>
        <v>118798720</v>
      </c>
    </row>
    <row r="80" spans="1:38" ht="15" customHeight="1" x14ac:dyDescent="0.2">
      <c r="B80" s="259" t="s">
        <v>1213</v>
      </c>
      <c r="C80" s="259">
        <v>10180</v>
      </c>
      <c r="D80" s="260" t="s">
        <v>420</v>
      </c>
      <c r="E80" s="261"/>
      <c r="F80" s="261">
        <v>137</v>
      </c>
      <c r="G80" s="262">
        <v>968</v>
      </c>
      <c r="H80" s="260" t="s">
        <v>2209</v>
      </c>
      <c r="I80" s="260" t="str">
        <f t="shared" si="24"/>
        <v>SR 5/ US 1 ( to )</v>
      </c>
      <c r="J80" s="259" t="s">
        <v>347</v>
      </c>
      <c r="K80" s="260" t="str">
        <f>VLOOKUP(J80,'Data-ProjectTypes'!A$3:B$13,2,FALSE)</f>
        <v>Project</v>
      </c>
      <c r="L80" s="259" t="s">
        <v>404</v>
      </c>
      <c r="M80" s="259"/>
      <c r="N80" s="259"/>
      <c r="O80" s="260" t="s">
        <v>365</v>
      </c>
      <c r="P80" s="260" t="s">
        <v>365</v>
      </c>
      <c r="Q80" s="263"/>
      <c r="R80" s="267">
        <v>71960000</v>
      </c>
      <c r="S80" s="265"/>
      <c r="T80" s="265"/>
      <c r="U80" s="265"/>
      <c r="V80" s="265"/>
      <c r="W80" s="265"/>
      <c r="X80" s="265"/>
      <c r="Y80" s="265"/>
      <c r="Z80" s="266">
        <f>ROUND(R80*'Data-CostAssumptions'!$C$8,-3)</f>
        <v>71960000</v>
      </c>
      <c r="AA80" s="11">
        <f t="shared" si="17"/>
        <v>0</v>
      </c>
      <c r="AB80" s="11">
        <v>2041</v>
      </c>
      <c r="AC80" s="11">
        <v>2041</v>
      </c>
      <c r="AD80" s="11">
        <f t="shared" si="18"/>
        <v>2041</v>
      </c>
      <c r="AE80" s="19">
        <f>ROUND((Z80*'Data-CostAssumptions'!$G$5)*(1+'Data-CostAssumptions'!$G$3)^(AB80-'Data-CostAssumptions'!$G$4),-3)</f>
        <v>40590000</v>
      </c>
      <c r="AF80" s="19">
        <f>ROUND((Z80)*(1+'Data-CostAssumptions'!$G$3)^(AD80-'Data-CostAssumptions'!$G$4),-3)</f>
        <v>184502000</v>
      </c>
      <c r="AG80" s="170" t="str">
        <f t="shared" si="19"/>
        <v>No</v>
      </c>
      <c r="AH80" s="19">
        <f t="shared" si="20"/>
        <v>0</v>
      </c>
      <c r="AI80" s="19">
        <f t="shared" si="21"/>
        <v>0</v>
      </c>
      <c r="AJ80" s="19">
        <f t="shared" si="22"/>
        <v>0</v>
      </c>
      <c r="AK80" s="19">
        <f t="shared" si="23"/>
        <v>0</v>
      </c>
      <c r="AL80" s="19">
        <f>IF(AB80&gt;2040,Z80+Z80*'Data-CostAssumptions'!$G$5,0)</f>
        <v>87791200</v>
      </c>
    </row>
    <row r="81" spans="1:38" ht="15" customHeight="1" x14ac:dyDescent="0.2">
      <c r="B81" s="11" t="s">
        <v>1211</v>
      </c>
      <c r="C81" s="13">
        <v>10005</v>
      </c>
      <c r="D81" s="13" t="s">
        <v>420</v>
      </c>
      <c r="E81" s="20" t="s">
        <v>298</v>
      </c>
      <c r="F81" s="20">
        <v>137</v>
      </c>
      <c r="G81" s="20">
        <v>970</v>
      </c>
      <c r="H81" s="13" t="s">
        <v>57</v>
      </c>
      <c r="I81" s="13" t="str">
        <f t="shared" si="24"/>
        <v>SR 7/US 441 ( to )</v>
      </c>
      <c r="J81" s="13" t="s">
        <v>347</v>
      </c>
      <c r="K81" s="13" t="str">
        <f>VLOOKUP(J81,'Data-ProjectTypes'!A$3:B$13,2,FALSE)</f>
        <v>Project</v>
      </c>
      <c r="L81" s="11" t="s">
        <v>404</v>
      </c>
      <c r="M81" s="13"/>
      <c r="N81" s="13"/>
      <c r="O81" s="13" t="s">
        <v>365</v>
      </c>
      <c r="P81" s="13" t="s">
        <v>365</v>
      </c>
      <c r="Q81" s="22">
        <v>24.9</v>
      </c>
      <c r="R81" s="23">
        <v>150000000</v>
      </c>
      <c r="S81" s="12"/>
      <c r="T81" s="12"/>
      <c r="U81" s="12"/>
      <c r="V81" s="12"/>
      <c r="W81" s="12"/>
      <c r="X81" s="12"/>
      <c r="Y81" s="12"/>
      <c r="Z81" s="18">
        <f>ROUND(R81*'Data-CostAssumptions'!$C$8,-3)</f>
        <v>150000000</v>
      </c>
      <c r="AA81" s="11">
        <f t="shared" si="17"/>
        <v>0</v>
      </c>
      <c r="AB81" s="11">
        <v>2035</v>
      </c>
      <c r="AC81" s="11">
        <v>2035</v>
      </c>
      <c r="AD81" s="11">
        <f t="shared" si="18"/>
        <v>2035</v>
      </c>
      <c r="AE81" s="19">
        <f>ROUND((Z81*'Data-CostAssumptions'!$G$5)*(1+'Data-CostAssumptions'!$G$3)^(AB81-'Data-CostAssumptions'!$G$4),-3)</f>
        <v>69634000</v>
      </c>
      <c r="AF81" s="19">
        <f>ROUND((Z81)*(1+'Data-CostAssumptions'!$G$3)^(AD81-'Data-CostAssumptions'!$G$4),-3)</f>
        <v>316518000</v>
      </c>
      <c r="AG81" s="170" t="str">
        <f t="shared" si="19"/>
        <v>Yes</v>
      </c>
      <c r="AH81" s="19">
        <f t="shared" si="20"/>
        <v>0</v>
      </c>
      <c r="AI81" s="19">
        <f t="shared" si="21"/>
        <v>0</v>
      </c>
      <c r="AJ81" s="19">
        <f t="shared" si="22"/>
        <v>0</v>
      </c>
      <c r="AK81" s="19">
        <f t="shared" si="23"/>
        <v>386152000</v>
      </c>
      <c r="AL81" s="19">
        <f>IF(AB81&gt;2040,Z81+Z81*'Data-CostAssumptions'!$G$5,0)</f>
        <v>0</v>
      </c>
    </row>
    <row r="82" spans="1:38" ht="15" customHeight="1" x14ac:dyDescent="0.2">
      <c r="B82" s="11" t="s">
        <v>1211</v>
      </c>
      <c r="C82" s="11">
        <v>10181</v>
      </c>
      <c r="D82" s="13" t="s">
        <v>420</v>
      </c>
      <c r="E82" s="14"/>
      <c r="F82" s="14">
        <v>137</v>
      </c>
      <c r="G82" s="20">
        <v>983</v>
      </c>
      <c r="H82" s="13" t="s">
        <v>2710</v>
      </c>
      <c r="I82" s="13" t="str">
        <f t="shared" si="24"/>
        <v>SR 816/Oakland Park Bl ( to )</v>
      </c>
      <c r="J82" s="11" t="s">
        <v>347</v>
      </c>
      <c r="K82" s="13" t="str">
        <f>VLOOKUP(J82,'Data-ProjectTypes'!A$3:B$13,2,FALSE)</f>
        <v>Project</v>
      </c>
      <c r="L82" s="11" t="s">
        <v>404</v>
      </c>
      <c r="O82" s="13" t="s">
        <v>365</v>
      </c>
      <c r="P82" s="13" t="s">
        <v>365</v>
      </c>
      <c r="Q82" s="15"/>
      <c r="R82" s="16">
        <v>81300000</v>
      </c>
      <c r="S82" s="12"/>
      <c r="T82" s="12"/>
      <c r="U82" s="12"/>
      <c r="V82" s="12"/>
      <c r="W82" s="12"/>
      <c r="X82" s="12"/>
      <c r="Y82" s="12" t="s">
        <v>3154</v>
      </c>
      <c r="Z82" s="18">
        <f>+R82</f>
        <v>81300000</v>
      </c>
      <c r="AA82" s="11">
        <f t="shared" si="17"/>
        <v>0</v>
      </c>
      <c r="AB82" s="11">
        <v>2019</v>
      </c>
      <c r="AC82" s="11">
        <v>2023</v>
      </c>
      <c r="AD82" s="11">
        <f t="shared" si="18"/>
        <v>2023</v>
      </c>
      <c r="AE82" s="19">
        <f>ROUND((Z82*'Data-CostAssumptions'!$G$5)*(1+'Data-CostAssumptions'!$G$3)^(AB82-'Data-CostAssumptions'!$G$4),-3)</f>
        <v>22450000</v>
      </c>
      <c r="AF82" s="19">
        <f>ROUND((Z82)*(1+'Data-CostAssumptions'!$G$3)^(AD82-'Data-CostAssumptions'!$G$4),-3)</f>
        <v>116197000</v>
      </c>
      <c r="AG82" s="170" t="str">
        <f t="shared" si="19"/>
        <v>Yes</v>
      </c>
      <c r="AH82" s="19">
        <f t="shared" si="20"/>
        <v>22450000</v>
      </c>
      <c r="AI82" s="19">
        <f t="shared" si="21"/>
        <v>116197000</v>
      </c>
      <c r="AJ82" s="19">
        <f t="shared" si="22"/>
        <v>0</v>
      </c>
      <c r="AK82" s="19">
        <f t="shared" si="23"/>
        <v>0</v>
      </c>
      <c r="AL82" s="19">
        <f>IF(AB82&gt;2040,Z82+Z82*'Data-CostAssumptions'!$G$5,0)</f>
        <v>0</v>
      </c>
    </row>
    <row r="83" spans="1:38" ht="15" customHeight="1" x14ac:dyDescent="0.2">
      <c r="B83" s="11" t="s">
        <v>1211</v>
      </c>
      <c r="C83" s="11">
        <v>10188</v>
      </c>
      <c r="D83" s="13" t="s">
        <v>420</v>
      </c>
      <c r="E83" s="14"/>
      <c r="F83" s="14">
        <v>137</v>
      </c>
      <c r="G83" s="20">
        <v>984</v>
      </c>
      <c r="H83" s="13" t="s">
        <v>2710</v>
      </c>
      <c r="I83" s="13" t="str">
        <f t="shared" si="24"/>
        <v>SR 816/Oakland Park Bl (University Dr to Sawgrass Mills)</v>
      </c>
      <c r="J83" s="11" t="s">
        <v>347</v>
      </c>
      <c r="K83" s="13" t="str">
        <f>VLOOKUP(J83,'Data-ProjectTypes'!A$3:B$13,2,FALSE)</f>
        <v>Project</v>
      </c>
      <c r="L83" s="11" t="s">
        <v>404</v>
      </c>
      <c r="M83" s="11" t="s">
        <v>1804</v>
      </c>
      <c r="N83" s="11" t="s">
        <v>411</v>
      </c>
      <c r="O83" s="13" t="s">
        <v>365</v>
      </c>
      <c r="P83" s="13" t="s">
        <v>365</v>
      </c>
      <c r="Q83" s="15"/>
      <c r="R83" s="16">
        <v>14715000</v>
      </c>
      <c r="S83" s="12"/>
      <c r="T83" s="12"/>
      <c r="U83" s="12"/>
      <c r="V83" s="12"/>
      <c r="W83" s="12"/>
      <c r="X83" s="12"/>
      <c r="Y83" s="12"/>
      <c r="Z83" s="18">
        <f>ROUND(R83*'Data-CostAssumptions'!$C$8,-3)</f>
        <v>14715000</v>
      </c>
      <c r="AA83" s="11">
        <f t="shared" si="17"/>
        <v>0</v>
      </c>
      <c r="AB83" s="11">
        <v>2041</v>
      </c>
      <c r="AC83" s="11">
        <v>2041</v>
      </c>
      <c r="AD83" s="11">
        <f t="shared" si="18"/>
        <v>2041</v>
      </c>
      <c r="AE83" s="19">
        <f>ROUND((Z83*'Data-CostAssumptions'!$G$5)*(1+'Data-CostAssumptions'!$G$3)^(AB83-'Data-CostAssumptions'!$G$4),-3)</f>
        <v>8300000</v>
      </c>
      <c r="AF83" s="19">
        <f>ROUND((Z83)*(1+'Data-CostAssumptions'!$G$3)^(AD83-'Data-CostAssumptions'!$G$4),-3)</f>
        <v>37729000</v>
      </c>
      <c r="AG83" s="170" t="str">
        <f t="shared" si="19"/>
        <v>No</v>
      </c>
      <c r="AH83" s="19">
        <f t="shared" si="20"/>
        <v>0</v>
      </c>
      <c r="AI83" s="19">
        <f t="shared" si="21"/>
        <v>0</v>
      </c>
      <c r="AJ83" s="19">
        <f t="shared" si="22"/>
        <v>0</v>
      </c>
      <c r="AK83" s="19">
        <f t="shared" si="23"/>
        <v>0</v>
      </c>
      <c r="AL83" s="19">
        <f>IF(AB83&gt;2040,Z83+Z83*'Data-CostAssumptions'!$G$5,0)</f>
        <v>17952300</v>
      </c>
    </row>
    <row r="84" spans="1:38" ht="15" customHeight="1" x14ac:dyDescent="0.2">
      <c r="B84" s="11" t="s">
        <v>1211</v>
      </c>
      <c r="C84" s="11">
        <v>10179</v>
      </c>
      <c r="D84" s="13" t="s">
        <v>420</v>
      </c>
      <c r="E84" s="14"/>
      <c r="F84" s="14">
        <v>137</v>
      </c>
      <c r="G84" s="20">
        <v>991</v>
      </c>
      <c r="H84" s="13" t="s">
        <v>2709</v>
      </c>
      <c r="I84" s="13" t="str">
        <f t="shared" si="24"/>
        <v>SR 817/University Dr ( to )</v>
      </c>
      <c r="J84" s="11" t="s">
        <v>347</v>
      </c>
      <c r="K84" s="13" t="str">
        <f>VLOOKUP(J84,'Data-ProjectTypes'!A$3:B$13,2,FALSE)</f>
        <v>Project</v>
      </c>
      <c r="L84" s="11" t="s">
        <v>404</v>
      </c>
      <c r="O84" s="13" t="s">
        <v>365</v>
      </c>
      <c r="P84" s="13" t="s">
        <v>365</v>
      </c>
      <c r="Q84" s="15"/>
      <c r="R84" s="16">
        <v>85000000</v>
      </c>
      <c r="S84" s="12"/>
      <c r="T84" s="12"/>
      <c r="U84" s="12"/>
      <c r="V84" s="12"/>
      <c r="W84" s="12"/>
      <c r="X84" s="12"/>
      <c r="Y84" s="12"/>
      <c r="Z84" s="18">
        <f>ROUND(R84*'Data-CostAssumptions'!$C$8,-3)</f>
        <v>85000000</v>
      </c>
      <c r="AA84" s="11">
        <f t="shared" si="17"/>
        <v>0</v>
      </c>
      <c r="AB84" s="11">
        <v>2028</v>
      </c>
      <c r="AC84" s="11">
        <v>2028</v>
      </c>
      <c r="AD84" s="11">
        <f t="shared" si="18"/>
        <v>2028</v>
      </c>
      <c r="AE84" s="19">
        <f>ROUND((Z84*'Data-CostAssumptions'!$G$5)*(1+'Data-CostAssumptions'!$G$3)^(AB84-'Data-CostAssumptions'!$G$4),-3)</f>
        <v>31437000</v>
      </c>
      <c r="AF84" s="19">
        <f>ROUND((Z84)*(1+'Data-CostAssumptions'!$G$3)^(AD84-'Data-CostAssumptions'!$G$4),-3)</f>
        <v>142897000</v>
      </c>
      <c r="AG84" s="170" t="str">
        <f t="shared" si="19"/>
        <v>Yes</v>
      </c>
      <c r="AH84" s="19">
        <f t="shared" si="20"/>
        <v>0</v>
      </c>
      <c r="AI84" s="19">
        <f t="shared" si="21"/>
        <v>0</v>
      </c>
      <c r="AJ84" s="19">
        <f t="shared" si="22"/>
        <v>174334000</v>
      </c>
      <c r="AK84" s="19">
        <f t="shared" si="23"/>
        <v>0</v>
      </c>
      <c r="AL84" s="19">
        <f>IF(AB84&gt;2040,Z84+Z84*'Data-CostAssumptions'!$G$5,0)</f>
        <v>0</v>
      </c>
    </row>
    <row r="85" spans="1:38" ht="15" customHeight="1" x14ac:dyDescent="0.2">
      <c r="B85" s="11" t="s">
        <v>1211</v>
      </c>
      <c r="C85" s="11">
        <v>10183</v>
      </c>
      <c r="D85" s="13" t="s">
        <v>420</v>
      </c>
      <c r="E85" s="14"/>
      <c r="F85" s="14">
        <v>137</v>
      </c>
      <c r="G85" s="20">
        <v>1007</v>
      </c>
      <c r="H85" s="13" t="s">
        <v>2724</v>
      </c>
      <c r="I85" s="13" t="str">
        <f t="shared" si="24"/>
        <v>SR 820/Pines/Hollywood Bl ( to )</v>
      </c>
      <c r="J85" s="11" t="s">
        <v>347</v>
      </c>
      <c r="K85" s="13" t="str">
        <f>VLOOKUP(J85,'Data-ProjectTypes'!A$3:B$13,2,FALSE)</f>
        <v>Project</v>
      </c>
      <c r="L85" s="11" t="s">
        <v>404</v>
      </c>
      <c r="O85" s="13" t="s">
        <v>365</v>
      </c>
      <c r="P85" s="13" t="s">
        <v>365</v>
      </c>
      <c r="Q85" s="15"/>
      <c r="R85" s="16">
        <v>52000000</v>
      </c>
      <c r="S85" s="12"/>
      <c r="T85" s="12"/>
      <c r="U85" s="12"/>
      <c r="V85" s="12"/>
      <c r="W85" s="12"/>
      <c r="X85" s="12"/>
      <c r="Y85" s="12" t="s">
        <v>3153</v>
      </c>
      <c r="Z85" s="18">
        <v>50000000</v>
      </c>
      <c r="AA85" s="11">
        <f t="shared" si="17"/>
        <v>0</v>
      </c>
      <c r="AB85" s="11">
        <v>2019</v>
      </c>
      <c r="AC85" s="11">
        <v>2023</v>
      </c>
      <c r="AD85" s="11">
        <f t="shared" si="18"/>
        <v>2023</v>
      </c>
      <c r="AE85" s="19">
        <f>ROUND((Z85*'Data-CostAssumptions'!$G$5)*(1+'Data-CostAssumptions'!$G$3)^(AB85-'Data-CostAssumptions'!$G$4),-3)</f>
        <v>13807000</v>
      </c>
      <c r="AF85" s="19">
        <f>ROUND((Z85)*(1+'Data-CostAssumptions'!$G$3)^(AD85-'Data-CostAssumptions'!$G$4),-3)</f>
        <v>71462000</v>
      </c>
      <c r="AG85" s="170" t="str">
        <f t="shared" si="19"/>
        <v>Yes</v>
      </c>
      <c r="AH85" s="19">
        <f t="shared" si="20"/>
        <v>13807000</v>
      </c>
      <c r="AI85" s="19">
        <f t="shared" si="21"/>
        <v>71462000</v>
      </c>
      <c r="AJ85" s="19">
        <f t="shared" si="22"/>
        <v>0</v>
      </c>
      <c r="AK85" s="19">
        <f t="shared" si="23"/>
        <v>0</v>
      </c>
      <c r="AL85" s="19">
        <f>IF(AB85&gt;2040,Z85+Z85*'Data-CostAssumptions'!$G$5,0)</f>
        <v>0</v>
      </c>
    </row>
    <row r="86" spans="1:38" ht="15" customHeight="1" x14ac:dyDescent="0.2">
      <c r="B86" s="259" t="s">
        <v>1213</v>
      </c>
      <c r="C86" s="259">
        <v>10185</v>
      </c>
      <c r="D86" s="260" t="s">
        <v>420</v>
      </c>
      <c r="E86" s="261"/>
      <c r="F86" s="261">
        <v>137</v>
      </c>
      <c r="G86" s="262">
        <v>1041</v>
      </c>
      <c r="H86" s="260" t="s">
        <v>2801</v>
      </c>
      <c r="I86" s="260" t="str">
        <f t="shared" si="24"/>
        <v>SR 858/Miramar Pkwy/Hallandale Beach Bl ( to )</v>
      </c>
      <c r="J86" s="259" t="s">
        <v>347</v>
      </c>
      <c r="K86" s="260" t="str">
        <f>VLOOKUP(J86,'Data-ProjectTypes'!A$3:B$13,2,FALSE)</f>
        <v>Project</v>
      </c>
      <c r="L86" s="259" t="s">
        <v>404</v>
      </c>
      <c r="M86" s="259"/>
      <c r="N86" s="259"/>
      <c r="O86" s="260" t="s">
        <v>365</v>
      </c>
      <c r="P86" s="260" t="s">
        <v>365</v>
      </c>
      <c r="Q86" s="263"/>
      <c r="R86" s="264">
        <v>34904800</v>
      </c>
      <c r="S86" s="259"/>
      <c r="T86" s="259"/>
      <c r="U86" s="259"/>
      <c r="V86" s="268" t="s">
        <v>536</v>
      </c>
      <c r="W86" s="259"/>
      <c r="X86" s="259"/>
      <c r="Y86" s="265"/>
      <c r="Z86" s="266">
        <f>ROUND(R86*'Data-CostAssumptions'!$C$9,-3)</f>
        <v>34905000</v>
      </c>
      <c r="AA86" s="11">
        <f t="shared" si="17"/>
        <v>1</v>
      </c>
      <c r="AB86" s="11">
        <v>2041</v>
      </c>
      <c r="AC86" s="11">
        <v>2041</v>
      </c>
      <c r="AD86" s="11">
        <f t="shared" si="18"/>
        <v>2041</v>
      </c>
      <c r="AE86" s="19">
        <f>ROUND((Z86*'Data-CostAssumptions'!$G$5)*(1+'Data-CostAssumptions'!$G$3)^(AB86-'Data-CostAssumptions'!$G$4),-3)</f>
        <v>19689000</v>
      </c>
      <c r="AF86" s="19">
        <f>ROUND((Z86)*(1+'Data-CostAssumptions'!$G$3)^(AD86-'Data-CostAssumptions'!$G$4),-3)</f>
        <v>89495000</v>
      </c>
      <c r="AG86" s="170" t="str">
        <f t="shared" si="19"/>
        <v>No</v>
      </c>
      <c r="AH86" s="19">
        <f t="shared" si="20"/>
        <v>0</v>
      </c>
      <c r="AI86" s="19">
        <f t="shared" si="21"/>
        <v>0</v>
      </c>
      <c r="AJ86" s="19">
        <f t="shared" si="22"/>
        <v>0</v>
      </c>
      <c r="AK86" s="19">
        <f t="shared" si="23"/>
        <v>0</v>
      </c>
      <c r="AL86" s="19">
        <f>IF(AB86&gt;2040,Z86+Z86*'Data-CostAssumptions'!$G$5,0)</f>
        <v>42584100</v>
      </c>
    </row>
    <row r="87" spans="1:38" ht="15" customHeight="1" x14ac:dyDescent="0.2">
      <c r="B87" s="11" t="s">
        <v>1211</v>
      </c>
      <c r="D87" s="13" t="s">
        <v>276</v>
      </c>
      <c r="E87" s="14">
        <v>601</v>
      </c>
      <c r="F87" s="14"/>
      <c r="G87" s="20">
        <v>1683</v>
      </c>
      <c r="H87" s="13" t="s">
        <v>1583</v>
      </c>
      <c r="I87" s="13" t="str">
        <f t="shared" si="24"/>
        <v>NEW TROLLEYS ( to )</v>
      </c>
      <c r="J87" s="11" t="s">
        <v>347</v>
      </c>
      <c r="K87" s="13" t="str">
        <f>VLOOKUP(J87,'Data-ProjectTypes'!A$3:B$13,2,FALSE)</f>
        <v>Project</v>
      </c>
      <c r="L87" s="11" t="s">
        <v>1665</v>
      </c>
      <c r="O87" s="13"/>
      <c r="P87" s="13"/>
      <c r="Q87" s="15"/>
      <c r="R87" s="16">
        <v>3725100</v>
      </c>
      <c r="S87" s="12"/>
      <c r="T87" s="12"/>
      <c r="U87" s="12"/>
      <c r="V87" s="12" t="s">
        <v>884</v>
      </c>
      <c r="W87" s="12"/>
      <c r="X87" s="12"/>
      <c r="Y87" s="12"/>
      <c r="Z87" s="18">
        <f>ROUND(R87*'Data-CostAssumptions'!$C$8,-3)</f>
        <v>3725000</v>
      </c>
      <c r="AA87" s="11">
        <f t="shared" si="17"/>
        <v>1</v>
      </c>
      <c r="AB87" s="11">
        <v>2019</v>
      </c>
      <c r="AC87" s="11">
        <v>2019</v>
      </c>
      <c r="AD87" s="11">
        <f t="shared" si="18"/>
        <v>2019</v>
      </c>
      <c r="AE87" s="19">
        <f>ROUND((Z87*'Data-CostAssumptions'!$G$5)*(1+'Data-CostAssumptions'!$G$3)^(AB87-'Data-CostAssumptions'!$G$4),-3)</f>
        <v>1029000</v>
      </c>
      <c r="AF87" s="19">
        <f>ROUND((Z87)*(1+'Data-CostAssumptions'!$G$3)^(AD87-'Data-CostAssumptions'!$G$4),-3)</f>
        <v>4676000</v>
      </c>
      <c r="AG87" s="170" t="str">
        <f t="shared" si="19"/>
        <v>Yes</v>
      </c>
      <c r="AH87" s="19">
        <f t="shared" si="20"/>
        <v>5705000</v>
      </c>
      <c r="AI87" s="19">
        <f t="shared" si="21"/>
        <v>0</v>
      </c>
      <c r="AJ87" s="19">
        <f t="shared" si="22"/>
        <v>0</v>
      </c>
      <c r="AK87" s="19">
        <f t="shared" si="23"/>
        <v>0</v>
      </c>
      <c r="AL87" s="19">
        <f>IF(AB87&gt;2040,Z87+Z87*'Data-CostAssumptions'!$G$5,0)</f>
        <v>0</v>
      </c>
    </row>
    <row r="88" spans="1:38" ht="15" customHeight="1" x14ac:dyDescent="0.2">
      <c r="A88" s="11" t="s">
        <v>1048</v>
      </c>
      <c r="B88" s="11" t="s">
        <v>1211</v>
      </c>
      <c r="C88" s="11">
        <v>13150</v>
      </c>
      <c r="D88" s="84" t="s">
        <v>1732</v>
      </c>
      <c r="E88" s="14"/>
      <c r="F88" s="14"/>
      <c r="G88" s="20">
        <v>1283</v>
      </c>
      <c r="H88" s="13" t="s">
        <v>2998</v>
      </c>
      <c r="I88" s="13" t="str">
        <f t="shared" si="24"/>
        <v>Wave Streetcar Connector  (Griffin Rd Tri-Rail Station to Broward County Transit Hub)</v>
      </c>
      <c r="J88" s="84" t="s">
        <v>347</v>
      </c>
      <c r="K88" s="13" t="str">
        <f>VLOOKUP(J88,'Data-ProjectTypes'!A$3:B$13,2,FALSE)</f>
        <v>Project</v>
      </c>
      <c r="L88" s="85" t="s">
        <v>2849</v>
      </c>
      <c r="M88" s="85" t="s">
        <v>2411</v>
      </c>
      <c r="N88" s="84" t="s">
        <v>1043</v>
      </c>
      <c r="O88" s="84" t="s">
        <v>270</v>
      </c>
      <c r="P88" s="85" t="s">
        <v>270</v>
      </c>
      <c r="Q88" s="15"/>
      <c r="R88" s="16">
        <v>150000000</v>
      </c>
      <c r="V88" s="85" t="s">
        <v>731</v>
      </c>
      <c r="Y88" s="12" t="s">
        <v>2205</v>
      </c>
      <c r="Z88" s="18">
        <f>ROUND(R88*'Data-CostAssumptions'!$C$14,-3)</f>
        <v>150000000</v>
      </c>
      <c r="AA88" s="11">
        <f t="shared" si="17"/>
        <v>1</v>
      </c>
      <c r="AB88" s="11">
        <v>2041</v>
      </c>
      <c r="AC88" s="11">
        <v>2041</v>
      </c>
      <c r="AD88" s="11">
        <f t="shared" si="18"/>
        <v>2041</v>
      </c>
      <c r="AE88" s="19">
        <f>ROUND((Z88*'Data-CostAssumptions'!$G$5)*(1+'Data-CostAssumptions'!$G$3)^(AB88-'Data-CostAssumptions'!$G$4),-3)</f>
        <v>84610000</v>
      </c>
      <c r="AF88" s="19">
        <f>ROUND((Z88)*(1+'Data-CostAssumptions'!$G$3)^(AD88-'Data-CostAssumptions'!$G$4),-3)</f>
        <v>384592000</v>
      </c>
      <c r="AG88" s="170" t="str">
        <f t="shared" si="19"/>
        <v>No</v>
      </c>
      <c r="AH88" s="19">
        <f t="shared" si="20"/>
        <v>0</v>
      </c>
      <c r="AI88" s="19">
        <f t="shared" si="21"/>
        <v>0</v>
      </c>
      <c r="AJ88" s="19">
        <f t="shared" si="22"/>
        <v>0</v>
      </c>
      <c r="AK88" s="19">
        <f t="shared" si="23"/>
        <v>0</v>
      </c>
      <c r="AL88" s="19">
        <f>IF(AB88&gt;2040,Z88+Z88*'Data-CostAssumptions'!$G$5,0)</f>
        <v>183000000</v>
      </c>
    </row>
    <row r="89" spans="1:38" ht="15" customHeight="1" x14ac:dyDescent="0.2">
      <c r="B89" s="11" t="s">
        <v>1211</v>
      </c>
      <c r="C89" s="11">
        <v>10192</v>
      </c>
      <c r="D89" s="13" t="s">
        <v>420</v>
      </c>
      <c r="E89" s="14"/>
      <c r="F89" s="14">
        <v>138</v>
      </c>
      <c r="G89" s="20">
        <v>942</v>
      </c>
      <c r="H89" s="13" t="s">
        <v>386</v>
      </c>
      <c r="I89" s="13" t="str">
        <f t="shared" si="24"/>
        <v>Bus Shelters/Bus Bays/Bus Stop Upgrades ( to Systemwide)</v>
      </c>
      <c r="J89" s="11" t="s">
        <v>347</v>
      </c>
      <c r="K89" s="13" t="str">
        <f>VLOOKUP(J89,'Data-ProjectTypes'!A$3:B$13,2,FALSE)</f>
        <v>Project</v>
      </c>
      <c r="L89" s="11" t="s">
        <v>407</v>
      </c>
      <c r="N89" s="11" t="s">
        <v>2834</v>
      </c>
      <c r="O89" s="13" t="s">
        <v>365</v>
      </c>
      <c r="P89" s="13" t="s">
        <v>365</v>
      </c>
      <c r="Q89" s="15"/>
      <c r="R89" s="16">
        <v>54590000</v>
      </c>
      <c r="S89" s="12"/>
      <c r="T89" s="12"/>
      <c r="U89" s="12"/>
      <c r="V89" s="12"/>
      <c r="W89" s="12"/>
      <c r="X89" s="12"/>
      <c r="Y89" s="12"/>
      <c r="Z89" s="18">
        <f>ROUND(R89*'Data-CostAssumptions'!$C$8,-3)</f>
        <v>54590000</v>
      </c>
      <c r="AA89" s="11">
        <f t="shared" si="17"/>
        <v>0</v>
      </c>
      <c r="AB89" s="11">
        <v>2041</v>
      </c>
      <c r="AC89" s="11">
        <v>2041</v>
      </c>
      <c r="AD89" s="11">
        <f t="shared" si="18"/>
        <v>2041</v>
      </c>
      <c r="AE89" s="19">
        <f>ROUND((Z89*'Data-CostAssumptions'!$G$5)*(1+'Data-CostAssumptions'!$G$3)^(AB89-'Data-CostAssumptions'!$G$4),-3)</f>
        <v>30793000</v>
      </c>
      <c r="AF89" s="19">
        <f>ROUND((Z89)*(1+'Data-CostAssumptions'!$G$3)^(AD89-'Data-CostAssumptions'!$G$4),-3)</f>
        <v>139966000</v>
      </c>
      <c r="AG89" s="170" t="str">
        <f t="shared" si="19"/>
        <v>No</v>
      </c>
      <c r="AH89" s="19">
        <f t="shared" si="20"/>
        <v>0</v>
      </c>
      <c r="AI89" s="19">
        <f t="shared" si="21"/>
        <v>0</v>
      </c>
      <c r="AJ89" s="19">
        <f t="shared" si="22"/>
        <v>0</v>
      </c>
      <c r="AK89" s="19">
        <f t="shared" si="23"/>
        <v>0</v>
      </c>
      <c r="AL89" s="19">
        <f>IF(AB89&gt;2040,Z89+Z89*'Data-CostAssumptions'!$G$5,0)</f>
        <v>66599800</v>
      </c>
    </row>
    <row r="90" spans="1:38" ht="15" customHeight="1" x14ac:dyDescent="0.2">
      <c r="B90" s="11" t="s">
        <v>1211</v>
      </c>
      <c r="C90" s="11">
        <v>10191</v>
      </c>
      <c r="D90" s="13" t="s">
        <v>420</v>
      </c>
      <c r="E90" s="14"/>
      <c r="F90" s="14">
        <v>138</v>
      </c>
      <c r="G90" s="20">
        <v>959</v>
      </c>
      <c r="H90" s="13" t="s">
        <v>385</v>
      </c>
      <c r="I90" s="13" t="str">
        <f t="shared" si="24"/>
        <v>Park-n-Ride Facilities (@  S.E. 17th)</v>
      </c>
      <c r="J90" s="11" t="s">
        <v>347</v>
      </c>
      <c r="K90" s="13" t="str">
        <f>VLOOKUP(J90,'Data-ProjectTypes'!A$3:B$13,2,FALSE)</f>
        <v>Project</v>
      </c>
      <c r="L90" s="11" t="s">
        <v>407</v>
      </c>
      <c r="M90" s="11" t="s">
        <v>2835</v>
      </c>
      <c r="N90" s="11" t="s">
        <v>3175</v>
      </c>
      <c r="O90" s="13" t="s">
        <v>365</v>
      </c>
      <c r="P90" s="13" t="s">
        <v>365</v>
      </c>
      <c r="Q90" s="15"/>
      <c r="R90" s="16">
        <v>10000000</v>
      </c>
      <c r="S90" s="12"/>
      <c r="T90" s="12"/>
      <c r="U90" s="12"/>
      <c r="V90" s="12"/>
      <c r="W90" s="12"/>
      <c r="X90" s="12"/>
      <c r="Y90" s="12"/>
      <c r="Z90" s="18">
        <f>ROUND(R90*'Data-CostAssumptions'!$C$8,-3)</f>
        <v>10000000</v>
      </c>
      <c r="AA90" s="11">
        <f t="shared" si="17"/>
        <v>0</v>
      </c>
      <c r="AB90" s="11">
        <v>2041</v>
      </c>
      <c r="AC90" s="11">
        <v>2041</v>
      </c>
      <c r="AD90" s="11">
        <f t="shared" si="18"/>
        <v>2041</v>
      </c>
      <c r="AE90" s="19">
        <f>ROUND((Z90*'Data-CostAssumptions'!$G$5)*(1+'Data-CostAssumptions'!$G$3)^(AB90-'Data-CostAssumptions'!$G$4),-3)</f>
        <v>5641000</v>
      </c>
      <c r="AF90" s="19">
        <f>ROUND((Z90)*(1+'Data-CostAssumptions'!$G$3)^(AD90-'Data-CostAssumptions'!$G$4),-3)</f>
        <v>25639000</v>
      </c>
      <c r="AG90" s="170" t="str">
        <f t="shared" si="19"/>
        <v>No</v>
      </c>
      <c r="AH90" s="19">
        <f t="shared" si="20"/>
        <v>0</v>
      </c>
      <c r="AI90" s="19">
        <f t="shared" si="21"/>
        <v>0</v>
      </c>
      <c r="AJ90" s="19">
        <f t="shared" si="22"/>
        <v>0</v>
      </c>
      <c r="AK90" s="19">
        <f t="shared" si="23"/>
        <v>0</v>
      </c>
      <c r="AL90" s="19">
        <f>IF(AB90&gt;2040,Z90+Z90*'Data-CostAssumptions'!$G$5,0)</f>
        <v>12200000</v>
      </c>
    </row>
    <row r="91" spans="1:38" ht="15" customHeight="1" x14ac:dyDescent="0.2">
      <c r="B91" s="11" t="s">
        <v>1211</v>
      </c>
      <c r="C91" s="11">
        <v>10006</v>
      </c>
      <c r="D91" s="13" t="s">
        <v>420</v>
      </c>
      <c r="E91" s="14"/>
      <c r="F91" s="14">
        <v>138</v>
      </c>
      <c r="G91" s="20">
        <v>1055</v>
      </c>
      <c r="H91" s="13" t="s">
        <v>381</v>
      </c>
      <c r="I91" s="13" t="str">
        <f t="shared" si="24"/>
        <v>Third Operations/Maintenance Facility ( to )</v>
      </c>
      <c r="J91" s="11" t="s">
        <v>347</v>
      </c>
      <c r="K91" s="13" t="str">
        <f>VLOOKUP(J91,'Data-ProjectTypes'!A$3:B$13,2,FALSE)</f>
        <v>Project</v>
      </c>
      <c r="L91" s="11" t="s">
        <v>401</v>
      </c>
      <c r="O91" s="13" t="s">
        <v>365</v>
      </c>
      <c r="P91" s="13" t="s">
        <v>365</v>
      </c>
      <c r="Q91" s="15"/>
      <c r="R91" s="16">
        <v>58710000</v>
      </c>
      <c r="S91" s="12"/>
      <c r="T91" s="12"/>
      <c r="U91" s="12"/>
      <c r="V91" s="12" t="s">
        <v>662</v>
      </c>
      <c r="W91" s="12"/>
      <c r="X91" s="12"/>
      <c r="Y91" s="12"/>
      <c r="Z91" s="18">
        <f>ROUND(R91*'Data-CostAssumptions'!$C$10,-3)</f>
        <v>58710000</v>
      </c>
      <c r="AA91" s="11">
        <f t="shared" si="17"/>
        <v>1</v>
      </c>
      <c r="AB91" s="11">
        <v>2041</v>
      </c>
      <c r="AC91" s="11">
        <v>2041</v>
      </c>
      <c r="AD91" s="11">
        <f t="shared" si="18"/>
        <v>2041</v>
      </c>
      <c r="AE91" s="19">
        <f>ROUND((Z91*'Data-CostAssumptions'!$G$5)*(1+'Data-CostAssumptions'!$G$3)^(AB91-'Data-CostAssumptions'!$G$4),-3)</f>
        <v>33116000</v>
      </c>
      <c r="AF91" s="19">
        <f>ROUND((Z91)*(1+'Data-CostAssumptions'!$G$3)^(AD91-'Data-CostAssumptions'!$G$4),-3)</f>
        <v>150529000</v>
      </c>
      <c r="AG91" s="170" t="str">
        <f t="shared" si="19"/>
        <v>No</v>
      </c>
      <c r="AH91" s="19">
        <f t="shared" si="20"/>
        <v>0</v>
      </c>
      <c r="AI91" s="19">
        <f t="shared" si="21"/>
        <v>0</v>
      </c>
      <c r="AJ91" s="19">
        <f t="shared" si="22"/>
        <v>0</v>
      </c>
      <c r="AK91" s="19">
        <f t="shared" si="23"/>
        <v>0</v>
      </c>
      <c r="AL91" s="19">
        <f>IF(AB91&gt;2040,Z91+Z91*'Data-CostAssumptions'!$G$5,0)</f>
        <v>71626200</v>
      </c>
    </row>
    <row r="92" spans="1:38" ht="15" customHeight="1" x14ac:dyDescent="0.2">
      <c r="B92" s="11" t="s">
        <v>1211</v>
      </c>
      <c r="C92" s="11">
        <v>12803</v>
      </c>
      <c r="D92" s="13" t="s">
        <v>365</v>
      </c>
      <c r="E92" s="14"/>
      <c r="F92" s="14"/>
      <c r="G92" s="20">
        <v>1068</v>
      </c>
      <c r="H92" s="13" t="s">
        <v>1838</v>
      </c>
      <c r="I92" s="13" t="str">
        <f t="shared" si="24"/>
        <v>Copans Rd Maintenance and Operations Facility Rehabilitation/Upgrade ( to )</v>
      </c>
      <c r="J92" s="11" t="s">
        <v>347</v>
      </c>
      <c r="K92" s="13" t="str">
        <f>VLOOKUP(J92,'Data-ProjectTypes'!A$3:B$13,2,FALSE)</f>
        <v>Project</v>
      </c>
      <c r="L92" s="11" t="s">
        <v>860</v>
      </c>
      <c r="O92" s="13"/>
      <c r="P92" s="13"/>
      <c r="Q92" s="15"/>
      <c r="R92" s="16">
        <v>150800000</v>
      </c>
      <c r="S92" s="12"/>
      <c r="T92" s="12"/>
      <c r="U92" s="12"/>
      <c r="V92" s="12" t="s">
        <v>662</v>
      </c>
      <c r="W92" s="12"/>
      <c r="X92" s="12"/>
      <c r="Y92" s="12"/>
      <c r="Z92" s="18">
        <f>ROUND(R92*'Data-CostAssumptions'!$C$10,-3)</f>
        <v>150800000</v>
      </c>
      <c r="AA92" s="11">
        <f t="shared" si="17"/>
        <v>1</v>
      </c>
      <c r="AB92" s="11">
        <v>2041</v>
      </c>
      <c r="AC92" s="11">
        <v>2041</v>
      </c>
      <c r="AD92" s="11">
        <f t="shared" si="18"/>
        <v>2041</v>
      </c>
      <c r="AE92" s="19">
        <f>ROUND((Z92*'Data-CostAssumptions'!$G$5)*(1+'Data-CostAssumptions'!$G$3)^(AB92-'Data-CostAssumptions'!$G$4),-3)</f>
        <v>85062000</v>
      </c>
      <c r="AF92" s="19">
        <f>ROUND((Z92)*(1+'Data-CostAssumptions'!$G$3)^(AD92-'Data-CostAssumptions'!$G$4),-3)</f>
        <v>386643000</v>
      </c>
      <c r="AG92" s="170" t="str">
        <f t="shared" si="19"/>
        <v>No</v>
      </c>
      <c r="AH92" s="19">
        <f t="shared" si="20"/>
        <v>0</v>
      </c>
      <c r="AI92" s="19">
        <f t="shared" si="21"/>
        <v>0</v>
      </c>
      <c r="AJ92" s="19">
        <f t="shared" si="22"/>
        <v>0</v>
      </c>
      <c r="AK92" s="19">
        <f t="shared" si="23"/>
        <v>0</v>
      </c>
      <c r="AL92" s="19">
        <f>IF(AB92&gt;2040,Z92+Z92*'Data-CostAssumptions'!$G$5,0)</f>
        <v>183976000</v>
      </c>
    </row>
    <row r="93" spans="1:38" ht="15" customHeight="1" x14ac:dyDescent="0.2">
      <c r="B93" s="11" t="s">
        <v>1211</v>
      </c>
      <c r="D93" s="13" t="s">
        <v>276</v>
      </c>
      <c r="E93" s="14"/>
      <c r="F93" s="14">
        <v>602</v>
      </c>
      <c r="G93" s="20">
        <v>1726</v>
      </c>
      <c r="H93" s="13" t="s">
        <v>3043</v>
      </c>
      <c r="I93" s="13" t="s">
        <v>98</v>
      </c>
      <c r="J93" s="11" t="s">
        <v>347</v>
      </c>
      <c r="K93" s="13" t="s">
        <v>1208</v>
      </c>
      <c r="L93" s="11" t="s">
        <v>3044</v>
      </c>
      <c r="M93" s="11" t="s">
        <v>98</v>
      </c>
      <c r="N93" s="11" t="s">
        <v>98</v>
      </c>
      <c r="O93" s="13"/>
      <c r="P93" s="13"/>
      <c r="Q93" s="15"/>
      <c r="R93" s="23">
        <v>750000</v>
      </c>
      <c r="S93" s="12" t="s">
        <v>24</v>
      </c>
      <c r="T93" s="12" t="s">
        <v>25</v>
      </c>
      <c r="U93" s="12" t="s">
        <v>24</v>
      </c>
      <c r="V93" s="12"/>
      <c r="W93" s="12"/>
      <c r="X93" s="12" t="s">
        <v>3176</v>
      </c>
      <c r="Y93" s="12" t="s">
        <v>685</v>
      </c>
      <c r="Z93" s="18">
        <f>ROUND(R93*'Data-CostAssumptions'!$C$3,-3)</f>
        <v>1038000</v>
      </c>
      <c r="AA93" s="11">
        <f t="shared" si="17"/>
        <v>0</v>
      </c>
      <c r="AB93" s="11">
        <v>2041</v>
      </c>
      <c r="AC93" s="11">
        <v>2041</v>
      </c>
      <c r="AD93" s="11">
        <f t="shared" si="18"/>
        <v>2041</v>
      </c>
      <c r="AE93" s="19">
        <f>ROUND((Z93*'Data-CostAssumptions'!$G$5)*(1+'Data-CostAssumptions'!$G$3)^(AB93-'Data-CostAssumptions'!$G$4),-3)</f>
        <v>586000</v>
      </c>
      <c r="AF93" s="19">
        <f>ROUND((Z93)*(1+'Data-CostAssumptions'!$G$3)^(AD93-'Data-CostAssumptions'!$G$4),-3)</f>
        <v>2661000</v>
      </c>
      <c r="AG93" s="170" t="str">
        <f t="shared" si="19"/>
        <v>No</v>
      </c>
      <c r="AH93" s="19">
        <f t="shared" si="20"/>
        <v>0</v>
      </c>
      <c r="AI93" s="19">
        <f t="shared" si="21"/>
        <v>0</v>
      </c>
      <c r="AJ93" s="19">
        <f t="shared" si="22"/>
        <v>0</v>
      </c>
      <c r="AK93" s="19">
        <f t="shared" si="23"/>
        <v>0</v>
      </c>
      <c r="AL93" s="19">
        <f>IF(AB93&gt;2040,Z93+Z93*'Data-CostAssumptions'!$G$5,0)</f>
        <v>1266360</v>
      </c>
    </row>
    <row r="94" spans="1:38" ht="15" customHeight="1" x14ac:dyDescent="0.2">
      <c r="B94" s="11" t="s">
        <v>1213</v>
      </c>
      <c r="D94" s="13" t="s">
        <v>276</v>
      </c>
      <c r="E94" s="14" t="s">
        <v>1470</v>
      </c>
      <c r="F94" s="14"/>
      <c r="G94" s="20">
        <v>1695</v>
      </c>
      <c r="H94" s="13" t="s">
        <v>2999</v>
      </c>
      <c r="I94" s="13" t="str">
        <f t="shared" ref="I94:I101" si="25">IF(M94="@",H94&amp;" ("&amp;M94&amp;"  "&amp;N94&amp;")",H94&amp;" ("&amp;M94&amp;" to "&amp;N94&amp;")")</f>
        <v>Wave Streetcar Expansion (ANDREWS Av to NW 27TH Av)</v>
      </c>
      <c r="J94" s="11" t="s">
        <v>347</v>
      </c>
      <c r="K94" s="13" t="str">
        <f>VLOOKUP(J94,'Data-ProjectTypes'!A$3:B$13,2,FALSE)</f>
        <v>Project</v>
      </c>
      <c r="L94" s="11" t="s">
        <v>3119</v>
      </c>
      <c r="M94" s="11" t="s">
        <v>2139</v>
      </c>
      <c r="N94" s="11" t="s">
        <v>2605</v>
      </c>
      <c r="O94" s="13"/>
      <c r="P94" s="13"/>
      <c r="Q94" s="15">
        <v>4.2</v>
      </c>
      <c r="R94" s="16">
        <f>+Q94*37500000</f>
        <v>157500000</v>
      </c>
      <c r="S94" s="12"/>
      <c r="T94" s="12"/>
      <c r="U94" s="12"/>
      <c r="V94" s="12" t="s">
        <v>816</v>
      </c>
      <c r="W94" s="12"/>
      <c r="X94" s="12"/>
      <c r="Y94" s="12" t="s">
        <v>3120</v>
      </c>
      <c r="Z94" s="18">
        <f>ROUND(R94*'Data-CostAssumptions'!$C$18,-3)</f>
        <v>157500000</v>
      </c>
      <c r="AA94" s="11">
        <f t="shared" si="17"/>
        <v>1</v>
      </c>
      <c r="AB94" s="11">
        <v>2041</v>
      </c>
      <c r="AC94" s="11">
        <v>2041</v>
      </c>
      <c r="AD94" s="11">
        <f t="shared" si="18"/>
        <v>2041</v>
      </c>
      <c r="AE94" s="19">
        <f>ROUND((Z94*'Data-CostAssumptions'!$G$5)*(1+'Data-CostAssumptions'!$G$3)^(AB94-'Data-CostAssumptions'!$G$4),-3)</f>
        <v>88841000</v>
      </c>
      <c r="AF94" s="19">
        <f>ROUND((Z94)*(1+'Data-CostAssumptions'!$G$3)^(AD94-'Data-CostAssumptions'!$G$4),-3)</f>
        <v>403822000</v>
      </c>
      <c r="AG94" s="170" t="str">
        <f t="shared" si="19"/>
        <v>No</v>
      </c>
      <c r="AH94" s="19">
        <f t="shared" si="20"/>
        <v>0</v>
      </c>
      <c r="AI94" s="19">
        <f t="shared" si="21"/>
        <v>0</v>
      </c>
      <c r="AJ94" s="19">
        <f t="shared" si="22"/>
        <v>0</v>
      </c>
      <c r="AK94" s="19">
        <f t="shared" si="23"/>
        <v>0</v>
      </c>
      <c r="AL94" s="19">
        <f>IF(AB94&gt;2040,Z94+Z94*'Data-CostAssumptions'!$G$5,0)</f>
        <v>192150000</v>
      </c>
    </row>
    <row r="95" spans="1:38" ht="15" customHeight="1" x14ac:dyDescent="0.2">
      <c r="B95" s="11" t="s">
        <v>1211</v>
      </c>
      <c r="D95" s="13" t="s">
        <v>276</v>
      </c>
      <c r="E95" s="14" t="s">
        <v>1469</v>
      </c>
      <c r="F95" s="14"/>
      <c r="G95" s="20">
        <v>1721</v>
      </c>
      <c r="H95" s="13" t="s">
        <v>2999</v>
      </c>
      <c r="I95" s="13" t="str">
        <f t="shared" si="25"/>
        <v>Wave Streetcar Expansion (Andrews Ave to SE 1ST Av)</v>
      </c>
      <c r="J95" s="11" t="s">
        <v>347</v>
      </c>
      <c r="K95" s="13" t="str">
        <f>VLOOKUP(J95,'Data-ProjectTypes'!A$3:B$13,2,FALSE)</f>
        <v>Project</v>
      </c>
      <c r="L95" s="11" t="s">
        <v>1630</v>
      </c>
      <c r="M95" s="11" t="s">
        <v>2992</v>
      </c>
      <c r="N95" s="11" t="s">
        <v>2643</v>
      </c>
      <c r="O95" s="13"/>
      <c r="P95" s="13"/>
      <c r="Q95" s="15">
        <v>1</v>
      </c>
      <c r="R95" s="16">
        <f>+Q95*37500000</f>
        <v>37500000</v>
      </c>
      <c r="S95" s="12"/>
      <c r="T95" s="12"/>
      <c r="U95" s="12"/>
      <c r="V95" s="12"/>
      <c r="W95" s="12"/>
      <c r="X95" s="12"/>
      <c r="Y95" s="12" t="s">
        <v>2202</v>
      </c>
      <c r="Z95" s="18">
        <f>ROUND(R95*'Data-CostAssumptions'!$C$20,-3)</f>
        <v>37500000</v>
      </c>
      <c r="AA95" s="11">
        <f t="shared" si="17"/>
        <v>0</v>
      </c>
      <c r="AB95" s="11">
        <v>2041</v>
      </c>
      <c r="AC95" s="11">
        <v>2041</v>
      </c>
      <c r="AD95" s="11">
        <f t="shared" si="18"/>
        <v>2041</v>
      </c>
      <c r="AE95" s="19">
        <f>ROUND((Z95*'Data-CostAssumptions'!$G$5)*(1+'Data-CostAssumptions'!$G$3)^(AB95-'Data-CostAssumptions'!$G$4),-3)</f>
        <v>21153000</v>
      </c>
      <c r="AF95" s="19">
        <f>ROUND((Z95)*(1+'Data-CostAssumptions'!$G$3)^(AD95-'Data-CostAssumptions'!$G$4),-3)</f>
        <v>96148000</v>
      </c>
      <c r="AG95" s="170" t="str">
        <f t="shared" si="19"/>
        <v>No</v>
      </c>
      <c r="AH95" s="19">
        <f t="shared" si="20"/>
        <v>0</v>
      </c>
      <c r="AI95" s="19">
        <f t="shared" si="21"/>
        <v>0</v>
      </c>
      <c r="AJ95" s="19">
        <f t="shared" si="22"/>
        <v>0</v>
      </c>
      <c r="AK95" s="19">
        <f t="shared" si="23"/>
        <v>0</v>
      </c>
      <c r="AL95" s="19">
        <f>IF(AB95&gt;2040,Z95+Z95*'Data-CostAssumptions'!$G$5,0)</f>
        <v>45750000</v>
      </c>
    </row>
    <row r="96" spans="1:38" ht="15" customHeight="1" x14ac:dyDescent="0.2">
      <c r="B96" s="11" t="s">
        <v>1211</v>
      </c>
      <c r="D96" s="13" t="s">
        <v>276</v>
      </c>
      <c r="E96" s="14" t="s">
        <v>1466</v>
      </c>
      <c r="F96" s="14"/>
      <c r="G96" s="20">
        <v>1720</v>
      </c>
      <c r="H96" s="13" t="s">
        <v>2999</v>
      </c>
      <c r="I96" s="13" t="str">
        <f t="shared" si="25"/>
        <v>Wave Streetcar Expansion (SE 17TH ST to AIRPORT)</v>
      </c>
      <c r="J96" s="11" t="s">
        <v>347</v>
      </c>
      <c r="K96" s="13" t="str">
        <f>VLOOKUP(J96,'Data-ProjectTypes'!A$3:B$13,2,FALSE)</f>
        <v>Project</v>
      </c>
      <c r="L96" s="11" t="s">
        <v>1627</v>
      </c>
      <c r="M96" s="11" t="s">
        <v>1245</v>
      </c>
      <c r="N96" s="11" t="s">
        <v>1671</v>
      </c>
      <c r="O96" s="13"/>
      <c r="P96" s="13"/>
      <c r="Q96" s="15">
        <v>2.8</v>
      </c>
      <c r="R96" s="16">
        <v>98000000</v>
      </c>
      <c r="S96" s="12"/>
      <c r="T96" s="12"/>
      <c r="U96" s="12"/>
      <c r="V96" s="12"/>
      <c r="W96" s="12"/>
      <c r="X96" s="12"/>
      <c r="Y96" s="12" t="s">
        <v>2202</v>
      </c>
      <c r="Z96" s="18">
        <f>ROUND(R96*'Data-CostAssumptions'!$C$20,-3)</f>
        <v>98000000</v>
      </c>
      <c r="AA96" s="11">
        <f t="shared" si="17"/>
        <v>0</v>
      </c>
      <c r="AB96" s="11">
        <v>2041</v>
      </c>
      <c r="AC96" s="11">
        <v>2041</v>
      </c>
      <c r="AD96" s="11">
        <f t="shared" si="18"/>
        <v>2041</v>
      </c>
      <c r="AE96" s="19">
        <f>ROUND((Z96*'Data-CostAssumptions'!$G$5)*(1+'Data-CostAssumptions'!$G$3)^(AB96-'Data-CostAssumptions'!$G$4),-3)</f>
        <v>55279000</v>
      </c>
      <c r="AF96" s="19">
        <f>ROUND((Z96)*(1+'Data-CostAssumptions'!$G$3)^(AD96-'Data-CostAssumptions'!$G$4),-3)</f>
        <v>251267000</v>
      </c>
      <c r="AG96" s="170" t="str">
        <f t="shared" si="19"/>
        <v>No</v>
      </c>
      <c r="AH96" s="19">
        <f t="shared" si="20"/>
        <v>0</v>
      </c>
      <c r="AI96" s="19">
        <f t="shared" si="21"/>
        <v>0</v>
      </c>
      <c r="AJ96" s="19">
        <f t="shared" si="22"/>
        <v>0</v>
      </c>
      <c r="AK96" s="19">
        <f t="shared" si="23"/>
        <v>0</v>
      </c>
      <c r="AL96" s="19">
        <f>IF(AB96&gt;2040,Z96+Z96*'Data-CostAssumptions'!$G$5,0)</f>
        <v>119560000</v>
      </c>
    </row>
    <row r="97" spans="2:38" ht="15" customHeight="1" x14ac:dyDescent="0.2">
      <c r="B97" s="11" t="s">
        <v>1211</v>
      </c>
      <c r="D97" s="13" t="s">
        <v>276</v>
      </c>
      <c r="E97" s="14" t="s">
        <v>3180</v>
      </c>
      <c r="F97" s="14"/>
      <c r="G97" s="20">
        <v>1718</v>
      </c>
      <c r="H97" s="13" t="s">
        <v>2999</v>
      </c>
      <c r="I97" s="13" t="str">
        <f t="shared" si="25"/>
        <v>Wave Streetcar Expansion (Andrews Av to )</v>
      </c>
      <c r="J97" s="11" t="s">
        <v>347</v>
      </c>
      <c r="K97" s="13" t="str">
        <f>VLOOKUP(J97,'Data-ProjectTypes'!A$3:B$13,2,FALSE)</f>
        <v>Project</v>
      </c>
      <c r="L97" s="11" t="s">
        <v>3179</v>
      </c>
      <c r="M97" s="11" t="s">
        <v>2014</v>
      </c>
      <c r="O97" s="13"/>
      <c r="P97" s="13"/>
      <c r="Q97" s="15">
        <v>2.7</v>
      </c>
      <c r="R97" s="16">
        <v>33500000</v>
      </c>
      <c r="S97" s="12"/>
      <c r="T97" s="12"/>
      <c r="U97" s="12"/>
      <c r="V97" s="12" t="s">
        <v>3178</v>
      </c>
      <c r="W97" s="12"/>
      <c r="X97" s="12" t="s">
        <v>3182</v>
      </c>
      <c r="Y97" s="12" t="s">
        <v>3181</v>
      </c>
      <c r="Z97" s="18">
        <v>20000000</v>
      </c>
      <c r="AA97" s="11">
        <f t="shared" si="17"/>
        <v>1</v>
      </c>
      <c r="AB97" s="11">
        <v>2019</v>
      </c>
      <c r="AC97" s="11">
        <v>2019</v>
      </c>
      <c r="AD97" s="11">
        <f t="shared" si="18"/>
        <v>2019</v>
      </c>
      <c r="AE97" s="19">
        <f>ROUND((Z97*'Data-CostAssumptions'!$G$5)*(1+'Data-CostAssumptions'!$G$3)^(AB97-'Data-CostAssumptions'!$G$4),-3)</f>
        <v>5523000</v>
      </c>
      <c r="AF97" s="19">
        <f>ROUND((Z97)*(1+'Data-CostAssumptions'!$G$3)^(AD97-'Data-CostAssumptions'!$G$4),-3)</f>
        <v>25103000</v>
      </c>
      <c r="AG97" s="170" t="str">
        <f t="shared" si="19"/>
        <v>Yes</v>
      </c>
      <c r="AH97" s="19">
        <f t="shared" si="20"/>
        <v>30626000</v>
      </c>
      <c r="AI97" s="19">
        <f t="shared" si="21"/>
        <v>0</v>
      </c>
      <c r="AJ97" s="19">
        <f t="shared" si="22"/>
        <v>0</v>
      </c>
      <c r="AK97" s="19">
        <f t="shared" si="23"/>
        <v>0</v>
      </c>
      <c r="AL97" s="19">
        <f>IF(AB97&gt;2040,Z97+Z97*'Data-CostAssumptions'!$G$5,0)</f>
        <v>0</v>
      </c>
    </row>
    <row r="98" spans="2:38" ht="15" customHeight="1" x14ac:dyDescent="0.2">
      <c r="B98" s="11" t="s">
        <v>1211</v>
      </c>
      <c r="D98" s="13" t="s">
        <v>276</v>
      </c>
      <c r="E98" s="14" t="s">
        <v>3180</v>
      </c>
      <c r="F98" s="14"/>
      <c r="G98" s="20">
        <v>1718</v>
      </c>
      <c r="H98" s="13" t="s">
        <v>2999</v>
      </c>
      <c r="I98" s="13" t="str">
        <f t="shared" ref="I98" si="26">IF(M98="@",H98&amp;" ("&amp;M98&amp;"  "&amp;N98&amp;")",H98&amp;" ("&amp;M98&amp;" to "&amp;N98&amp;")")</f>
        <v>Wave Streetcar Expansion (Andrews Av to )</v>
      </c>
      <c r="J98" s="11" t="s">
        <v>347</v>
      </c>
      <c r="K98" s="13" t="str">
        <f>VLOOKUP(J98,'Data-ProjectTypes'!A$3:B$13,2,FALSE)</f>
        <v>Project</v>
      </c>
      <c r="L98" s="11" t="s">
        <v>3179</v>
      </c>
      <c r="M98" s="11" t="s">
        <v>2014</v>
      </c>
      <c r="O98" s="13"/>
      <c r="P98" s="13"/>
      <c r="Q98" s="15">
        <v>2.7</v>
      </c>
      <c r="R98" s="16">
        <v>25000000</v>
      </c>
      <c r="S98" s="12"/>
      <c r="T98" s="12"/>
      <c r="U98" s="12"/>
      <c r="V98" s="12" t="s">
        <v>3178</v>
      </c>
      <c r="W98" s="12"/>
      <c r="X98" s="12" t="s">
        <v>3182</v>
      </c>
      <c r="Y98" s="12" t="s">
        <v>3181</v>
      </c>
      <c r="Z98" s="18">
        <v>0</v>
      </c>
      <c r="AA98" s="11">
        <f t="shared" ref="AA98" si="27">IF(V98="",IF(W98="",0,1),1)</f>
        <v>1</v>
      </c>
      <c r="AB98" s="11">
        <v>2041</v>
      </c>
      <c r="AC98" s="11">
        <v>2041</v>
      </c>
      <c r="AD98" s="11">
        <f t="shared" ref="AD98" si="28">+AC98</f>
        <v>2041</v>
      </c>
      <c r="AE98" s="19">
        <f>ROUND((Z98*'Data-CostAssumptions'!$G$5)*(1+'Data-CostAssumptions'!$G$3)^(AB98-'Data-CostAssumptions'!$G$4),-3)</f>
        <v>0</v>
      </c>
      <c r="AF98" s="19">
        <f>ROUND((Z98)*(1+'Data-CostAssumptions'!$G$3)^(AD98-'Data-CostAssumptions'!$G$4),-3)</f>
        <v>0</v>
      </c>
      <c r="AG98" s="170" t="str">
        <f t="shared" ref="AG98" si="29">IF(MIN(AC98:AD98)&lt;2041,"Yes","No")</f>
        <v>No</v>
      </c>
      <c r="AH98" s="19">
        <f t="shared" ref="AH98" si="30">IF(AB98&gt;2018,IF(AB98&lt;2021,AE98,0),0)+IF(AC98&gt;2018,IF(AC98&lt;2021,AF98,0),0)</f>
        <v>0</v>
      </c>
      <c r="AI98" s="19">
        <f t="shared" ref="AI98" si="31">IF(AB98&gt;2020,IF(AB98&lt;2026,AE98,0),0)+IF(AC98&gt;2020,IF(AC98&lt;2026,AF98,0),0)</f>
        <v>0</v>
      </c>
      <c r="AJ98" s="19">
        <f t="shared" ref="AJ98" si="32">IF(AB98&gt;2025,IF(AB98&lt;2031,AE98,0),0)+IF(AC98&gt;2025,IF(AC98&lt;2031,AF98,0),0)</f>
        <v>0</v>
      </c>
      <c r="AK98" s="19">
        <f t="shared" ref="AK98" si="33">IF(AB98&gt;2030,IF(AB98&lt;2041,AE98,0),0)+IF(AC98&gt;2030,IF(AC98&lt;2041,AF98,0),0)</f>
        <v>0</v>
      </c>
      <c r="AL98" s="19">
        <f>IF(AB98&gt;2040,Z98+Z98*'Data-CostAssumptions'!$G$5,0)</f>
        <v>0</v>
      </c>
    </row>
    <row r="99" spans="2:38" ht="15" customHeight="1" x14ac:dyDescent="0.2">
      <c r="B99" s="11" t="s">
        <v>1211</v>
      </c>
      <c r="D99" s="13" t="s">
        <v>276</v>
      </c>
      <c r="E99" s="14" t="s">
        <v>1467</v>
      </c>
      <c r="F99" s="14"/>
      <c r="G99" s="20">
        <v>1718</v>
      </c>
      <c r="H99" s="13" t="s">
        <v>2999</v>
      </c>
      <c r="I99" s="13" t="str">
        <f t="shared" si="25"/>
        <v>Wave Streetcar Expansion (Andrews Av to Eisenhower Bl via SE 17th St)</v>
      </c>
      <c r="J99" s="11" t="s">
        <v>347</v>
      </c>
      <c r="K99" s="13" t="str">
        <f>VLOOKUP(J99,'Data-ProjectTypes'!A$3:B$13,2,FALSE)</f>
        <v>Project</v>
      </c>
      <c r="L99" s="11" t="s">
        <v>3174</v>
      </c>
      <c r="M99" s="11" t="s">
        <v>2014</v>
      </c>
      <c r="N99" s="11" t="s">
        <v>2921</v>
      </c>
      <c r="O99" s="13"/>
      <c r="P99" s="13"/>
      <c r="Q99" s="15">
        <v>1.6</v>
      </c>
      <c r="R99" s="16">
        <v>60000000</v>
      </c>
      <c r="S99" s="12"/>
      <c r="T99" s="12"/>
      <c r="U99" s="12"/>
      <c r="V99" s="12" t="s">
        <v>1138</v>
      </c>
      <c r="W99" s="12"/>
      <c r="X99" s="12"/>
      <c r="Y99" s="12" t="s">
        <v>2202</v>
      </c>
      <c r="Z99" s="18">
        <f>ROUND(R99*'Data-CostAssumptions'!$C$19,-3)</f>
        <v>60000000</v>
      </c>
      <c r="AA99" s="11">
        <f t="shared" si="17"/>
        <v>1</v>
      </c>
      <c r="AB99" s="11">
        <v>2041</v>
      </c>
      <c r="AC99" s="11">
        <v>2041</v>
      </c>
      <c r="AD99" s="11">
        <v>2041</v>
      </c>
      <c r="AE99" s="19">
        <f>ROUND((Z99*'Data-CostAssumptions'!$G$5)*(1+'Data-CostAssumptions'!$G$3)^(AB99-'Data-CostAssumptions'!$G$4),-3)</f>
        <v>33844000</v>
      </c>
      <c r="AF99" s="19">
        <f>ROUND((Z99)*(1+'Data-CostAssumptions'!$G$3)^(AD99-'Data-CostAssumptions'!$G$4),-3)</f>
        <v>153837000</v>
      </c>
      <c r="AG99" s="170" t="str">
        <f t="shared" si="19"/>
        <v>No</v>
      </c>
      <c r="AH99" s="19">
        <f t="shared" si="20"/>
        <v>0</v>
      </c>
      <c r="AI99" s="19">
        <f t="shared" si="21"/>
        <v>0</v>
      </c>
      <c r="AJ99" s="19">
        <f t="shared" si="22"/>
        <v>0</v>
      </c>
      <c r="AK99" s="19">
        <f t="shared" si="23"/>
        <v>0</v>
      </c>
      <c r="AL99" s="19">
        <f>IF(AB99&gt;2040,Z99+Z99*'Data-CostAssumptions'!$G$5,0)</f>
        <v>73200000</v>
      </c>
    </row>
    <row r="100" spans="2:38" ht="15" customHeight="1" x14ac:dyDescent="0.2">
      <c r="D100" s="13"/>
      <c r="E100" s="14"/>
      <c r="F100" s="14"/>
      <c r="G100" s="20"/>
      <c r="H100" s="13"/>
      <c r="I100" s="13"/>
      <c r="K100" s="13"/>
      <c r="Q100" s="15"/>
      <c r="R100" s="16"/>
      <c r="S100" s="12"/>
      <c r="T100" s="12"/>
      <c r="U100" s="12"/>
      <c r="V100" s="12"/>
      <c r="W100" s="12"/>
      <c r="X100" s="12"/>
      <c r="Y100" s="12"/>
      <c r="Z100" s="18"/>
      <c r="AE100" s="19"/>
      <c r="AF100" s="19"/>
      <c r="AG100" s="170" t="s">
        <v>25</v>
      </c>
      <c r="AH100" s="19"/>
      <c r="AI100" s="19"/>
      <c r="AJ100" s="19"/>
      <c r="AK100" s="19"/>
      <c r="AL100" s="19"/>
    </row>
    <row r="101" spans="2:38" ht="15" customHeight="1" x14ac:dyDescent="0.2">
      <c r="B101" s="11" t="s">
        <v>1211</v>
      </c>
      <c r="C101" s="11">
        <v>12024</v>
      </c>
      <c r="D101" s="13" t="s">
        <v>292</v>
      </c>
      <c r="E101" s="14"/>
      <c r="F101" s="14"/>
      <c r="G101" s="20">
        <v>1107</v>
      </c>
      <c r="H101" s="13" t="s">
        <v>425</v>
      </c>
      <c r="I101" s="13" t="str">
        <f t="shared" si="25"/>
        <v>Parking Garage (Sample Rd to University Dr )</v>
      </c>
      <c r="J101" s="11" t="s">
        <v>347</v>
      </c>
      <c r="K101" s="13" t="str">
        <f>VLOOKUP(J101,'Data-ProjectTypes'!A$3:B$13,2,FALSE)</f>
        <v>Project</v>
      </c>
      <c r="M101" s="11" t="s">
        <v>1864</v>
      </c>
      <c r="N101" s="11" t="s">
        <v>2648</v>
      </c>
      <c r="O101" s="13"/>
      <c r="P101" s="13"/>
      <c r="Q101" s="15"/>
      <c r="R101" s="16">
        <v>4150000</v>
      </c>
      <c r="S101" s="12"/>
      <c r="T101" s="12"/>
      <c r="U101" s="12"/>
      <c r="V101" s="12" t="s">
        <v>662</v>
      </c>
      <c r="W101" s="12"/>
      <c r="X101" s="12"/>
      <c r="Y101" s="12"/>
      <c r="Z101" s="18">
        <f>ROUND(R101*'Data-CostAssumptions'!$C$10,-3)</f>
        <v>4150000</v>
      </c>
      <c r="AA101" s="11">
        <f t="shared" si="17"/>
        <v>1</v>
      </c>
      <c r="AB101" s="11">
        <v>2041</v>
      </c>
      <c r="AC101" s="11">
        <v>2041</v>
      </c>
      <c r="AD101" s="11">
        <f t="shared" ref="AD101" si="34">+AC101</f>
        <v>2041</v>
      </c>
      <c r="AE101" s="19">
        <f>ROUND((Z101*'Data-CostAssumptions'!$G$5)*(1+'Data-CostAssumptions'!$G$3)^(AB101-'Data-CostAssumptions'!$G$4),-3)</f>
        <v>2341000</v>
      </c>
      <c r="AF101" s="19">
        <f>ROUND((Z101)*(1+'Data-CostAssumptions'!$G$3)^(AD101-'Data-CostAssumptions'!$G$4),-3)</f>
        <v>10640000</v>
      </c>
      <c r="AG101" s="170" t="str">
        <f t="shared" si="19"/>
        <v>No</v>
      </c>
      <c r="AH101" s="19">
        <f t="shared" si="20"/>
        <v>0</v>
      </c>
      <c r="AI101" s="19">
        <f t="shared" si="21"/>
        <v>0</v>
      </c>
      <c r="AJ101" s="19">
        <f t="shared" si="22"/>
        <v>0</v>
      </c>
      <c r="AK101" s="19">
        <f t="shared" si="23"/>
        <v>0</v>
      </c>
      <c r="AL101" s="19">
        <f>IF(AB101&gt;2040,Z101+Z101*'Data-CostAssumptions'!$G$5,0)</f>
        <v>5063000</v>
      </c>
    </row>
    <row r="102" spans="2:38" ht="15" customHeight="1" x14ac:dyDescent="0.2">
      <c r="D102" s="13"/>
      <c r="E102" s="14"/>
      <c r="F102" s="14"/>
      <c r="G102" s="20"/>
      <c r="H102" s="13"/>
      <c r="I102" s="13"/>
      <c r="K102" s="13"/>
      <c r="O102" s="13"/>
      <c r="P102" s="13"/>
      <c r="Q102" s="15"/>
      <c r="R102" s="16"/>
      <c r="S102" s="12"/>
      <c r="T102" s="12"/>
      <c r="U102" s="12"/>
      <c r="V102" s="12"/>
      <c r="W102" s="12"/>
      <c r="X102" s="12"/>
      <c r="Y102" s="12"/>
      <c r="Z102" s="18"/>
      <c r="AH102" s="19">
        <f>SUM(AH2:AH101)</f>
        <v>83216000</v>
      </c>
      <c r="AI102" s="19">
        <f>SUM(AI2:AI101)</f>
        <v>192557000</v>
      </c>
      <c r="AJ102" s="19">
        <f>SUM(AJ2:AJ101)</f>
        <v>178432000</v>
      </c>
      <c r="AK102" s="19">
        <f>SUM(AK2:AK101)</f>
        <v>386152000</v>
      </c>
      <c r="AL102" s="19">
        <f>SUM(AL2:AL101)</f>
        <v>4435848020</v>
      </c>
    </row>
    <row r="103" spans="2:38" ht="15" customHeight="1" x14ac:dyDescent="0.2">
      <c r="D103" s="13"/>
      <c r="E103" s="14"/>
      <c r="F103" s="14"/>
      <c r="G103" s="20"/>
      <c r="H103" s="13"/>
      <c r="I103" s="13"/>
      <c r="K103" s="13"/>
      <c r="O103" s="13"/>
      <c r="P103" s="13"/>
      <c r="Q103" s="15"/>
      <c r="R103" s="16"/>
      <c r="S103" s="12"/>
      <c r="T103" s="12"/>
      <c r="U103" s="12"/>
      <c r="V103" s="12"/>
      <c r="W103" s="12"/>
      <c r="X103" s="12"/>
      <c r="Y103" s="12"/>
      <c r="Z103" s="18"/>
    </row>
    <row r="104" spans="2:38" ht="15" customHeight="1" x14ac:dyDescent="0.2">
      <c r="D104" s="13"/>
      <c r="E104" s="14"/>
      <c r="F104" s="14"/>
      <c r="G104" s="20"/>
      <c r="H104" s="13"/>
      <c r="I104" s="13"/>
      <c r="K104" s="13"/>
      <c r="O104" s="13"/>
      <c r="P104" s="13"/>
      <c r="Q104" s="15"/>
      <c r="R104" s="23"/>
      <c r="S104" s="12"/>
      <c r="T104" s="12"/>
      <c r="U104" s="12"/>
      <c r="V104" s="12"/>
      <c r="W104" s="12"/>
      <c r="X104" s="12"/>
      <c r="Y104" s="12"/>
      <c r="Z104" s="18"/>
    </row>
    <row r="105" spans="2:38" ht="15" customHeight="1" x14ac:dyDescent="0.2">
      <c r="D105" s="13"/>
      <c r="E105" s="14"/>
      <c r="F105" s="14"/>
      <c r="G105" s="20"/>
      <c r="H105" s="13"/>
      <c r="I105" s="13"/>
      <c r="K105" s="13"/>
      <c r="O105" s="13"/>
      <c r="P105" s="13"/>
      <c r="Q105" s="15"/>
      <c r="R105" s="16"/>
      <c r="S105" s="12"/>
      <c r="T105" s="12"/>
      <c r="U105" s="12"/>
      <c r="V105" s="12"/>
      <c r="W105" s="12"/>
      <c r="X105" s="12"/>
      <c r="Y105" s="12"/>
      <c r="Z105" s="18"/>
    </row>
  </sheetData>
  <sortState ref="A2:XFC103">
    <sortCondition ref="L2:L103"/>
    <sortCondition ref="I2:I103"/>
  </sortState>
  <conditionalFormatting sqref="H12:I12 H14:I14 H16:I18 H20:I20 H25:I27 H22:I23 H7:I9 H37:I39 H2:I5">
    <cfRule type="expression" dxfId="82" priority="77">
      <formula>B2="KILL"</formula>
    </cfRule>
  </conditionalFormatting>
  <conditionalFormatting sqref="N7:N9 M12:N12">
    <cfRule type="expression" dxfId="81" priority="76">
      <formula>H7="KILL"</formula>
    </cfRule>
  </conditionalFormatting>
  <conditionalFormatting sqref="AB99:AD101 AB2:AD32 AB35:AD96">
    <cfRule type="cellIs" dxfId="80" priority="67" operator="lessThan">
      <formula>2041</formula>
    </cfRule>
  </conditionalFormatting>
  <conditionalFormatting sqref="AG2:AG96 AG99:AG101">
    <cfRule type="cellIs" dxfId="79" priority="66" operator="equal">
      <formula>"Yes"</formula>
    </cfRule>
  </conditionalFormatting>
  <conditionalFormatting sqref="H10:I10">
    <cfRule type="expression" dxfId="78" priority="65">
      <formula>B10="KILL"</formula>
    </cfRule>
  </conditionalFormatting>
  <conditionalFormatting sqref="H13:I13">
    <cfRule type="expression" dxfId="77" priority="64">
      <formula>B13="KILL"</formula>
    </cfRule>
  </conditionalFormatting>
  <conditionalFormatting sqref="H15:I15">
    <cfRule type="expression" dxfId="76" priority="63">
      <formula>B15="KILL"</formula>
    </cfRule>
  </conditionalFormatting>
  <conditionalFormatting sqref="H11:I11">
    <cfRule type="expression" dxfId="75" priority="62">
      <formula>B11="KILL"</formula>
    </cfRule>
  </conditionalFormatting>
  <conditionalFormatting sqref="H19:I19">
    <cfRule type="expression" dxfId="74" priority="61">
      <formula>B19="KILL"</formula>
    </cfRule>
  </conditionalFormatting>
  <conditionalFormatting sqref="H24:I24">
    <cfRule type="expression" dxfId="73" priority="60">
      <formula>B24="KILL"</formula>
    </cfRule>
  </conditionalFormatting>
  <conditionalFormatting sqref="H21:I21">
    <cfRule type="expression" dxfId="72" priority="59">
      <formula>B21="KILL"</formula>
    </cfRule>
  </conditionalFormatting>
  <conditionalFormatting sqref="H6:I6">
    <cfRule type="expression" dxfId="71" priority="58">
      <formula>B6="KILL"</formula>
    </cfRule>
  </conditionalFormatting>
  <conditionalFormatting sqref="BG34:BH34 CG34:CH34 DG34:DH34 EG34:EH34 FG34:FH34 GG34:GH34 HG34:HH34 IG34:IH34 JG34:JH34 KG34:KH34 LG34:LH34 MG34:MH34 NG34:NH34 OG34:OH34 PG34:PH34 QG34:QH34 RG34:RH34 SG34:SH34 TG34:TH34 UG34:UH34 VG34:VH34 WG34:WH34 XG34:XH34 YG34:YH34 ZG34:ZH34 AAG34:AAH34 ABG34:ABH34 ACG34:ACH34 ADG34:ADH34 AEG34:AEH34 AFG34:AFH34 AGG34:AGH34 AHG34:AHH34 AIG34:AIH34 AJG34:AJH34 AKG34:AKH34 ALG34:ALH34 AMG34:AMH34 ANG34:ANH34 AOG34:AOH34 APG34:APH34 AQG34:AQH34 ARG34:ARH34 ASG34:ASH34 ATG34:ATH34 AUG34:AUH34 AVG34:AVH34 AWG34:AWH34 AXG34:AXH34 AYG34:AYH34 AZG34:AZH34 BAG34:BAH34 BBG34:BBH34 BCG34:BCH34 BDG34:BDH34 BEG34:BEH34 BFG34:BFH34 BGG34:BGH34 BHG34:BHH34 BIG34:BIH34 BJG34:BJH34 BKG34:BKH34 BLG34:BLH34 BMG34:BMH34 BNG34:BNH34 BOG34:BOH34 BPG34:BPH34 BQG34:BQH34 BRG34:BRH34 BSG34:BSH34 BTG34:BTH34 BUG34:BUH34 BVG34:BVH34 BWG34:BWH34 BXG34:BXH34 BYG34:BYH34 BZG34:BZH34 CAG34:CAH34 CBG34:CBH34 CCG34:CCH34 CDG34:CDH34 CEG34:CEH34 CFG34:CFH34 CGG34:CGH34 CHG34:CHH34 CIG34:CIH34 CJG34:CJH34 CKG34:CKH34 CLG34:CLH34 CMG34:CMH34 CNG34:CNH34 COG34:COH34 CPG34:CPH34 CQG34:CQH34 CRG34:CRH34 CSG34:CSH34 CTG34:CTH34 CUG34:CUH34 CVG34:CVH34 CWG34:CWH34 CXG34:CXH34 CYG34:CYH34 CZG34:CZH34 DAG34:DAH34 DBG34:DBH34 DCG34:DCH34 DDG34:DDH34 DEG34:DEH34 DFG34:DFH34 DGG34:DGH34 DHG34:DHH34 DIG34:DIH34 DJG34:DJH34 DKG34:DKH34 DLG34:DLH34 DMG34:DMH34 DNG34:DNH34 DOG34:DOH34 DPG34:DPH34 DQG34:DQH34 DRG34:DRH34 DSG34:DSH34 DTG34:DTH34 DUG34:DUH34 DVG34:DVH34 DWG34:DWH34 DXG34:DXH34 DYG34:DYH34 DZG34:DZH34 EAG34:EAH34 EBG34:EBH34 ECG34:ECH34 EDG34:EDH34 EEG34:EEH34 EFG34:EFH34 EGG34:EGH34 EHG34:EHH34 EIG34:EIH34 EJG34:EJH34 EKG34:EKH34 ELG34:ELH34 EMG34:EMH34 ENG34:ENH34 EOG34:EOH34 EPG34:EPH34 EQG34:EQH34 ERG34:ERH34 ESG34:ESH34 ETG34:ETH34 EUG34:EUH34 EVG34:EVH34 EWG34:EWH34 EXG34:EXH34 EYG34:EYH34 EZG34:EZH34 FAG34:FAH34 FBG34:FBH34 FCG34:FCH34 FDG34:FDH34 FEG34:FEH34 FFG34:FFH34 FGG34:FGH34 FHG34:FHH34 FIG34:FIH34 FJG34:FJH34 FKG34:FKH34 FLG34:FLH34 FMG34:FMH34 FNG34:FNH34 FOG34:FOH34 FPG34:FPH34 FQG34:FQH34 FRG34:FRH34 FSG34:FSH34 FTG34:FTH34 FUG34:FUH34 FVG34:FVH34 FWG34:FWH34 FXG34:FXH34 FYG34:FYH34 FZG34:FZH34 GAG34:GAH34 GBG34:GBH34 GCG34:GCH34 GDG34:GDH34 GEG34:GEH34 GFG34:GFH34 GGG34:GGH34 GHG34:GHH34 GIG34:GIH34 GJG34:GJH34 GKG34:GKH34 GLG34:GLH34 GMG34:GMH34 GNG34:GNH34 GOG34:GOH34 GPG34:GPH34 GQG34:GQH34 GRG34:GRH34 GSG34:GSH34 GTG34:GTH34 GUG34:GUH34 GVG34:GVH34 GWG34:GWH34 GXG34:GXH34 GYG34:GYH34 GZG34:GZH34 HAG34:HAH34 HBG34:HBH34 HCG34:HCH34 HDG34:HDH34 HEG34:HEH34 HFG34:HFH34 HGG34:HGH34 HHG34:HHH34 HIG34:HIH34 HJG34:HJH34 HKG34:HKH34 HLG34:HLH34 HMG34:HMH34 HNG34:HNH34 HOG34:HOH34 HPG34:HPH34 HQG34:HQH34 HRG34:HRH34 HSG34:HSH34 HTG34:HTH34 HUG34:HUH34 HVG34:HVH34 HWG34:HWH34 HXG34:HXH34 HYG34:HYH34 HZG34:HZH34 IAG34:IAH34 IBG34:IBH34 ICG34:ICH34 IDG34:IDH34 IEG34:IEH34 IFG34:IFH34 IGG34:IGH34 IHG34:IHH34 IIG34:IIH34 IJG34:IJH34 IKG34:IKH34 ILG34:ILH34 IMG34:IMH34 ING34:INH34 IOG34:IOH34 IPG34:IPH34 IQG34:IQH34 IRG34:IRH34 ISG34:ISH34 ITG34:ITH34 IUG34:IUH34 IVG34:IVH34 IWG34:IWH34 IXG34:IXH34 IYG34:IYH34 IZG34:IZH34 JAG34:JAH34 JBG34:JBH34 JCG34:JCH34 JDG34:JDH34 JEG34:JEH34 JFG34:JFH34 JGG34:JGH34 JHG34:JHH34 JIG34:JIH34 JJG34:JJH34 JKG34:JKH34 JLG34:JLH34 JMG34:JMH34 JNG34:JNH34 JOG34:JOH34 JPG34:JPH34 JQG34:JQH34 JRG34:JRH34 JSG34:JSH34 JTG34:JTH34 JUG34:JUH34 JVG34:JVH34 JWG34:JWH34 JXG34:JXH34 JYG34:JYH34 JZG34:JZH34 KAG34:KAH34 KBG34:KBH34 KCG34:KCH34 KDG34:KDH34 KEG34:KEH34 KFG34:KFH34 KGG34:KGH34 KHG34:KHH34 KIG34:KIH34 KJG34:KJH34 KKG34:KKH34 KLG34:KLH34 KMG34:KMH34 KNG34:KNH34 KOG34:KOH34 KPG34:KPH34 KQG34:KQH34 KRG34:KRH34 KSG34:KSH34 KTG34:KTH34 KUG34:KUH34 KVG34:KVH34 KWG34:KWH34 KXG34:KXH34 KYG34:KYH34 KZG34:KZH34 LAG34:LAH34 LBG34:LBH34 LCG34:LCH34 LDG34:LDH34 LEG34:LEH34 LFG34:LFH34 LGG34:LGH34 LHG34:LHH34 LIG34:LIH34 LJG34:LJH34 LKG34:LKH34 LLG34:LLH34 LMG34:LMH34 LNG34:LNH34 LOG34:LOH34 LPG34:LPH34 LQG34:LQH34 LRG34:LRH34 LSG34:LSH34 LTG34:LTH34 LUG34:LUH34 LVG34:LVH34 LWG34:LWH34 LXG34:LXH34 LYG34:LYH34 LZG34:LZH34 MAG34:MAH34 MBG34:MBH34 MCG34:MCH34 MDG34:MDH34 MEG34:MEH34 MFG34:MFH34 MGG34:MGH34 MHG34:MHH34 MIG34:MIH34 MJG34:MJH34 MKG34:MKH34 MLG34:MLH34 MMG34:MMH34 MNG34:MNH34 MOG34:MOH34 MPG34:MPH34 MQG34:MQH34 MRG34:MRH34 MSG34:MSH34 MTG34:MTH34 MUG34:MUH34 MVG34:MVH34 MWG34:MWH34 MXG34:MXH34 MYG34:MYH34 MZG34:MZH34 NAG34:NAH34 NBG34:NBH34 NCG34:NCH34 NDG34:NDH34 NEG34:NEH34 NFG34:NFH34 NGG34:NGH34 NHG34:NHH34 NIG34:NIH34 NJG34:NJH34 NKG34:NKH34 NLG34:NLH34 NMG34:NMH34 NNG34:NNH34 NOG34:NOH34 NPG34:NPH34 NQG34:NQH34 NRG34:NRH34 NSG34:NSH34 NTG34:NTH34 NUG34:NUH34 NVG34:NVH34 NWG34:NWH34 NXG34:NXH34 NYG34:NYH34 NZG34:NZH34 OAG34:OAH34 OBG34:OBH34 OCG34:OCH34 ODG34:ODH34 OEG34:OEH34 OFG34:OFH34 OGG34:OGH34 OHG34:OHH34 OIG34:OIH34 OJG34:OJH34 OKG34:OKH34 OLG34:OLH34 OMG34:OMH34 ONG34:ONH34 OOG34:OOH34 OPG34:OPH34 OQG34:OQH34 ORG34:ORH34 OSG34:OSH34 OTG34:OTH34 OUG34:OUH34 OVG34:OVH34 OWG34:OWH34 OXG34:OXH34 OYG34:OYH34 OZG34:OZH34 PAG34:PAH34 PBG34:PBH34 PCG34:PCH34 PDG34:PDH34 PEG34:PEH34 PFG34:PFH34 PGG34:PGH34 PHG34:PHH34 PIG34:PIH34 PJG34:PJH34 PKG34:PKH34 PLG34:PLH34 PMG34:PMH34 PNG34:PNH34 POG34:POH34 PPG34:PPH34 PQG34:PQH34 PRG34:PRH34 PSG34:PSH34 PTG34:PTH34 PUG34:PUH34 PVG34:PVH34 PWG34:PWH34 PXG34:PXH34 PYG34:PYH34 PZG34:PZH34 QAG34:QAH34 QBG34:QBH34 QCG34:QCH34 QDG34:QDH34 QEG34:QEH34 QFG34:QFH34 QGG34:QGH34 QHG34:QHH34 QIG34:QIH34 QJG34:QJH34 QKG34:QKH34 QLG34:QLH34 QMG34:QMH34 QNG34:QNH34 QOG34:QOH34 QPG34:QPH34 QQG34:QQH34 QRG34:QRH34 QSG34:QSH34 QTG34:QTH34 QUG34:QUH34 QVG34:QVH34 QWG34:QWH34 QXG34:QXH34 QYG34:QYH34 QZG34:QZH34 RAG34:RAH34 RBG34:RBH34 RCG34:RCH34 RDG34:RDH34 REG34:REH34 RFG34:RFH34 RGG34:RGH34 RHG34:RHH34 RIG34:RIH34 RJG34:RJH34 RKG34:RKH34 RLG34:RLH34 RMG34:RMH34 RNG34:RNH34 ROG34:ROH34 RPG34:RPH34 RQG34:RQH34 RRG34:RRH34 RSG34:RSH34 RTG34:RTH34 RUG34:RUH34 RVG34:RVH34 RWG34:RWH34 RXG34:RXH34 RYG34:RYH34 RZG34:RZH34 SAG34:SAH34 SBG34:SBH34 SCG34:SCH34 SDG34:SDH34 SEG34:SEH34 SFG34:SFH34 SGG34:SGH34 SHG34:SHH34 SIG34:SIH34 SJG34:SJH34 SKG34:SKH34 SLG34:SLH34 SMG34:SMH34 SNG34:SNH34 SOG34:SOH34 SPG34:SPH34 SQG34:SQH34 SRG34:SRH34 SSG34:SSH34 STG34:STH34 SUG34:SUH34 SVG34:SVH34 SWG34:SWH34 SXG34:SXH34 SYG34:SYH34 SZG34:SZH34 TAG34:TAH34 TBG34:TBH34 TCG34:TCH34 TDG34:TDH34 TEG34:TEH34 TFG34:TFH34 TGG34:TGH34 THG34:THH34 TIG34:TIH34 TJG34:TJH34 TKG34:TKH34 TLG34:TLH34 TMG34:TMH34 TNG34:TNH34 TOG34:TOH34 TPG34:TPH34 TQG34:TQH34 TRG34:TRH34 TSG34:TSH34 TTG34:TTH34 TUG34:TUH34 TVG34:TVH34 TWG34:TWH34 TXG34:TXH34 TYG34:TYH34 TZG34:TZH34 UAG34:UAH34 UBG34:UBH34 UCG34:UCH34 UDG34:UDH34 UEG34:UEH34 UFG34:UFH34 UGG34:UGH34 UHG34:UHH34 UIG34:UIH34 UJG34:UJH34 UKG34:UKH34 ULG34:ULH34 UMG34:UMH34 UNG34:UNH34 UOG34:UOH34 UPG34:UPH34 UQG34:UQH34 URG34:URH34 USG34:USH34 UTG34:UTH34 UUG34:UUH34 UVG34:UVH34 UWG34:UWH34 UXG34:UXH34 UYG34:UYH34 UZG34:UZH34 VAG34:VAH34 VBG34:VBH34 VCG34:VCH34 VDG34:VDH34 VEG34:VEH34 VFG34:VFH34 VGG34:VGH34 VHG34:VHH34 VIG34:VIH34 VJG34:VJH34 VKG34:VKH34 VLG34:VLH34 VMG34:VMH34 VNG34:VNH34 VOG34:VOH34 VPG34:VPH34 VQG34:VQH34 VRG34:VRH34 VSG34:VSH34 VTG34:VTH34 VUG34:VUH34 VVG34:VVH34 VWG34:VWH34 VXG34:VXH34 VYG34:VYH34 VZG34:VZH34 WAG34:WAH34 WBG34:WBH34 WCG34:WCH34 WDG34:WDH34 WEG34:WEH34 WFG34:WFH34 WGG34:WGH34 WHG34:WHH34 WIG34:WIH34 WJG34:WJH34 WKG34:WKH34 WLG34:WLH34 WMG34:WMH34 WNG34:WNH34 WOG34:WOH34 WPG34:WPH34 WQG34:WQH34 WRG34:WRH34 WSG34:WSH34 WTG34:WTH34 WUG34:WUH34 WVG34:WVH34 WWG34:WWH34 WXG34:WXH34 WYG34:WYH34 WZG34:WZH34 XAG34:XAH34 XBG34:XBH34 XCG34:XCH34 XDG34:XDH34 XEG34:XEH34">
    <cfRule type="expression" dxfId="70" priority="57">
      <formula>BA34="KILL"</formula>
    </cfRule>
  </conditionalFormatting>
  <conditionalFormatting sqref="BG33:BH33 CG33:CH33 DG33:DH33 EG33:EH33 FG33:FH33 GG33:GH33 HG33:HH33 IG33:IH33 JG33:JH33 KG33:KH33 LG33:LH33 MG33:MH33 NG33:NH33 OG33:OH33 PG33:PH33 QG33:QH33 RG33:RH33 SG33:SH33 TG33:TH33 UG33:UH33 VG33:VH33 WG33:WH33 XG33:XH33 YG33:YH33 ZG33:ZH33 AAG33:AAH33 ABG33:ABH33 ACG33:ACH33 ADG33:ADH33 AEG33:AEH33 AFG33:AFH33 AGG33:AGH33 AHG33:AHH33 AIG33:AIH33 AJG33:AJH33 AKG33:AKH33 ALG33:ALH33 AMG33:AMH33 ANG33:ANH33 AOG33:AOH33 APG33:APH33 AQG33:AQH33 ARG33:ARH33 ASG33:ASH33 ATG33:ATH33 AUG33:AUH33 AVG33:AVH33 AWG33:AWH33 AXG33:AXH33 AYG33:AYH33 AZG33:AZH33 BAG33:BAH33 BBG33:BBH33 BCG33:BCH33 BDG33:BDH33 BEG33:BEH33 BFG33:BFH33 BGG33:BGH33 BHG33:BHH33 BIG33:BIH33 BJG33:BJH33 BKG33:BKH33 BLG33:BLH33 BMG33:BMH33 BNG33:BNH33 BOG33:BOH33 BPG33:BPH33 BQG33:BQH33 BRG33:BRH33 BSG33:BSH33 BTG33:BTH33 BUG33:BUH33 BVG33:BVH33 BWG33:BWH33 BXG33:BXH33 BYG33:BYH33 BZG33:BZH33 CAG33:CAH33 CBG33:CBH33 CCG33:CCH33 CDG33:CDH33 CEG33:CEH33 CFG33:CFH33 CGG33:CGH33 CHG33:CHH33 CIG33:CIH33 CJG33:CJH33 CKG33:CKH33 CLG33:CLH33 CMG33:CMH33 CNG33:CNH33 COG33:COH33 CPG33:CPH33 CQG33:CQH33 CRG33:CRH33 CSG33:CSH33 CTG33:CTH33 CUG33:CUH33 CVG33:CVH33 CWG33:CWH33 CXG33:CXH33 CYG33:CYH33 CZG33:CZH33 DAG33:DAH33 DBG33:DBH33 DCG33:DCH33 DDG33:DDH33 DEG33:DEH33 DFG33:DFH33 DGG33:DGH33 DHG33:DHH33 DIG33:DIH33 DJG33:DJH33 DKG33:DKH33 DLG33:DLH33 DMG33:DMH33 DNG33:DNH33 DOG33:DOH33 DPG33:DPH33 DQG33:DQH33 DRG33:DRH33 DSG33:DSH33 DTG33:DTH33 DUG33:DUH33 DVG33:DVH33 DWG33:DWH33 DXG33:DXH33 DYG33:DYH33 DZG33:DZH33 EAG33:EAH33 EBG33:EBH33 ECG33:ECH33 EDG33:EDH33 EEG33:EEH33 EFG33:EFH33 EGG33:EGH33 EHG33:EHH33 EIG33:EIH33 EJG33:EJH33 EKG33:EKH33 ELG33:ELH33 EMG33:EMH33 ENG33:ENH33 EOG33:EOH33 EPG33:EPH33 EQG33:EQH33 ERG33:ERH33 ESG33:ESH33 ETG33:ETH33 EUG33:EUH33 EVG33:EVH33 EWG33:EWH33 EXG33:EXH33 EYG33:EYH33 EZG33:EZH33 FAG33:FAH33 FBG33:FBH33 FCG33:FCH33 FDG33:FDH33 FEG33:FEH33 FFG33:FFH33 FGG33:FGH33 FHG33:FHH33 FIG33:FIH33 FJG33:FJH33 FKG33:FKH33 FLG33:FLH33 FMG33:FMH33 FNG33:FNH33 FOG33:FOH33 FPG33:FPH33 FQG33:FQH33 FRG33:FRH33 FSG33:FSH33 FTG33:FTH33 FUG33:FUH33 FVG33:FVH33 FWG33:FWH33 FXG33:FXH33 FYG33:FYH33 FZG33:FZH33 GAG33:GAH33 GBG33:GBH33 GCG33:GCH33 GDG33:GDH33 GEG33:GEH33 GFG33:GFH33 GGG33:GGH33 GHG33:GHH33 GIG33:GIH33 GJG33:GJH33 GKG33:GKH33 GLG33:GLH33 GMG33:GMH33 GNG33:GNH33 GOG33:GOH33 GPG33:GPH33 GQG33:GQH33 GRG33:GRH33 GSG33:GSH33 GTG33:GTH33 GUG33:GUH33 GVG33:GVH33 GWG33:GWH33 GXG33:GXH33 GYG33:GYH33 GZG33:GZH33 HAG33:HAH33 HBG33:HBH33 HCG33:HCH33 HDG33:HDH33 HEG33:HEH33 HFG33:HFH33 HGG33:HGH33 HHG33:HHH33 HIG33:HIH33 HJG33:HJH33 HKG33:HKH33 HLG33:HLH33 HMG33:HMH33 HNG33:HNH33 HOG33:HOH33 HPG33:HPH33 HQG33:HQH33 HRG33:HRH33 HSG33:HSH33 HTG33:HTH33 HUG33:HUH33 HVG33:HVH33 HWG33:HWH33 HXG33:HXH33 HYG33:HYH33 HZG33:HZH33 IAG33:IAH33 IBG33:IBH33 ICG33:ICH33 IDG33:IDH33 IEG33:IEH33 IFG33:IFH33 IGG33:IGH33 IHG33:IHH33 IIG33:IIH33 IJG33:IJH33 IKG33:IKH33 ILG33:ILH33 IMG33:IMH33 ING33:INH33 IOG33:IOH33 IPG33:IPH33 IQG33:IQH33 IRG33:IRH33 ISG33:ISH33 ITG33:ITH33 IUG33:IUH33 IVG33:IVH33 IWG33:IWH33 IXG33:IXH33 IYG33:IYH33 IZG33:IZH33 JAG33:JAH33 JBG33:JBH33 JCG33:JCH33 JDG33:JDH33 JEG33:JEH33 JFG33:JFH33 JGG33:JGH33 JHG33:JHH33 JIG33:JIH33 JJG33:JJH33 JKG33:JKH33 JLG33:JLH33 JMG33:JMH33 JNG33:JNH33 JOG33:JOH33 JPG33:JPH33 JQG33:JQH33 JRG33:JRH33 JSG33:JSH33 JTG33:JTH33 JUG33:JUH33 JVG33:JVH33 JWG33:JWH33 JXG33:JXH33 JYG33:JYH33 JZG33:JZH33 KAG33:KAH33 KBG33:KBH33 KCG33:KCH33 KDG33:KDH33 KEG33:KEH33 KFG33:KFH33 KGG33:KGH33 KHG33:KHH33 KIG33:KIH33 KJG33:KJH33 KKG33:KKH33 KLG33:KLH33 KMG33:KMH33 KNG33:KNH33 KOG33:KOH33 KPG33:KPH33 KQG33:KQH33 KRG33:KRH33 KSG33:KSH33 KTG33:KTH33 KUG33:KUH33 KVG33:KVH33 KWG33:KWH33 KXG33:KXH33 KYG33:KYH33 KZG33:KZH33 LAG33:LAH33 LBG33:LBH33 LCG33:LCH33 LDG33:LDH33 LEG33:LEH33 LFG33:LFH33 LGG33:LGH33 LHG33:LHH33 LIG33:LIH33 LJG33:LJH33 LKG33:LKH33 LLG33:LLH33 LMG33:LMH33 LNG33:LNH33 LOG33:LOH33 LPG33:LPH33 LQG33:LQH33 LRG33:LRH33 LSG33:LSH33 LTG33:LTH33 LUG33:LUH33 LVG33:LVH33 LWG33:LWH33 LXG33:LXH33 LYG33:LYH33 LZG33:LZH33 MAG33:MAH33 MBG33:MBH33 MCG33:MCH33 MDG33:MDH33 MEG33:MEH33 MFG33:MFH33 MGG33:MGH33 MHG33:MHH33 MIG33:MIH33 MJG33:MJH33 MKG33:MKH33 MLG33:MLH33 MMG33:MMH33 MNG33:MNH33 MOG33:MOH33 MPG33:MPH33 MQG33:MQH33 MRG33:MRH33 MSG33:MSH33 MTG33:MTH33 MUG33:MUH33 MVG33:MVH33 MWG33:MWH33 MXG33:MXH33 MYG33:MYH33 MZG33:MZH33 NAG33:NAH33 NBG33:NBH33 NCG33:NCH33 NDG33:NDH33 NEG33:NEH33 NFG33:NFH33 NGG33:NGH33 NHG33:NHH33 NIG33:NIH33 NJG33:NJH33 NKG33:NKH33 NLG33:NLH33 NMG33:NMH33 NNG33:NNH33 NOG33:NOH33 NPG33:NPH33 NQG33:NQH33 NRG33:NRH33 NSG33:NSH33 NTG33:NTH33 NUG33:NUH33 NVG33:NVH33 NWG33:NWH33 NXG33:NXH33 NYG33:NYH33 NZG33:NZH33 OAG33:OAH33 OBG33:OBH33 OCG33:OCH33 ODG33:ODH33 OEG33:OEH33 OFG33:OFH33 OGG33:OGH33 OHG33:OHH33 OIG33:OIH33 OJG33:OJH33 OKG33:OKH33 OLG33:OLH33 OMG33:OMH33 ONG33:ONH33 OOG33:OOH33 OPG33:OPH33 OQG33:OQH33 ORG33:ORH33 OSG33:OSH33 OTG33:OTH33 OUG33:OUH33 OVG33:OVH33 OWG33:OWH33 OXG33:OXH33 OYG33:OYH33 OZG33:OZH33 PAG33:PAH33 PBG33:PBH33 PCG33:PCH33 PDG33:PDH33 PEG33:PEH33 PFG33:PFH33 PGG33:PGH33 PHG33:PHH33 PIG33:PIH33 PJG33:PJH33 PKG33:PKH33 PLG33:PLH33 PMG33:PMH33 PNG33:PNH33 POG33:POH33 PPG33:PPH33 PQG33:PQH33 PRG33:PRH33 PSG33:PSH33 PTG33:PTH33 PUG33:PUH33 PVG33:PVH33 PWG33:PWH33 PXG33:PXH33 PYG33:PYH33 PZG33:PZH33 QAG33:QAH33 QBG33:QBH33 QCG33:QCH33 QDG33:QDH33 QEG33:QEH33 QFG33:QFH33 QGG33:QGH33 QHG33:QHH33 QIG33:QIH33 QJG33:QJH33 QKG33:QKH33 QLG33:QLH33 QMG33:QMH33 QNG33:QNH33 QOG33:QOH33 QPG33:QPH33 QQG33:QQH33 QRG33:QRH33 QSG33:QSH33 QTG33:QTH33 QUG33:QUH33 QVG33:QVH33 QWG33:QWH33 QXG33:QXH33 QYG33:QYH33 QZG33:QZH33 RAG33:RAH33 RBG33:RBH33 RCG33:RCH33 RDG33:RDH33 REG33:REH33 RFG33:RFH33 RGG33:RGH33 RHG33:RHH33 RIG33:RIH33 RJG33:RJH33 RKG33:RKH33 RLG33:RLH33 RMG33:RMH33 RNG33:RNH33 ROG33:ROH33 RPG33:RPH33 RQG33:RQH33 RRG33:RRH33 RSG33:RSH33 RTG33:RTH33 RUG33:RUH33 RVG33:RVH33 RWG33:RWH33 RXG33:RXH33 RYG33:RYH33 RZG33:RZH33 SAG33:SAH33 SBG33:SBH33 SCG33:SCH33 SDG33:SDH33 SEG33:SEH33 SFG33:SFH33 SGG33:SGH33 SHG33:SHH33 SIG33:SIH33 SJG33:SJH33 SKG33:SKH33 SLG33:SLH33 SMG33:SMH33 SNG33:SNH33 SOG33:SOH33 SPG33:SPH33 SQG33:SQH33 SRG33:SRH33 SSG33:SSH33 STG33:STH33 SUG33:SUH33 SVG33:SVH33 SWG33:SWH33 SXG33:SXH33 SYG33:SYH33 SZG33:SZH33 TAG33:TAH33 TBG33:TBH33 TCG33:TCH33 TDG33:TDH33 TEG33:TEH33 TFG33:TFH33 TGG33:TGH33 THG33:THH33 TIG33:TIH33 TJG33:TJH33 TKG33:TKH33 TLG33:TLH33 TMG33:TMH33 TNG33:TNH33 TOG33:TOH33 TPG33:TPH33 TQG33:TQH33 TRG33:TRH33 TSG33:TSH33 TTG33:TTH33 TUG33:TUH33 TVG33:TVH33 TWG33:TWH33 TXG33:TXH33 TYG33:TYH33 TZG33:TZH33 UAG33:UAH33 UBG33:UBH33 UCG33:UCH33 UDG33:UDH33 UEG33:UEH33 UFG33:UFH33 UGG33:UGH33 UHG33:UHH33 UIG33:UIH33 UJG33:UJH33 UKG33:UKH33 ULG33:ULH33 UMG33:UMH33 UNG33:UNH33 UOG33:UOH33 UPG33:UPH33 UQG33:UQH33 URG33:URH33 USG33:USH33 UTG33:UTH33 UUG33:UUH33 UVG33:UVH33 UWG33:UWH33 UXG33:UXH33 UYG33:UYH33 UZG33:UZH33 VAG33:VAH33 VBG33:VBH33 VCG33:VCH33 VDG33:VDH33 VEG33:VEH33 VFG33:VFH33 VGG33:VGH33 VHG33:VHH33 VIG33:VIH33 VJG33:VJH33 VKG33:VKH33 VLG33:VLH33 VMG33:VMH33 VNG33:VNH33 VOG33:VOH33 VPG33:VPH33 VQG33:VQH33 VRG33:VRH33 VSG33:VSH33 VTG33:VTH33 VUG33:VUH33 VVG33:VVH33 VWG33:VWH33 VXG33:VXH33 VYG33:VYH33 VZG33:VZH33 WAG33:WAH33 WBG33:WBH33 WCG33:WCH33 WDG33:WDH33 WEG33:WEH33 WFG33:WFH33 WGG33:WGH33 WHG33:WHH33 WIG33:WIH33 WJG33:WJH33 WKG33:WKH33 WLG33:WLH33 WMG33:WMH33 WNG33:WNH33 WOG33:WOH33 WPG33:WPH33 WQG33:WQH33 WRG33:WRH33 WSG33:WSH33 WTG33:WTH33 WUG33:WUH33 WVG33:WVH33 WWG33:WWH33 WXG33:WXH33 WYG33:WYH33 WZG33:WZH33 XAG33:XAH33 XBG33:XBH33 XCG33:XCH33 XDG33:XDH33 XEG33:XEH33">
    <cfRule type="expression" dxfId="69" priority="56">
      <formula>BA33="KILL"</formula>
    </cfRule>
  </conditionalFormatting>
  <conditionalFormatting sqref="H28:I28 H30:I30 H35:I36 H32:I33">
    <cfRule type="expression" dxfId="68" priority="55">
      <formula>B28="KILL"</formula>
    </cfRule>
  </conditionalFormatting>
  <conditionalFormatting sqref="H29:I29">
    <cfRule type="expression" dxfId="67" priority="54">
      <formula>B29="KILL"</formula>
    </cfRule>
  </conditionalFormatting>
  <conditionalFormatting sqref="H34:I34">
    <cfRule type="expression" dxfId="66" priority="53">
      <formula>B34="KILL"</formula>
    </cfRule>
  </conditionalFormatting>
  <conditionalFormatting sqref="H31:I31">
    <cfRule type="expression" dxfId="65" priority="52">
      <formula>B31="KILL"</formula>
    </cfRule>
  </conditionalFormatting>
  <conditionalFormatting sqref="H40:I40 H42:I42 H47:I48 H44:I45">
    <cfRule type="expression" dxfId="64" priority="51">
      <formula>B40="KILL"</formula>
    </cfRule>
  </conditionalFormatting>
  <conditionalFormatting sqref="H41:I41">
    <cfRule type="expression" dxfId="63" priority="50">
      <formula>B41="KILL"</formula>
    </cfRule>
  </conditionalFormatting>
  <conditionalFormatting sqref="H46:I46">
    <cfRule type="expression" dxfId="62" priority="49">
      <formula>B46="KILL"</formula>
    </cfRule>
  </conditionalFormatting>
  <conditionalFormatting sqref="H43:I43">
    <cfRule type="expression" dxfId="61" priority="48">
      <formula>B43="KILL"</formula>
    </cfRule>
  </conditionalFormatting>
  <conditionalFormatting sqref="H49:I49 H51:I51 H56:I56 H53:I54">
    <cfRule type="expression" dxfId="60" priority="47">
      <formula>B49="KILL"</formula>
    </cfRule>
  </conditionalFormatting>
  <conditionalFormatting sqref="H50:I50">
    <cfRule type="expression" dxfId="59" priority="46">
      <formula>B50="KILL"</formula>
    </cfRule>
  </conditionalFormatting>
  <conditionalFormatting sqref="H55:I55">
    <cfRule type="expression" dxfId="58" priority="45">
      <formula>B55="KILL"</formula>
    </cfRule>
  </conditionalFormatting>
  <conditionalFormatting sqref="H52:I52">
    <cfRule type="expression" dxfId="57" priority="44">
      <formula>B52="KILL"</formula>
    </cfRule>
  </conditionalFormatting>
  <conditionalFormatting sqref="H57:I57 H62:I63 H59:I60">
    <cfRule type="expression" dxfId="56" priority="43">
      <formula>B57="KILL"</formula>
    </cfRule>
  </conditionalFormatting>
  <conditionalFormatting sqref="H61:I61">
    <cfRule type="expression" dxfId="55" priority="42">
      <formula>B61="KILL"</formula>
    </cfRule>
  </conditionalFormatting>
  <conditionalFormatting sqref="H58:I58">
    <cfRule type="expression" dxfId="54" priority="41">
      <formula>B58="KILL"</formula>
    </cfRule>
  </conditionalFormatting>
  <conditionalFormatting sqref="H64:I64 H66:I66">
    <cfRule type="expression" dxfId="53" priority="40">
      <formula>B64="KILL"</formula>
    </cfRule>
  </conditionalFormatting>
  <conditionalFormatting sqref="H65:I65">
    <cfRule type="expression" dxfId="52" priority="39">
      <formula>B65="KILL"</formula>
    </cfRule>
  </conditionalFormatting>
  <conditionalFormatting sqref="H89:I89 H91:I91">
    <cfRule type="expression" dxfId="51" priority="34">
      <formula>B89="KILL"</formula>
    </cfRule>
  </conditionalFormatting>
  <conditionalFormatting sqref="H90:I90">
    <cfRule type="expression" dxfId="50" priority="33">
      <formula>B90="KILL"</formula>
    </cfRule>
  </conditionalFormatting>
  <conditionalFormatting sqref="H92:I92">
    <cfRule type="expression" dxfId="49" priority="32">
      <formula>B92="KILL"</formula>
    </cfRule>
  </conditionalFormatting>
  <conditionalFormatting sqref="H93:I93 H100:I101 H95:I96">
    <cfRule type="expression" dxfId="48" priority="31">
      <formula>B93="KILL"</formula>
    </cfRule>
  </conditionalFormatting>
  <conditionalFormatting sqref="H99:I99">
    <cfRule type="expression" dxfId="47" priority="30">
      <formula>B99="KILL"</formula>
    </cfRule>
  </conditionalFormatting>
  <conditionalFormatting sqref="H94:I94">
    <cfRule type="expression" dxfId="46" priority="29">
      <formula>B94="KILL"</formula>
    </cfRule>
  </conditionalFormatting>
  <conditionalFormatting sqref="H102:I102 H104:I104">
    <cfRule type="expression" dxfId="45" priority="28">
      <formula>B102="KILL"</formula>
    </cfRule>
  </conditionalFormatting>
  <conditionalFormatting sqref="H103:I103">
    <cfRule type="expression" dxfId="44" priority="27">
      <formula>B103="KILL"</formula>
    </cfRule>
  </conditionalFormatting>
  <conditionalFormatting sqref="H105:I105">
    <cfRule type="expression" dxfId="43" priority="26">
      <formula>B105="KILL"</formula>
    </cfRule>
  </conditionalFormatting>
  <conditionalFormatting sqref="H67:I67 H72:I73 H69:I70">
    <cfRule type="expression" dxfId="42" priority="25">
      <formula>B67="KILL"</formula>
    </cfRule>
  </conditionalFormatting>
  <conditionalFormatting sqref="H71:I71">
    <cfRule type="expression" dxfId="41" priority="24">
      <formula>B71="KILL"</formula>
    </cfRule>
  </conditionalFormatting>
  <conditionalFormatting sqref="H68:I68">
    <cfRule type="expression" dxfId="40" priority="23">
      <formula>B68="KILL"</formula>
    </cfRule>
  </conditionalFormatting>
  <conditionalFormatting sqref="H74:I74 H76:I76">
    <cfRule type="expression" dxfId="39" priority="22">
      <formula>B74="KILL"</formula>
    </cfRule>
  </conditionalFormatting>
  <conditionalFormatting sqref="H75:I75">
    <cfRule type="expression" dxfId="38" priority="21">
      <formula>B75="KILL"</formula>
    </cfRule>
  </conditionalFormatting>
  <conditionalFormatting sqref="H77:I77">
    <cfRule type="expression" dxfId="37" priority="20">
      <formula>B77="KILL"</formula>
    </cfRule>
  </conditionalFormatting>
  <conditionalFormatting sqref="H78:I78 H83:I84 H80:I81">
    <cfRule type="expression" dxfId="36" priority="19">
      <formula>B78="KILL"</formula>
    </cfRule>
  </conditionalFormatting>
  <conditionalFormatting sqref="H82:I82">
    <cfRule type="expression" dxfId="35" priority="18">
      <formula>B82="KILL"</formula>
    </cfRule>
  </conditionalFormatting>
  <conditionalFormatting sqref="H79:I79">
    <cfRule type="expression" dxfId="34" priority="17">
      <formula>B79="KILL"</formula>
    </cfRule>
  </conditionalFormatting>
  <conditionalFormatting sqref="H85:I85 H87:I87">
    <cfRule type="expression" dxfId="33" priority="16">
      <formula>B85="KILL"</formula>
    </cfRule>
  </conditionalFormatting>
  <conditionalFormatting sqref="H86:I86">
    <cfRule type="expression" dxfId="32" priority="15">
      <formula>B86="KILL"</formula>
    </cfRule>
  </conditionalFormatting>
  <conditionalFormatting sqref="H88:I88">
    <cfRule type="expression" dxfId="31" priority="14">
      <formula>B88="KILL"</formula>
    </cfRule>
  </conditionalFormatting>
  <conditionalFormatting sqref="AG33:AG36">
    <cfRule type="cellIs" dxfId="30" priority="13" operator="equal">
      <formula>"Yes"</formula>
    </cfRule>
  </conditionalFormatting>
  <conditionalFormatting sqref="B1:B96 B99:B1048576">
    <cfRule type="cellIs" dxfId="29" priority="12" operator="equal">
      <formula>"KILL"</formula>
    </cfRule>
  </conditionalFormatting>
  <conditionalFormatting sqref="I99:I1048576 I1:I96">
    <cfRule type="containsText" dxfId="28" priority="11" operator="containsText" text="WAVE">
      <formula>NOT(ISERROR(SEARCH("WAVE",I1)))</formula>
    </cfRule>
  </conditionalFormatting>
  <conditionalFormatting sqref="AB98:AD98">
    <cfRule type="cellIs" dxfId="27" priority="10" operator="lessThan">
      <formula>2041</formula>
    </cfRule>
  </conditionalFormatting>
  <conditionalFormatting sqref="AG98">
    <cfRule type="cellIs" dxfId="26" priority="9" operator="equal">
      <formula>"Yes"</formula>
    </cfRule>
  </conditionalFormatting>
  <conditionalFormatting sqref="H98:I98">
    <cfRule type="expression" dxfId="25" priority="8">
      <formula>B98="KILL"</formula>
    </cfRule>
  </conditionalFormatting>
  <conditionalFormatting sqref="B98">
    <cfRule type="cellIs" dxfId="24" priority="7" operator="equal">
      <formula>"KILL"</formula>
    </cfRule>
  </conditionalFormatting>
  <conditionalFormatting sqref="I98">
    <cfRule type="containsText" dxfId="23" priority="6" operator="containsText" text="WAVE">
      <formula>NOT(ISERROR(SEARCH("WAVE",I98)))</formula>
    </cfRule>
  </conditionalFormatting>
  <conditionalFormatting sqref="AB97:AD97">
    <cfRule type="cellIs" dxfId="22" priority="5" operator="lessThan">
      <formula>2041</formula>
    </cfRule>
  </conditionalFormatting>
  <conditionalFormatting sqref="AG97">
    <cfRule type="cellIs" dxfId="21" priority="4" operator="equal">
      <formula>"Yes"</formula>
    </cfRule>
  </conditionalFormatting>
  <conditionalFormatting sqref="H97:I97">
    <cfRule type="expression" dxfId="20" priority="3">
      <formula>B97="KILL"</formula>
    </cfRule>
  </conditionalFormatting>
  <conditionalFormatting sqref="B97">
    <cfRule type="cellIs" dxfId="19" priority="2" operator="equal">
      <formula>"KILL"</formula>
    </cfRule>
  </conditionalFormatting>
  <conditionalFormatting sqref="I97">
    <cfRule type="containsText" dxfId="18" priority="1" operator="containsText" text="WAVE">
      <formula>NOT(ISERROR(SEARCH("WAVE",I97)))</formula>
    </cfRule>
  </conditionalFormatting>
  <dataValidations disablePrompts="1" count="1">
    <dataValidation type="list" allowBlank="1" showInputMessage="1" showErrorMessage="1" sqref="J95:J101">
      <formula1>#REF!</formula1>
    </dataValidation>
  </dataValidations>
  <printOptions gridLines="1"/>
  <pageMargins left="0.25" right="0.25" top="0.75" bottom="0.75" header="0.3" footer="0.3"/>
  <pageSetup scale="8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AG7"/>
  <sheetViews>
    <sheetView showGridLines="0" workbookViewId="0">
      <pane xSplit="2" ySplit="1" topLeftCell="C2" activePane="bottomRight" state="frozen"/>
      <selection pane="topRight" activeCell="C1" sqref="C1"/>
      <selection pane="bottomLeft" activeCell="A2" sqref="A2"/>
      <selection pane="bottomRight" activeCell="C2" sqref="C2"/>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0.28515625" style="11" bestFit="1" customWidth="1"/>
    <col min="5" max="5" width="9.5703125" style="11" bestFit="1" customWidth="1"/>
    <col min="6" max="6" width="8.140625" style="11" bestFit="1" customWidth="1"/>
    <col min="7" max="7" width="8" style="11" bestFit="1" customWidth="1"/>
    <col min="8" max="8" width="29.85546875" style="11" bestFit="1" customWidth="1"/>
    <col min="9" max="9" width="95.7109375" style="11" bestFit="1" customWidth="1"/>
    <col min="10" max="10" width="6" style="11" bestFit="1" customWidth="1"/>
    <col min="11" max="11" width="14" style="11" bestFit="1" customWidth="1"/>
    <col min="12" max="12" width="130.28515625" style="11" bestFit="1" customWidth="1"/>
    <col min="13" max="13" width="31" style="11" bestFit="1" customWidth="1"/>
    <col min="14" max="14" width="31.5703125" style="11" bestFit="1" customWidth="1"/>
    <col min="15" max="16" width="20.140625" style="11" bestFit="1" customWidth="1"/>
    <col min="17" max="17" width="9.28515625" style="11" bestFit="1" customWidth="1"/>
    <col min="18" max="18" width="12.140625" style="11" bestFit="1" customWidth="1"/>
    <col min="19" max="19" width="11.140625" style="11" bestFit="1" customWidth="1"/>
    <col min="20" max="20" width="78.140625" style="11" bestFit="1" customWidth="1"/>
    <col min="21" max="21" width="77.42578125" style="11" bestFit="1" customWidth="1"/>
    <col min="22" max="22" width="17.5703125" style="11" bestFit="1" customWidth="1"/>
    <col min="23" max="23" width="154.42578125" style="11" bestFit="1" customWidth="1"/>
    <col min="24" max="24" width="27.28515625" style="11" bestFit="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9.42578125" style="11" bestFit="1" customWidth="1"/>
    <col min="32" max="32" width="14.5703125" style="11" bestFit="1" customWidth="1"/>
    <col min="33" max="33" width="14.42578125" style="11" bestFit="1" customWidth="1"/>
    <col min="34" max="34" width="14.5703125" style="11" customWidth="1"/>
    <col min="35" max="16384" width="9.140625" style="11"/>
  </cols>
  <sheetData>
    <row r="1" spans="1:33" s="160" customFormat="1" ht="15" customHeight="1" x14ac:dyDescent="0.2">
      <c r="A1" s="284" t="s">
        <v>1192</v>
      </c>
      <c r="B1" s="284" t="s">
        <v>1211</v>
      </c>
      <c r="C1" s="284" t="s">
        <v>1193</v>
      </c>
      <c r="D1" s="284" t="s">
        <v>419</v>
      </c>
      <c r="E1" s="288" t="s">
        <v>1217</v>
      </c>
      <c r="F1" s="288" t="s">
        <v>1218</v>
      </c>
      <c r="G1" s="288" t="s">
        <v>3105</v>
      </c>
      <c r="H1" s="284" t="s">
        <v>1</v>
      </c>
      <c r="I1" s="284" t="s">
        <v>1739</v>
      </c>
      <c r="J1" s="284" t="s">
        <v>299</v>
      </c>
      <c r="K1" s="286" t="s">
        <v>1209</v>
      </c>
      <c r="L1" s="284" t="s">
        <v>2</v>
      </c>
      <c r="M1" s="289" t="s">
        <v>1191</v>
      </c>
      <c r="N1" s="284" t="s">
        <v>1198</v>
      </c>
      <c r="O1" s="284" t="s">
        <v>1196</v>
      </c>
      <c r="P1" s="284" t="s">
        <v>1197</v>
      </c>
      <c r="Q1" s="290" t="s">
        <v>3152</v>
      </c>
      <c r="R1" s="284" t="s">
        <v>1195</v>
      </c>
      <c r="S1" s="284" t="s">
        <v>2705</v>
      </c>
      <c r="T1" s="303" t="s">
        <v>349</v>
      </c>
      <c r="U1" s="303" t="s">
        <v>358</v>
      </c>
      <c r="V1" s="303" t="s">
        <v>434</v>
      </c>
      <c r="W1" s="303" t="s">
        <v>3251</v>
      </c>
      <c r="X1" s="303" t="s">
        <v>360</v>
      </c>
      <c r="Y1" s="284" t="s">
        <v>2703</v>
      </c>
      <c r="Z1" s="291" t="s">
        <v>3045</v>
      </c>
      <c r="AA1" s="304" t="s">
        <v>3107</v>
      </c>
      <c r="AB1" s="305" t="s">
        <v>3167</v>
      </c>
      <c r="AC1" s="305" t="s">
        <v>3117</v>
      </c>
      <c r="AD1" s="305" t="s">
        <v>3118</v>
      </c>
      <c r="AE1" s="306" t="s">
        <v>3168</v>
      </c>
      <c r="AF1" s="306" t="s">
        <v>3125</v>
      </c>
      <c r="AG1" s="307" t="s">
        <v>3155</v>
      </c>
    </row>
    <row r="2" spans="1:33" ht="15" customHeight="1" x14ac:dyDescent="0.2">
      <c r="B2" s="11" t="s">
        <v>1211</v>
      </c>
      <c r="C2" s="13">
        <v>997</v>
      </c>
      <c r="D2" s="13" t="s">
        <v>420</v>
      </c>
      <c r="E2" s="20">
        <v>8</v>
      </c>
      <c r="F2" s="20">
        <v>199</v>
      </c>
      <c r="G2" s="20">
        <v>927</v>
      </c>
      <c r="H2" s="13" t="s">
        <v>1840</v>
      </c>
      <c r="I2" s="13" t="str">
        <f t="shared" ref="I2:I7" si="0">IF(M2="@",H2&amp;" ("&amp;M2&amp;"  "&amp;N2&amp;")",H2&amp;" ("&amp;M2&amp;" to "&amp;N2&amp;")")</f>
        <v>County Line Rd/HEFT Extention (I-95 to Florida's Turnpike)</v>
      </c>
      <c r="J2" s="13" t="s">
        <v>1203</v>
      </c>
      <c r="K2" s="13" t="str">
        <f>VLOOKUP(J2,'Data-ProjectTypes'!A$3:B$13,2,FALSE)</f>
        <v>Program</v>
      </c>
      <c r="L2" s="21" t="s">
        <v>309</v>
      </c>
      <c r="M2" s="13" t="s">
        <v>41</v>
      </c>
      <c r="N2" s="13" t="s">
        <v>42</v>
      </c>
      <c r="O2" s="13" t="s">
        <v>272</v>
      </c>
      <c r="P2" s="13" t="s">
        <v>272</v>
      </c>
      <c r="Q2" s="22">
        <v>3.9</v>
      </c>
      <c r="R2" s="23">
        <v>975000</v>
      </c>
      <c r="S2" s="12"/>
      <c r="T2" s="12"/>
      <c r="U2" s="12"/>
      <c r="V2" s="12"/>
      <c r="W2" s="12"/>
      <c r="X2" s="12"/>
      <c r="Y2" s="12"/>
      <c r="Z2" s="18">
        <f>ROUND(R2*'Data-CostAssumptions'!$C$8,-3)</f>
        <v>975000</v>
      </c>
      <c r="AA2" s="11">
        <f>IF(V2="",IF(W2="",0,1),1)</f>
        <v>0</v>
      </c>
      <c r="AB2" s="11">
        <v>2041</v>
      </c>
      <c r="AC2" s="11">
        <v>2041</v>
      </c>
      <c r="AD2" s="11">
        <v>2041</v>
      </c>
      <c r="AE2" s="19">
        <f>ROUND((Z2*'Data-CostAssumptions'!$G$5)*(1+'Data-CostAssumptions'!$G$3)^(AB2-'Data-CostAssumptions'!$G$4),-3)</f>
        <v>550000</v>
      </c>
      <c r="AF2" s="19">
        <f>ROUND((Z2)*(1+'Data-CostAssumptions'!$G$3)^(AD2-'Data-CostAssumptions'!$G$4),-3)</f>
        <v>2500000</v>
      </c>
      <c r="AG2" s="170" t="str">
        <f>IF(MIN(AC2:AD2)&lt;2041,"Yes","No")</f>
        <v>No</v>
      </c>
    </row>
    <row r="3" spans="1:33" ht="15" customHeight="1" x14ac:dyDescent="0.2">
      <c r="B3" s="11" t="s">
        <v>1211</v>
      </c>
      <c r="C3" s="13">
        <v>1055</v>
      </c>
      <c r="D3" s="13" t="s">
        <v>420</v>
      </c>
      <c r="E3" s="20">
        <v>33</v>
      </c>
      <c r="F3" s="20">
        <v>206</v>
      </c>
      <c r="G3" s="20">
        <v>928</v>
      </c>
      <c r="H3" s="13" t="s">
        <v>45</v>
      </c>
      <c r="I3" s="13" t="str">
        <f t="shared" si="0"/>
        <v>SR 84 ( to FEC rail crossing)</v>
      </c>
      <c r="J3" s="13" t="s">
        <v>1203</v>
      </c>
      <c r="K3" s="13" t="str">
        <f>VLOOKUP(J3,'Data-ProjectTypes'!A$3:B$13,2,FALSE)</f>
        <v>Program</v>
      </c>
      <c r="L3" s="21" t="s">
        <v>340</v>
      </c>
      <c r="M3" s="13"/>
      <c r="N3" s="13" t="s">
        <v>258</v>
      </c>
      <c r="O3" s="13" t="s">
        <v>270</v>
      </c>
      <c r="P3" s="13" t="s">
        <v>270</v>
      </c>
      <c r="Q3" s="22"/>
      <c r="R3" s="23">
        <v>750000</v>
      </c>
      <c r="S3" s="12"/>
      <c r="T3" s="12"/>
      <c r="U3" s="12"/>
      <c r="V3" s="12"/>
      <c r="W3" s="12"/>
      <c r="X3" s="12"/>
      <c r="Y3" s="12"/>
      <c r="Z3" s="18">
        <f>ROUND(R3*'Data-CostAssumptions'!$C$8,-3)</f>
        <v>750000</v>
      </c>
      <c r="AA3" s="11">
        <f>IF(V3="",IF(W3="",0,1),1)</f>
        <v>0</v>
      </c>
      <c r="AB3" s="11">
        <v>2041</v>
      </c>
      <c r="AC3" s="11">
        <v>2041</v>
      </c>
      <c r="AD3" s="11">
        <v>2041</v>
      </c>
      <c r="AE3" s="19">
        <f>ROUND((Z3*'Data-CostAssumptions'!$G$5)*(1+'Data-CostAssumptions'!$G$3)^(AB3-'Data-CostAssumptions'!$G$4),-3)</f>
        <v>423000</v>
      </c>
      <c r="AF3" s="19">
        <f>ROUND((Z3)*(1+'Data-CostAssumptions'!$G$3)^(AD3-'Data-CostAssumptions'!$G$4),-3)</f>
        <v>1923000</v>
      </c>
      <c r="AG3" s="170" t="str">
        <f t="shared" ref="AG3:AG7" si="1">IF(MIN(AC3:AD3)&lt;2041,"Yes","No")</f>
        <v>No</v>
      </c>
    </row>
    <row r="4" spans="1:33" ht="15" customHeight="1" x14ac:dyDescent="0.2">
      <c r="B4" s="11" t="s">
        <v>1211</v>
      </c>
      <c r="C4" s="13">
        <v>1058</v>
      </c>
      <c r="D4" s="13" t="s">
        <v>420</v>
      </c>
      <c r="E4" s="20">
        <v>36</v>
      </c>
      <c r="F4" s="20">
        <v>206</v>
      </c>
      <c r="G4" s="20">
        <v>929</v>
      </c>
      <c r="H4" s="13" t="s">
        <v>45</v>
      </c>
      <c r="I4" s="13" t="str">
        <f t="shared" si="0"/>
        <v>SR 84 (@  US 1)</v>
      </c>
      <c r="J4" s="13" t="s">
        <v>1203</v>
      </c>
      <c r="K4" s="13" t="str">
        <f>VLOOKUP(J4,'Data-ProjectTypes'!A$3:B$13,2,FALSE)</f>
        <v>Program</v>
      </c>
      <c r="L4" s="21" t="s">
        <v>342</v>
      </c>
      <c r="M4" s="13" t="s">
        <v>2835</v>
      </c>
      <c r="N4" s="13" t="s">
        <v>98</v>
      </c>
      <c r="O4" s="13" t="s">
        <v>270</v>
      </c>
      <c r="P4" s="13" t="s">
        <v>270</v>
      </c>
      <c r="Q4" s="22"/>
      <c r="R4" s="23">
        <v>125000</v>
      </c>
      <c r="S4" s="12"/>
      <c r="T4" s="12"/>
      <c r="U4" s="12"/>
      <c r="V4" s="12"/>
      <c r="W4" s="12"/>
      <c r="X4" s="12"/>
      <c r="Y4" s="12"/>
      <c r="Z4" s="18">
        <f>ROUND(R4*'Data-CostAssumptions'!$C$8,-3)</f>
        <v>125000</v>
      </c>
      <c r="AA4" s="11">
        <f>IF(V4="",IF(W4="",0,1),1)</f>
        <v>0</v>
      </c>
      <c r="AB4" s="11">
        <v>2041</v>
      </c>
      <c r="AC4" s="11">
        <v>2041</v>
      </c>
      <c r="AD4" s="11">
        <v>2041</v>
      </c>
      <c r="AE4" s="19">
        <f>ROUND((Z4*'Data-CostAssumptions'!$G$5)*(1+'Data-CostAssumptions'!$G$3)^(AB4-'Data-CostAssumptions'!$G$4),-3)</f>
        <v>71000</v>
      </c>
      <c r="AF4" s="19">
        <f>ROUND((Z4)*(1+'Data-CostAssumptions'!$G$3)^(AD4-'Data-CostAssumptions'!$G$4),-3)</f>
        <v>320000</v>
      </c>
      <c r="AG4" s="170" t="str">
        <f t="shared" si="1"/>
        <v>No</v>
      </c>
    </row>
    <row r="5" spans="1:33" ht="15" customHeight="1" x14ac:dyDescent="0.2">
      <c r="B5" s="11" t="s">
        <v>1211</v>
      </c>
      <c r="C5" s="13">
        <v>1064</v>
      </c>
      <c r="D5" s="13" t="s">
        <v>420</v>
      </c>
      <c r="E5" s="20">
        <v>42</v>
      </c>
      <c r="F5" s="20">
        <v>207</v>
      </c>
      <c r="G5" s="20">
        <v>930</v>
      </c>
      <c r="H5" s="13" t="s">
        <v>2733</v>
      </c>
      <c r="I5" s="13" t="str">
        <f t="shared" si="0"/>
        <v>SR25/US 27 Rail Corridor Study (Palm Beach/Broward County Line to Miami-Dade/Broward County Line)</v>
      </c>
      <c r="J5" s="13" t="s">
        <v>1203</v>
      </c>
      <c r="K5" s="13" t="str">
        <f>VLOOKUP(J5,'Data-ProjectTypes'!A$3:B$13,2,FALSE)</f>
        <v>Program</v>
      </c>
      <c r="L5" s="21" t="s">
        <v>343</v>
      </c>
      <c r="M5" s="13" t="s">
        <v>36</v>
      </c>
      <c r="N5" s="13" t="s">
        <v>37</v>
      </c>
      <c r="O5" s="13" t="s">
        <v>270</v>
      </c>
      <c r="P5" s="13" t="s">
        <v>270</v>
      </c>
      <c r="Q5" s="22"/>
      <c r="R5" s="23">
        <v>1000000</v>
      </c>
      <c r="S5" s="12"/>
      <c r="T5" s="12"/>
      <c r="U5" s="12"/>
      <c r="V5" s="12"/>
      <c r="W5" s="12"/>
      <c r="X5" s="12"/>
      <c r="Y5" s="12"/>
      <c r="Z5" s="18">
        <f>ROUND(R5*'Data-CostAssumptions'!$C$8,-3)</f>
        <v>1000000</v>
      </c>
      <c r="AA5" s="11">
        <f t="shared" ref="AA5:AA7" si="2">IF(V5="",IF(W5="",0,1),1)</f>
        <v>0</v>
      </c>
      <c r="AB5" s="11">
        <v>2041</v>
      </c>
      <c r="AC5" s="11">
        <v>2041</v>
      </c>
      <c r="AD5" s="11">
        <v>2041</v>
      </c>
      <c r="AE5" s="19">
        <f>ROUND((Z5*'Data-CostAssumptions'!$G$5)*(1+'Data-CostAssumptions'!$G$3)^(AB5-'Data-CostAssumptions'!$G$4),-3)</f>
        <v>564000</v>
      </c>
      <c r="AF5" s="19">
        <f>ROUND((Z5)*(1+'Data-CostAssumptions'!$G$3)^(AD5-'Data-CostAssumptions'!$G$4),-3)</f>
        <v>2564000</v>
      </c>
      <c r="AG5" s="170" t="str">
        <f t="shared" si="1"/>
        <v>No</v>
      </c>
    </row>
    <row r="6" spans="1:33" ht="15" customHeight="1" x14ac:dyDescent="0.2">
      <c r="B6" s="11" t="s">
        <v>1211</v>
      </c>
      <c r="C6" s="11">
        <v>12253</v>
      </c>
      <c r="D6" s="84" t="s">
        <v>282</v>
      </c>
      <c r="E6" s="14"/>
      <c r="F6" s="14"/>
      <c r="G6" s="20">
        <v>1805</v>
      </c>
      <c r="H6" s="13" t="s">
        <v>1880</v>
      </c>
      <c r="I6" s="13" t="str">
        <f t="shared" si="0"/>
        <v>Johnson St (64th Av to 62nd Av)</v>
      </c>
      <c r="J6" s="11" t="s">
        <v>1203</v>
      </c>
      <c r="K6" s="13" t="str">
        <f>VLOOKUP(J6,'Data-ProjectTypes'!A$3:B$13,2,FALSE)</f>
        <v>Program</v>
      </c>
      <c r="L6" s="85" t="s">
        <v>592</v>
      </c>
      <c r="M6" s="11" t="s">
        <v>2357</v>
      </c>
      <c r="N6" s="11" t="s">
        <v>2013</v>
      </c>
      <c r="Q6" s="15">
        <v>0.25</v>
      </c>
      <c r="R6" s="23">
        <f>ROUND(Q6*'Data-CostAssumptions'!$C$34,-1)</f>
        <v>540000</v>
      </c>
      <c r="S6" s="12"/>
      <c r="T6" s="12"/>
      <c r="U6" s="12"/>
      <c r="V6" s="12"/>
      <c r="W6" s="12"/>
      <c r="X6" s="12"/>
      <c r="Y6" s="12"/>
      <c r="Z6" s="18">
        <f>ROUND(R6*'Data-CostAssumptions'!$C$8,-3)</f>
        <v>540000</v>
      </c>
      <c r="AA6" s="11">
        <f t="shared" si="2"/>
        <v>0</v>
      </c>
      <c r="AB6" s="11">
        <v>2041</v>
      </c>
      <c r="AC6" s="11">
        <v>2041</v>
      </c>
      <c r="AD6" s="11">
        <v>2041</v>
      </c>
      <c r="AE6" s="19">
        <f>ROUND((Z6*'Data-CostAssumptions'!$G$5)*(1+'Data-CostAssumptions'!$G$3)^(AB6-'Data-CostAssumptions'!$G$4),-3)</f>
        <v>305000</v>
      </c>
      <c r="AF6" s="19">
        <f>ROUND((Z6)*(1+'Data-CostAssumptions'!$G$3)^(AD6-'Data-CostAssumptions'!$G$4),-3)</f>
        <v>1385000</v>
      </c>
      <c r="AG6" s="170" t="str">
        <f t="shared" si="1"/>
        <v>No</v>
      </c>
    </row>
    <row r="7" spans="1:33" ht="15" customHeight="1" x14ac:dyDescent="0.2">
      <c r="B7" s="11" t="s">
        <v>1211</v>
      </c>
      <c r="C7" s="11">
        <v>13158</v>
      </c>
      <c r="D7" s="84" t="s">
        <v>876</v>
      </c>
      <c r="E7" s="14"/>
      <c r="F7" s="14"/>
      <c r="G7" s="20">
        <v>1826</v>
      </c>
      <c r="H7" s="13" t="s">
        <v>1068</v>
      </c>
      <c r="I7" s="13" t="str">
        <f t="shared" si="0"/>
        <v>Streetcar Feasibility studies (Systemwide to Systemwide)</v>
      </c>
      <c r="J7" s="84" t="s">
        <v>1203</v>
      </c>
      <c r="K7" s="13" t="str">
        <f>VLOOKUP(J7,'Data-ProjectTypes'!A$3:B$13,2,FALSE)</f>
        <v>Program</v>
      </c>
      <c r="M7" s="11" t="s">
        <v>2834</v>
      </c>
      <c r="N7" s="11" t="s">
        <v>2834</v>
      </c>
      <c r="O7" s="84" t="s">
        <v>876</v>
      </c>
      <c r="P7" s="85" t="s">
        <v>876</v>
      </c>
      <c r="Q7" s="15"/>
      <c r="R7" s="16">
        <v>800000</v>
      </c>
      <c r="S7" s="12"/>
      <c r="T7" s="12"/>
      <c r="U7" s="12"/>
      <c r="V7" s="12"/>
      <c r="W7" s="12"/>
      <c r="X7" s="12"/>
      <c r="Y7" s="12"/>
      <c r="Z7" s="18">
        <f>ROUND(R7*'Data-CostAssumptions'!$C$8,-3)</f>
        <v>800000</v>
      </c>
      <c r="AA7" s="11">
        <f t="shared" si="2"/>
        <v>0</v>
      </c>
      <c r="AB7" s="11">
        <v>2041</v>
      </c>
      <c r="AC7" s="11">
        <v>2041</v>
      </c>
      <c r="AD7" s="11">
        <v>2041</v>
      </c>
      <c r="AE7" s="19">
        <f>ROUND((Z7*'Data-CostAssumptions'!$G$5)*(1+'Data-CostAssumptions'!$G$3)^(AB7-'Data-CostAssumptions'!$G$4),-3)</f>
        <v>451000</v>
      </c>
      <c r="AF7" s="19">
        <f>ROUND((Z7)*(1+'Data-CostAssumptions'!$G$3)^(AD7-'Data-CostAssumptions'!$G$4),-3)</f>
        <v>2051000</v>
      </c>
      <c r="AG7" s="170" t="str">
        <f t="shared" si="1"/>
        <v>No</v>
      </c>
    </row>
  </sheetData>
  <conditionalFormatting sqref="H2:I6">
    <cfRule type="expression" dxfId="17" priority="6">
      <formula>B2="KILL"</formula>
    </cfRule>
  </conditionalFormatting>
  <conditionalFormatting sqref="H7:I7">
    <cfRule type="expression" dxfId="16" priority="5">
      <formula>B7="KILL"</formula>
    </cfRule>
  </conditionalFormatting>
  <conditionalFormatting sqref="AB2:AD2">
    <cfRule type="cellIs" dxfId="15" priority="4" operator="lessThan">
      <formula>2041</formula>
    </cfRule>
  </conditionalFormatting>
  <conditionalFormatting sqref="AG2">
    <cfRule type="cellIs" dxfId="14" priority="3" operator="equal">
      <formula>"Yes"</formula>
    </cfRule>
  </conditionalFormatting>
  <conditionalFormatting sqref="AB3:AD7">
    <cfRule type="cellIs" dxfId="13" priority="2" operator="lessThan">
      <formula>2041</formula>
    </cfRule>
  </conditionalFormatting>
  <conditionalFormatting sqref="AG3:AG7">
    <cfRule type="cellIs" dxfId="12" priority="1" operator="equal">
      <formula>"Yes"</formula>
    </cfRule>
  </conditionalFormatting>
  <pageMargins left="0.25" right="0.25" top="0.75" bottom="0.75" header="0.3" footer="0.3"/>
  <pageSetup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24"/>
  <sheetViews>
    <sheetView showGridLines="0" workbookViewId="0">
      <selection activeCell="G2" sqref="G2:G3"/>
    </sheetView>
  </sheetViews>
  <sheetFormatPr defaultRowHeight="14.25" x14ac:dyDescent="0.2"/>
  <cols>
    <col min="1" max="1" width="47.85546875" style="11" bestFit="1" customWidth="1"/>
    <col min="2" max="2" width="14.28515625" style="11" bestFit="1" customWidth="1"/>
    <col min="3" max="5" width="16" style="11" bestFit="1" customWidth="1"/>
    <col min="6" max="6" width="16.85546875" style="11" customWidth="1"/>
    <col min="7" max="7" width="18.7109375" style="11" bestFit="1" customWidth="1"/>
    <col min="8" max="9" width="9.140625" style="11"/>
    <col min="10" max="10" width="43.7109375" style="11" bestFit="1" customWidth="1"/>
    <col min="11" max="11" width="19" style="11" bestFit="1" customWidth="1"/>
    <col min="12" max="13" width="9.140625" style="11"/>
    <col min="14" max="14" width="44.7109375" style="11" bestFit="1" customWidth="1"/>
    <col min="15" max="15" width="18" style="11" customWidth="1"/>
    <col min="16" max="16" width="15" style="11" bestFit="1" customWidth="1"/>
    <col min="17" max="18" width="9.140625" style="11"/>
    <col min="19" max="19" width="18" style="11" customWidth="1"/>
    <col min="20" max="16384" width="9.140625" style="11"/>
  </cols>
  <sheetData>
    <row r="1" spans="1:19" ht="18.75" x14ac:dyDescent="0.3">
      <c r="A1" s="302" t="s">
        <v>3264</v>
      </c>
      <c r="J1" s="302" t="s">
        <v>3258</v>
      </c>
      <c r="N1" s="302" t="s">
        <v>3258</v>
      </c>
    </row>
    <row r="2" spans="1:19" x14ac:dyDescent="0.2">
      <c r="A2" s="361" t="s">
        <v>3228</v>
      </c>
      <c r="B2" s="362" t="s">
        <v>3232</v>
      </c>
      <c r="C2" s="362"/>
      <c r="D2" s="362"/>
      <c r="E2" s="362"/>
      <c r="F2" s="363" t="s">
        <v>3231</v>
      </c>
      <c r="G2" s="363" t="s">
        <v>3230</v>
      </c>
      <c r="J2" s="278" t="s">
        <v>3228</v>
      </c>
      <c r="K2" s="278" t="s">
        <v>3229</v>
      </c>
      <c r="N2" s="278" t="s">
        <v>3228</v>
      </c>
      <c r="O2" s="278" t="s">
        <v>3229</v>
      </c>
      <c r="R2" s="11" t="s">
        <v>3228</v>
      </c>
      <c r="S2" s="11" t="s">
        <v>3227</v>
      </c>
    </row>
    <row r="3" spans="1:19" ht="16.5" x14ac:dyDescent="0.2">
      <c r="A3" s="364"/>
      <c r="B3" s="365" t="s">
        <v>3169</v>
      </c>
      <c r="C3" s="365" t="s">
        <v>3170</v>
      </c>
      <c r="D3" s="365" t="s">
        <v>3171</v>
      </c>
      <c r="E3" s="365" t="s">
        <v>3172</v>
      </c>
      <c r="F3" s="363"/>
      <c r="G3" s="363"/>
      <c r="J3" s="11" t="s">
        <v>3259</v>
      </c>
      <c r="K3" s="19">
        <f>SUM(B4:E5)</f>
        <v>5685717000</v>
      </c>
      <c r="N3" s="11" t="s">
        <v>3262</v>
      </c>
      <c r="O3" s="19">
        <f>ROUND(K3+K4,-5)</f>
        <v>6266100000</v>
      </c>
      <c r="R3" s="11" t="s">
        <v>3226</v>
      </c>
      <c r="S3" s="19">
        <f>ROUND(O3,-6)</f>
        <v>6266000000</v>
      </c>
    </row>
    <row r="4" spans="1:19" x14ac:dyDescent="0.2">
      <c r="A4" s="223" t="s">
        <v>3254</v>
      </c>
      <c r="B4" s="178">
        <f>SUM('Analysis-O&amp;M'!$L$4:$L$5)</f>
        <v>287111000</v>
      </c>
      <c r="C4" s="178">
        <f>SUM('Analysis-O&amp;M'!$L$6:$L$10)</f>
        <v>778618000</v>
      </c>
      <c r="D4" s="178">
        <f>SUM('Analysis-O&amp;M'!$L$11:$L$15)</f>
        <v>909704000</v>
      </c>
      <c r="E4" s="178">
        <f>SUM('Analysis-O&amp;M'!$L$16:$L$25)</f>
        <v>2328689000</v>
      </c>
      <c r="F4" s="178">
        <v>0</v>
      </c>
      <c r="G4" s="178">
        <f>SUM(B4:F4)</f>
        <v>4304122000</v>
      </c>
      <c r="J4" s="11" t="s">
        <v>3260</v>
      </c>
      <c r="K4" s="19">
        <f>SUM(B6:E6)</f>
        <v>580407000</v>
      </c>
      <c r="N4" s="11" t="str">
        <f>+J6</f>
        <v>Interstates and Turnpike</v>
      </c>
      <c r="O4" s="19">
        <f>ROUND(K6,-5)</f>
        <v>2252900000</v>
      </c>
      <c r="R4" s="11" t="s">
        <v>3225</v>
      </c>
      <c r="S4" s="19">
        <f>ROUND(O4+O5+O6+O7,-6)</f>
        <v>4343000000</v>
      </c>
    </row>
    <row r="5" spans="1:19" x14ac:dyDescent="0.2">
      <c r="A5" s="223" t="s">
        <v>3257</v>
      </c>
      <c r="B5" s="178">
        <f>SUM('Analysis-O&amp;M'!$M$4:$M$5)</f>
        <v>98522000</v>
      </c>
      <c r="C5" s="178">
        <f>SUM('Analysis-O&amp;M'!$M$6:$M$10)</f>
        <v>228945000</v>
      </c>
      <c r="D5" s="178">
        <f>SUM('Analysis-O&amp;M'!$M$11:$M$15)</f>
        <v>296121000</v>
      </c>
      <c r="E5" s="178">
        <f>SUM('Analysis-O&amp;M'!$M$16:$M$25)</f>
        <v>758007000</v>
      </c>
      <c r="F5" s="178">
        <v>0</v>
      </c>
      <c r="G5" s="178">
        <f>SUM(B5:F5)</f>
        <v>1381595000</v>
      </c>
      <c r="J5" s="11" t="s">
        <v>3261</v>
      </c>
      <c r="K5" s="19">
        <f>SUM(B8:E8)</f>
        <v>840357000</v>
      </c>
      <c r="N5" s="224" t="s">
        <v>3224</v>
      </c>
      <c r="O5" s="225">
        <f>ROUND(K5,-5)</f>
        <v>840400000</v>
      </c>
      <c r="P5" s="226">
        <f>O5/$P$8</f>
        <v>0.40210526315789474</v>
      </c>
    </row>
    <row r="6" spans="1:19" x14ac:dyDescent="0.2">
      <c r="A6" s="223" t="s">
        <v>3255</v>
      </c>
      <c r="B6" s="178">
        <f>SUM('Analysis-O&amp;M'!$K$4:$K$5)</f>
        <v>37344000</v>
      </c>
      <c r="C6" s="178">
        <f>SUM('Analysis-O&amp;M'!$K$6:$K$10)</f>
        <v>104690000</v>
      </c>
      <c r="D6" s="178">
        <f>SUM('Analysis-O&amp;M'!$K$11:$K$15)</f>
        <v>123145000</v>
      </c>
      <c r="E6" s="178">
        <f>SUM('Analysis-O&amp;M'!$K$16:$K$25)</f>
        <v>315228000</v>
      </c>
      <c r="F6" s="178">
        <v>0</v>
      </c>
      <c r="G6" s="178">
        <f>SUM(B6:F6)</f>
        <v>580407000</v>
      </c>
      <c r="J6" s="11" t="s">
        <v>3223</v>
      </c>
      <c r="K6" s="19">
        <f>SUM(B11:E11)</f>
        <v>2252939642.75</v>
      </c>
      <c r="N6" s="227" t="str">
        <f>+J7</f>
        <v>Roadway Improvements</v>
      </c>
      <c r="O6" s="228">
        <f>ROUND(K7,-5)</f>
        <v>678000000</v>
      </c>
      <c r="P6" s="229">
        <f>O6/$P$8</f>
        <v>0.32440191387559808</v>
      </c>
    </row>
    <row r="7" spans="1:19" x14ac:dyDescent="0.2">
      <c r="A7" s="366" t="s">
        <v>3256</v>
      </c>
      <c r="B7" s="367">
        <f t="shared" ref="B7:G7" si="0">SUM(B4:B6)</f>
        <v>422977000</v>
      </c>
      <c r="C7" s="367">
        <f t="shared" si="0"/>
        <v>1112253000</v>
      </c>
      <c r="D7" s="367">
        <f t="shared" si="0"/>
        <v>1328970000</v>
      </c>
      <c r="E7" s="367">
        <f t="shared" si="0"/>
        <v>3401924000</v>
      </c>
      <c r="F7" s="367">
        <f t="shared" si="0"/>
        <v>0</v>
      </c>
      <c r="G7" s="367">
        <f t="shared" si="0"/>
        <v>6266124000</v>
      </c>
      <c r="J7" s="11" t="s">
        <v>322</v>
      </c>
      <c r="K7" s="19">
        <f>SUM(B9:E9)+SUM(B13:E13)</f>
        <v>678029000</v>
      </c>
      <c r="N7" s="230" t="str">
        <f>+J8</f>
        <v>Complete Streets and Other Localized Initiatives</v>
      </c>
      <c r="O7" s="231">
        <f>ROUND(K8,-5)</f>
        <v>571600000</v>
      </c>
      <c r="P7" s="232">
        <f>O7/$P$8</f>
        <v>0.27349282296650718</v>
      </c>
    </row>
    <row r="8" spans="1:19" x14ac:dyDescent="0.2">
      <c r="A8" s="223" t="s">
        <v>3222</v>
      </c>
      <c r="B8" s="178">
        <f>+'List-BCT'!AH$102</f>
        <v>83216000</v>
      </c>
      <c r="C8" s="178">
        <f>+'List-BCT'!AI$102</f>
        <v>192557000</v>
      </c>
      <c r="D8" s="178">
        <f>+'List-BCT'!AJ$102</f>
        <v>178432000</v>
      </c>
      <c r="E8" s="178">
        <f>+'List-BCT'!AK$102</f>
        <v>386152000</v>
      </c>
      <c r="F8" s="178">
        <f>+'List-BCT'!AL$102</f>
        <v>4435848020</v>
      </c>
      <c r="G8" s="178">
        <f>SUM(B8:F8)</f>
        <v>5276205020</v>
      </c>
      <c r="J8" s="11" t="s">
        <v>3220</v>
      </c>
      <c r="K8" s="19">
        <f>SUM(B10:E10)</f>
        <v>571600000</v>
      </c>
      <c r="P8" s="19">
        <f>SUM(O5:O7)</f>
        <v>2090000000</v>
      </c>
    </row>
    <row r="9" spans="1:19" x14ac:dyDescent="0.2">
      <c r="A9" s="223" t="s">
        <v>3221</v>
      </c>
      <c r="B9" s="178">
        <f>+'List-Roadway'!AH$120</f>
        <v>42927000</v>
      </c>
      <c r="C9" s="178">
        <f>+'List-Roadway'!AI$120</f>
        <v>34322000</v>
      </c>
      <c r="D9" s="178">
        <f>+'List-Roadway'!AJ$120</f>
        <v>85495000</v>
      </c>
      <c r="E9" s="178">
        <f>+'List-Roadway'!AK$120</f>
        <v>321355000</v>
      </c>
      <c r="F9" s="178">
        <f>+'List-Roadway'!AL$120</f>
        <v>1311758640</v>
      </c>
      <c r="G9" s="178">
        <f>SUM(B9:F9)</f>
        <v>1795857640</v>
      </c>
    </row>
    <row r="10" spans="1:19" x14ac:dyDescent="0.2">
      <c r="A10" s="223" t="s">
        <v>3219</v>
      </c>
      <c r="B10" s="178">
        <f>(47.3+4.7)*1000000</f>
        <v>52000000</v>
      </c>
      <c r="C10" s="178">
        <f>(118.3+11.6)*1000000</f>
        <v>129900000</v>
      </c>
      <c r="D10" s="178">
        <f>(118.3+11.6)*1000000</f>
        <v>129900000</v>
      </c>
      <c r="E10" s="178">
        <f>(236.6+23.2)*1000000</f>
        <v>259800000</v>
      </c>
      <c r="F10" s="178">
        <f>SUM(G21:G24)</f>
        <v>1103832000</v>
      </c>
      <c r="G10" s="178">
        <f>SUM(B10:F10)</f>
        <v>1675432000</v>
      </c>
    </row>
    <row r="11" spans="1:19" x14ac:dyDescent="0.2">
      <c r="A11" s="223" t="s">
        <v>3218</v>
      </c>
      <c r="B11" s="178">
        <f>SUM([1]SISFunded!$S$34:$T$41)*1000</f>
        <v>282459850</v>
      </c>
      <c r="C11" s="178">
        <f>SUM([1]SISFunded!$U$34:$W$41)*1000+[1]SISFunded!$V$47</f>
        <v>1055335060</v>
      </c>
      <c r="D11" s="178">
        <f>SUM([1]SISFunded!$Z$48:$Z$54)*[1]SISFunded!$T$60</f>
        <v>915144732.75</v>
      </c>
      <c r="E11" s="178">
        <v>0</v>
      </c>
      <c r="F11" s="178">
        <f>SUM([1]SISUnfunded!$I$6:$I$38)</f>
        <v>2948714779</v>
      </c>
      <c r="G11" s="178">
        <f>SUM(B11:F11)</f>
        <v>5201654421.75</v>
      </c>
    </row>
    <row r="12" spans="1:19" x14ac:dyDescent="0.2">
      <c r="A12" s="223" t="s">
        <v>3217</v>
      </c>
      <c r="B12" s="178">
        <v>0</v>
      </c>
      <c r="C12" s="178">
        <v>0</v>
      </c>
      <c r="D12" s="178">
        <v>0</v>
      </c>
      <c r="E12" s="178">
        <v>0</v>
      </c>
      <c r="F12" s="178">
        <f>[1]SISUnfunded!$I$112-F11</f>
        <v>9361854578</v>
      </c>
      <c r="G12" s="178">
        <f>SUM(B12:F12)</f>
        <v>9361854578</v>
      </c>
    </row>
    <row r="13" spans="1:19" x14ac:dyDescent="0.2">
      <c r="A13" s="223" t="s">
        <v>3216</v>
      </c>
      <c r="B13" s="178">
        <f>+'List-ITSSystems'!AH13</f>
        <v>25819000</v>
      </c>
      <c r="C13" s="178">
        <f>+'List-ITSSystems'!AI13</f>
        <v>24800000</v>
      </c>
      <c r="D13" s="178">
        <f>+'List-ITSSystems'!AJ13</f>
        <v>84511000</v>
      </c>
      <c r="E13" s="178">
        <f>+'List-ITSSystems'!AK13</f>
        <v>58800000</v>
      </c>
      <c r="F13" s="178">
        <f>+'List-ITSSystems'!AL13</f>
        <v>0</v>
      </c>
      <c r="G13" s="178"/>
    </row>
    <row r="14" spans="1:19" x14ac:dyDescent="0.2">
      <c r="A14" s="223" t="s">
        <v>3215</v>
      </c>
      <c r="B14" s="178">
        <v>0</v>
      </c>
      <c r="C14" s="178">
        <v>0</v>
      </c>
      <c r="D14" s="178">
        <v>0</v>
      </c>
      <c r="E14" s="178">
        <v>0</v>
      </c>
      <c r="F14" s="178">
        <v>0</v>
      </c>
      <c r="G14" s="178"/>
    </row>
    <row r="15" spans="1:19" x14ac:dyDescent="0.2">
      <c r="A15" s="223" t="s">
        <v>383</v>
      </c>
      <c r="B15" s="178">
        <v>0</v>
      </c>
      <c r="C15" s="178">
        <v>0</v>
      </c>
      <c r="D15" s="178">
        <v>0</v>
      </c>
      <c r="E15" s="178">
        <v>0</v>
      </c>
      <c r="F15" s="178">
        <v>0</v>
      </c>
      <c r="G15" s="178">
        <f>SUM(B15:F15)</f>
        <v>0</v>
      </c>
    </row>
    <row r="16" spans="1:19" x14ac:dyDescent="0.2">
      <c r="A16" s="366" t="s">
        <v>3214</v>
      </c>
      <c r="B16" s="367">
        <f t="shared" ref="B16:G16" si="1">SUM(B8:B15)</f>
        <v>486421850</v>
      </c>
      <c r="C16" s="367">
        <f t="shared" si="1"/>
        <v>1436914060</v>
      </c>
      <c r="D16" s="367">
        <f t="shared" si="1"/>
        <v>1393482732.75</v>
      </c>
      <c r="E16" s="367">
        <f t="shared" si="1"/>
        <v>1026107000</v>
      </c>
      <c r="F16" s="367">
        <f t="shared" si="1"/>
        <v>19162008017</v>
      </c>
      <c r="G16" s="367">
        <f t="shared" si="1"/>
        <v>23311003659.75</v>
      </c>
    </row>
    <row r="18" spans="1:7" x14ac:dyDescent="0.2">
      <c r="A18" s="368" t="s">
        <v>3213</v>
      </c>
      <c r="B18" s="369">
        <f t="shared" ref="B18:G18" si="2">+B16+B7</f>
        <v>909398850</v>
      </c>
      <c r="C18" s="369">
        <f t="shared" si="2"/>
        <v>2549167060</v>
      </c>
      <c r="D18" s="369">
        <f t="shared" si="2"/>
        <v>2722452732.75</v>
      </c>
      <c r="E18" s="369">
        <f t="shared" si="2"/>
        <v>4428031000</v>
      </c>
      <c r="F18" s="369">
        <f t="shared" si="2"/>
        <v>19162008017</v>
      </c>
      <c r="G18" s="369">
        <f t="shared" si="2"/>
        <v>29577127659.75</v>
      </c>
    </row>
    <row r="20" spans="1:7" hidden="1" x14ac:dyDescent="0.2">
      <c r="A20" s="11" t="str">
        <f>"Define "&amp;A10</f>
        <v>Define Programmatic Non-Regional</v>
      </c>
    </row>
    <row r="21" spans="1:7" hidden="1" x14ac:dyDescent="0.2">
      <c r="A21" s="11" t="s">
        <v>29</v>
      </c>
      <c r="G21" s="19">
        <f>+'List-Bike'!$Z$579</f>
        <v>337905000</v>
      </c>
    </row>
    <row r="22" spans="1:7" hidden="1" x14ac:dyDescent="0.2">
      <c r="A22" s="11" t="s">
        <v>27</v>
      </c>
      <c r="G22" s="19">
        <f>+'List-Ped'!$Z$585</f>
        <v>385467000</v>
      </c>
    </row>
    <row r="23" spans="1:7" hidden="1" x14ac:dyDescent="0.2">
      <c r="A23" s="11" t="s">
        <v>366</v>
      </c>
      <c r="G23" s="19">
        <f>+'List-Greenway'!$Z$68</f>
        <v>311279000</v>
      </c>
    </row>
    <row r="24" spans="1:7" hidden="1" x14ac:dyDescent="0.2">
      <c r="A24" s="11" t="s">
        <v>3212</v>
      </c>
      <c r="G24" s="19">
        <f>+'List-NonRegional'!$Z$100</f>
        <v>69181000</v>
      </c>
    </row>
  </sheetData>
  <mergeCells count="4">
    <mergeCell ref="B2:E2"/>
    <mergeCell ref="F2:F3"/>
    <mergeCell ref="G2:G3"/>
    <mergeCell ref="A2:A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workbookViewId="0">
      <selection activeCell="F1" sqref="F1"/>
    </sheetView>
  </sheetViews>
  <sheetFormatPr defaultRowHeight="14.25" x14ac:dyDescent="0.2"/>
  <cols>
    <col min="1" max="1" width="18" style="11" customWidth="1"/>
    <col min="2" max="2" width="106.85546875" style="11" customWidth="1"/>
    <col min="3" max="3" width="14.28515625" style="11" bestFit="1" customWidth="1"/>
    <col min="4" max="5" width="9.140625" style="11"/>
    <col min="6" max="6" width="17.140625" style="11" customWidth="1"/>
    <col min="7" max="16384" width="9.140625" style="11"/>
  </cols>
  <sheetData>
    <row r="1" spans="1:7" ht="18.75" x14ac:dyDescent="0.3">
      <c r="A1" s="302" t="s">
        <v>3249</v>
      </c>
      <c r="F1" s="302" t="s">
        <v>3248</v>
      </c>
    </row>
    <row r="2" spans="1:7" x14ac:dyDescent="0.2">
      <c r="A2" s="277" t="s">
        <v>3052</v>
      </c>
      <c r="B2" s="277" t="s">
        <v>2</v>
      </c>
      <c r="C2" s="277" t="s">
        <v>3053</v>
      </c>
      <c r="F2" s="277" t="s">
        <v>3130</v>
      </c>
      <c r="G2" s="278"/>
    </row>
    <row r="3" spans="1:7" x14ac:dyDescent="0.2">
      <c r="A3" s="11" t="s">
        <v>3050</v>
      </c>
      <c r="B3" s="13" t="s">
        <v>3054</v>
      </c>
      <c r="C3" s="11">
        <v>1.3839999999999999</v>
      </c>
      <c r="F3" s="11" t="s">
        <v>3128</v>
      </c>
      <c r="G3" s="162">
        <v>3.3000000000000002E-2</v>
      </c>
    </row>
    <row r="4" spans="1:7" x14ac:dyDescent="0.2">
      <c r="A4" s="11" t="s">
        <v>3050</v>
      </c>
      <c r="B4" s="13" t="s">
        <v>3055</v>
      </c>
      <c r="C4" s="163">
        <v>1</v>
      </c>
      <c r="F4" s="11" t="s">
        <v>3129</v>
      </c>
      <c r="G4" s="164">
        <v>2012</v>
      </c>
    </row>
    <row r="5" spans="1:7" x14ac:dyDescent="0.2">
      <c r="A5" s="11" t="s">
        <v>3050</v>
      </c>
      <c r="B5" s="13" t="s">
        <v>3056</v>
      </c>
      <c r="C5" s="163">
        <v>1</v>
      </c>
      <c r="F5" s="11" t="s">
        <v>3134</v>
      </c>
      <c r="G5" s="165">
        <v>0.22</v>
      </c>
    </row>
    <row r="6" spans="1:7" x14ac:dyDescent="0.2">
      <c r="A6" s="11" t="s">
        <v>3050</v>
      </c>
      <c r="B6" s="13" t="s">
        <v>3057</v>
      </c>
      <c r="C6" s="163">
        <v>1</v>
      </c>
    </row>
    <row r="7" spans="1:7" x14ac:dyDescent="0.2">
      <c r="A7" s="11" t="s">
        <v>3050</v>
      </c>
      <c r="B7" s="13" t="s">
        <v>3058</v>
      </c>
      <c r="C7" s="163">
        <v>1</v>
      </c>
    </row>
    <row r="8" spans="1:7" x14ac:dyDescent="0.2">
      <c r="A8" s="11" t="s">
        <v>3050</v>
      </c>
      <c r="B8" s="13" t="s">
        <v>3059</v>
      </c>
      <c r="C8" s="163">
        <v>1</v>
      </c>
    </row>
    <row r="9" spans="1:7" x14ac:dyDescent="0.2">
      <c r="A9" s="11" t="s">
        <v>3050</v>
      </c>
      <c r="B9" s="13" t="s">
        <v>3060</v>
      </c>
      <c r="C9" s="163">
        <v>1</v>
      </c>
    </row>
    <row r="10" spans="1:7" x14ac:dyDescent="0.2">
      <c r="A10" s="11" t="s">
        <v>3050</v>
      </c>
      <c r="B10" s="13" t="s">
        <v>3061</v>
      </c>
      <c r="C10" s="163">
        <v>1</v>
      </c>
    </row>
    <row r="11" spans="1:7" x14ac:dyDescent="0.2">
      <c r="A11" s="11" t="s">
        <v>3050</v>
      </c>
      <c r="B11" s="13" t="s">
        <v>3062</v>
      </c>
      <c r="C11" s="163">
        <v>1</v>
      </c>
    </row>
    <row r="12" spans="1:7" x14ac:dyDescent="0.2">
      <c r="A12" s="11" t="s">
        <v>3050</v>
      </c>
      <c r="B12" s="13" t="s">
        <v>3063</v>
      </c>
      <c r="C12" s="163">
        <v>1</v>
      </c>
    </row>
    <row r="13" spans="1:7" x14ac:dyDescent="0.2">
      <c r="A13" s="11" t="s">
        <v>3050</v>
      </c>
      <c r="B13" s="13" t="s">
        <v>3064</v>
      </c>
      <c r="C13" s="163">
        <v>1</v>
      </c>
    </row>
    <row r="14" spans="1:7" x14ac:dyDescent="0.2">
      <c r="A14" s="11" t="s">
        <v>3050</v>
      </c>
      <c r="B14" s="13" t="s">
        <v>3083</v>
      </c>
      <c r="C14" s="163">
        <v>1</v>
      </c>
    </row>
    <row r="15" spans="1:7" x14ac:dyDescent="0.2">
      <c r="A15" s="11" t="s">
        <v>3050</v>
      </c>
      <c r="B15" s="13" t="s">
        <v>3065</v>
      </c>
      <c r="C15" s="163">
        <v>1</v>
      </c>
    </row>
    <row r="16" spans="1:7" x14ac:dyDescent="0.2">
      <c r="A16" s="11" t="s">
        <v>3050</v>
      </c>
      <c r="B16" s="13" t="s">
        <v>3066</v>
      </c>
      <c r="C16" s="163">
        <v>1</v>
      </c>
    </row>
    <row r="17" spans="1:3" x14ac:dyDescent="0.2">
      <c r="A17" s="11" t="s">
        <v>3050</v>
      </c>
      <c r="B17" s="13" t="s">
        <v>3067</v>
      </c>
      <c r="C17" s="163">
        <v>1</v>
      </c>
    </row>
    <row r="18" spans="1:3" x14ac:dyDescent="0.2">
      <c r="A18" s="11" t="s">
        <v>3050</v>
      </c>
      <c r="B18" s="13" t="s">
        <v>3068</v>
      </c>
      <c r="C18" s="163">
        <v>1</v>
      </c>
    </row>
    <row r="19" spans="1:3" x14ac:dyDescent="0.2">
      <c r="A19" s="11" t="s">
        <v>3050</v>
      </c>
      <c r="B19" s="13" t="s">
        <v>3069</v>
      </c>
      <c r="C19" s="163">
        <v>1</v>
      </c>
    </row>
    <row r="20" spans="1:3" x14ac:dyDescent="0.2">
      <c r="A20" s="11" t="s">
        <v>3050</v>
      </c>
      <c r="B20" s="13" t="s">
        <v>3070</v>
      </c>
      <c r="C20" s="163">
        <v>1</v>
      </c>
    </row>
    <row r="21" spans="1:3" x14ac:dyDescent="0.2">
      <c r="A21" s="11" t="s">
        <v>3050</v>
      </c>
      <c r="B21" s="13" t="s">
        <v>3087</v>
      </c>
      <c r="C21" s="163">
        <v>1</v>
      </c>
    </row>
    <row r="22" spans="1:3" x14ac:dyDescent="0.2">
      <c r="A22" s="11" t="s">
        <v>3051</v>
      </c>
      <c r="B22" s="13" t="s">
        <v>3071</v>
      </c>
      <c r="C22" s="166">
        <v>394500</v>
      </c>
    </row>
    <row r="23" spans="1:3" x14ac:dyDescent="0.2">
      <c r="A23" s="11" t="s">
        <v>3051</v>
      </c>
      <c r="B23" s="13" t="s">
        <v>3072</v>
      </c>
      <c r="C23" s="166">
        <v>146000</v>
      </c>
    </row>
    <row r="24" spans="1:3" x14ac:dyDescent="0.2">
      <c r="A24" s="11" t="s">
        <v>3051</v>
      </c>
      <c r="B24" s="13" t="s">
        <v>3073</v>
      </c>
      <c r="C24" s="166">
        <v>9215600</v>
      </c>
    </row>
    <row r="25" spans="1:3" x14ac:dyDescent="0.2">
      <c r="A25" s="11" t="s">
        <v>3051</v>
      </c>
      <c r="B25" s="12" t="s">
        <v>3074</v>
      </c>
      <c r="C25" s="166">
        <v>168400</v>
      </c>
    </row>
    <row r="26" spans="1:3" x14ac:dyDescent="0.2">
      <c r="A26" s="11" t="s">
        <v>3051</v>
      </c>
      <c r="B26" s="13" t="s">
        <v>3075</v>
      </c>
      <c r="C26" s="166">
        <v>2500</v>
      </c>
    </row>
    <row r="27" spans="1:3" x14ac:dyDescent="0.2">
      <c r="A27" s="11" t="s">
        <v>3051</v>
      </c>
      <c r="B27" s="13" t="s">
        <v>3076</v>
      </c>
      <c r="C27" s="166">
        <v>7500</v>
      </c>
    </row>
    <row r="28" spans="1:3" x14ac:dyDescent="0.2">
      <c r="A28" s="11" t="s">
        <v>3051</v>
      </c>
      <c r="B28" s="13" t="s">
        <v>3077</v>
      </c>
      <c r="C28" s="166">
        <v>7500</v>
      </c>
    </row>
    <row r="29" spans="1:3" x14ac:dyDescent="0.2">
      <c r="A29" s="11" t="s">
        <v>3051</v>
      </c>
      <c r="B29" s="13" t="s">
        <v>3078</v>
      </c>
      <c r="C29" s="166">
        <v>13500</v>
      </c>
    </row>
    <row r="30" spans="1:3" x14ac:dyDescent="0.2">
      <c r="A30" s="11" t="s">
        <v>3051</v>
      </c>
      <c r="B30" s="13" t="s">
        <v>3089</v>
      </c>
      <c r="C30" s="166">
        <v>200000</v>
      </c>
    </row>
    <row r="31" spans="1:3" x14ac:dyDescent="0.2">
      <c r="A31" s="11" t="s">
        <v>3051</v>
      </c>
      <c r="B31" s="13" t="s">
        <v>3079</v>
      </c>
      <c r="C31" s="166">
        <v>2160000</v>
      </c>
    </row>
    <row r="32" spans="1:3" x14ac:dyDescent="0.2">
      <c r="A32" s="11" t="s">
        <v>3051</v>
      </c>
      <c r="B32" s="13" t="s">
        <v>3080</v>
      </c>
      <c r="C32" s="166">
        <v>360000</v>
      </c>
    </row>
    <row r="33" spans="1:3" x14ac:dyDescent="0.2">
      <c r="A33" s="11" t="s">
        <v>3051</v>
      </c>
      <c r="B33" s="13" t="s">
        <v>3081</v>
      </c>
      <c r="C33" s="166">
        <v>10000</v>
      </c>
    </row>
    <row r="34" spans="1:3" x14ac:dyDescent="0.2">
      <c r="A34" s="11" t="s">
        <v>3051</v>
      </c>
      <c r="B34" s="13" t="s">
        <v>3082</v>
      </c>
      <c r="C34" s="167">
        <f>C31</f>
        <v>2160000</v>
      </c>
    </row>
    <row r="35" spans="1:3" x14ac:dyDescent="0.2">
      <c r="A35" s="11" t="s">
        <v>3051</v>
      </c>
      <c r="B35" s="13" t="s">
        <v>3084</v>
      </c>
      <c r="C35" s="167">
        <v>170</v>
      </c>
    </row>
    <row r="36" spans="1:3" x14ac:dyDescent="0.2">
      <c r="A36" s="11" t="s">
        <v>3051</v>
      </c>
      <c r="B36" s="13" t="s">
        <v>3085</v>
      </c>
      <c r="C36" s="167">
        <v>5893100</v>
      </c>
    </row>
    <row r="37" spans="1:3" x14ac:dyDescent="0.2">
      <c r="A37" s="11" t="s">
        <v>3051</v>
      </c>
      <c r="B37" s="13" t="s">
        <v>3088</v>
      </c>
      <c r="C37" s="167">
        <v>4623000</v>
      </c>
    </row>
  </sheetData>
  <pageMargins left="0.7" right="0.7" top="0.75" bottom="0.75" header="0.3" footer="0.3"/>
  <pageSetup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43"/>
  <sheetViews>
    <sheetView showGridLines="0" topLeftCell="J1" zoomScaleNormal="100" workbookViewId="0">
      <selection activeCell="J1" sqref="J1"/>
    </sheetView>
  </sheetViews>
  <sheetFormatPr defaultRowHeight="14.25" x14ac:dyDescent="0.2"/>
  <cols>
    <col min="1" max="1" width="19" style="11" hidden="1" customWidth="1"/>
    <col min="2" max="2" width="9.7109375" style="11" hidden="1" customWidth="1"/>
    <col min="3" max="3" width="9.28515625" style="11" hidden="1" customWidth="1"/>
    <col min="4" max="9" width="0" style="11" hidden="1" customWidth="1"/>
    <col min="10" max="10" width="6" style="11" customWidth="1"/>
    <col min="11" max="16" width="20.7109375" style="11" customWidth="1"/>
    <col min="17" max="17" width="21" style="11" hidden="1" customWidth="1"/>
    <col min="18" max="18" width="12.140625" style="11" hidden="1" customWidth="1"/>
    <col min="19" max="21" width="0" style="11" hidden="1" customWidth="1"/>
    <col min="22" max="22" width="14.140625" style="11" hidden="1" customWidth="1"/>
    <col min="23" max="16384" width="9.140625" style="11"/>
  </cols>
  <sheetData>
    <row r="1" spans="1:22" ht="18.75" x14ac:dyDescent="0.3">
      <c r="A1" s="11" t="s">
        <v>3110</v>
      </c>
      <c r="B1" s="11" t="s">
        <v>3106</v>
      </c>
      <c r="C1" s="11" t="s">
        <v>3111</v>
      </c>
      <c r="J1" s="302" t="s">
        <v>3263</v>
      </c>
    </row>
    <row r="2" spans="1:22" x14ac:dyDescent="0.2">
      <c r="A2" s="11" t="s">
        <v>3108</v>
      </c>
      <c r="B2" s="171">
        <f>COUNT('Data-Projects-All'!G2:G1859)</f>
        <v>1858</v>
      </c>
      <c r="C2" s="172">
        <v>1</v>
      </c>
      <c r="J2" s="276" t="s">
        <v>3139</v>
      </c>
      <c r="K2" s="276" t="s">
        <v>3160</v>
      </c>
      <c r="L2" s="276" t="s">
        <v>3161</v>
      </c>
      <c r="M2" s="276" t="s">
        <v>3162</v>
      </c>
      <c r="N2" s="276" t="s">
        <v>3198</v>
      </c>
      <c r="O2" s="276" t="s">
        <v>3137</v>
      </c>
      <c r="P2" s="276" t="s">
        <v>3138</v>
      </c>
      <c r="R2" s="173" t="s">
        <v>3169</v>
      </c>
      <c r="S2" s="173" t="s">
        <v>3170</v>
      </c>
      <c r="T2" s="173" t="s">
        <v>3171</v>
      </c>
      <c r="U2" s="173" t="s">
        <v>3172</v>
      </c>
      <c r="V2" s="170" t="s">
        <v>3173</v>
      </c>
    </row>
    <row r="3" spans="1:22" x14ac:dyDescent="0.2">
      <c r="A3" s="11" t="s">
        <v>3109</v>
      </c>
      <c r="B3" s="171">
        <f>SUM('Data-Projects-All'!AA2:AA1859)</f>
        <v>425</v>
      </c>
      <c r="C3" s="172">
        <f>+B3/B2</f>
        <v>0.22874058127018299</v>
      </c>
      <c r="J3" s="174">
        <v>2018</v>
      </c>
      <c r="K3" s="175">
        <f>ROUND(6426000+8051000+3305480,-3)</f>
        <v>17782000</v>
      </c>
      <c r="L3" s="175">
        <f>ROUND(140053403,-3)</f>
        <v>140053000</v>
      </c>
      <c r="M3" s="175">
        <f>ROUND(34995336,-3)</f>
        <v>34995000</v>
      </c>
      <c r="N3" s="175">
        <f>SUM(K3:M3)</f>
        <v>192830000</v>
      </c>
      <c r="O3" s="174" t="s">
        <v>3141</v>
      </c>
      <c r="P3" s="174" t="s">
        <v>3140</v>
      </c>
      <c r="Q3" s="11" t="str">
        <f>+K2</f>
        <v>County / Local Roads*</v>
      </c>
      <c r="R3" s="19">
        <f>SUM(K4:K5)</f>
        <v>37344000</v>
      </c>
    </row>
    <row r="4" spans="1:22" x14ac:dyDescent="0.2">
      <c r="A4" s="11" t="s">
        <v>3112</v>
      </c>
      <c r="B4" s="171">
        <f>COUNTIF('Data-Projects-All'!B2:B1859,"KILL")</f>
        <v>96</v>
      </c>
      <c r="C4" s="172">
        <f>+B4/B2</f>
        <v>5.1668460710441337E-2</v>
      </c>
      <c r="J4" s="176">
        <v>2019</v>
      </c>
      <c r="K4" s="177">
        <f>ROUND(K3*(1+'Data-CostAssumptions'!$G$3),-3)</f>
        <v>18369000</v>
      </c>
      <c r="L4" s="175">
        <f>ROUND(141896758,-3)</f>
        <v>141897000</v>
      </c>
      <c r="M4" s="175">
        <f>ROUND(47092853,-3)</f>
        <v>47093000</v>
      </c>
      <c r="N4" s="178">
        <f t="shared" ref="N4:N25" si="0">SUM(K4:M4)</f>
        <v>207359000</v>
      </c>
      <c r="O4" s="179" t="s">
        <v>3166</v>
      </c>
      <c r="P4" s="179" t="s">
        <v>3166</v>
      </c>
      <c r="R4" s="180"/>
    </row>
    <row r="5" spans="1:22" x14ac:dyDescent="0.2">
      <c r="J5" s="176">
        <f>+J4+1</f>
        <v>2020</v>
      </c>
      <c r="K5" s="177">
        <f>ROUND(K4*(1+'Data-CostAssumptions'!$G$3),-3)</f>
        <v>18975000</v>
      </c>
      <c r="L5" s="175">
        <f>ROUND(145214191,-3)</f>
        <v>145214000</v>
      </c>
      <c r="M5" s="175">
        <f>ROUND(51428583,-3)</f>
        <v>51429000</v>
      </c>
      <c r="N5" s="178">
        <f t="shared" si="0"/>
        <v>215618000</v>
      </c>
      <c r="O5" s="179" t="s">
        <v>3166</v>
      </c>
      <c r="P5" s="179" t="s">
        <v>3166</v>
      </c>
      <c r="R5" s="180"/>
    </row>
    <row r="6" spans="1:22" x14ac:dyDescent="0.2">
      <c r="J6" s="176">
        <f t="shared" ref="J6:J25" si="1">+J5+1</f>
        <v>2021</v>
      </c>
      <c r="K6" s="177">
        <f>ROUND(K5*(1+'Data-CostAssumptions'!$G$3),-3)</f>
        <v>19601000</v>
      </c>
      <c r="L6" s="175">
        <f>ROUND(148094574,-3)</f>
        <v>148095000</v>
      </c>
      <c r="M6" s="175">
        <f>ROUND(39568321,-3)</f>
        <v>39568000</v>
      </c>
      <c r="N6" s="178">
        <f t="shared" si="0"/>
        <v>207264000</v>
      </c>
      <c r="O6" s="179" t="s">
        <v>3166</v>
      </c>
      <c r="P6" s="179" t="s">
        <v>3166</v>
      </c>
      <c r="R6" s="180"/>
    </row>
    <row r="7" spans="1:22" x14ac:dyDescent="0.2">
      <c r="J7" s="176">
        <f t="shared" si="1"/>
        <v>2022</v>
      </c>
      <c r="K7" s="177">
        <f>ROUND(K6*(1+'Data-CostAssumptions'!$G$3),-3)</f>
        <v>20248000</v>
      </c>
      <c r="L7" s="175">
        <f>ROUND(151513295,-3)</f>
        <v>151513000</v>
      </c>
      <c r="M7" s="175">
        <f>ROUND(39454996,-3)</f>
        <v>39455000</v>
      </c>
      <c r="N7" s="178">
        <f t="shared" si="0"/>
        <v>211216000</v>
      </c>
      <c r="O7" s="179" t="s">
        <v>3166</v>
      </c>
      <c r="P7" s="179" t="s">
        <v>3166</v>
      </c>
      <c r="R7" s="180"/>
    </row>
    <row r="8" spans="1:22" x14ac:dyDescent="0.2">
      <c r="J8" s="176">
        <f t="shared" si="1"/>
        <v>2023</v>
      </c>
      <c r="K8" s="177">
        <f>ROUND(K7*(1+'Data-CostAssumptions'!$G$3),-3)</f>
        <v>20916000</v>
      </c>
      <c r="L8" s="175">
        <f>ROUND(154514502,-3)</f>
        <v>154515000</v>
      </c>
      <c r="M8" s="175">
        <f>ROUND(44295357,-3)</f>
        <v>44295000</v>
      </c>
      <c r="N8" s="178">
        <f t="shared" si="0"/>
        <v>219726000</v>
      </c>
      <c r="O8" s="179" t="s">
        <v>3166</v>
      </c>
      <c r="P8" s="179" t="s">
        <v>3166</v>
      </c>
      <c r="R8" s="180"/>
    </row>
    <row r="9" spans="1:22" x14ac:dyDescent="0.2">
      <c r="J9" s="176">
        <f t="shared" si="1"/>
        <v>2024</v>
      </c>
      <c r="K9" s="177">
        <f>ROUND(K8*(1+'Data-CostAssumptions'!$G$3),-3)</f>
        <v>21606000</v>
      </c>
      <c r="L9" s="177">
        <f>ROUND(L8*(1+'Data-CostAssumptions'!$G$3),-3)</f>
        <v>159614000</v>
      </c>
      <c r="M9" s="177">
        <f>ROUND(519559120/10,-3)</f>
        <v>51956000</v>
      </c>
      <c r="N9" s="178">
        <f t="shared" si="0"/>
        <v>233176000</v>
      </c>
      <c r="O9" s="179" t="s">
        <v>3166</v>
      </c>
      <c r="P9" s="179" t="s">
        <v>3166</v>
      </c>
    </row>
    <row r="10" spans="1:22" x14ac:dyDescent="0.2">
      <c r="J10" s="176">
        <f t="shared" si="1"/>
        <v>2025</v>
      </c>
      <c r="K10" s="177">
        <f>ROUND(K9*(1+'Data-CostAssumptions'!$G$3),-3)</f>
        <v>22319000</v>
      </c>
      <c r="L10" s="177">
        <f>ROUND(L9*(1+'Data-CostAssumptions'!$G$3),-3)</f>
        <v>164881000</v>
      </c>
      <c r="M10" s="177">
        <f>ROUND(M9*(1+'Data-CostAssumptions'!$G$3),-3)</f>
        <v>53671000</v>
      </c>
      <c r="N10" s="178">
        <f t="shared" si="0"/>
        <v>240871000</v>
      </c>
      <c r="O10" s="179" t="s">
        <v>3166</v>
      </c>
      <c r="P10" s="179" t="s">
        <v>3166</v>
      </c>
    </row>
    <row r="11" spans="1:22" x14ac:dyDescent="0.2">
      <c r="J11" s="176">
        <f t="shared" si="1"/>
        <v>2026</v>
      </c>
      <c r="K11" s="177">
        <f>ROUND(K10*(1+'Data-CostAssumptions'!$G$3),-3)</f>
        <v>23056000</v>
      </c>
      <c r="L11" s="177">
        <f>ROUND(L10*(1+'Data-CostAssumptions'!$G$3),-3)</f>
        <v>170322000</v>
      </c>
      <c r="M11" s="177">
        <f>ROUND(M10*(1+'Data-CostAssumptions'!$G$3),-3)</f>
        <v>55442000</v>
      </c>
      <c r="N11" s="178">
        <f t="shared" si="0"/>
        <v>248820000</v>
      </c>
      <c r="O11" s="179" t="s">
        <v>3166</v>
      </c>
      <c r="P11" s="179" t="s">
        <v>3166</v>
      </c>
    </row>
    <row r="12" spans="1:22" x14ac:dyDescent="0.2">
      <c r="J12" s="176">
        <f t="shared" si="1"/>
        <v>2027</v>
      </c>
      <c r="K12" s="177">
        <f>ROUND(K11*(1+'Data-CostAssumptions'!$G$3),-3)</f>
        <v>23817000</v>
      </c>
      <c r="L12" s="177">
        <f>ROUND(L11*(1+'Data-CostAssumptions'!$G$3),-3)</f>
        <v>175943000</v>
      </c>
      <c r="M12" s="177">
        <f>ROUND(M11*(1+'Data-CostAssumptions'!$G$3),-3)</f>
        <v>57272000</v>
      </c>
      <c r="N12" s="178">
        <f t="shared" si="0"/>
        <v>257032000</v>
      </c>
      <c r="O12" s="179" t="s">
        <v>3166</v>
      </c>
      <c r="P12" s="179" t="s">
        <v>3166</v>
      </c>
    </row>
    <row r="13" spans="1:22" x14ac:dyDescent="0.2">
      <c r="J13" s="176">
        <f t="shared" si="1"/>
        <v>2028</v>
      </c>
      <c r="K13" s="177">
        <f>ROUND(K12*(1+'Data-CostAssumptions'!$G$3),-3)</f>
        <v>24603000</v>
      </c>
      <c r="L13" s="177">
        <f>ROUND(L12*(1+'Data-CostAssumptions'!$G$3),-3)</f>
        <v>181749000</v>
      </c>
      <c r="M13" s="177">
        <f>ROUND(M12*(1+'Data-CostAssumptions'!$G$3),-3)</f>
        <v>59162000</v>
      </c>
      <c r="N13" s="178">
        <f t="shared" si="0"/>
        <v>265514000</v>
      </c>
      <c r="O13" s="179" t="s">
        <v>3166</v>
      </c>
      <c r="P13" s="179" t="s">
        <v>3166</v>
      </c>
    </row>
    <row r="14" spans="1:22" x14ac:dyDescent="0.2">
      <c r="J14" s="176">
        <f t="shared" si="1"/>
        <v>2029</v>
      </c>
      <c r="K14" s="177">
        <f>ROUND(K13*(1+'Data-CostAssumptions'!$G$3),-3)</f>
        <v>25415000</v>
      </c>
      <c r="L14" s="177">
        <f>ROUND(L13*(1+'Data-CostAssumptions'!$G$3),-3)</f>
        <v>187747000</v>
      </c>
      <c r="M14" s="177">
        <f>ROUND(M13*(1+'Data-CostAssumptions'!$G$3),-3)</f>
        <v>61114000</v>
      </c>
      <c r="N14" s="178">
        <f t="shared" si="0"/>
        <v>274276000</v>
      </c>
      <c r="O14" s="179" t="s">
        <v>3166</v>
      </c>
      <c r="P14" s="179" t="s">
        <v>3166</v>
      </c>
    </row>
    <row r="15" spans="1:22" x14ac:dyDescent="0.2">
      <c r="J15" s="176">
        <f t="shared" si="1"/>
        <v>2030</v>
      </c>
      <c r="K15" s="177">
        <f>ROUND(K14*(1+'Data-CostAssumptions'!$G$3),-3)</f>
        <v>26254000</v>
      </c>
      <c r="L15" s="177">
        <f>ROUND(L14*(1+'Data-CostAssumptions'!$G$3),-3)</f>
        <v>193943000</v>
      </c>
      <c r="M15" s="177">
        <f>ROUND(M14*(1+'Data-CostAssumptions'!$G$3),-3)</f>
        <v>63131000</v>
      </c>
      <c r="N15" s="178">
        <f t="shared" si="0"/>
        <v>283328000</v>
      </c>
      <c r="O15" s="179" t="s">
        <v>3166</v>
      </c>
      <c r="P15" s="179" t="s">
        <v>3166</v>
      </c>
    </row>
    <row r="16" spans="1:22" x14ac:dyDescent="0.2">
      <c r="J16" s="176">
        <f t="shared" si="1"/>
        <v>2031</v>
      </c>
      <c r="K16" s="177">
        <f>ROUND(K15*(1+'Data-CostAssumptions'!$G$3),-3)</f>
        <v>27120000</v>
      </c>
      <c r="L16" s="177">
        <f>ROUND(L15*(1+'Data-CostAssumptions'!$G$3),-3)</f>
        <v>200343000</v>
      </c>
      <c r="M16" s="177">
        <f>ROUND(M15*(1+'Data-CostAssumptions'!$G$3),-3)</f>
        <v>65214000</v>
      </c>
      <c r="N16" s="178">
        <f t="shared" si="0"/>
        <v>292677000</v>
      </c>
      <c r="O16" s="179" t="s">
        <v>3166</v>
      </c>
      <c r="P16" s="179" t="s">
        <v>3166</v>
      </c>
    </row>
    <row r="17" spans="10:16" x14ac:dyDescent="0.2">
      <c r="J17" s="176">
        <f t="shared" si="1"/>
        <v>2032</v>
      </c>
      <c r="K17" s="177">
        <f>ROUND(K16*(1+'Data-CostAssumptions'!$G$3),-3)</f>
        <v>28015000</v>
      </c>
      <c r="L17" s="177">
        <f>ROUND(L16*(1+'Data-CostAssumptions'!$G$3),-3)</f>
        <v>206954000</v>
      </c>
      <c r="M17" s="177">
        <f>ROUND(M16*(1+'Data-CostAssumptions'!$G$3),-3)</f>
        <v>67366000</v>
      </c>
      <c r="N17" s="178">
        <f t="shared" si="0"/>
        <v>302335000</v>
      </c>
      <c r="O17" s="179" t="s">
        <v>3166</v>
      </c>
      <c r="P17" s="179" t="s">
        <v>3166</v>
      </c>
    </row>
    <row r="18" spans="10:16" x14ac:dyDescent="0.2">
      <c r="J18" s="176">
        <f t="shared" si="1"/>
        <v>2033</v>
      </c>
      <c r="K18" s="177">
        <f>ROUND(K17*(1+'Data-CostAssumptions'!$G$3),-3)</f>
        <v>28939000</v>
      </c>
      <c r="L18" s="177">
        <f>ROUND(L17*(1+'Data-CostAssumptions'!$G$3),-3)</f>
        <v>213783000</v>
      </c>
      <c r="M18" s="177">
        <f>ROUND(M17*(1+'Data-CostAssumptions'!$G$3),-3)</f>
        <v>69589000</v>
      </c>
      <c r="N18" s="178">
        <f t="shared" si="0"/>
        <v>312311000</v>
      </c>
      <c r="O18" s="179" t="s">
        <v>3166</v>
      </c>
      <c r="P18" s="179" t="s">
        <v>3166</v>
      </c>
    </row>
    <row r="19" spans="10:16" x14ac:dyDescent="0.2">
      <c r="J19" s="176">
        <f t="shared" si="1"/>
        <v>2034</v>
      </c>
      <c r="K19" s="177">
        <f>ROUND(K18*(1+'Data-CostAssumptions'!$G$3),-3)</f>
        <v>29894000</v>
      </c>
      <c r="L19" s="177">
        <f>ROUND(L18*(1+'Data-CostAssumptions'!$G$3),-3)</f>
        <v>220838000</v>
      </c>
      <c r="M19" s="177">
        <f>ROUND(M18*(1+'Data-CostAssumptions'!$G$3),-3)</f>
        <v>71885000</v>
      </c>
      <c r="N19" s="178">
        <f t="shared" si="0"/>
        <v>322617000</v>
      </c>
      <c r="O19" s="179" t="s">
        <v>3166</v>
      </c>
      <c r="P19" s="179" t="s">
        <v>3166</v>
      </c>
    </row>
    <row r="20" spans="10:16" x14ac:dyDescent="0.2">
      <c r="J20" s="176">
        <f t="shared" si="1"/>
        <v>2035</v>
      </c>
      <c r="K20" s="177">
        <f>ROUND(K19*(1+'Data-CostAssumptions'!$G$3),-3)</f>
        <v>30881000</v>
      </c>
      <c r="L20" s="177">
        <f>ROUND(L19*(1+'Data-CostAssumptions'!$G$3),-3)</f>
        <v>228126000</v>
      </c>
      <c r="M20" s="177">
        <f>ROUND(M19*(1+'Data-CostAssumptions'!$G$3),-3)</f>
        <v>74257000</v>
      </c>
      <c r="N20" s="178">
        <f t="shared" si="0"/>
        <v>333264000</v>
      </c>
      <c r="O20" s="179" t="s">
        <v>3166</v>
      </c>
      <c r="P20" s="179" t="s">
        <v>3166</v>
      </c>
    </row>
    <row r="21" spans="10:16" x14ac:dyDescent="0.2">
      <c r="J21" s="176">
        <f t="shared" si="1"/>
        <v>2036</v>
      </c>
      <c r="K21" s="177">
        <f>ROUND(K20*(1+'Data-CostAssumptions'!$G$3),-3)</f>
        <v>31900000</v>
      </c>
      <c r="L21" s="177">
        <f>ROUND(L20*(1+'Data-CostAssumptions'!$G$3),-3)</f>
        <v>235654000</v>
      </c>
      <c r="M21" s="177">
        <f>ROUND(M20*(1+'Data-CostAssumptions'!$G$3),-3)</f>
        <v>76707000</v>
      </c>
      <c r="N21" s="178">
        <f t="shared" si="0"/>
        <v>344261000</v>
      </c>
      <c r="O21" s="179" t="s">
        <v>3166</v>
      </c>
      <c r="P21" s="179" t="s">
        <v>3166</v>
      </c>
    </row>
    <row r="22" spans="10:16" x14ac:dyDescent="0.2">
      <c r="J22" s="176">
        <f t="shared" si="1"/>
        <v>2037</v>
      </c>
      <c r="K22" s="177">
        <f>ROUND(K21*(1+'Data-CostAssumptions'!$G$3),-3)</f>
        <v>32953000</v>
      </c>
      <c r="L22" s="177">
        <f>ROUND(L21*(1+'Data-CostAssumptions'!$G$3),-3)</f>
        <v>243431000</v>
      </c>
      <c r="M22" s="177">
        <f>ROUND(M21*(1+'Data-CostAssumptions'!$G$3),-3)</f>
        <v>79238000</v>
      </c>
      <c r="N22" s="178">
        <f t="shared" si="0"/>
        <v>355622000</v>
      </c>
      <c r="O22" s="179" t="s">
        <v>3166</v>
      </c>
      <c r="P22" s="179" t="s">
        <v>3166</v>
      </c>
    </row>
    <row r="23" spans="10:16" x14ac:dyDescent="0.2">
      <c r="J23" s="176">
        <f t="shared" si="1"/>
        <v>2038</v>
      </c>
      <c r="K23" s="177">
        <f>ROUND(K22*(1+'Data-CostAssumptions'!$G$3),-3)</f>
        <v>34040000</v>
      </c>
      <c r="L23" s="177">
        <f>ROUND(L22*(1+'Data-CostAssumptions'!$G$3),-3)</f>
        <v>251464000</v>
      </c>
      <c r="M23" s="177">
        <f>ROUND(M22*(1+'Data-CostAssumptions'!$G$3),-3)</f>
        <v>81853000</v>
      </c>
      <c r="N23" s="178">
        <f t="shared" si="0"/>
        <v>367357000</v>
      </c>
      <c r="O23" s="179" t="s">
        <v>3166</v>
      </c>
      <c r="P23" s="179" t="s">
        <v>3166</v>
      </c>
    </row>
    <row r="24" spans="10:16" x14ac:dyDescent="0.2">
      <c r="J24" s="176">
        <f>+J23+1</f>
        <v>2039</v>
      </c>
      <c r="K24" s="177">
        <f>ROUND(K23*(1+'Data-CostAssumptions'!$G$3),-3)</f>
        <v>35163000</v>
      </c>
      <c r="L24" s="177">
        <f>ROUND(L23*(1+'Data-CostAssumptions'!$G$3),-3)</f>
        <v>259762000</v>
      </c>
      <c r="M24" s="177">
        <f>ROUND(M23*(1+'Data-CostAssumptions'!$G$3),-3)</f>
        <v>84554000</v>
      </c>
      <c r="N24" s="178">
        <f t="shared" si="0"/>
        <v>379479000</v>
      </c>
      <c r="O24" s="179" t="s">
        <v>3166</v>
      </c>
      <c r="P24" s="179" t="s">
        <v>3166</v>
      </c>
    </row>
    <row r="25" spans="10:16" x14ac:dyDescent="0.2">
      <c r="J25" s="176">
        <f t="shared" si="1"/>
        <v>2040</v>
      </c>
      <c r="K25" s="177">
        <f>ROUND(K24*(1+'Data-CostAssumptions'!$G$3),-3)</f>
        <v>36323000</v>
      </c>
      <c r="L25" s="177">
        <f>ROUND(L24*(1+'Data-CostAssumptions'!$G$3),-3)</f>
        <v>268334000</v>
      </c>
      <c r="M25" s="177">
        <f>ROUND(M24*(1+'Data-CostAssumptions'!$G$3),-3)</f>
        <v>87344000</v>
      </c>
      <c r="N25" s="178">
        <f t="shared" si="0"/>
        <v>392001000</v>
      </c>
      <c r="O25" s="179" t="s">
        <v>3166</v>
      </c>
      <c r="P25" s="179" t="s">
        <v>3166</v>
      </c>
    </row>
    <row r="26" spans="10:16" x14ac:dyDescent="0.2">
      <c r="J26" s="333"/>
      <c r="K26" s="334">
        <f>SUM(K4:K25)</f>
        <v>580407000</v>
      </c>
      <c r="L26" s="334">
        <f t="shared" ref="L26:N26" si="2">SUM(L4:L25)</f>
        <v>4304122000</v>
      </c>
      <c r="M26" s="334">
        <f t="shared" si="2"/>
        <v>1381595000</v>
      </c>
      <c r="N26" s="334">
        <f t="shared" si="2"/>
        <v>6266124000</v>
      </c>
      <c r="O26" s="275"/>
      <c r="P26" s="275"/>
    </row>
    <row r="27" spans="10:16" x14ac:dyDescent="0.2">
      <c r="J27" s="181"/>
      <c r="K27" s="182"/>
      <c r="L27" s="182"/>
      <c r="M27" s="182"/>
      <c r="N27" s="182"/>
      <c r="O27" s="183"/>
      <c r="P27" s="183"/>
    </row>
    <row r="28" spans="10:16" x14ac:dyDescent="0.2">
      <c r="J28" s="160" t="s">
        <v>3157</v>
      </c>
      <c r="K28" s="160"/>
      <c r="L28" s="160"/>
      <c r="M28" s="160"/>
      <c r="N28" s="184">
        <f>SUM(K4:M25)</f>
        <v>6266124000</v>
      </c>
    </row>
    <row r="29" spans="10:16" x14ac:dyDescent="0.2">
      <c r="J29" s="185" t="s">
        <v>3142</v>
      </c>
      <c r="K29" s="185"/>
      <c r="L29" s="186"/>
      <c r="M29" s="187" t="s">
        <v>3143</v>
      </c>
      <c r="N29" s="188">
        <v>263800000</v>
      </c>
    </row>
    <row r="30" spans="10:16" x14ac:dyDescent="0.2">
      <c r="L30" s="189"/>
      <c r="M30" s="190" t="s">
        <v>3144</v>
      </c>
      <c r="N30" s="19">
        <v>115400000</v>
      </c>
    </row>
    <row r="31" spans="10:16" x14ac:dyDescent="0.2">
      <c r="L31" s="189"/>
      <c r="M31" s="190" t="s">
        <v>3145</v>
      </c>
      <c r="N31" s="19">
        <v>228700000</v>
      </c>
    </row>
    <row r="32" spans="10:16" x14ac:dyDescent="0.2">
      <c r="L32" s="189"/>
      <c r="M32" s="190" t="s">
        <v>3146</v>
      </c>
      <c r="N32" s="19">
        <v>155100000</v>
      </c>
    </row>
    <row r="33" spans="10:14" x14ac:dyDescent="0.2">
      <c r="L33" s="189"/>
      <c r="M33" s="190" t="s">
        <v>3147</v>
      </c>
      <c r="N33" s="19">
        <v>871900000</v>
      </c>
    </row>
    <row r="34" spans="10:14" x14ac:dyDescent="0.2">
      <c r="L34" s="189"/>
      <c r="M34" s="190" t="s">
        <v>3148</v>
      </c>
      <c r="N34" s="19">
        <v>600100000</v>
      </c>
    </row>
    <row r="35" spans="10:14" x14ac:dyDescent="0.2">
      <c r="L35" s="189"/>
      <c r="M35" s="190" t="s">
        <v>3149</v>
      </c>
      <c r="N35" s="19">
        <v>88600000</v>
      </c>
    </row>
    <row r="36" spans="10:14" x14ac:dyDescent="0.2">
      <c r="M36" s="190" t="s">
        <v>3151</v>
      </c>
      <c r="N36" s="191">
        <f>SUM(N29:N35)</f>
        <v>2323600000</v>
      </c>
    </row>
    <row r="37" spans="10:14" x14ac:dyDescent="0.2">
      <c r="J37" s="370" t="s">
        <v>3177</v>
      </c>
      <c r="K37" s="370"/>
      <c r="L37" s="370"/>
      <c r="M37" s="370"/>
      <c r="N37" s="371">
        <f>+N28-N36</f>
        <v>3942524000</v>
      </c>
    </row>
    <row r="38" spans="10:14" x14ac:dyDescent="0.2">
      <c r="J38" s="192" t="s">
        <v>3150</v>
      </c>
      <c r="K38" s="192"/>
      <c r="L38" s="192"/>
      <c r="M38" s="192"/>
      <c r="N38" s="193">
        <f>+N37+N36</f>
        <v>6266124000</v>
      </c>
    </row>
    <row r="40" spans="10:14" x14ac:dyDescent="0.2">
      <c r="J40" s="194" t="s">
        <v>3159</v>
      </c>
      <c r="N40" s="194" t="s">
        <v>3156</v>
      </c>
    </row>
    <row r="41" spans="10:14" x14ac:dyDescent="0.2">
      <c r="J41" s="11" t="s">
        <v>3163</v>
      </c>
      <c r="N41" s="11" t="str">
        <f>"Yellow is previous year value plus "&amp;TEXT('Data-CostAssumptions'!G3,"0.00%")</f>
        <v>Yellow is previous year value plus 3.30%</v>
      </c>
    </row>
    <row r="42" spans="10:14" x14ac:dyDescent="0.2">
      <c r="J42" s="11" t="s">
        <v>3164</v>
      </c>
      <c r="N42" s="11" t="s">
        <v>3158</v>
      </c>
    </row>
    <row r="43" spans="10:14" x14ac:dyDescent="0.2">
      <c r="J43" s="11" t="s">
        <v>3165</v>
      </c>
    </row>
  </sheetData>
  <pageMargins left="0.7" right="0.7" top="0.75" bottom="0.75" header="0.3" footer="0.3"/>
  <pageSetup scale="80" orientation="portrait" horizontalDpi="4294967292"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17"/>
  <sheetViews>
    <sheetView showGridLines="0" workbookViewId="0">
      <selection activeCell="A2" sqref="A2"/>
    </sheetView>
  </sheetViews>
  <sheetFormatPr defaultRowHeight="14.25" x14ac:dyDescent="0.2"/>
  <cols>
    <col min="1" max="1" width="28" style="11" bestFit="1" customWidth="1"/>
    <col min="2" max="6" width="15.28515625" style="11" customWidth="1"/>
    <col min="7" max="11" width="9.140625" style="11"/>
    <col min="12" max="12" width="0" style="11" hidden="1" customWidth="1"/>
    <col min="13" max="13" width="15" style="11" hidden="1" customWidth="1"/>
    <col min="14" max="15" width="0" style="11" hidden="1" customWidth="1"/>
    <col min="16" max="16" width="13.42578125" style="11" hidden="1" customWidth="1"/>
    <col min="17" max="16384" width="9.140625" style="11"/>
  </cols>
  <sheetData>
    <row r="1" spans="1:16" ht="18.75" x14ac:dyDescent="0.3">
      <c r="A1" s="372" t="s">
        <v>3265</v>
      </c>
      <c r="B1" s="195"/>
      <c r="C1" s="195"/>
      <c r="D1" s="195"/>
      <c r="E1" s="195"/>
      <c r="F1" s="195"/>
    </row>
    <row r="2" spans="1:16" x14ac:dyDescent="0.2">
      <c r="A2" s="278"/>
      <c r="B2" s="373" t="s">
        <v>3211</v>
      </c>
      <c r="C2" s="373"/>
      <c r="D2" s="373"/>
      <c r="E2" s="373"/>
      <c r="F2" s="301"/>
    </row>
    <row r="3" spans="1:16" x14ac:dyDescent="0.2">
      <c r="A3" s="374" t="s">
        <v>3210</v>
      </c>
      <c r="B3" s="375" t="s">
        <v>3169</v>
      </c>
      <c r="C3" s="376" t="s">
        <v>3170</v>
      </c>
      <c r="D3" s="375" t="s">
        <v>3171</v>
      </c>
      <c r="E3" s="375" t="s">
        <v>3172</v>
      </c>
      <c r="F3" s="375" t="s">
        <v>3209</v>
      </c>
    </row>
    <row r="4" spans="1:16" x14ac:dyDescent="0.2">
      <c r="A4" s="196" t="s">
        <v>3208</v>
      </c>
      <c r="B4" s="188">
        <f>140600000+30900000</f>
        <v>171500000</v>
      </c>
      <c r="C4" s="188">
        <f>314100000+69100000</f>
        <v>383200000</v>
      </c>
      <c r="D4" s="188">
        <f>296900000+65300000</f>
        <v>362200000</v>
      </c>
      <c r="E4" s="188">
        <f>649600000+142900000</f>
        <v>792500000</v>
      </c>
      <c r="F4" s="188">
        <f>SUM(B4:E4)</f>
        <v>1709400000</v>
      </c>
    </row>
    <row r="5" spans="1:16" x14ac:dyDescent="0.2">
      <c r="A5" s="195"/>
      <c r="B5" s="197"/>
      <c r="C5" s="197"/>
      <c r="D5" s="197"/>
      <c r="E5" s="197"/>
      <c r="F5" s="197"/>
    </row>
    <row r="6" spans="1:16" x14ac:dyDescent="0.2">
      <c r="A6" s="196" t="s">
        <v>3207</v>
      </c>
      <c r="B6" s="188">
        <f>+B4*0.5</f>
        <v>85750000</v>
      </c>
      <c r="C6" s="188">
        <f>+C4*0.5</f>
        <v>191600000</v>
      </c>
      <c r="D6" s="188">
        <f>+D4*0.5</f>
        <v>181100000</v>
      </c>
      <c r="E6" s="188">
        <f>+E4*0.5</f>
        <v>396250000</v>
      </c>
      <c r="F6" s="188">
        <f>SUM(B6:E6)</f>
        <v>854700000</v>
      </c>
      <c r="L6" s="160" t="s">
        <v>3206</v>
      </c>
      <c r="O6" s="160" t="str">
        <f>"BRING TO "&amp;TEXT('Data-CostAssumptions'!$G$4,"0")&amp;"$"</f>
        <v>BRING TO 2012$</v>
      </c>
    </row>
    <row r="7" spans="1:16" x14ac:dyDescent="0.2">
      <c r="A7" s="38" t="s">
        <v>3205</v>
      </c>
      <c r="B7" s="198">
        <f>+'List-BCT'!AH$102</f>
        <v>83216000</v>
      </c>
      <c r="C7" s="198">
        <f>+'List-BCT'!AI$102</f>
        <v>192557000</v>
      </c>
      <c r="D7" s="198">
        <f>+'List-BCT'!AJ$102</f>
        <v>178432000</v>
      </c>
      <c r="E7" s="198">
        <f>+'List-BCT'!AK$102</f>
        <v>386152000</v>
      </c>
      <c r="F7" s="198">
        <f>SUM(B7:E7)</f>
        <v>840357000</v>
      </c>
      <c r="L7" s="11" t="s">
        <v>3204</v>
      </c>
      <c r="M7" s="199">
        <v>93460000</v>
      </c>
      <c r="O7" s="11" t="s">
        <v>3203</v>
      </c>
      <c r="P7" s="200">
        <v>2013</v>
      </c>
    </row>
    <row r="8" spans="1:16" x14ac:dyDescent="0.2">
      <c r="A8" s="38" t="s">
        <v>3202</v>
      </c>
      <c r="B8" s="198">
        <f>+B6-B7</f>
        <v>2534000</v>
      </c>
      <c r="C8" s="198">
        <f>+C6-C7</f>
        <v>-957000</v>
      </c>
      <c r="D8" s="198">
        <f>+D6-D7</f>
        <v>2668000</v>
      </c>
      <c r="E8" s="198">
        <f>+E6-E7</f>
        <v>10098000</v>
      </c>
      <c r="F8" s="198">
        <f>+F6-F7</f>
        <v>14343000</v>
      </c>
      <c r="L8" s="11" t="s">
        <v>3167</v>
      </c>
      <c r="M8" s="19">
        <f>+M7*22/122</f>
        <v>16853442.622950818</v>
      </c>
      <c r="O8" s="11" t="s">
        <v>3201</v>
      </c>
      <c r="P8" s="199">
        <v>84000000</v>
      </c>
    </row>
    <row r="9" spans="1:16" x14ac:dyDescent="0.2">
      <c r="A9" s="195" t="s">
        <v>3195</v>
      </c>
      <c r="B9" s="201">
        <f>+B8/B6</f>
        <v>2.9551020408163264E-2</v>
      </c>
      <c r="C9" s="201">
        <f>+C8/C6</f>
        <v>-4.9947807933194152E-3</v>
      </c>
      <c r="D9" s="201">
        <f>+D8/D6</f>
        <v>1.4732192159028162E-2</v>
      </c>
      <c r="E9" s="201">
        <f>+E8/E6</f>
        <v>2.5483911671924288E-2</v>
      </c>
      <c r="F9" s="201">
        <f>+F8/F6</f>
        <v>1.678132678132678E-2</v>
      </c>
      <c r="L9" s="11" t="s">
        <v>3200</v>
      </c>
      <c r="M9" s="19">
        <f>+M7*100/122</f>
        <v>76606557.377049178</v>
      </c>
      <c r="O9" s="11" t="str">
        <f>TEXT('Data-CostAssumptions'!$G$4,"0")&amp;"$"</f>
        <v>2012$</v>
      </c>
      <c r="P9" s="19">
        <f>+P8*(1+'Data-CostAssumptions'!$G$3)^('Data-CostAssumptions'!$G$4-P7)</f>
        <v>81316553.727008715</v>
      </c>
    </row>
    <row r="10" spans="1:16" x14ac:dyDescent="0.2">
      <c r="A10" s="196" t="s">
        <v>3199</v>
      </c>
      <c r="B10" s="188">
        <f>+B4-B6</f>
        <v>85750000</v>
      </c>
      <c r="C10" s="188">
        <f>+C4-C6</f>
        <v>191600000</v>
      </c>
      <c r="D10" s="188">
        <f>+D4-D6</f>
        <v>181100000</v>
      </c>
      <c r="E10" s="188">
        <f>+E4-E6</f>
        <v>396250000</v>
      </c>
      <c r="F10" s="188">
        <f>SUM(B10:E10)</f>
        <v>854700000</v>
      </c>
      <c r="L10" s="11" t="s">
        <v>3198</v>
      </c>
      <c r="M10" s="19">
        <f>+M9+M8</f>
        <v>93460000</v>
      </c>
    </row>
    <row r="11" spans="1:16" x14ac:dyDescent="0.2">
      <c r="A11" s="38" t="s">
        <v>3197</v>
      </c>
      <c r="B11" s="198">
        <f>+'List-Roadway'!AH$120+'List-ITSSystems'!AH$13</f>
        <v>68746000</v>
      </c>
      <c r="C11" s="198">
        <f>+'List-Roadway'!AI$120+'List-ITSSystems'!AI$13</f>
        <v>59122000</v>
      </c>
      <c r="D11" s="198">
        <f>+'List-Roadway'!AJ$120+'List-ITSSystems'!AJ$13</f>
        <v>170006000</v>
      </c>
      <c r="E11" s="198">
        <f>+'List-Roadway'!AK$120+'List-ITSSystems'!AK$13</f>
        <v>380155000</v>
      </c>
      <c r="F11" s="198">
        <f>SUM(B11:E11)</f>
        <v>678029000</v>
      </c>
    </row>
    <row r="12" spans="1:16" x14ac:dyDescent="0.2">
      <c r="A12" s="38" t="s">
        <v>3196</v>
      </c>
      <c r="B12" s="198">
        <f>+B10-B11</f>
        <v>17004000</v>
      </c>
      <c r="C12" s="198">
        <f>+C10-C11</f>
        <v>132478000</v>
      </c>
      <c r="D12" s="198">
        <f>+D10-D11</f>
        <v>11094000</v>
      </c>
      <c r="E12" s="198">
        <f>+E10-E11</f>
        <v>16095000</v>
      </c>
      <c r="F12" s="198">
        <f>+F10-F11</f>
        <v>176671000</v>
      </c>
    </row>
    <row r="13" spans="1:16" x14ac:dyDescent="0.2">
      <c r="A13" s="195" t="s">
        <v>3195</v>
      </c>
      <c r="B13" s="201">
        <f>+B12/B10</f>
        <v>0.19829737609329445</v>
      </c>
      <c r="C13" s="201">
        <f>+C12/C10</f>
        <v>0.69143006263048012</v>
      </c>
      <c r="D13" s="201">
        <f>+D12/D10</f>
        <v>6.1258972943125344E-2</v>
      </c>
      <c r="E13" s="201">
        <f>+E12/E10</f>
        <v>4.0618296529968456E-2</v>
      </c>
      <c r="F13" s="201">
        <f>+F12/F10</f>
        <v>0.20670527670527669</v>
      </c>
    </row>
    <row r="14" spans="1:16" x14ac:dyDescent="0.2">
      <c r="A14" s="160" t="s">
        <v>3194</v>
      </c>
      <c r="B14" s="184">
        <f>+B4-B7-B11</f>
        <v>19538000</v>
      </c>
      <c r="C14" s="184">
        <f>+C4-C7-C11</f>
        <v>131521000</v>
      </c>
      <c r="D14" s="184">
        <f>+D4-D7-D11</f>
        <v>13762000</v>
      </c>
      <c r="E14" s="184">
        <f>+E4-E7-E11</f>
        <v>26193000</v>
      </c>
      <c r="F14" s="184">
        <f>+F4-F7-F11</f>
        <v>191014000</v>
      </c>
    </row>
    <row r="15" spans="1:16" x14ac:dyDescent="0.2">
      <c r="A15" s="195"/>
      <c r="B15" s="201">
        <f>+B14/B4</f>
        <v>0.11392419825072886</v>
      </c>
      <c r="C15" s="201">
        <f>+C14/C4</f>
        <v>0.34321764091858037</v>
      </c>
      <c r="D15" s="201">
        <f>+D14/D4</f>
        <v>3.7995582551076754E-2</v>
      </c>
      <c r="E15" s="201">
        <f>+E14/E4</f>
        <v>3.3051104100946374E-2</v>
      </c>
      <c r="F15" s="201">
        <f>+F14/F4</f>
        <v>0.11174330174330174</v>
      </c>
    </row>
    <row r="16" spans="1:16" x14ac:dyDescent="0.2">
      <c r="B16" s="19"/>
      <c r="C16" s="19"/>
      <c r="D16" s="19"/>
      <c r="E16" s="19"/>
      <c r="F16" s="19"/>
    </row>
    <row r="17" spans="2:6" x14ac:dyDescent="0.2">
      <c r="B17" s="19"/>
      <c r="C17" s="19"/>
      <c r="D17" s="19"/>
      <c r="E17" s="19"/>
      <c r="F17" s="19"/>
    </row>
  </sheetData>
  <mergeCells count="1">
    <mergeCell ref="B2:E2"/>
  </mergeCells>
  <conditionalFormatting sqref="B8:E8">
    <cfRule type="cellIs" dxfId="11" priority="11" operator="lessThan">
      <formula>0</formula>
    </cfRule>
    <cfRule type="cellIs" dxfId="10" priority="12" operator="greaterThan">
      <formula>0</formula>
    </cfRule>
  </conditionalFormatting>
  <conditionalFormatting sqref="B12:E12">
    <cfRule type="cellIs" dxfId="9" priority="9" operator="lessThan">
      <formula>0</formula>
    </cfRule>
    <cfRule type="cellIs" dxfId="8" priority="10" operator="greaterThan">
      <formula>0</formula>
    </cfRule>
  </conditionalFormatting>
  <conditionalFormatting sqref="B14:E14">
    <cfRule type="cellIs" dxfId="7" priority="7" operator="lessThan">
      <formula>0</formula>
    </cfRule>
    <cfRule type="cellIs" dxfId="6" priority="8" operator="greaterThan">
      <formula>0</formula>
    </cfRule>
  </conditionalFormatting>
  <conditionalFormatting sqref="F8">
    <cfRule type="cellIs" dxfId="5" priority="5" operator="lessThan">
      <formula>0</formula>
    </cfRule>
    <cfRule type="cellIs" dxfId="4" priority="6" operator="greaterThan">
      <formula>0</formula>
    </cfRule>
  </conditionalFormatting>
  <conditionalFormatting sqref="F12">
    <cfRule type="cellIs" dxfId="3" priority="3" operator="lessThan">
      <formula>0</formula>
    </cfRule>
    <cfRule type="cellIs" dxfId="2" priority="4" operator="greaterThan">
      <formula>0</formula>
    </cfRule>
  </conditionalFormatting>
  <conditionalFormatting sqref="F14">
    <cfRule type="cellIs" dxfId="1" priority="1" operator="lessThan">
      <formula>0</formula>
    </cfRule>
    <cfRule type="cellIs" dxfId="0" priority="2" operator="greater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6"/>
  <sheetViews>
    <sheetView showGridLines="0" workbookViewId="0">
      <selection activeCell="K12" sqref="K12"/>
    </sheetView>
  </sheetViews>
  <sheetFormatPr defaultRowHeight="14.25" x14ac:dyDescent="0.2"/>
  <cols>
    <col min="1" max="1" width="1.7109375" style="11" customWidth="1"/>
    <col min="2" max="2" width="18.42578125" style="11" hidden="1" customWidth="1"/>
    <col min="3" max="3" width="10.5703125" style="11" hidden="1" customWidth="1"/>
    <col min="4" max="4" width="10.5703125" style="170" hidden="1" customWidth="1"/>
    <col min="5" max="5" width="38" style="11" hidden="1" customWidth="1"/>
    <col min="6" max="6" width="10.140625" style="11" hidden="1" customWidth="1"/>
    <col min="7" max="16384" width="9.140625" style="11"/>
  </cols>
  <sheetData>
    <row r="1" spans="2:6" x14ac:dyDescent="0.2">
      <c r="B1" s="168" t="s">
        <v>419</v>
      </c>
      <c r="C1" s="168" t="s">
        <v>299</v>
      </c>
      <c r="D1" s="169" t="s">
        <v>3092</v>
      </c>
      <c r="E1" s="168" t="s">
        <v>3091</v>
      </c>
      <c r="F1" s="168" t="s">
        <v>3090</v>
      </c>
    </row>
    <row r="2" spans="2:6" x14ac:dyDescent="0.2">
      <c r="B2" s="11" t="s">
        <v>420</v>
      </c>
      <c r="C2" s="11" t="s">
        <v>1200</v>
      </c>
      <c r="D2" s="170">
        <v>7</v>
      </c>
      <c r="E2" s="11" t="s">
        <v>3093</v>
      </c>
      <c r="F2" s="11">
        <v>20140121</v>
      </c>
    </row>
    <row r="3" spans="2:6" x14ac:dyDescent="0.2">
      <c r="B3" s="11" t="s">
        <v>420</v>
      </c>
      <c r="C3" s="11" t="s">
        <v>1204</v>
      </c>
      <c r="D3" s="170">
        <v>2</v>
      </c>
      <c r="E3" s="11" t="s">
        <v>3093</v>
      </c>
      <c r="F3" s="11">
        <v>20140121</v>
      </c>
    </row>
    <row r="4" spans="2:6" x14ac:dyDescent="0.2">
      <c r="B4" s="11" t="s">
        <v>420</v>
      </c>
      <c r="C4" s="11" t="s">
        <v>347</v>
      </c>
      <c r="D4" s="170">
        <v>2</v>
      </c>
      <c r="E4" s="11" t="s">
        <v>3093</v>
      </c>
      <c r="F4" s="11">
        <v>20140121</v>
      </c>
    </row>
    <row r="5" spans="2:6" x14ac:dyDescent="0.2">
      <c r="B5" s="11" t="s">
        <v>365</v>
      </c>
      <c r="C5" s="11" t="s">
        <v>347</v>
      </c>
      <c r="D5" s="170">
        <v>12</v>
      </c>
      <c r="E5" s="11" t="s">
        <v>3093</v>
      </c>
      <c r="F5" s="11">
        <v>20140121</v>
      </c>
    </row>
    <row r="6" spans="2:6" x14ac:dyDescent="0.2">
      <c r="B6" s="11" t="s">
        <v>1732</v>
      </c>
      <c r="C6" s="11" t="s">
        <v>1199</v>
      </c>
      <c r="D6" s="170">
        <v>1</v>
      </c>
      <c r="E6" s="11" t="s">
        <v>3093</v>
      </c>
      <c r="F6" s="11">
        <v>20140121</v>
      </c>
    </row>
    <row r="7" spans="2:6" x14ac:dyDescent="0.2">
      <c r="B7" s="11" t="s">
        <v>1732</v>
      </c>
      <c r="C7" s="11" t="s">
        <v>300</v>
      </c>
      <c r="D7" s="170">
        <v>57</v>
      </c>
      <c r="E7" s="11" t="s">
        <v>3093</v>
      </c>
      <c r="F7" s="11">
        <v>20140121</v>
      </c>
    </row>
    <row r="8" spans="2:6" x14ac:dyDescent="0.2">
      <c r="B8" s="11" t="s">
        <v>1732</v>
      </c>
      <c r="C8" s="11" t="s">
        <v>347</v>
      </c>
      <c r="D8" s="170">
        <v>5</v>
      </c>
      <c r="E8" s="11" t="s">
        <v>3093</v>
      </c>
      <c r="F8" s="11">
        <v>20140121</v>
      </c>
    </row>
    <row r="9" spans="2:6" x14ac:dyDescent="0.2">
      <c r="B9" s="11" t="s">
        <v>1733</v>
      </c>
      <c r="C9" s="11" t="s">
        <v>300</v>
      </c>
      <c r="D9" s="170">
        <v>1</v>
      </c>
      <c r="E9" s="11" t="s">
        <v>3093</v>
      </c>
      <c r="F9" s="11">
        <v>20140121</v>
      </c>
    </row>
    <row r="10" spans="2:6" x14ac:dyDescent="0.2">
      <c r="B10" s="11" t="s">
        <v>276</v>
      </c>
      <c r="C10" s="11" t="s">
        <v>347</v>
      </c>
      <c r="D10" s="170">
        <v>6</v>
      </c>
      <c r="E10" s="11" t="s">
        <v>3093</v>
      </c>
      <c r="F10" s="11">
        <v>20140121</v>
      </c>
    </row>
    <row r="11" spans="2:6" x14ac:dyDescent="0.2">
      <c r="B11" s="11" t="s">
        <v>276</v>
      </c>
      <c r="C11" s="11" t="s">
        <v>347</v>
      </c>
      <c r="D11" s="170">
        <v>2</v>
      </c>
      <c r="E11" s="11" t="s">
        <v>3094</v>
      </c>
      <c r="F11" s="11">
        <v>20140121</v>
      </c>
    </row>
    <row r="12" spans="2:6" x14ac:dyDescent="0.2">
      <c r="B12" s="11" t="s">
        <v>297</v>
      </c>
      <c r="C12" s="11" t="s">
        <v>300</v>
      </c>
      <c r="D12" s="170">
        <v>1</v>
      </c>
      <c r="E12" s="11" t="s">
        <v>3094</v>
      </c>
      <c r="F12" s="11">
        <v>20140121</v>
      </c>
    </row>
    <row r="13" spans="2:6" x14ac:dyDescent="0.2">
      <c r="B13" s="11" t="s">
        <v>282</v>
      </c>
      <c r="C13" s="11" t="s">
        <v>29</v>
      </c>
      <c r="D13" s="170">
        <v>7</v>
      </c>
      <c r="E13" s="11" t="s">
        <v>3095</v>
      </c>
      <c r="F13" s="11">
        <v>20140121</v>
      </c>
    </row>
    <row r="14" spans="2:6" x14ac:dyDescent="0.2">
      <c r="B14" s="11" t="s">
        <v>282</v>
      </c>
      <c r="C14" s="11" t="s">
        <v>27</v>
      </c>
      <c r="D14" s="170">
        <v>2</v>
      </c>
      <c r="E14" s="11" t="s">
        <v>3095</v>
      </c>
      <c r="F14" s="11">
        <v>20140121</v>
      </c>
    </row>
    <row r="15" spans="2:6" x14ac:dyDescent="0.2">
      <c r="B15" s="11" t="s">
        <v>282</v>
      </c>
      <c r="C15" s="11" t="s">
        <v>300</v>
      </c>
      <c r="D15" s="170">
        <v>2</v>
      </c>
      <c r="E15" s="11" t="s">
        <v>3095</v>
      </c>
      <c r="F15" s="11">
        <v>20140121</v>
      </c>
    </row>
    <row r="16" spans="2:6" x14ac:dyDescent="0.2">
      <c r="B16" s="11" t="s">
        <v>876</v>
      </c>
      <c r="C16" s="11" t="s">
        <v>347</v>
      </c>
      <c r="D16" s="170">
        <v>7</v>
      </c>
      <c r="E16" s="11" t="s">
        <v>3093</v>
      </c>
      <c r="F16" s="11">
        <v>20140121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4.25" x14ac:dyDescent="0.2"/>
  <cols>
    <col min="1" max="1" width="11" style="11" bestFit="1" customWidth="1"/>
    <col min="2" max="3" width="9.140625" style="11"/>
    <col min="4" max="4" width="17.5703125" style="11" bestFit="1" customWidth="1"/>
    <col min="5" max="5" width="8.42578125" style="11" bestFit="1" customWidth="1"/>
    <col min="6" max="16384" width="9.140625" style="11"/>
  </cols>
  <sheetData>
    <row r="1" spans="1:5" ht="18.75" x14ac:dyDescent="0.3">
      <c r="A1" s="302" t="s">
        <v>3250</v>
      </c>
    </row>
    <row r="2" spans="1:5" x14ac:dyDescent="0.2">
      <c r="A2" s="278" t="s">
        <v>1205</v>
      </c>
      <c r="B2" s="278" t="s">
        <v>1206</v>
      </c>
      <c r="C2" s="278"/>
      <c r="D2" s="278" t="s">
        <v>419</v>
      </c>
      <c r="E2" s="278" t="s">
        <v>1206</v>
      </c>
    </row>
    <row r="3" spans="1:5" x14ac:dyDescent="0.2">
      <c r="A3" s="11" t="s">
        <v>29</v>
      </c>
      <c r="B3" s="11" t="s">
        <v>1207</v>
      </c>
      <c r="D3" s="11" t="s">
        <v>420</v>
      </c>
    </row>
    <row r="4" spans="1:5" x14ac:dyDescent="0.2">
      <c r="A4" s="11" t="s">
        <v>366</v>
      </c>
      <c r="B4" s="11" t="s">
        <v>1207</v>
      </c>
      <c r="D4" s="11" t="s">
        <v>365</v>
      </c>
      <c r="E4" s="11" t="s">
        <v>1207</v>
      </c>
    </row>
    <row r="5" spans="1:5" x14ac:dyDescent="0.2">
      <c r="A5" s="11" t="s">
        <v>27</v>
      </c>
      <c r="B5" s="11" t="s">
        <v>1207</v>
      </c>
      <c r="D5" s="11" t="s">
        <v>292</v>
      </c>
    </row>
    <row r="6" spans="1:5" x14ac:dyDescent="0.2">
      <c r="A6" s="11" t="s">
        <v>300</v>
      </c>
      <c r="B6" s="11" t="s">
        <v>1208</v>
      </c>
      <c r="D6" s="11" t="s">
        <v>286</v>
      </c>
    </row>
    <row r="7" spans="1:5" x14ac:dyDescent="0.2">
      <c r="A7" s="11" t="s">
        <v>347</v>
      </c>
      <c r="B7" s="11" t="s">
        <v>1208</v>
      </c>
      <c r="D7" s="11" t="s">
        <v>279</v>
      </c>
    </row>
    <row r="8" spans="1:5" x14ac:dyDescent="0.2">
      <c r="A8" s="11" t="s">
        <v>1199</v>
      </c>
      <c r="B8" s="11" t="s">
        <v>1207</v>
      </c>
      <c r="D8" s="11" t="s">
        <v>289</v>
      </c>
    </row>
    <row r="9" spans="1:5" x14ac:dyDescent="0.2">
      <c r="A9" s="11" t="s">
        <v>1200</v>
      </c>
      <c r="B9" s="11" t="s">
        <v>1207</v>
      </c>
      <c r="D9" s="11" t="s">
        <v>276</v>
      </c>
    </row>
    <row r="10" spans="1:5" x14ac:dyDescent="0.2">
      <c r="A10" s="11" t="s">
        <v>1201</v>
      </c>
      <c r="B10" s="11" t="s">
        <v>1207</v>
      </c>
      <c r="D10" s="11" t="s">
        <v>297</v>
      </c>
    </row>
    <row r="11" spans="1:5" x14ac:dyDescent="0.2">
      <c r="A11" s="11" t="s">
        <v>1202</v>
      </c>
      <c r="B11" s="11" t="s">
        <v>1208</v>
      </c>
      <c r="D11" s="11" t="s">
        <v>282</v>
      </c>
    </row>
    <row r="12" spans="1:5" x14ac:dyDescent="0.2">
      <c r="A12" s="11" t="s">
        <v>1204</v>
      </c>
      <c r="B12" s="11" t="s">
        <v>1207</v>
      </c>
      <c r="D12" s="11" t="s">
        <v>663</v>
      </c>
    </row>
    <row r="13" spans="1:5" x14ac:dyDescent="0.2">
      <c r="A13" s="11" t="s">
        <v>1203</v>
      </c>
      <c r="B13" s="11" t="s">
        <v>1207</v>
      </c>
      <c r="D13" s="11" t="s">
        <v>281</v>
      </c>
    </row>
    <row r="14" spans="1:5" x14ac:dyDescent="0.2">
      <c r="D14" s="11" t="s">
        <v>291</v>
      </c>
    </row>
    <row r="15" spans="1:5" x14ac:dyDescent="0.2">
      <c r="D15" s="11" t="s">
        <v>274</v>
      </c>
    </row>
    <row r="16" spans="1:5" x14ac:dyDescent="0.2">
      <c r="D16" s="11" t="s">
        <v>287</v>
      </c>
    </row>
    <row r="17" spans="4:5" x14ac:dyDescent="0.2">
      <c r="D17" s="11" t="s">
        <v>296</v>
      </c>
    </row>
    <row r="18" spans="4:5" x14ac:dyDescent="0.2">
      <c r="D18" s="11" t="s">
        <v>271</v>
      </c>
    </row>
    <row r="19" spans="4:5" x14ac:dyDescent="0.2">
      <c r="D19" s="11" t="s">
        <v>876</v>
      </c>
      <c r="E19" s="11" t="s">
        <v>1207</v>
      </c>
    </row>
    <row r="20" spans="4:5" x14ac:dyDescent="0.2">
      <c r="D20" s="11" t="s">
        <v>294</v>
      </c>
    </row>
    <row r="21" spans="4:5" x14ac:dyDescent="0.2">
      <c r="D21" s="11" t="s">
        <v>278</v>
      </c>
    </row>
    <row r="22" spans="4:5" x14ac:dyDescent="0.2">
      <c r="D22" s="11" t="s">
        <v>1733</v>
      </c>
      <c r="E22" s="11" t="s">
        <v>1207</v>
      </c>
    </row>
    <row r="23" spans="4:5" x14ac:dyDescent="0.2">
      <c r="D23" s="11" t="s">
        <v>1732</v>
      </c>
      <c r="E23" s="11" t="s">
        <v>1207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ColWidth="9.140625"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5"/>
      <c r="R1"/>
      <c r="S1"/>
      <c r="T1"/>
      <c r="U1"/>
      <c r="V1"/>
      <c r="W1"/>
    </row>
    <row r="2" spans="1:23" ht="18.75" x14ac:dyDescent="0.25">
      <c r="B2"/>
      <c r="C2"/>
      <c r="D2"/>
      <c r="E2"/>
      <c r="F2"/>
      <c r="G2"/>
      <c r="H2"/>
      <c r="I2"/>
      <c r="J2"/>
      <c r="K2"/>
      <c r="L2"/>
      <c r="M2"/>
      <c r="N2"/>
      <c r="O2"/>
      <c r="P2"/>
      <c r="Q2" s="4"/>
      <c r="R2"/>
      <c r="S2"/>
      <c r="T2"/>
      <c r="U2"/>
      <c r="V2"/>
      <c r="W2"/>
    </row>
    <row r="3" spans="1:23" ht="18.75" x14ac:dyDescent="0.25">
      <c r="B3" s="4"/>
      <c r="C3" s="4"/>
      <c r="D3" s="4"/>
      <c r="E3" s="4"/>
      <c r="F3" s="4"/>
      <c r="G3" s="4"/>
      <c r="H3"/>
      <c r="I3"/>
      <c r="J3"/>
      <c r="K3"/>
      <c r="L3"/>
      <c r="M3"/>
      <c r="N3"/>
      <c r="O3"/>
      <c r="P3"/>
      <c r="Q3"/>
      <c r="R3"/>
      <c r="S3"/>
      <c r="T3"/>
      <c r="U3"/>
      <c r="V3"/>
      <c r="W3"/>
    </row>
    <row r="4" spans="1:23" ht="18.75" x14ac:dyDescent="0.25">
      <c r="B4" s="4"/>
      <c r="C4" s="4"/>
      <c r="D4" s="4"/>
      <c r="E4" s="4"/>
      <c r="F4" s="4"/>
      <c r="G4" s="4"/>
      <c r="H4"/>
      <c r="I4"/>
      <c r="J4"/>
      <c r="K4"/>
      <c r="L4"/>
      <c r="M4"/>
      <c r="N4"/>
      <c r="O4"/>
      <c r="P4"/>
      <c r="Q4"/>
      <c r="R4"/>
      <c r="S4"/>
      <c r="T4"/>
      <c r="U4"/>
      <c r="V4"/>
      <c r="W4"/>
    </row>
    <row r="5" spans="1:23" ht="18.75" x14ac:dyDescent="0.25">
      <c r="B5" s="4"/>
      <c r="C5" s="4"/>
      <c r="D5" s="4"/>
      <c r="E5" s="4"/>
      <c r="F5" s="4"/>
      <c r="G5" s="4"/>
      <c r="H5"/>
      <c r="I5"/>
      <c r="J5"/>
      <c r="K5"/>
      <c r="L5"/>
      <c r="M5"/>
      <c r="N5"/>
      <c r="O5"/>
      <c r="P5"/>
      <c r="Q5"/>
      <c r="R5"/>
      <c r="S5"/>
      <c r="T5"/>
      <c r="U5"/>
      <c r="V5"/>
      <c r="W5"/>
    </row>
    <row r="6" spans="1:23" ht="18.75" x14ac:dyDescent="0.25">
      <c r="B6" s="4"/>
      <c r="C6" s="4"/>
      <c r="D6" s="4"/>
      <c r="E6" s="4"/>
      <c r="F6" s="4"/>
      <c r="G6" s="4"/>
      <c r="H6"/>
      <c r="I6"/>
      <c r="J6"/>
      <c r="K6"/>
      <c r="L6"/>
      <c r="M6"/>
      <c r="N6"/>
      <c r="O6"/>
      <c r="P6"/>
      <c r="Q6"/>
      <c r="R6"/>
      <c r="S6"/>
      <c r="T6"/>
      <c r="U6"/>
      <c r="V6"/>
      <c r="W6"/>
    </row>
    <row r="7" spans="1:23" ht="28.5" x14ac:dyDescent="0.25">
      <c r="A7" s="273" t="s">
        <v>364</v>
      </c>
      <c r="B7" s="273"/>
      <c r="C7" s="273"/>
      <c r="D7" s="273"/>
      <c r="E7" s="273"/>
      <c r="F7" s="273"/>
      <c r="G7" s="273"/>
      <c r="H7" s="273"/>
      <c r="I7" s="273"/>
      <c r="J7" s="273"/>
      <c r="K7" s="273"/>
      <c r="L7" s="273"/>
      <c r="M7" s="273"/>
      <c r="N7" s="273"/>
      <c r="O7" s="273"/>
      <c r="P7" s="10"/>
      <c r="Q7" s="10"/>
      <c r="R7" s="10"/>
      <c r="S7" s="10"/>
      <c r="T7" s="10"/>
      <c r="U7" s="10"/>
      <c r="V7" s="10"/>
      <c r="W7" s="10"/>
    </row>
    <row r="8" spans="1:23" ht="21" x14ac:dyDescent="0.25">
      <c r="A8" s="274" t="s">
        <v>352</v>
      </c>
      <c r="B8" s="274"/>
      <c r="C8" s="274"/>
      <c r="D8" s="274"/>
      <c r="E8" s="274"/>
      <c r="F8" s="274"/>
      <c r="G8" s="274"/>
      <c r="H8" s="274"/>
      <c r="I8" s="274"/>
      <c r="J8" s="274"/>
      <c r="K8" s="274"/>
      <c r="L8" s="274"/>
      <c r="M8" s="274"/>
      <c r="N8" s="274"/>
      <c r="O8" s="274"/>
    </row>
    <row r="10" spans="1:23" x14ac:dyDescent="0.25">
      <c r="A10" s="3" t="s">
        <v>355</v>
      </c>
      <c r="D10" s="3" t="s">
        <v>354</v>
      </c>
      <c r="E10" s="3"/>
      <c r="F10" s="3"/>
      <c r="G10" s="3" t="s">
        <v>359</v>
      </c>
      <c r="H10" s="3"/>
      <c r="I10" s="3"/>
      <c r="J10" s="3" t="s">
        <v>362</v>
      </c>
      <c r="L10" s="3"/>
      <c r="M10" s="3" t="s">
        <v>361</v>
      </c>
    </row>
    <row r="11" spans="1:23" x14ac:dyDescent="0.25">
      <c r="A11" s="7" t="s">
        <v>23</v>
      </c>
      <c r="B11" s="6" t="s">
        <v>2</v>
      </c>
      <c r="C11" s="9"/>
      <c r="D11" s="7" t="s">
        <v>23</v>
      </c>
      <c r="E11" s="6" t="s">
        <v>2</v>
      </c>
      <c r="F11" s="9"/>
      <c r="G11" s="7" t="s">
        <v>23</v>
      </c>
      <c r="H11" s="6" t="s">
        <v>2</v>
      </c>
      <c r="I11" s="9"/>
      <c r="J11" s="7" t="s">
        <v>23</v>
      </c>
      <c r="K11" s="6" t="s">
        <v>2</v>
      </c>
      <c r="L11" s="9"/>
      <c r="M11" s="7" t="s">
        <v>23</v>
      </c>
      <c r="N11" s="6" t="s">
        <v>0</v>
      </c>
      <c r="O11" s="6" t="s">
        <v>2</v>
      </c>
    </row>
    <row r="12" spans="1:23" x14ac:dyDescent="0.25">
      <c r="A12" s="2">
        <v>1</v>
      </c>
      <c r="B12" s="1" t="s">
        <v>24</v>
      </c>
      <c r="D12" s="2">
        <v>1</v>
      </c>
      <c r="E12" s="1" t="s">
        <v>24</v>
      </c>
      <c r="G12" s="2">
        <v>1</v>
      </c>
      <c r="H12" s="1" t="s">
        <v>24</v>
      </c>
      <c r="J12" s="2">
        <v>1</v>
      </c>
      <c r="K12" s="1" t="s">
        <v>29</v>
      </c>
      <c r="M12" s="2">
        <v>1</v>
      </c>
      <c r="N12" s="1" t="s">
        <v>8</v>
      </c>
      <c r="O12" s="1" t="s">
        <v>9</v>
      </c>
    </row>
    <row r="13" spans="1:23" x14ac:dyDescent="0.25">
      <c r="A13" s="2">
        <v>2</v>
      </c>
      <c r="B13" s="1" t="s">
        <v>25</v>
      </c>
      <c r="D13" s="2">
        <v>2</v>
      </c>
      <c r="E13" s="1" t="s">
        <v>25</v>
      </c>
      <c r="G13" s="2">
        <v>2</v>
      </c>
      <c r="H13" s="1" t="s">
        <v>25</v>
      </c>
      <c r="J13" s="2">
        <v>2</v>
      </c>
      <c r="K13" s="1" t="s">
        <v>202</v>
      </c>
      <c r="M13" s="2">
        <v>2</v>
      </c>
      <c r="N13" s="1" t="s">
        <v>18</v>
      </c>
      <c r="O13" s="1" t="s">
        <v>19</v>
      </c>
    </row>
    <row r="14" spans="1:23" x14ac:dyDescent="0.25">
      <c r="A14" s="2">
        <v>3</v>
      </c>
      <c r="B14" s="1" t="s">
        <v>350</v>
      </c>
      <c r="D14" s="2">
        <v>3</v>
      </c>
      <c r="E14" s="1" t="s">
        <v>351</v>
      </c>
      <c r="G14" s="2">
        <v>3</v>
      </c>
      <c r="H14" s="1" t="s">
        <v>351</v>
      </c>
      <c r="J14" s="2">
        <v>3</v>
      </c>
      <c r="K14" s="1" t="s">
        <v>27</v>
      </c>
      <c r="M14" s="2">
        <v>3</v>
      </c>
      <c r="N14" s="1" t="s">
        <v>20</v>
      </c>
      <c r="O14" s="1" t="s">
        <v>21</v>
      </c>
    </row>
    <row r="15" spans="1:23" x14ac:dyDescent="0.25">
      <c r="A15" s="2">
        <v>4</v>
      </c>
      <c r="B15" s="1" t="s">
        <v>351</v>
      </c>
      <c r="J15" s="2">
        <v>4</v>
      </c>
      <c r="K15" s="1" t="s">
        <v>300</v>
      </c>
      <c r="M15" s="2">
        <v>4</v>
      </c>
      <c r="N15" s="1" t="s">
        <v>5</v>
      </c>
      <c r="O15" s="1" t="s">
        <v>22</v>
      </c>
    </row>
    <row r="16" spans="1:23" x14ac:dyDescent="0.25">
      <c r="J16" s="2">
        <v>5</v>
      </c>
      <c r="K16" s="1" t="s">
        <v>347</v>
      </c>
      <c r="M16" s="2">
        <v>5</v>
      </c>
      <c r="N16" s="1" t="s">
        <v>6</v>
      </c>
      <c r="O16" s="1" t="s">
        <v>11</v>
      </c>
    </row>
    <row r="17" spans="1:15" x14ac:dyDescent="0.25">
      <c r="A17" s="8" t="s">
        <v>353</v>
      </c>
      <c r="D17" s="8" t="s">
        <v>356</v>
      </c>
      <c r="G17" s="8" t="s">
        <v>357</v>
      </c>
      <c r="M17" s="2">
        <v>6</v>
      </c>
      <c r="N17" s="1" t="s">
        <v>12</v>
      </c>
      <c r="O17" s="1" t="s">
        <v>13</v>
      </c>
    </row>
    <row r="18" spans="1:15" x14ac:dyDescent="0.25">
      <c r="J18" s="8" t="s">
        <v>363</v>
      </c>
      <c r="M18" s="2">
        <v>7</v>
      </c>
      <c r="N18" s="1" t="s">
        <v>14</v>
      </c>
      <c r="O18" s="1" t="s">
        <v>15</v>
      </c>
    </row>
    <row r="19" spans="1:15" x14ac:dyDescent="0.25">
      <c r="M19" s="2">
        <v>8</v>
      </c>
      <c r="N19" s="1" t="s">
        <v>3</v>
      </c>
      <c r="O19" s="1" t="s">
        <v>4</v>
      </c>
    </row>
    <row r="20" spans="1:15" x14ac:dyDescent="0.25">
      <c r="M20" s="2">
        <v>9</v>
      </c>
      <c r="N20" s="1" t="s">
        <v>16</v>
      </c>
      <c r="O20" s="1" t="s">
        <v>17</v>
      </c>
    </row>
    <row r="21" spans="1:15" x14ac:dyDescent="0.25">
      <c r="M21" s="2">
        <v>10</v>
      </c>
      <c r="N21" s="1" t="s">
        <v>7</v>
      </c>
      <c r="O21" s="1" t="s">
        <v>10</v>
      </c>
    </row>
  </sheetData>
  <mergeCells count="2">
    <mergeCell ref="A7:O7"/>
    <mergeCell ref="A8:O8"/>
  </mergeCells>
  <pageMargins left="0.5" right="0.5" top="0.5" bottom="0.5" header="0.25" footer="0.25"/>
  <pageSetup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75"/>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4.140625" style="11" bestFit="1" customWidth="1"/>
    <col min="2" max="2" width="5.28515625" style="11" hidden="1" customWidth="1"/>
    <col min="3" max="3" width="6.85546875" style="11" bestFit="1" customWidth="1"/>
    <col min="4" max="4" width="15" style="11" bestFit="1" customWidth="1"/>
    <col min="5" max="5" width="9.5703125" style="11" bestFit="1" customWidth="1"/>
    <col min="6" max="6" width="8.140625" style="11" bestFit="1" customWidth="1"/>
    <col min="7" max="7" width="8" style="11" bestFit="1" customWidth="1"/>
    <col min="8" max="8" width="47.7109375" style="11" bestFit="1" customWidth="1"/>
    <col min="9" max="9" width="76.85546875" style="11" bestFit="1" customWidth="1"/>
    <col min="10" max="10" width="9.28515625" style="11" bestFit="1" customWidth="1"/>
    <col min="11" max="11" width="14" style="11" bestFit="1" customWidth="1"/>
    <col min="12" max="12" width="138.28515625" style="11" bestFit="1" customWidth="1"/>
    <col min="13" max="13" width="31.5703125" style="11" bestFit="1" customWidth="1"/>
    <col min="14" max="14" width="46.28515625" style="11" bestFit="1" customWidth="1"/>
    <col min="15" max="15" width="11" style="11" bestFit="1" customWidth="1"/>
    <col min="16" max="16" width="12.42578125" style="11" bestFit="1" customWidth="1"/>
    <col min="17" max="17" width="12.28515625" style="11" bestFit="1" customWidth="1"/>
    <col min="18" max="18" width="16.140625" style="11" bestFit="1" customWidth="1"/>
    <col min="19" max="19" width="11.140625" style="11" hidden="1" customWidth="1"/>
    <col min="20" max="20" width="78.140625" style="11" hidden="1" customWidth="1"/>
    <col min="21" max="21" width="77.42578125" style="11" hidden="1" customWidth="1"/>
    <col min="22" max="22" width="17.5703125" style="11" hidden="1" customWidth="1"/>
    <col min="23" max="23" width="154.42578125" style="11" hidden="1" customWidth="1"/>
    <col min="24" max="24" width="27.28515625" style="11" hidden="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5" style="11" bestFit="1" customWidth="1"/>
    <col min="33" max="33" width="14.42578125" style="11" hidden="1" customWidth="1"/>
    <col min="34" max="16384" width="9.140625" style="11"/>
  </cols>
  <sheetData>
    <row r="1" spans="1:33" ht="14.25" x14ac:dyDescent="0.2">
      <c r="A1" s="284" t="s">
        <v>1192</v>
      </c>
      <c r="B1" s="284" t="s">
        <v>1211</v>
      </c>
      <c r="C1" s="284" t="s">
        <v>1193</v>
      </c>
      <c r="D1" s="284" t="s">
        <v>419</v>
      </c>
      <c r="E1" s="288" t="s">
        <v>1217</v>
      </c>
      <c r="F1" s="288" t="s">
        <v>1218</v>
      </c>
      <c r="G1" s="288" t="s">
        <v>3105</v>
      </c>
      <c r="H1" s="284" t="s">
        <v>1</v>
      </c>
      <c r="I1" s="284" t="s">
        <v>1739</v>
      </c>
      <c r="J1" s="284" t="s">
        <v>299</v>
      </c>
      <c r="K1" s="286" t="s">
        <v>1209</v>
      </c>
      <c r="L1" s="284" t="s">
        <v>2</v>
      </c>
      <c r="M1" s="289" t="s">
        <v>1191</v>
      </c>
      <c r="N1" s="284" t="s">
        <v>1198</v>
      </c>
      <c r="O1" s="284" t="s">
        <v>1196</v>
      </c>
      <c r="P1" s="284" t="s">
        <v>1197</v>
      </c>
      <c r="Q1" s="290" t="s">
        <v>1194</v>
      </c>
      <c r="R1" s="284" t="s">
        <v>1195</v>
      </c>
      <c r="S1" s="284" t="s">
        <v>2705</v>
      </c>
      <c r="T1" s="289" t="s">
        <v>349</v>
      </c>
      <c r="U1" s="289" t="s">
        <v>358</v>
      </c>
      <c r="V1" s="289" t="s">
        <v>434</v>
      </c>
      <c r="W1" s="289" t="s">
        <v>3251</v>
      </c>
      <c r="X1" s="289" t="s">
        <v>360</v>
      </c>
      <c r="Y1" s="284" t="s">
        <v>2703</v>
      </c>
      <c r="Z1" s="291" t="s">
        <v>3045</v>
      </c>
      <c r="AA1" s="284" t="s">
        <v>3107</v>
      </c>
      <c r="AB1" s="285" t="s">
        <v>3167</v>
      </c>
      <c r="AC1" s="285" t="s">
        <v>3117</v>
      </c>
      <c r="AD1" s="285" t="s">
        <v>3118</v>
      </c>
      <c r="AE1" s="286" t="s">
        <v>3168</v>
      </c>
      <c r="AF1" s="286" t="s">
        <v>3125</v>
      </c>
      <c r="AG1" s="287" t="s">
        <v>3155</v>
      </c>
    </row>
    <row r="2" spans="1:33" ht="15" customHeight="1" x14ac:dyDescent="0.2">
      <c r="A2" s="66">
        <v>4332631</v>
      </c>
      <c r="B2" s="66" t="s">
        <v>1211</v>
      </c>
      <c r="C2" s="66">
        <v>13029</v>
      </c>
      <c r="D2" s="86" t="s">
        <v>1732</v>
      </c>
      <c r="E2" s="73"/>
      <c r="F2" s="73"/>
      <c r="G2" s="20">
        <v>1160</v>
      </c>
      <c r="H2" s="67" t="s">
        <v>2842</v>
      </c>
      <c r="I2" s="67" t="str">
        <f t="shared" ref="I2:I33" si="0">IF(M2="@",H2&amp;" ("&amp;M2&amp;"  "&amp;N2&amp;")",H2&amp;" ("&amp;M2&amp;" to "&amp;N2&amp;")")</f>
        <v>Districtwide SIS/NHS Connectors (Palm Beach Co. to Broward Co.)</v>
      </c>
      <c r="J2" s="86" t="s">
        <v>300</v>
      </c>
      <c r="K2" s="67" t="str">
        <f>VLOOKUP(J2,'Data-ProjectTypes'!A$3:B$13,2,FALSE)</f>
        <v>Project</v>
      </c>
      <c r="L2" s="87" t="s">
        <v>2927</v>
      </c>
      <c r="M2" s="67" t="s">
        <v>2840</v>
      </c>
      <c r="N2" s="67" t="s">
        <v>2841</v>
      </c>
      <c r="O2" s="86" t="s">
        <v>270</v>
      </c>
      <c r="P2" s="87" t="s">
        <v>270</v>
      </c>
      <c r="Q2" s="74"/>
      <c r="R2" s="70"/>
      <c r="S2" s="12"/>
      <c r="T2" s="12"/>
      <c r="U2" s="12"/>
      <c r="V2" s="12"/>
      <c r="W2" s="12"/>
      <c r="X2" s="12"/>
      <c r="Y2" s="12"/>
      <c r="Z2" s="18">
        <f>ROUND(R2*'Data-CostAssumptions'!$C$8,-3)</f>
        <v>0</v>
      </c>
      <c r="AA2" s="11">
        <f>IF(V2="",IF(W2="",0,1),1)</f>
        <v>0</v>
      </c>
      <c r="AB2" s="11">
        <v>2041</v>
      </c>
      <c r="AC2" s="11">
        <v>2041</v>
      </c>
      <c r="AD2" s="11">
        <v>2041</v>
      </c>
      <c r="AE2" s="19">
        <f>ROUND((Z2*'Data-CostAssumptions'!$G$5)*(1+'Data-CostAssumptions'!$G$3)^(AB2-'Data-CostAssumptions'!$G$4),-3)</f>
        <v>0</v>
      </c>
      <c r="AF2" s="19">
        <f>ROUND((Z2)*(1+'Data-CostAssumptions'!$G$3)^(AD2-'Data-CostAssumptions'!$G$4),-3)</f>
        <v>0</v>
      </c>
      <c r="AG2" s="170" t="str">
        <f>IF(MIN(AC2:AD2)&lt;2041,"Yes","No")</f>
        <v>No</v>
      </c>
    </row>
    <row r="3" spans="1:33" ht="15" customHeight="1" x14ac:dyDescent="0.2">
      <c r="A3" s="11" t="s">
        <v>922</v>
      </c>
      <c r="B3" s="11" t="s">
        <v>1211</v>
      </c>
      <c r="C3" s="11">
        <v>13078</v>
      </c>
      <c r="D3" s="84" t="s">
        <v>1732</v>
      </c>
      <c r="E3" s="14"/>
      <c r="F3" s="14"/>
      <c r="G3" s="20">
        <v>1192</v>
      </c>
      <c r="H3" s="13" t="s">
        <v>931</v>
      </c>
      <c r="I3" s="13" t="str">
        <f t="shared" si="0"/>
        <v>Ft Lauderdale FEC Intermodal Terminal (SR9/I-95 to FEC Terminal)</v>
      </c>
      <c r="J3" s="84" t="s">
        <v>300</v>
      </c>
      <c r="K3" s="13" t="str">
        <f>VLOOKUP(J3,'Data-ProjectTypes'!A$3:B$13,2,FALSE)</f>
        <v>Project</v>
      </c>
      <c r="L3" s="85" t="s">
        <v>932</v>
      </c>
      <c r="M3" s="85" t="s">
        <v>2857</v>
      </c>
      <c r="N3" s="84" t="s">
        <v>937</v>
      </c>
      <c r="O3" s="84" t="s">
        <v>270</v>
      </c>
      <c r="P3" s="85" t="s">
        <v>270</v>
      </c>
      <c r="Q3" s="15"/>
      <c r="R3" s="16">
        <v>259000</v>
      </c>
      <c r="S3" s="12"/>
      <c r="T3" s="12"/>
      <c r="U3" s="12"/>
      <c r="V3" s="12"/>
      <c r="W3" s="12"/>
      <c r="X3" s="12"/>
      <c r="Y3" s="12"/>
      <c r="Z3" s="18">
        <f>ROUND(R3*'Data-CostAssumptions'!$C$8,-3)</f>
        <v>259000</v>
      </c>
      <c r="AA3" s="11">
        <f t="shared" ref="AA3:AA43" si="1">IF(V3="",IF(W3="",0,1),1)</f>
        <v>0</v>
      </c>
      <c r="AB3" s="11">
        <v>2041</v>
      </c>
      <c r="AC3" s="11">
        <v>2041</v>
      </c>
      <c r="AD3" s="11">
        <v>2041</v>
      </c>
      <c r="AE3" s="19">
        <f>ROUND((Z3*'Data-CostAssumptions'!$G$5)*(1+'Data-CostAssumptions'!$G$3)^(AB3-'Data-CostAssumptions'!$G$4),-3)</f>
        <v>146000</v>
      </c>
      <c r="AF3" s="19">
        <f>ROUND((Z3)*(1+'Data-CostAssumptions'!$G$3)^(AD3-'Data-CostAssumptions'!$G$4),-3)</f>
        <v>664000</v>
      </c>
      <c r="AG3" s="170" t="str">
        <f t="shared" ref="AG3:AG66" si="2">IF(MIN(AC3:AD3)&lt;2041,"Yes","No")</f>
        <v>No</v>
      </c>
    </row>
    <row r="4" spans="1:33" ht="15" customHeight="1" x14ac:dyDescent="0.2">
      <c r="A4" s="11" t="s">
        <v>1070</v>
      </c>
      <c r="B4" s="11" t="s">
        <v>1211</v>
      </c>
      <c r="C4" s="11">
        <v>13072</v>
      </c>
      <c r="D4" s="84" t="s">
        <v>1732</v>
      </c>
      <c r="E4" s="14"/>
      <c r="F4" s="14"/>
      <c r="G4" s="20">
        <v>1186</v>
      </c>
      <c r="H4" s="13" t="s">
        <v>2731</v>
      </c>
      <c r="I4" s="13" t="str">
        <f t="shared" si="0"/>
        <v>SR 25/US 27 (Miami-Dade/Broward County Line to I-75)</v>
      </c>
      <c r="J4" s="84" t="s">
        <v>300</v>
      </c>
      <c r="K4" s="13" t="str">
        <f>VLOOKUP(J4,'Data-ProjectTypes'!A$3:B$13,2,FALSE)</f>
        <v>Project</v>
      </c>
      <c r="L4" s="85" t="s">
        <v>900</v>
      </c>
      <c r="M4" s="85" t="s">
        <v>37</v>
      </c>
      <c r="N4" s="84" t="s">
        <v>31</v>
      </c>
      <c r="O4" s="84" t="s">
        <v>270</v>
      </c>
      <c r="P4" s="85" t="s">
        <v>270</v>
      </c>
      <c r="Q4" s="15"/>
      <c r="R4" s="16">
        <v>61785000</v>
      </c>
      <c r="S4" s="12"/>
      <c r="T4" s="12"/>
      <c r="U4" s="12"/>
      <c r="V4" s="12"/>
      <c r="W4" s="12"/>
      <c r="X4" s="12"/>
      <c r="Y4" s="12"/>
      <c r="Z4" s="18">
        <f>ROUND(R4*'Data-CostAssumptions'!$C$8,-3)</f>
        <v>61785000</v>
      </c>
      <c r="AA4" s="11">
        <f t="shared" si="1"/>
        <v>0</v>
      </c>
      <c r="AB4" s="11">
        <v>2041</v>
      </c>
      <c r="AC4" s="11">
        <v>2041</v>
      </c>
      <c r="AD4" s="11">
        <v>2041</v>
      </c>
      <c r="AE4" s="19">
        <f>ROUND((Z4*'Data-CostAssumptions'!$G$5)*(1+'Data-CostAssumptions'!$G$3)^(AB4-'Data-CostAssumptions'!$G$4),-3)</f>
        <v>34851000</v>
      </c>
      <c r="AF4" s="19">
        <f>ROUND((Z4)*(1+'Data-CostAssumptions'!$G$3)^(AD4-'Data-CostAssumptions'!$G$4),-3)</f>
        <v>158414000</v>
      </c>
      <c r="AG4" s="170" t="str">
        <f t="shared" si="2"/>
        <v>No</v>
      </c>
    </row>
    <row r="5" spans="1:33" ht="15" customHeight="1" x14ac:dyDescent="0.2">
      <c r="A5" s="11" t="s">
        <v>945</v>
      </c>
      <c r="B5" s="11" t="s">
        <v>1211</v>
      </c>
      <c r="C5" s="11">
        <v>13087</v>
      </c>
      <c r="D5" s="84" t="s">
        <v>1732</v>
      </c>
      <c r="E5" s="14"/>
      <c r="F5" s="14"/>
      <c r="G5" s="20">
        <v>1202</v>
      </c>
      <c r="H5" s="13" t="s">
        <v>2731</v>
      </c>
      <c r="I5" s="13" t="str">
        <f t="shared" si="0"/>
        <v>SR 25/US 27 (at Griffin Rd to )</v>
      </c>
      <c r="J5" s="84" t="s">
        <v>300</v>
      </c>
      <c r="K5" s="13" t="str">
        <f>VLOOKUP(J5,'Data-ProjectTypes'!A$3:B$13,2,FALSE)</f>
        <v>Project</v>
      </c>
      <c r="L5" s="85" t="s">
        <v>949</v>
      </c>
      <c r="M5" s="85" t="s">
        <v>2419</v>
      </c>
      <c r="O5" s="84" t="s">
        <v>270</v>
      </c>
      <c r="P5" s="85" t="s">
        <v>270</v>
      </c>
      <c r="Q5" s="15"/>
      <c r="R5" s="16">
        <v>10000000</v>
      </c>
      <c r="S5" s="12"/>
      <c r="T5" s="12"/>
      <c r="U5" s="12"/>
      <c r="V5" s="12"/>
      <c r="W5" s="12"/>
      <c r="X5" s="12"/>
      <c r="Y5" s="12"/>
      <c r="Z5" s="18">
        <f>ROUND(R5*'Data-CostAssumptions'!$C$8,-3)</f>
        <v>10000000</v>
      </c>
      <c r="AA5" s="11">
        <f t="shared" si="1"/>
        <v>0</v>
      </c>
      <c r="AB5" s="11">
        <v>2041</v>
      </c>
      <c r="AC5" s="11">
        <v>2041</v>
      </c>
      <c r="AD5" s="11">
        <v>2041</v>
      </c>
      <c r="AE5" s="19">
        <f>ROUND((Z5*'Data-CostAssumptions'!$G$5)*(1+'Data-CostAssumptions'!$G$3)^(AB5-'Data-CostAssumptions'!$G$4),-3)</f>
        <v>5641000</v>
      </c>
      <c r="AF5" s="19">
        <f>ROUND((Z5)*(1+'Data-CostAssumptions'!$G$3)^(AD5-'Data-CostAssumptions'!$G$4),-3)</f>
        <v>25639000</v>
      </c>
      <c r="AG5" s="170" t="str">
        <f t="shared" si="2"/>
        <v>No</v>
      </c>
    </row>
    <row r="6" spans="1:33" ht="15" customHeight="1" x14ac:dyDescent="0.2">
      <c r="A6" s="11" t="s">
        <v>946</v>
      </c>
      <c r="B6" s="11" t="s">
        <v>1211</v>
      </c>
      <c r="C6" s="11">
        <v>13088</v>
      </c>
      <c r="D6" s="84" t="s">
        <v>1732</v>
      </c>
      <c r="E6" s="14"/>
      <c r="F6" s="14"/>
      <c r="G6" s="20">
        <v>1203</v>
      </c>
      <c r="H6" s="13" t="s">
        <v>2731</v>
      </c>
      <c r="I6" s="13" t="str">
        <f t="shared" si="0"/>
        <v>SR 25/US 27 (at Pembroke Rd to )</v>
      </c>
      <c r="J6" s="84" t="s">
        <v>300</v>
      </c>
      <c r="K6" s="13" t="str">
        <f>VLOOKUP(J6,'Data-ProjectTypes'!A$3:B$13,2,FALSE)</f>
        <v>Project</v>
      </c>
      <c r="L6" s="85" t="s">
        <v>949</v>
      </c>
      <c r="M6" s="85" t="s">
        <v>2466</v>
      </c>
      <c r="O6" s="84" t="s">
        <v>270</v>
      </c>
      <c r="P6" s="85" t="s">
        <v>270</v>
      </c>
      <c r="Q6" s="15"/>
      <c r="R6" s="16">
        <v>10000000</v>
      </c>
      <c r="S6" s="12"/>
      <c r="T6" s="12"/>
      <c r="U6" s="12"/>
      <c r="V6" s="12"/>
      <c r="W6" s="12"/>
      <c r="X6" s="12"/>
      <c r="Y6" s="12"/>
      <c r="Z6" s="18">
        <f>ROUND(R6*'Data-CostAssumptions'!$C$8,-3)</f>
        <v>10000000</v>
      </c>
      <c r="AA6" s="11">
        <f t="shared" si="1"/>
        <v>0</v>
      </c>
      <c r="AB6" s="11">
        <v>2041</v>
      </c>
      <c r="AC6" s="11">
        <v>2041</v>
      </c>
      <c r="AD6" s="11">
        <v>2041</v>
      </c>
      <c r="AE6" s="19">
        <f>ROUND((Z6*'Data-CostAssumptions'!$G$5)*(1+'Data-CostAssumptions'!$G$3)^(AB6-'Data-CostAssumptions'!$G$4),-3)</f>
        <v>5641000</v>
      </c>
      <c r="AF6" s="19">
        <f>ROUND((Z6)*(1+'Data-CostAssumptions'!$G$3)^(AD6-'Data-CostAssumptions'!$G$4),-3)</f>
        <v>25639000</v>
      </c>
      <c r="AG6" s="170" t="str">
        <f t="shared" si="2"/>
        <v>No</v>
      </c>
    </row>
    <row r="7" spans="1:33" ht="15" customHeight="1" x14ac:dyDescent="0.2">
      <c r="A7" s="11" t="s">
        <v>944</v>
      </c>
      <c r="B7" s="11" t="s">
        <v>1211</v>
      </c>
      <c r="C7" s="11">
        <v>13086</v>
      </c>
      <c r="D7" s="84" t="s">
        <v>1732</v>
      </c>
      <c r="E7" s="14"/>
      <c r="F7" s="14"/>
      <c r="G7" s="20">
        <v>1201</v>
      </c>
      <c r="H7" s="13" t="s">
        <v>2731</v>
      </c>
      <c r="I7" s="13" t="str">
        <f t="shared" si="0"/>
        <v>SR 25/US 27 (at Pines Bl to )</v>
      </c>
      <c r="J7" s="84" t="s">
        <v>300</v>
      </c>
      <c r="K7" s="13" t="str">
        <f>VLOOKUP(J7,'Data-ProjectTypes'!A$3:B$13,2,FALSE)</f>
        <v>Project</v>
      </c>
      <c r="L7" s="85" t="s">
        <v>949</v>
      </c>
      <c r="M7" s="85" t="s">
        <v>2334</v>
      </c>
      <c r="O7" s="84" t="s">
        <v>270</v>
      </c>
      <c r="P7" s="85" t="s">
        <v>270</v>
      </c>
      <c r="Q7" s="15"/>
      <c r="R7" s="16">
        <v>10000000</v>
      </c>
      <c r="Y7" s="12"/>
      <c r="Z7" s="18">
        <f>ROUND(R7*'Data-CostAssumptions'!$C$8,-3)</f>
        <v>10000000</v>
      </c>
      <c r="AA7" s="11">
        <f t="shared" si="1"/>
        <v>0</v>
      </c>
      <c r="AB7" s="11">
        <v>2041</v>
      </c>
      <c r="AC7" s="11">
        <v>2041</v>
      </c>
      <c r="AD7" s="11">
        <v>2041</v>
      </c>
      <c r="AE7" s="19">
        <f>ROUND((Z7*'Data-CostAssumptions'!$G$5)*(1+'Data-CostAssumptions'!$G$3)^(AB7-'Data-CostAssumptions'!$G$4),-3)</f>
        <v>5641000</v>
      </c>
      <c r="AF7" s="19">
        <f>ROUND((Z7)*(1+'Data-CostAssumptions'!$G$3)^(AD7-'Data-CostAssumptions'!$G$4),-3)</f>
        <v>25639000</v>
      </c>
      <c r="AG7" s="170" t="str">
        <f t="shared" si="2"/>
        <v>No</v>
      </c>
    </row>
    <row r="8" spans="1:33" ht="15" customHeight="1" x14ac:dyDescent="0.2">
      <c r="A8" s="11" t="s">
        <v>948</v>
      </c>
      <c r="B8" s="11" t="s">
        <v>1211</v>
      </c>
      <c r="C8" s="11">
        <v>13090</v>
      </c>
      <c r="D8" s="84" t="s">
        <v>1732</v>
      </c>
      <c r="E8" s="14"/>
      <c r="F8" s="14"/>
      <c r="G8" s="20">
        <v>1205</v>
      </c>
      <c r="H8" s="13" t="s">
        <v>2731</v>
      </c>
      <c r="I8" s="13" t="str">
        <f t="shared" si="0"/>
        <v>SR 25/US 27 (at Sheridan St to )</v>
      </c>
      <c r="J8" s="84" t="s">
        <v>300</v>
      </c>
      <c r="K8" s="13" t="str">
        <f>VLOOKUP(J8,'Data-ProjectTypes'!A$3:B$13,2,FALSE)</f>
        <v>Project</v>
      </c>
      <c r="L8" s="85" t="s">
        <v>949</v>
      </c>
      <c r="M8" s="85" t="s">
        <v>2492</v>
      </c>
      <c r="O8" s="84" t="s">
        <v>270</v>
      </c>
      <c r="P8" s="85" t="s">
        <v>270</v>
      </c>
      <c r="Q8" s="15"/>
      <c r="R8" s="16">
        <v>10000000</v>
      </c>
      <c r="S8" s="12"/>
      <c r="T8" s="12"/>
      <c r="U8" s="12"/>
      <c r="V8" s="12"/>
      <c r="W8" s="12"/>
      <c r="X8" s="12"/>
      <c r="Y8" s="12"/>
      <c r="Z8" s="18">
        <f>ROUND(R8*'Data-CostAssumptions'!$C$8,-3)</f>
        <v>10000000</v>
      </c>
      <c r="AA8" s="11">
        <f t="shared" si="1"/>
        <v>0</v>
      </c>
      <c r="AB8" s="11">
        <v>2041</v>
      </c>
      <c r="AC8" s="11">
        <v>2041</v>
      </c>
      <c r="AD8" s="11">
        <v>2041</v>
      </c>
      <c r="AE8" s="19">
        <f>ROUND((Z8*'Data-CostAssumptions'!$G$5)*(1+'Data-CostAssumptions'!$G$3)^(AB8-'Data-CostAssumptions'!$G$4),-3)</f>
        <v>5641000</v>
      </c>
      <c r="AF8" s="19">
        <f>ROUND((Z8)*(1+'Data-CostAssumptions'!$G$3)^(AD8-'Data-CostAssumptions'!$G$4),-3)</f>
        <v>25639000</v>
      </c>
      <c r="AG8" s="170" t="str">
        <f t="shared" si="2"/>
        <v>No</v>
      </c>
    </row>
    <row r="9" spans="1:33" ht="15" customHeight="1" x14ac:dyDescent="0.2">
      <c r="A9" s="11" t="s">
        <v>947</v>
      </c>
      <c r="B9" s="11" t="s">
        <v>1211</v>
      </c>
      <c r="C9" s="11">
        <v>13089</v>
      </c>
      <c r="D9" s="84" t="s">
        <v>1732</v>
      </c>
      <c r="E9" s="14"/>
      <c r="F9" s="14"/>
      <c r="G9" s="20">
        <v>1204</v>
      </c>
      <c r="H9" s="13" t="s">
        <v>2731</v>
      </c>
      <c r="I9" s="13" t="str">
        <f t="shared" si="0"/>
        <v>SR 25/US 27 (at Stirling Rd to )</v>
      </c>
      <c r="J9" s="84" t="s">
        <v>300</v>
      </c>
      <c r="K9" s="13" t="str">
        <f>VLOOKUP(J9,'Data-ProjectTypes'!A$3:B$13,2,FALSE)</f>
        <v>Project</v>
      </c>
      <c r="L9" s="85" t="s">
        <v>949</v>
      </c>
      <c r="M9" s="85" t="s">
        <v>2467</v>
      </c>
      <c r="O9" s="84" t="s">
        <v>270</v>
      </c>
      <c r="P9" s="85" t="s">
        <v>270</v>
      </c>
      <c r="Q9" s="15"/>
      <c r="R9" s="16">
        <v>10000000</v>
      </c>
      <c r="S9" s="12"/>
      <c r="T9" s="12"/>
      <c r="U9" s="12"/>
      <c r="V9" s="12"/>
      <c r="W9" s="12"/>
      <c r="X9" s="12"/>
      <c r="Y9" s="12"/>
      <c r="Z9" s="18">
        <f>ROUND(R9*'Data-CostAssumptions'!$C$8,-3)</f>
        <v>10000000</v>
      </c>
      <c r="AA9" s="11">
        <f t="shared" si="1"/>
        <v>0</v>
      </c>
      <c r="AB9" s="11">
        <v>2041</v>
      </c>
      <c r="AC9" s="11">
        <v>2041</v>
      </c>
      <c r="AD9" s="11">
        <v>2041</v>
      </c>
      <c r="AE9" s="19">
        <f>ROUND((Z9*'Data-CostAssumptions'!$G$5)*(1+'Data-CostAssumptions'!$G$3)^(AB9-'Data-CostAssumptions'!$G$4),-3)</f>
        <v>5641000</v>
      </c>
      <c r="AF9" s="19">
        <f>ROUND((Z9)*(1+'Data-CostAssumptions'!$G$3)^(AD9-'Data-CostAssumptions'!$G$4),-3)</f>
        <v>25639000</v>
      </c>
      <c r="AG9" s="170" t="str">
        <f t="shared" si="2"/>
        <v>No</v>
      </c>
    </row>
    <row r="10" spans="1:33" ht="15" customHeight="1" x14ac:dyDescent="0.2">
      <c r="A10" s="11" t="s">
        <v>923</v>
      </c>
      <c r="B10" s="11" t="s">
        <v>1211</v>
      </c>
      <c r="C10" s="11">
        <v>13079</v>
      </c>
      <c r="D10" s="84" t="s">
        <v>1732</v>
      </c>
      <c r="E10" s="14"/>
      <c r="F10" s="14"/>
      <c r="G10" s="20">
        <v>1193</v>
      </c>
      <c r="H10" s="13" t="s">
        <v>2814</v>
      </c>
      <c r="I10" s="13" t="str">
        <f t="shared" si="0"/>
        <v>SR 820/Hollywood Amtrak/Tri-Rail Station (I-95 to Tri-Rail Station)</v>
      </c>
      <c r="J10" s="84" t="s">
        <v>300</v>
      </c>
      <c r="K10" s="13" t="str">
        <f>VLOOKUP(J10,'Data-ProjectTypes'!A$3:B$13,2,FALSE)</f>
        <v>Project</v>
      </c>
      <c r="L10" s="85" t="s">
        <v>932</v>
      </c>
      <c r="M10" s="85" t="s">
        <v>41</v>
      </c>
      <c r="N10" s="84" t="s">
        <v>933</v>
      </c>
      <c r="O10" s="84" t="s">
        <v>270</v>
      </c>
      <c r="P10" s="85" t="s">
        <v>270</v>
      </c>
      <c r="Q10" s="15"/>
      <c r="R10" s="16">
        <v>10000000</v>
      </c>
      <c r="S10" s="12"/>
      <c r="T10" s="12"/>
      <c r="U10" s="12"/>
      <c r="V10" s="12"/>
      <c r="W10" s="12"/>
      <c r="X10" s="12"/>
      <c r="Y10" s="12"/>
      <c r="Z10" s="18">
        <f>ROUND(R10*'Data-CostAssumptions'!$C$8,-3)</f>
        <v>10000000</v>
      </c>
      <c r="AA10" s="11">
        <f t="shared" si="1"/>
        <v>0</v>
      </c>
      <c r="AB10" s="11">
        <v>2041</v>
      </c>
      <c r="AC10" s="11">
        <v>2041</v>
      </c>
      <c r="AD10" s="11">
        <v>2041</v>
      </c>
      <c r="AE10" s="19">
        <f>ROUND((Z10*'Data-CostAssumptions'!$G$5)*(1+'Data-CostAssumptions'!$G$3)^(AB10-'Data-CostAssumptions'!$G$4),-3)</f>
        <v>5641000</v>
      </c>
      <c r="AF10" s="19">
        <f>ROUND((Z10)*(1+'Data-CostAssumptions'!$G$3)^(AD10-'Data-CostAssumptions'!$G$4),-3)</f>
        <v>25639000</v>
      </c>
      <c r="AG10" s="170" t="str">
        <f t="shared" si="2"/>
        <v>No</v>
      </c>
    </row>
    <row r="11" spans="1:33" ht="15" customHeight="1" x14ac:dyDescent="0.2">
      <c r="A11" s="66">
        <v>4111892</v>
      </c>
      <c r="B11" s="66" t="s">
        <v>1211</v>
      </c>
      <c r="C11" s="66">
        <v>13001</v>
      </c>
      <c r="D11" s="86" t="s">
        <v>1732</v>
      </c>
      <c r="E11" s="73"/>
      <c r="F11" s="73"/>
      <c r="G11" s="20">
        <v>1132</v>
      </c>
      <c r="H11" s="67" t="s">
        <v>2740</v>
      </c>
      <c r="I11" s="67" t="str">
        <f t="shared" si="0"/>
        <v>SR 862/I-595 (West to East)</v>
      </c>
      <c r="J11" s="86" t="s">
        <v>300</v>
      </c>
      <c r="K11" s="67" t="str">
        <f>VLOOKUP(J11,'Data-ProjectTypes'!A$3:B$13,2,FALSE)</f>
        <v>Project</v>
      </c>
      <c r="L11" s="87" t="s">
        <v>2754</v>
      </c>
      <c r="M11" s="67" t="s">
        <v>2753</v>
      </c>
      <c r="N11" s="67" t="s">
        <v>2752</v>
      </c>
      <c r="O11" s="86"/>
      <c r="P11" s="87"/>
      <c r="Q11" s="74"/>
      <c r="R11" s="70"/>
      <c r="S11" s="12"/>
      <c r="T11" s="12"/>
      <c r="U11" s="12"/>
      <c r="V11" s="12"/>
      <c r="W11" s="12"/>
      <c r="X11" s="12"/>
      <c r="Y11" s="12"/>
      <c r="Z11" s="18">
        <f>ROUND(R11*'Data-CostAssumptions'!$C$8,-3)</f>
        <v>0</v>
      </c>
      <c r="AA11" s="11">
        <f t="shared" si="1"/>
        <v>0</v>
      </c>
      <c r="AB11" s="11">
        <v>2041</v>
      </c>
      <c r="AC11" s="11">
        <v>2041</v>
      </c>
      <c r="AD11" s="11">
        <v>2041</v>
      </c>
      <c r="AE11" s="19">
        <f>ROUND((Z11*'Data-CostAssumptions'!$G$5)*(1+'Data-CostAssumptions'!$G$3)^(AB11-'Data-CostAssumptions'!$G$4),-3)</f>
        <v>0</v>
      </c>
      <c r="AF11" s="19">
        <f>ROUND((Z11)*(1+'Data-CostAssumptions'!$G$3)^(AD11-'Data-CostAssumptions'!$G$4),-3)</f>
        <v>0</v>
      </c>
      <c r="AG11" s="170" t="str">
        <f t="shared" si="2"/>
        <v>No</v>
      </c>
    </row>
    <row r="12" spans="1:33" ht="15" customHeight="1" x14ac:dyDescent="0.2">
      <c r="A12" s="66">
        <v>4208091</v>
      </c>
      <c r="B12" s="66" t="s">
        <v>1211</v>
      </c>
      <c r="C12" s="66">
        <v>13002</v>
      </c>
      <c r="D12" s="86" t="s">
        <v>1732</v>
      </c>
      <c r="E12" s="73"/>
      <c r="F12" s="73"/>
      <c r="G12" s="20">
        <v>1133</v>
      </c>
      <c r="H12" s="67" t="s">
        <v>2740</v>
      </c>
      <c r="I12" s="67" t="str">
        <f t="shared" si="0"/>
        <v>SR 862/I-595 (West of I-95 to East of I-75)</v>
      </c>
      <c r="J12" s="86" t="s">
        <v>300</v>
      </c>
      <c r="K12" s="67" t="str">
        <f>VLOOKUP(J12,'Data-ProjectTypes'!A$3:B$13,2,FALSE)</f>
        <v>Project</v>
      </c>
      <c r="L12" s="87" t="s">
        <v>892</v>
      </c>
      <c r="M12" s="67" t="s">
        <v>91</v>
      </c>
      <c r="N12" s="67" t="s">
        <v>92</v>
      </c>
      <c r="O12" s="86" t="s">
        <v>270</v>
      </c>
      <c r="P12" s="87" t="s">
        <v>270</v>
      </c>
      <c r="Q12" s="74"/>
      <c r="R12" s="70"/>
      <c r="S12" s="12"/>
      <c r="T12" s="12"/>
      <c r="U12" s="12"/>
      <c r="V12" s="12"/>
      <c r="W12" s="12"/>
      <c r="X12" s="12"/>
      <c r="Y12" s="12"/>
      <c r="Z12" s="18">
        <f>ROUND(R12*'Data-CostAssumptions'!$C$8,-3)</f>
        <v>0</v>
      </c>
      <c r="AA12" s="11">
        <f t="shared" si="1"/>
        <v>0</v>
      </c>
      <c r="AB12" s="11">
        <v>2041</v>
      </c>
      <c r="AC12" s="11">
        <v>2041</v>
      </c>
      <c r="AD12" s="11">
        <v>2041</v>
      </c>
      <c r="AE12" s="19">
        <f>ROUND((Z12*'Data-CostAssumptions'!$G$5)*(1+'Data-CostAssumptions'!$G$3)^(AB12-'Data-CostAssumptions'!$G$4),-3)</f>
        <v>0</v>
      </c>
      <c r="AF12" s="19">
        <f>ROUND((Z12)*(1+'Data-CostAssumptions'!$G$3)^(AD12-'Data-CostAssumptions'!$G$4),-3)</f>
        <v>0</v>
      </c>
      <c r="AG12" s="170" t="str">
        <f t="shared" si="2"/>
        <v>No</v>
      </c>
    </row>
    <row r="13" spans="1:33" ht="15" customHeight="1" x14ac:dyDescent="0.2">
      <c r="A13" s="66">
        <v>4208093</v>
      </c>
      <c r="B13" s="66" t="s">
        <v>1211</v>
      </c>
      <c r="C13" s="66">
        <v>13003</v>
      </c>
      <c r="D13" s="86" t="s">
        <v>1732</v>
      </c>
      <c r="E13" s="73"/>
      <c r="F13" s="73"/>
      <c r="G13" s="20">
        <v>1134</v>
      </c>
      <c r="H13" s="67" t="s">
        <v>2740</v>
      </c>
      <c r="I13" s="67" t="str">
        <f t="shared" si="0"/>
        <v>SR 862/I-595 (West of I-95 to East of I-75)</v>
      </c>
      <c r="J13" s="86" t="s">
        <v>300</v>
      </c>
      <c r="K13" s="67" t="str">
        <f>VLOOKUP(J13,'Data-ProjectTypes'!A$3:B$13,2,FALSE)</f>
        <v>Project</v>
      </c>
      <c r="L13" s="87" t="s">
        <v>893</v>
      </c>
      <c r="M13" s="67" t="s">
        <v>91</v>
      </c>
      <c r="N13" s="67" t="s">
        <v>92</v>
      </c>
      <c r="O13" s="86" t="s">
        <v>270</v>
      </c>
      <c r="P13" s="87" t="s">
        <v>270</v>
      </c>
      <c r="Q13" s="74"/>
      <c r="R13" s="70"/>
      <c r="S13" s="12"/>
      <c r="T13" s="12"/>
      <c r="U13" s="12"/>
      <c r="V13" s="12"/>
      <c r="W13" s="12"/>
      <c r="X13" s="12"/>
      <c r="Y13" s="12"/>
      <c r="Z13" s="18">
        <f>ROUND(R13*'Data-CostAssumptions'!$C$8,-3)</f>
        <v>0</v>
      </c>
      <c r="AA13" s="11">
        <f t="shared" si="1"/>
        <v>0</v>
      </c>
      <c r="AB13" s="11">
        <v>2041</v>
      </c>
      <c r="AC13" s="11">
        <v>2041</v>
      </c>
      <c r="AD13" s="11">
        <v>2041</v>
      </c>
      <c r="AE13" s="19">
        <f>ROUND((Z13*'Data-CostAssumptions'!$G$5)*(1+'Data-CostAssumptions'!$G$3)^(AB13-'Data-CostAssumptions'!$G$4),-3)</f>
        <v>0</v>
      </c>
      <c r="AF13" s="19">
        <f>ROUND((Z13)*(1+'Data-CostAssumptions'!$G$3)^(AD13-'Data-CostAssumptions'!$G$4),-3)</f>
        <v>0</v>
      </c>
      <c r="AG13" s="170" t="str">
        <f t="shared" si="2"/>
        <v>No</v>
      </c>
    </row>
    <row r="14" spans="1:33" ht="15" customHeight="1" x14ac:dyDescent="0.2">
      <c r="A14" s="66">
        <v>4208092</v>
      </c>
      <c r="B14" s="66" t="s">
        <v>1211</v>
      </c>
      <c r="C14" s="66">
        <v>13004</v>
      </c>
      <c r="D14" s="86" t="s">
        <v>1732</v>
      </c>
      <c r="E14" s="73"/>
      <c r="F14" s="73"/>
      <c r="G14" s="20">
        <v>1135</v>
      </c>
      <c r="H14" s="67" t="s">
        <v>2740</v>
      </c>
      <c r="I14" s="67" t="str">
        <f t="shared" si="0"/>
        <v>SR 862/I-595 (West of I-95 to East of I-75)</v>
      </c>
      <c r="J14" s="86" t="s">
        <v>300</v>
      </c>
      <c r="K14" s="67" t="str">
        <f>VLOOKUP(J14,'Data-ProjectTypes'!A$3:B$13,2,FALSE)</f>
        <v>Project</v>
      </c>
      <c r="L14" s="87" t="s">
        <v>2749</v>
      </c>
      <c r="M14" s="67" t="s">
        <v>91</v>
      </c>
      <c r="N14" s="67" t="s">
        <v>92</v>
      </c>
      <c r="O14" s="86" t="s">
        <v>270</v>
      </c>
      <c r="P14" s="87" t="s">
        <v>270</v>
      </c>
      <c r="Q14" s="74"/>
      <c r="R14" s="70"/>
      <c r="S14" s="12"/>
      <c r="T14" s="12"/>
      <c r="U14" s="12"/>
      <c r="V14" s="12"/>
      <c r="W14" s="12"/>
      <c r="X14" s="12"/>
      <c r="Y14" s="12"/>
      <c r="Z14" s="18">
        <f>ROUND(R14*'Data-CostAssumptions'!$C$8,-3)</f>
        <v>0</v>
      </c>
      <c r="AA14" s="11">
        <f t="shared" si="1"/>
        <v>0</v>
      </c>
      <c r="AB14" s="11">
        <v>2041</v>
      </c>
      <c r="AC14" s="11">
        <v>2041</v>
      </c>
      <c r="AD14" s="11">
        <v>2041</v>
      </c>
      <c r="AE14" s="19">
        <f>ROUND((Z14*'Data-CostAssumptions'!$G$5)*(1+'Data-CostAssumptions'!$G$3)^(AB14-'Data-CostAssumptions'!$G$4),-3)</f>
        <v>0</v>
      </c>
      <c r="AF14" s="19">
        <f>ROUND((Z14)*(1+'Data-CostAssumptions'!$G$3)^(AD14-'Data-CostAssumptions'!$G$4),-3)</f>
        <v>0</v>
      </c>
      <c r="AG14" s="170" t="str">
        <f t="shared" si="2"/>
        <v>No</v>
      </c>
    </row>
    <row r="15" spans="1:33" ht="15" customHeight="1" x14ac:dyDescent="0.2">
      <c r="A15" s="66">
        <v>4208095</v>
      </c>
      <c r="B15" s="66" t="s">
        <v>1211</v>
      </c>
      <c r="C15" s="66">
        <v>13005</v>
      </c>
      <c r="D15" s="86" t="s">
        <v>1732</v>
      </c>
      <c r="E15" s="73"/>
      <c r="F15" s="73"/>
      <c r="G15" s="20">
        <v>1136</v>
      </c>
      <c r="H15" s="67" t="s">
        <v>2740</v>
      </c>
      <c r="I15" s="67" t="str">
        <f t="shared" si="0"/>
        <v>SR 862/I-595 (West of I-95 to East of I-75)</v>
      </c>
      <c r="J15" s="86" t="s">
        <v>300</v>
      </c>
      <c r="K15" s="67" t="str">
        <f>VLOOKUP(J15,'Data-ProjectTypes'!A$3:B$13,2,FALSE)</f>
        <v>Project</v>
      </c>
      <c r="L15" s="87" t="s">
        <v>2750</v>
      </c>
      <c r="M15" s="67" t="s">
        <v>91</v>
      </c>
      <c r="N15" s="67" t="s">
        <v>92</v>
      </c>
      <c r="O15" s="86" t="s">
        <v>270</v>
      </c>
      <c r="P15" s="87" t="s">
        <v>270</v>
      </c>
      <c r="Q15" s="74"/>
      <c r="R15" s="70"/>
      <c r="S15" s="12"/>
      <c r="T15" s="12"/>
      <c r="U15" s="12"/>
      <c r="V15" s="12"/>
      <c r="W15" s="12"/>
      <c r="X15" s="12"/>
      <c r="Y15" s="12"/>
      <c r="Z15" s="18">
        <f>ROUND(R15*'Data-CostAssumptions'!$C$8,-3)</f>
        <v>0</v>
      </c>
      <c r="AA15" s="11">
        <f t="shared" si="1"/>
        <v>0</v>
      </c>
      <c r="AB15" s="11">
        <v>2041</v>
      </c>
      <c r="AC15" s="11">
        <v>2041</v>
      </c>
      <c r="AD15" s="11">
        <v>2041</v>
      </c>
      <c r="AE15" s="19">
        <f>ROUND((Z15*'Data-CostAssumptions'!$G$5)*(1+'Data-CostAssumptions'!$G$3)^(AB15-'Data-CostAssumptions'!$G$4),-3)</f>
        <v>0</v>
      </c>
      <c r="AF15" s="19">
        <f>ROUND((Z15)*(1+'Data-CostAssumptions'!$G$3)^(AD15-'Data-CostAssumptions'!$G$4),-3)</f>
        <v>0</v>
      </c>
      <c r="AG15" s="170" t="str">
        <f t="shared" si="2"/>
        <v>No</v>
      </c>
    </row>
    <row r="16" spans="1:33" ht="15" customHeight="1" x14ac:dyDescent="0.2">
      <c r="A16" s="66">
        <v>4218542</v>
      </c>
      <c r="B16" s="66" t="s">
        <v>1211</v>
      </c>
      <c r="C16" s="66">
        <v>13006</v>
      </c>
      <c r="D16" s="86" t="s">
        <v>1732</v>
      </c>
      <c r="E16" s="73"/>
      <c r="F16" s="73"/>
      <c r="G16" s="20">
        <v>1137</v>
      </c>
      <c r="H16" s="67" t="s">
        <v>2740</v>
      </c>
      <c r="I16" s="67" t="str">
        <f t="shared" si="0"/>
        <v>SR 862/I-595 (West of I-95 to East of I-75)</v>
      </c>
      <c r="J16" s="86" t="s">
        <v>300</v>
      </c>
      <c r="K16" s="67" t="str">
        <f>VLOOKUP(J16,'Data-ProjectTypes'!A$3:B$13,2,FALSE)</f>
        <v>Project</v>
      </c>
      <c r="L16" s="87" t="s">
        <v>2751</v>
      </c>
      <c r="M16" s="67" t="s">
        <v>91</v>
      </c>
      <c r="N16" s="67" t="s">
        <v>92</v>
      </c>
      <c r="O16" s="86" t="s">
        <v>270</v>
      </c>
      <c r="P16" s="87" t="s">
        <v>270</v>
      </c>
      <c r="Q16" s="74"/>
      <c r="R16" s="70"/>
      <c r="S16" s="12"/>
      <c r="T16" s="12"/>
      <c r="U16" s="12"/>
      <c r="V16" s="12"/>
      <c r="W16" s="12"/>
      <c r="X16" s="12"/>
      <c r="Y16" s="12"/>
      <c r="Z16" s="18">
        <f>ROUND(R16*'Data-CostAssumptions'!$C$8,-3)</f>
        <v>0</v>
      </c>
      <c r="AA16" s="11">
        <f t="shared" si="1"/>
        <v>0</v>
      </c>
      <c r="AB16" s="11">
        <v>2041</v>
      </c>
      <c r="AC16" s="11">
        <v>2041</v>
      </c>
      <c r="AD16" s="11">
        <v>2041</v>
      </c>
      <c r="AE16" s="19">
        <f>ROUND((Z16*'Data-CostAssumptions'!$G$5)*(1+'Data-CostAssumptions'!$G$3)^(AB16-'Data-CostAssumptions'!$G$4),-3)</f>
        <v>0</v>
      </c>
      <c r="AF16" s="19">
        <f>ROUND((Z16)*(1+'Data-CostAssumptions'!$G$3)^(AD16-'Data-CostAssumptions'!$G$4),-3)</f>
        <v>0</v>
      </c>
      <c r="AG16" s="170" t="str">
        <f t="shared" si="2"/>
        <v>No</v>
      </c>
    </row>
    <row r="17" spans="1:33" ht="15" customHeight="1" x14ac:dyDescent="0.2">
      <c r="A17" s="66">
        <v>4208091</v>
      </c>
      <c r="B17" s="66" t="s">
        <v>1211</v>
      </c>
      <c r="C17" s="66">
        <v>13048</v>
      </c>
      <c r="D17" s="86" t="s">
        <v>1732</v>
      </c>
      <c r="E17" s="73"/>
      <c r="F17" s="73"/>
      <c r="G17" s="20">
        <v>1167</v>
      </c>
      <c r="H17" s="67" t="s">
        <v>2740</v>
      </c>
      <c r="I17" s="67" t="str">
        <f t="shared" si="0"/>
        <v>SR 862/I-595 (West of I-95 to East of I-75)</v>
      </c>
      <c r="J17" s="86" t="s">
        <v>300</v>
      </c>
      <c r="K17" s="67" t="str">
        <f>VLOOKUP(J17,'Data-ProjectTypes'!A$3:B$13,2,FALSE)</f>
        <v>Project</v>
      </c>
      <c r="L17" s="87" t="s">
        <v>892</v>
      </c>
      <c r="M17" s="67" t="s">
        <v>91</v>
      </c>
      <c r="N17" s="67" t="s">
        <v>92</v>
      </c>
      <c r="O17" s="86" t="s">
        <v>270</v>
      </c>
      <c r="P17" s="87" t="s">
        <v>270</v>
      </c>
      <c r="Q17" s="74"/>
      <c r="R17" s="70"/>
      <c r="S17" s="12"/>
      <c r="T17" s="12"/>
      <c r="U17" s="12"/>
      <c r="V17" s="12"/>
      <c r="W17" s="12"/>
      <c r="X17" s="12"/>
      <c r="Y17" s="12"/>
      <c r="Z17" s="18">
        <f>ROUND(R17*'Data-CostAssumptions'!$C$8,-3)</f>
        <v>0</v>
      </c>
      <c r="AA17" s="11">
        <f t="shared" si="1"/>
        <v>0</v>
      </c>
      <c r="AB17" s="11">
        <v>2041</v>
      </c>
      <c r="AC17" s="11">
        <v>2041</v>
      </c>
      <c r="AD17" s="11">
        <v>2041</v>
      </c>
      <c r="AE17" s="19">
        <f>ROUND((Z17*'Data-CostAssumptions'!$G$5)*(1+'Data-CostAssumptions'!$G$3)^(AB17-'Data-CostAssumptions'!$G$4),-3)</f>
        <v>0</v>
      </c>
      <c r="AF17" s="19">
        <f>ROUND((Z17)*(1+'Data-CostAssumptions'!$G$3)^(AD17-'Data-CostAssumptions'!$G$4),-3)</f>
        <v>0</v>
      </c>
      <c r="AG17" s="170" t="str">
        <f t="shared" si="2"/>
        <v>No</v>
      </c>
    </row>
    <row r="18" spans="1:33" ht="15" customHeight="1" x14ac:dyDescent="0.2">
      <c r="A18" s="66">
        <v>1107</v>
      </c>
      <c r="B18" s="66" t="s">
        <v>1211</v>
      </c>
      <c r="C18" s="66">
        <v>13056</v>
      </c>
      <c r="D18" s="86" t="s">
        <v>1732</v>
      </c>
      <c r="E18" s="73"/>
      <c r="F18" s="73"/>
      <c r="G18" s="20">
        <v>1174</v>
      </c>
      <c r="H18" s="67" t="s">
        <v>2740</v>
      </c>
      <c r="I18" s="67" t="str">
        <f t="shared" si="0"/>
        <v>SR 862/I-595 (I-75 to SR-7)</v>
      </c>
      <c r="J18" s="86" t="s">
        <v>300</v>
      </c>
      <c r="K18" s="67" t="str">
        <f>VLOOKUP(J18,'Data-ProjectTypes'!A$3:B$13,2,FALSE)</f>
        <v>Project</v>
      </c>
      <c r="L18" s="87" t="s">
        <v>317</v>
      </c>
      <c r="M18" s="66" t="s">
        <v>31</v>
      </c>
      <c r="N18" s="86" t="s">
        <v>905</v>
      </c>
      <c r="O18" s="86" t="s">
        <v>270</v>
      </c>
      <c r="P18" s="87" t="s">
        <v>270</v>
      </c>
      <c r="Q18" s="74"/>
      <c r="R18" s="70"/>
      <c r="S18" s="12"/>
      <c r="T18" s="12"/>
      <c r="U18" s="12"/>
      <c r="V18" s="12"/>
      <c r="W18" s="12"/>
      <c r="X18" s="12"/>
      <c r="Y18" s="12"/>
      <c r="Z18" s="18">
        <f>ROUND(R18*'Data-CostAssumptions'!$C$8,-3)</f>
        <v>0</v>
      </c>
      <c r="AA18" s="11">
        <f t="shared" si="1"/>
        <v>0</v>
      </c>
      <c r="AB18" s="11">
        <v>2041</v>
      </c>
      <c r="AC18" s="11">
        <v>2041</v>
      </c>
      <c r="AD18" s="11">
        <v>2041</v>
      </c>
      <c r="AE18" s="19">
        <f>ROUND((Z18*'Data-CostAssumptions'!$G$5)*(1+'Data-CostAssumptions'!$G$3)^(AB18-'Data-CostAssumptions'!$G$4),-3)</f>
        <v>0</v>
      </c>
      <c r="AF18" s="19">
        <f>ROUND((Z18)*(1+'Data-CostAssumptions'!$G$3)^(AD18-'Data-CostAssumptions'!$G$4),-3)</f>
        <v>0</v>
      </c>
      <c r="AG18" s="170" t="str">
        <f t="shared" si="2"/>
        <v>No</v>
      </c>
    </row>
    <row r="19" spans="1:33" ht="15" customHeight="1" x14ac:dyDescent="0.2">
      <c r="A19" s="51"/>
      <c r="B19" s="51" t="s">
        <v>1211</v>
      </c>
      <c r="C19" s="52">
        <v>1010</v>
      </c>
      <c r="D19" s="52" t="s">
        <v>420</v>
      </c>
      <c r="E19" s="53">
        <v>73</v>
      </c>
      <c r="F19" s="53">
        <v>200</v>
      </c>
      <c r="G19" s="20">
        <v>882</v>
      </c>
      <c r="H19" s="13" t="s">
        <v>2740</v>
      </c>
      <c r="I19" s="13" t="str">
        <f t="shared" si="0"/>
        <v>SR 862/I-595 (State Rd 7 to I-75)</v>
      </c>
      <c r="J19" s="52" t="s">
        <v>300</v>
      </c>
      <c r="K19" s="52" t="str">
        <f>VLOOKUP(J19,'Data-ProjectTypes'!A$3:B$13,2,FALSE)</f>
        <v>Project</v>
      </c>
      <c r="L19" s="52" t="s">
        <v>317</v>
      </c>
      <c r="M19" s="52" t="s">
        <v>1772</v>
      </c>
      <c r="N19" s="52" t="s">
        <v>31</v>
      </c>
      <c r="O19" s="52" t="s">
        <v>270</v>
      </c>
      <c r="P19" s="52" t="s">
        <v>270</v>
      </c>
      <c r="Q19" s="54">
        <v>9.5</v>
      </c>
      <c r="R19" s="55">
        <v>1382000000</v>
      </c>
      <c r="S19" s="12"/>
      <c r="T19" s="12"/>
      <c r="U19" s="12"/>
      <c r="V19" s="12"/>
      <c r="W19" s="12"/>
      <c r="X19" s="12"/>
      <c r="Y19" s="12"/>
      <c r="Z19" s="18">
        <f>ROUND(R19*'Data-CostAssumptions'!$C$8,-3)</f>
        <v>1382000000</v>
      </c>
      <c r="AA19" s="11">
        <f t="shared" si="1"/>
        <v>0</v>
      </c>
      <c r="AB19" s="11">
        <v>2041</v>
      </c>
      <c r="AC19" s="11">
        <v>2041</v>
      </c>
      <c r="AD19" s="11">
        <v>2041</v>
      </c>
      <c r="AE19" s="19">
        <f>ROUND((Z19*'Data-CostAssumptions'!$G$5)*(1+'Data-CostAssumptions'!$G$3)^(AB19-'Data-CostAssumptions'!$G$4),-3)</f>
        <v>779543000</v>
      </c>
      <c r="AF19" s="19">
        <f>ROUND((Z19)*(1+'Data-CostAssumptions'!$G$3)^(AD19-'Data-CostAssumptions'!$G$4),-3)</f>
        <v>3543377000</v>
      </c>
      <c r="AG19" s="170" t="str">
        <f t="shared" si="2"/>
        <v>No</v>
      </c>
    </row>
    <row r="20" spans="1:33" ht="15" customHeight="1" x14ac:dyDescent="0.2">
      <c r="B20" s="11" t="s">
        <v>1211</v>
      </c>
      <c r="C20" s="13">
        <v>1011</v>
      </c>
      <c r="D20" s="13" t="s">
        <v>420</v>
      </c>
      <c r="E20" s="20">
        <v>53</v>
      </c>
      <c r="F20" s="20">
        <v>200</v>
      </c>
      <c r="G20" s="20">
        <v>883</v>
      </c>
      <c r="H20" s="13" t="s">
        <v>2741</v>
      </c>
      <c r="I20" s="13" t="str">
        <f t="shared" si="0"/>
        <v>SR 862/I-595 Causeway (I-95 to State Rd 7/US 441)</v>
      </c>
      <c r="J20" s="13" t="s">
        <v>300</v>
      </c>
      <c r="K20" s="13" t="str">
        <f>VLOOKUP(J20,'Data-ProjectTypes'!A$3:B$13,2,FALSE)</f>
        <v>Project</v>
      </c>
      <c r="L20" s="21" t="s">
        <v>317</v>
      </c>
      <c r="M20" s="13" t="s">
        <v>41</v>
      </c>
      <c r="N20" s="13" t="s">
        <v>1773</v>
      </c>
      <c r="O20" s="13" t="s">
        <v>270</v>
      </c>
      <c r="P20" s="13" t="s">
        <v>270</v>
      </c>
      <c r="Q20" s="22">
        <v>2.2000000000000002</v>
      </c>
      <c r="R20" s="23">
        <v>21000000</v>
      </c>
      <c r="S20" s="12"/>
      <c r="T20" s="12"/>
      <c r="U20" s="12"/>
      <c r="V20" s="12"/>
      <c r="W20" s="12"/>
      <c r="X20" s="12"/>
      <c r="Y20" s="12"/>
      <c r="Z20" s="18">
        <f>ROUND(R20*'Data-CostAssumptions'!$C$8,-3)</f>
        <v>21000000</v>
      </c>
      <c r="AA20" s="11">
        <f t="shared" si="1"/>
        <v>0</v>
      </c>
      <c r="AB20" s="11">
        <v>2041</v>
      </c>
      <c r="AC20" s="11">
        <v>2041</v>
      </c>
      <c r="AD20" s="11">
        <v>2041</v>
      </c>
      <c r="AE20" s="19">
        <f>ROUND((Z20*'Data-CostAssumptions'!$G$5)*(1+'Data-CostAssumptions'!$G$3)^(AB20-'Data-CostAssumptions'!$G$4),-3)</f>
        <v>11845000</v>
      </c>
      <c r="AF20" s="19">
        <f>ROUND((Z20)*(1+'Data-CostAssumptions'!$G$3)^(AD20-'Data-CostAssumptions'!$G$4),-3)</f>
        <v>53843000</v>
      </c>
      <c r="AG20" s="170" t="str">
        <f t="shared" si="2"/>
        <v>No</v>
      </c>
    </row>
    <row r="21" spans="1:33" ht="15" customHeight="1" x14ac:dyDescent="0.2">
      <c r="A21" s="11" t="s">
        <v>924</v>
      </c>
      <c r="B21" s="11" t="s">
        <v>1211</v>
      </c>
      <c r="C21" s="11">
        <v>13080</v>
      </c>
      <c r="D21" s="84" t="s">
        <v>1732</v>
      </c>
      <c r="E21" s="14"/>
      <c r="F21" s="14"/>
      <c r="G21" s="20">
        <v>1194</v>
      </c>
      <c r="H21" s="13" t="s">
        <v>2742</v>
      </c>
      <c r="I21" s="13" t="str">
        <f t="shared" si="0"/>
        <v>SR 862/I-595 EB Causeway (East of Turnpike East Bound to East of SR-7)</v>
      </c>
      <c r="J21" s="84" t="s">
        <v>300</v>
      </c>
      <c r="K21" s="13" t="str">
        <f>VLOOKUP(J21,'Data-ProjectTypes'!A$3:B$13,2,FALSE)</f>
        <v>Project</v>
      </c>
      <c r="L21" s="85" t="s">
        <v>932</v>
      </c>
      <c r="M21" s="85" t="s">
        <v>940</v>
      </c>
      <c r="N21" s="84" t="s">
        <v>938</v>
      </c>
      <c r="O21" s="84" t="s">
        <v>270</v>
      </c>
      <c r="P21" s="85" t="s">
        <v>270</v>
      </c>
      <c r="Q21" s="15"/>
      <c r="R21" s="16">
        <v>129662000</v>
      </c>
      <c r="Y21" s="12"/>
      <c r="Z21" s="18">
        <f>ROUND(R21*'Data-CostAssumptions'!$C$8,-3)</f>
        <v>129662000</v>
      </c>
      <c r="AA21" s="11">
        <f t="shared" si="1"/>
        <v>0</v>
      </c>
      <c r="AB21" s="11">
        <v>2041</v>
      </c>
      <c r="AC21" s="11">
        <v>2041</v>
      </c>
      <c r="AD21" s="11">
        <v>2041</v>
      </c>
      <c r="AE21" s="19">
        <f>ROUND((Z21*'Data-CostAssumptions'!$G$5)*(1+'Data-CostAssumptions'!$G$3)^(AB21-'Data-CostAssumptions'!$G$4),-3)</f>
        <v>73138000</v>
      </c>
      <c r="AF21" s="19">
        <f>ROUND((Z21)*(1+'Data-CostAssumptions'!$G$3)^(AD21-'Data-CostAssumptions'!$G$4),-3)</f>
        <v>332447000</v>
      </c>
      <c r="AG21" s="170" t="str">
        <f t="shared" si="2"/>
        <v>No</v>
      </c>
    </row>
    <row r="22" spans="1:33" ht="15" customHeight="1" x14ac:dyDescent="0.2">
      <c r="A22" s="11" t="s">
        <v>925</v>
      </c>
      <c r="B22" s="11" t="s">
        <v>1211</v>
      </c>
      <c r="C22" s="11">
        <v>13081</v>
      </c>
      <c r="D22" s="84" t="s">
        <v>1732</v>
      </c>
      <c r="E22" s="14"/>
      <c r="F22" s="14"/>
      <c r="G22" s="20">
        <v>1195</v>
      </c>
      <c r="H22" s="13" t="s">
        <v>2743</v>
      </c>
      <c r="I22" s="13" t="str">
        <f t="shared" si="0"/>
        <v>SR 862/I-595 ML Connection (I-595 Managed Lanes to I-95 Managed Lanes)</v>
      </c>
      <c r="J22" s="84" t="s">
        <v>300</v>
      </c>
      <c r="K22" s="13" t="str">
        <f>VLOOKUP(J22,'Data-ProjectTypes'!A$3:B$13,2,FALSE)</f>
        <v>Project</v>
      </c>
      <c r="L22" s="85" t="s">
        <v>894</v>
      </c>
      <c r="M22" s="85" t="s">
        <v>939</v>
      </c>
      <c r="N22" s="84" t="s">
        <v>112</v>
      </c>
      <c r="O22" s="84" t="s">
        <v>270</v>
      </c>
      <c r="P22" s="85" t="s">
        <v>270</v>
      </c>
      <c r="Q22" s="15"/>
      <c r="R22" s="16">
        <v>33459000</v>
      </c>
      <c r="Y22" s="12"/>
      <c r="Z22" s="18">
        <f>ROUND(R22*'Data-CostAssumptions'!$C$8,-3)</f>
        <v>33459000</v>
      </c>
      <c r="AA22" s="11">
        <f t="shared" si="1"/>
        <v>0</v>
      </c>
      <c r="AB22" s="11">
        <v>2041</v>
      </c>
      <c r="AC22" s="11">
        <v>2041</v>
      </c>
      <c r="AD22" s="11">
        <v>2041</v>
      </c>
      <c r="AE22" s="19">
        <f>ROUND((Z22*'Data-CostAssumptions'!$G$5)*(1+'Data-CostAssumptions'!$G$3)^(AB22-'Data-CostAssumptions'!$G$4),-3)</f>
        <v>18873000</v>
      </c>
      <c r="AF22" s="19">
        <f>ROUND((Z22)*(1+'Data-CostAssumptions'!$G$3)^(AD22-'Data-CostAssumptions'!$G$4),-3)</f>
        <v>85787000</v>
      </c>
      <c r="AG22" s="170" t="str">
        <f t="shared" si="2"/>
        <v>No</v>
      </c>
    </row>
    <row r="23" spans="1:33" ht="15" customHeight="1" x14ac:dyDescent="0.2">
      <c r="A23" s="11" t="s">
        <v>926</v>
      </c>
      <c r="B23" s="11" t="s">
        <v>1211</v>
      </c>
      <c r="C23" s="11">
        <v>13082</v>
      </c>
      <c r="D23" s="84" t="s">
        <v>1732</v>
      </c>
      <c r="E23" s="14"/>
      <c r="F23" s="14"/>
      <c r="G23" s="20">
        <v>1196</v>
      </c>
      <c r="H23" s="13" t="s">
        <v>2744</v>
      </c>
      <c r="I23" s="13" t="str">
        <f t="shared" si="0"/>
        <v>SR 862/I-595 WB Causeway (@  I-95/I-595 Interchange)</v>
      </c>
      <c r="J23" s="84" t="s">
        <v>300</v>
      </c>
      <c r="K23" s="13" t="str">
        <f>VLOOKUP(J23,'Data-ProjectTypes'!A$3:B$13,2,FALSE)</f>
        <v>Project</v>
      </c>
      <c r="L23" s="85" t="s">
        <v>894</v>
      </c>
      <c r="M23" s="11" t="s">
        <v>2835</v>
      </c>
      <c r="N23" s="85" t="s">
        <v>2939</v>
      </c>
      <c r="O23" s="84" t="s">
        <v>270</v>
      </c>
      <c r="P23" s="85" t="s">
        <v>270</v>
      </c>
      <c r="Q23" s="15"/>
      <c r="R23" s="16">
        <v>150000000</v>
      </c>
      <c r="Y23" s="12"/>
      <c r="Z23" s="18">
        <f>ROUND(R23*'Data-CostAssumptions'!$C$8,-3)</f>
        <v>150000000</v>
      </c>
      <c r="AA23" s="11">
        <f t="shared" si="1"/>
        <v>0</v>
      </c>
      <c r="AB23" s="11">
        <v>2041</v>
      </c>
      <c r="AC23" s="11">
        <v>2041</v>
      </c>
      <c r="AD23" s="11">
        <v>2041</v>
      </c>
      <c r="AE23" s="19">
        <f>ROUND((Z23*'Data-CostAssumptions'!$G$5)*(1+'Data-CostAssumptions'!$G$3)^(AB23-'Data-CostAssumptions'!$G$4),-3)</f>
        <v>84610000</v>
      </c>
      <c r="AF23" s="19">
        <f>ROUND((Z23)*(1+'Data-CostAssumptions'!$G$3)^(AD23-'Data-CostAssumptions'!$G$4),-3)</f>
        <v>384592000</v>
      </c>
      <c r="AG23" s="170" t="str">
        <f t="shared" si="2"/>
        <v>No</v>
      </c>
    </row>
    <row r="24" spans="1:33" ht="15" customHeight="1" x14ac:dyDescent="0.2">
      <c r="A24" s="66">
        <v>4208094</v>
      </c>
      <c r="B24" s="66" t="s">
        <v>1211</v>
      </c>
      <c r="C24" s="66">
        <v>13000</v>
      </c>
      <c r="D24" s="86" t="s">
        <v>1732</v>
      </c>
      <c r="E24" s="73"/>
      <c r="F24" s="73"/>
      <c r="G24" s="20">
        <v>1131</v>
      </c>
      <c r="H24" s="67" t="s">
        <v>2745</v>
      </c>
      <c r="I24" s="67" t="str">
        <f t="shared" si="0"/>
        <v>SR 862/I-595/P3/Utilities from I-75 To West of I-95 (West of I-95 to at Broward Bl)</v>
      </c>
      <c r="J24" s="86" t="s">
        <v>300</v>
      </c>
      <c r="K24" s="67" t="str">
        <f>VLOOKUP(J24,'Data-ProjectTypes'!A$3:B$13,2,FALSE)</f>
        <v>Project</v>
      </c>
      <c r="L24" s="87" t="s">
        <v>890</v>
      </c>
      <c r="M24" s="67" t="s">
        <v>91</v>
      </c>
      <c r="N24" s="66" t="s">
        <v>2774</v>
      </c>
      <c r="O24" s="86" t="s">
        <v>270</v>
      </c>
      <c r="P24" s="87" t="s">
        <v>270</v>
      </c>
      <c r="Q24" s="74"/>
      <c r="R24" s="70"/>
      <c r="S24" s="12"/>
      <c r="T24" s="12"/>
      <c r="U24" s="12"/>
      <c r="V24" s="12"/>
      <c r="W24" s="12"/>
      <c r="X24" s="12"/>
      <c r="Y24" s="12"/>
      <c r="Z24" s="18">
        <f>ROUND(R24*'Data-CostAssumptions'!$C$8,-3)</f>
        <v>0</v>
      </c>
      <c r="AA24" s="11">
        <f t="shared" si="1"/>
        <v>0</v>
      </c>
      <c r="AB24" s="11">
        <v>2041</v>
      </c>
      <c r="AC24" s="11">
        <v>2041</v>
      </c>
      <c r="AD24" s="11">
        <v>2041</v>
      </c>
      <c r="AE24" s="19">
        <f>ROUND((Z24*'Data-CostAssumptions'!$G$5)*(1+'Data-CostAssumptions'!$G$3)^(AB24-'Data-CostAssumptions'!$G$4),-3)</f>
        <v>0</v>
      </c>
      <c r="AF24" s="19">
        <f>ROUND((Z24)*(1+'Data-CostAssumptions'!$G$3)^(AD24-'Data-CostAssumptions'!$G$4),-3)</f>
        <v>0</v>
      </c>
      <c r="AG24" s="170" t="str">
        <f t="shared" si="2"/>
        <v>No</v>
      </c>
    </row>
    <row r="25" spans="1:33" ht="15" customHeight="1" x14ac:dyDescent="0.2">
      <c r="B25" s="11" t="s">
        <v>1211</v>
      </c>
      <c r="C25" s="13">
        <v>1051</v>
      </c>
      <c r="D25" s="13" t="s">
        <v>420</v>
      </c>
      <c r="E25" s="20">
        <v>28</v>
      </c>
      <c r="F25" s="20">
        <v>206</v>
      </c>
      <c r="G25" s="20">
        <v>893</v>
      </c>
      <c r="H25" s="13" t="s">
        <v>2802</v>
      </c>
      <c r="I25" s="13" t="str">
        <f t="shared" si="0"/>
        <v>SR 869/Sawgrass Expressway ( to at Sunrise Bl)</v>
      </c>
      <c r="J25" s="13" t="s">
        <v>300</v>
      </c>
      <c r="K25" s="13" t="str">
        <f>VLOOKUP(J25,'Data-ProjectTypes'!A$3:B$13,2,FALSE)</f>
        <v>Project</v>
      </c>
      <c r="L25" s="21" t="s">
        <v>337</v>
      </c>
      <c r="M25" s="13"/>
      <c r="N25" s="11" t="s">
        <v>2314</v>
      </c>
      <c r="O25" s="13" t="s">
        <v>270</v>
      </c>
      <c r="P25" s="13" t="s">
        <v>270</v>
      </c>
      <c r="Q25" s="22"/>
      <c r="R25" s="23">
        <v>20000</v>
      </c>
      <c r="S25" s="12"/>
      <c r="T25" s="12"/>
      <c r="U25" s="12"/>
      <c r="V25" s="12"/>
      <c r="W25" s="12"/>
      <c r="X25" s="12"/>
      <c r="Y25" s="12"/>
      <c r="Z25" s="18">
        <f>ROUND(R25*'Data-CostAssumptions'!$C$8,-3)</f>
        <v>20000</v>
      </c>
      <c r="AA25" s="11">
        <f t="shared" si="1"/>
        <v>0</v>
      </c>
      <c r="AB25" s="11">
        <v>2041</v>
      </c>
      <c r="AC25" s="11">
        <v>2041</v>
      </c>
      <c r="AD25" s="11">
        <v>2041</v>
      </c>
      <c r="AE25" s="19">
        <f>ROUND((Z25*'Data-CostAssumptions'!$G$5)*(1+'Data-CostAssumptions'!$G$3)^(AB25-'Data-CostAssumptions'!$G$4),-3)</f>
        <v>11000</v>
      </c>
      <c r="AF25" s="19">
        <f>ROUND((Z25)*(1+'Data-CostAssumptions'!$G$3)^(AD25-'Data-CostAssumptions'!$G$4),-3)</f>
        <v>51000</v>
      </c>
      <c r="AG25" s="170" t="str">
        <f t="shared" si="2"/>
        <v>No</v>
      </c>
    </row>
    <row r="26" spans="1:33" ht="15" customHeight="1" x14ac:dyDescent="0.2">
      <c r="A26" s="66">
        <v>4093591</v>
      </c>
      <c r="B26" s="66" t="s">
        <v>1211</v>
      </c>
      <c r="C26" s="66">
        <v>13010</v>
      </c>
      <c r="D26" s="86" t="s">
        <v>1732</v>
      </c>
      <c r="E26" s="73"/>
      <c r="F26" s="73"/>
      <c r="G26" s="20">
        <v>1141</v>
      </c>
      <c r="H26" s="67" t="s">
        <v>1445</v>
      </c>
      <c r="I26" s="67" t="str">
        <f t="shared" si="0"/>
        <v>SR 9/I-95 (PALM BCH C/L to OAKLAND PARK BLD)</v>
      </c>
      <c r="J26" s="86" t="s">
        <v>300</v>
      </c>
      <c r="K26" s="67" t="str">
        <f>VLOOKUP(J26,'Data-ProjectTypes'!A$3:B$13,2,FALSE)</f>
        <v>Project</v>
      </c>
      <c r="L26" s="87" t="s">
        <v>891</v>
      </c>
      <c r="M26" s="67" t="s">
        <v>2772</v>
      </c>
      <c r="N26" s="67" t="s">
        <v>2747</v>
      </c>
      <c r="O26" s="86" t="s">
        <v>270</v>
      </c>
      <c r="P26" s="87" t="s">
        <v>270</v>
      </c>
      <c r="Q26" s="74"/>
      <c r="R26" s="70"/>
      <c r="S26" s="12"/>
      <c r="T26" s="12"/>
      <c r="U26" s="12"/>
      <c r="V26" s="12"/>
      <c r="W26" s="12"/>
      <c r="X26" s="12"/>
      <c r="Y26" s="12"/>
      <c r="Z26" s="18">
        <f>ROUND(R26*'Data-CostAssumptions'!$C$8,-3)</f>
        <v>0</v>
      </c>
      <c r="AA26" s="11">
        <f t="shared" si="1"/>
        <v>0</v>
      </c>
      <c r="AB26" s="11">
        <v>2041</v>
      </c>
      <c r="AC26" s="11">
        <v>2041</v>
      </c>
      <c r="AD26" s="11">
        <v>2041</v>
      </c>
      <c r="AE26" s="19">
        <f>ROUND((Z26*'Data-CostAssumptions'!$G$5)*(1+'Data-CostAssumptions'!$G$3)^(AB26-'Data-CostAssumptions'!$G$4),-3)</f>
        <v>0</v>
      </c>
      <c r="AF26" s="19">
        <f>ROUND((Z26)*(1+'Data-CostAssumptions'!$G$3)^(AD26-'Data-CostAssumptions'!$G$4),-3)</f>
        <v>0</v>
      </c>
      <c r="AG26" s="170" t="str">
        <f t="shared" si="2"/>
        <v>No</v>
      </c>
    </row>
    <row r="27" spans="1:33" ht="15" customHeight="1" x14ac:dyDescent="0.2">
      <c r="A27" s="66">
        <v>4093592</v>
      </c>
      <c r="B27" s="66" t="s">
        <v>1211</v>
      </c>
      <c r="C27" s="66">
        <v>13011</v>
      </c>
      <c r="D27" s="86" t="s">
        <v>1732</v>
      </c>
      <c r="E27" s="73"/>
      <c r="F27" s="73"/>
      <c r="G27" s="20">
        <v>1142</v>
      </c>
      <c r="H27" s="67" t="s">
        <v>1445</v>
      </c>
      <c r="I27" s="67" t="str">
        <f t="shared" si="0"/>
        <v>SR 9/I-95 (S OF ATLANTIC Bl to N OF OAKLAND PARK BL)</v>
      </c>
      <c r="J27" s="86" t="s">
        <v>300</v>
      </c>
      <c r="K27" s="67" t="str">
        <f>VLOOKUP(J27,'Data-ProjectTypes'!A$3:B$13,2,FALSE)</f>
        <v>Project</v>
      </c>
      <c r="L27" s="87" t="s">
        <v>317</v>
      </c>
      <c r="M27" s="67" t="s">
        <v>2748</v>
      </c>
      <c r="N27" s="67" t="s">
        <v>2746</v>
      </c>
      <c r="O27" s="86" t="s">
        <v>270</v>
      </c>
      <c r="P27" s="87" t="s">
        <v>270</v>
      </c>
      <c r="Q27" s="74"/>
      <c r="R27" s="70"/>
      <c r="S27" s="12"/>
      <c r="T27" s="12"/>
      <c r="U27" s="12"/>
      <c r="V27" s="12"/>
      <c r="W27" s="12"/>
      <c r="X27" s="12"/>
      <c r="Y27" s="12"/>
      <c r="Z27" s="18">
        <f>ROUND(R27*'Data-CostAssumptions'!$C$8,-3)</f>
        <v>0</v>
      </c>
      <c r="AA27" s="11">
        <f t="shared" si="1"/>
        <v>0</v>
      </c>
      <c r="AB27" s="11">
        <v>2041</v>
      </c>
      <c r="AC27" s="11">
        <v>2041</v>
      </c>
      <c r="AD27" s="11">
        <v>2041</v>
      </c>
      <c r="AE27" s="19">
        <f>ROUND((Z27*'Data-CostAssumptions'!$G$5)*(1+'Data-CostAssumptions'!$G$3)^(AB27-'Data-CostAssumptions'!$G$4),-3)</f>
        <v>0</v>
      </c>
      <c r="AF27" s="19">
        <f>ROUND((Z27)*(1+'Data-CostAssumptions'!$G$3)^(AD27-'Data-CostAssumptions'!$G$4),-3)</f>
        <v>0</v>
      </c>
      <c r="AG27" s="170" t="str">
        <f t="shared" si="2"/>
        <v>No</v>
      </c>
    </row>
    <row r="28" spans="1:33" ht="15" customHeight="1" x14ac:dyDescent="0.2">
      <c r="A28" s="66">
        <v>4093593</v>
      </c>
      <c r="B28" s="66" t="s">
        <v>1211</v>
      </c>
      <c r="C28" s="66">
        <v>13012</v>
      </c>
      <c r="D28" s="86" t="s">
        <v>1732</v>
      </c>
      <c r="E28" s="73"/>
      <c r="F28" s="73"/>
      <c r="G28" s="20">
        <v>1143</v>
      </c>
      <c r="H28" s="67" t="s">
        <v>1445</v>
      </c>
      <c r="I28" s="67" t="str">
        <f t="shared" si="0"/>
        <v>SR 9/I-95 (S OF SAMPLE Rd to S OF ATLANTIC Bl)</v>
      </c>
      <c r="J28" s="86" t="s">
        <v>300</v>
      </c>
      <c r="K28" s="67" t="str">
        <f>VLOOKUP(J28,'Data-ProjectTypes'!A$3:B$13,2,FALSE)</f>
        <v>Project</v>
      </c>
      <c r="L28" s="87" t="s">
        <v>317</v>
      </c>
      <c r="M28" s="67" t="s">
        <v>2773</v>
      </c>
      <c r="N28" s="67" t="s">
        <v>2748</v>
      </c>
      <c r="O28" s="86" t="s">
        <v>270</v>
      </c>
      <c r="P28" s="87" t="s">
        <v>270</v>
      </c>
      <c r="Q28" s="74"/>
      <c r="R28" s="70"/>
      <c r="S28" s="12"/>
      <c r="T28" s="12"/>
      <c r="U28" s="12"/>
      <c r="V28" s="12"/>
      <c r="W28" s="12"/>
      <c r="X28" s="12"/>
      <c r="Y28" s="12"/>
      <c r="Z28" s="18">
        <f>ROUND(R28*'Data-CostAssumptions'!$C$8,-3)</f>
        <v>0</v>
      </c>
      <c r="AA28" s="11">
        <f t="shared" si="1"/>
        <v>0</v>
      </c>
      <c r="AB28" s="11">
        <v>2041</v>
      </c>
      <c r="AC28" s="11">
        <v>2041</v>
      </c>
      <c r="AD28" s="11">
        <v>2041</v>
      </c>
      <c r="AE28" s="19">
        <f>ROUND((Z28*'Data-CostAssumptions'!$G$5)*(1+'Data-CostAssumptions'!$G$3)^(AB28-'Data-CostAssumptions'!$G$4),-3)</f>
        <v>0</v>
      </c>
      <c r="AF28" s="19">
        <f>ROUND((Z28)*(1+'Data-CostAssumptions'!$G$3)^(AD28-'Data-CostAssumptions'!$G$4),-3)</f>
        <v>0</v>
      </c>
      <c r="AG28" s="170" t="str">
        <f t="shared" si="2"/>
        <v>No</v>
      </c>
    </row>
    <row r="29" spans="1:33" ht="15" customHeight="1" x14ac:dyDescent="0.2">
      <c r="A29" s="66">
        <v>4093594</v>
      </c>
      <c r="B29" s="66" t="s">
        <v>1211</v>
      </c>
      <c r="C29" s="66">
        <v>13013</v>
      </c>
      <c r="D29" s="86" t="s">
        <v>1732</v>
      </c>
      <c r="E29" s="73"/>
      <c r="F29" s="73"/>
      <c r="G29" s="20">
        <v>1144</v>
      </c>
      <c r="H29" s="67" t="s">
        <v>1445</v>
      </c>
      <c r="I29" s="67" t="str">
        <f t="shared" si="0"/>
        <v>SR 9/I-95 ( to )</v>
      </c>
      <c r="J29" s="86" t="s">
        <v>300</v>
      </c>
      <c r="K29" s="67" t="str">
        <f>VLOOKUP(J29,'Data-ProjectTypes'!A$3:B$13,2,FALSE)</f>
        <v>Project</v>
      </c>
      <c r="L29" s="87" t="s">
        <v>317</v>
      </c>
      <c r="M29" s="66"/>
      <c r="N29" s="66"/>
      <c r="O29" s="86" t="s">
        <v>270</v>
      </c>
      <c r="P29" s="87" t="s">
        <v>270</v>
      </c>
      <c r="Q29" s="74"/>
      <c r="R29" s="70"/>
      <c r="S29" s="12"/>
      <c r="T29" s="12"/>
      <c r="U29" s="12"/>
      <c r="V29" s="12"/>
      <c r="W29" s="12"/>
      <c r="X29" s="12"/>
      <c r="Y29" s="12"/>
      <c r="Z29" s="18">
        <f>ROUND(R29*'Data-CostAssumptions'!$C$8,-3)</f>
        <v>0</v>
      </c>
      <c r="AA29" s="11">
        <f t="shared" si="1"/>
        <v>0</v>
      </c>
      <c r="AB29" s="11">
        <v>2041</v>
      </c>
      <c r="AC29" s="11">
        <v>2041</v>
      </c>
      <c r="AD29" s="11">
        <v>2041</v>
      </c>
      <c r="AE29" s="19">
        <f>ROUND((Z29*'Data-CostAssumptions'!$G$5)*(1+'Data-CostAssumptions'!$G$3)^(AB29-'Data-CostAssumptions'!$G$4),-3)</f>
        <v>0</v>
      </c>
      <c r="AF29" s="19">
        <f>ROUND((Z29)*(1+'Data-CostAssumptions'!$G$3)^(AD29-'Data-CostAssumptions'!$G$4),-3)</f>
        <v>0</v>
      </c>
      <c r="AG29" s="170" t="str">
        <f t="shared" si="2"/>
        <v>No</v>
      </c>
    </row>
    <row r="30" spans="1:33" ht="15" customHeight="1" x14ac:dyDescent="0.2">
      <c r="A30" s="66">
        <v>4247641</v>
      </c>
      <c r="B30" s="66" t="s">
        <v>1211</v>
      </c>
      <c r="C30" s="66">
        <v>13014</v>
      </c>
      <c r="D30" s="86" t="s">
        <v>1732</v>
      </c>
      <c r="E30" s="73"/>
      <c r="F30" s="73"/>
      <c r="G30" s="20">
        <v>1145</v>
      </c>
      <c r="H30" s="67" t="s">
        <v>1445</v>
      </c>
      <c r="I30" s="67" t="str">
        <f t="shared" si="0"/>
        <v>SR 9/I-95 (BROWARD/PALM BCH CO/L to GRIFFIN RD)</v>
      </c>
      <c r="J30" s="86" t="s">
        <v>300</v>
      </c>
      <c r="K30" s="67" t="str">
        <f>VLOOKUP(J30,'Data-ProjectTypes'!A$3:B$13,2,FALSE)</f>
        <v>Project</v>
      </c>
      <c r="L30" s="87" t="s">
        <v>891</v>
      </c>
      <c r="M30" s="67" t="s">
        <v>2767</v>
      </c>
      <c r="N30" s="67" t="s">
        <v>2766</v>
      </c>
      <c r="O30" s="86" t="s">
        <v>270</v>
      </c>
      <c r="P30" s="87" t="s">
        <v>270</v>
      </c>
      <c r="Q30" s="74"/>
      <c r="R30" s="70"/>
      <c r="S30" s="12"/>
      <c r="T30" s="12"/>
      <c r="U30" s="12"/>
      <c r="V30" s="12"/>
      <c r="W30" s="12"/>
      <c r="X30" s="12"/>
      <c r="Y30" s="12"/>
      <c r="Z30" s="18">
        <f>ROUND(R30*'Data-CostAssumptions'!$C$8,-3)</f>
        <v>0</v>
      </c>
      <c r="AA30" s="11">
        <f t="shared" si="1"/>
        <v>0</v>
      </c>
      <c r="AB30" s="11">
        <v>2041</v>
      </c>
      <c r="AC30" s="11">
        <v>2041</v>
      </c>
      <c r="AD30" s="11">
        <v>2041</v>
      </c>
      <c r="AE30" s="19">
        <f>ROUND((Z30*'Data-CostAssumptions'!$G$5)*(1+'Data-CostAssumptions'!$G$3)^(AB30-'Data-CostAssumptions'!$G$4),-3)</f>
        <v>0</v>
      </c>
      <c r="AF30" s="19">
        <f>ROUND((Z30)*(1+'Data-CostAssumptions'!$G$3)^(AD30-'Data-CostAssumptions'!$G$4),-3)</f>
        <v>0</v>
      </c>
      <c r="AG30" s="170" t="str">
        <f t="shared" si="2"/>
        <v>No</v>
      </c>
    </row>
    <row r="31" spans="1:33" ht="15" customHeight="1" x14ac:dyDescent="0.2">
      <c r="A31" s="66">
        <v>4259281</v>
      </c>
      <c r="B31" s="66" t="s">
        <v>1211</v>
      </c>
      <c r="C31" s="66">
        <v>13015</v>
      </c>
      <c r="D31" s="86" t="s">
        <v>1732</v>
      </c>
      <c r="E31" s="73"/>
      <c r="F31" s="73"/>
      <c r="G31" s="20">
        <v>1146</v>
      </c>
      <c r="H31" s="67" t="s">
        <v>1445</v>
      </c>
      <c r="I31" s="67" t="str">
        <f t="shared" si="0"/>
        <v>SR 9/I-95 (SR 842/BROWARD Bl to MIAMI-DADE/BROWARD)</v>
      </c>
      <c r="J31" s="86" t="s">
        <v>300</v>
      </c>
      <c r="K31" s="67" t="str">
        <f>VLOOKUP(J31,'Data-ProjectTypes'!A$3:B$13,2,FALSE)</f>
        <v>Project</v>
      </c>
      <c r="L31" s="87" t="s">
        <v>891</v>
      </c>
      <c r="M31" s="67" t="s">
        <v>2769</v>
      </c>
      <c r="N31" s="67" t="s">
        <v>2768</v>
      </c>
      <c r="O31" s="86" t="s">
        <v>270</v>
      </c>
      <c r="P31" s="87" t="s">
        <v>270</v>
      </c>
      <c r="Q31" s="74"/>
      <c r="R31" s="70"/>
      <c r="S31" s="12"/>
      <c r="T31" s="12"/>
      <c r="U31" s="12"/>
      <c r="V31" s="12"/>
      <c r="W31" s="12"/>
      <c r="X31" s="34"/>
      <c r="Y31" s="12"/>
      <c r="Z31" s="18">
        <f>ROUND(R31*'Data-CostAssumptions'!$C$8,-3)</f>
        <v>0</v>
      </c>
      <c r="AA31" s="11">
        <f t="shared" si="1"/>
        <v>0</v>
      </c>
      <c r="AB31" s="11">
        <v>2041</v>
      </c>
      <c r="AC31" s="11">
        <v>2041</v>
      </c>
      <c r="AD31" s="11">
        <v>2041</v>
      </c>
      <c r="AE31" s="19">
        <f>ROUND((Z31*'Data-CostAssumptions'!$G$5)*(1+'Data-CostAssumptions'!$G$3)^(AB31-'Data-CostAssumptions'!$G$4),-3)</f>
        <v>0</v>
      </c>
      <c r="AF31" s="19">
        <f>ROUND((Z31)*(1+'Data-CostAssumptions'!$G$3)^(AD31-'Data-CostAssumptions'!$G$4),-3)</f>
        <v>0</v>
      </c>
      <c r="AG31" s="170" t="str">
        <f t="shared" si="2"/>
        <v>No</v>
      </c>
    </row>
    <row r="32" spans="1:33" ht="15" customHeight="1" x14ac:dyDescent="0.2">
      <c r="A32" s="66">
        <v>4298041</v>
      </c>
      <c r="B32" s="66" t="s">
        <v>1211</v>
      </c>
      <c r="C32" s="66">
        <v>13016</v>
      </c>
      <c r="D32" s="86" t="s">
        <v>1732</v>
      </c>
      <c r="E32" s="73"/>
      <c r="F32" s="73"/>
      <c r="G32" s="20">
        <v>1147</v>
      </c>
      <c r="H32" s="67" t="s">
        <v>1445</v>
      </c>
      <c r="I32" s="67" t="str">
        <f t="shared" si="0"/>
        <v>SR 9/I-95 (N OF SR 816/OAKLAND PK BV to SR 848/STIRLING RD)</v>
      </c>
      <c r="J32" s="86" t="s">
        <v>300</v>
      </c>
      <c r="K32" s="67" t="str">
        <f>VLOOKUP(J32,'Data-ProjectTypes'!A$3:B$13,2,FALSE)</f>
        <v>Project</v>
      </c>
      <c r="L32" s="87" t="s">
        <v>895</v>
      </c>
      <c r="M32" s="67" t="s">
        <v>2765</v>
      </c>
      <c r="N32" s="67" t="s">
        <v>2764</v>
      </c>
      <c r="O32" s="86" t="s">
        <v>270</v>
      </c>
      <c r="P32" s="87" t="s">
        <v>270</v>
      </c>
      <c r="Q32" s="74"/>
      <c r="R32" s="70"/>
      <c r="S32" s="12"/>
      <c r="T32" s="12"/>
      <c r="U32" s="12"/>
      <c r="V32" s="12"/>
      <c r="W32" s="12"/>
      <c r="X32" s="12"/>
      <c r="Y32" s="12"/>
      <c r="Z32" s="18">
        <f>ROUND(R32*'Data-CostAssumptions'!$C$8,-3)</f>
        <v>0</v>
      </c>
      <c r="AA32" s="11">
        <f t="shared" si="1"/>
        <v>0</v>
      </c>
      <c r="AB32" s="11">
        <v>2041</v>
      </c>
      <c r="AC32" s="11">
        <v>2041</v>
      </c>
      <c r="AD32" s="11">
        <v>2041</v>
      </c>
      <c r="AE32" s="19">
        <f>ROUND((Z32*'Data-CostAssumptions'!$G$5)*(1+'Data-CostAssumptions'!$G$3)^(AB32-'Data-CostAssumptions'!$G$4),-3)</f>
        <v>0</v>
      </c>
      <c r="AF32" s="19">
        <f>ROUND((Z32)*(1+'Data-CostAssumptions'!$G$3)^(AD32-'Data-CostAssumptions'!$G$4),-3)</f>
        <v>0</v>
      </c>
      <c r="AG32" s="170" t="str">
        <f t="shared" si="2"/>
        <v>No</v>
      </c>
    </row>
    <row r="33" spans="1:33" ht="15" customHeight="1" x14ac:dyDescent="0.2">
      <c r="A33" s="66">
        <v>4298042</v>
      </c>
      <c r="B33" s="66" t="s">
        <v>1211</v>
      </c>
      <c r="C33" s="66">
        <v>13017</v>
      </c>
      <c r="D33" s="86" t="s">
        <v>1732</v>
      </c>
      <c r="E33" s="73"/>
      <c r="F33" s="73"/>
      <c r="G33" s="20">
        <v>1148</v>
      </c>
      <c r="H33" s="67" t="s">
        <v>1445</v>
      </c>
      <c r="I33" s="67" t="str">
        <f t="shared" si="0"/>
        <v>SR 9/I-95 (S OF SR 842/BROWARD BV to N OF SR 848/STIRLING)</v>
      </c>
      <c r="J33" s="86" t="s">
        <v>300</v>
      </c>
      <c r="K33" s="67" t="str">
        <f>VLOOKUP(J33,'Data-ProjectTypes'!A$3:B$13,2,FALSE)</f>
        <v>Project</v>
      </c>
      <c r="L33" s="87" t="s">
        <v>317</v>
      </c>
      <c r="M33" s="67" t="s">
        <v>2759</v>
      </c>
      <c r="N33" s="67" t="s">
        <v>2758</v>
      </c>
      <c r="O33" s="86" t="s">
        <v>270</v>
      </c>
      <c r="P33" s="87" t="s">
        <v>270</v>
      </c>
      <c r="Q33" s="74"/>
      <c r="R33" s="70"/>
      <c r="S33" s="12"/>
      <c r="T33" s="12"/>
      <c r="U33" s="12"/>
      <c r="V33" s="12"/>
      <c r="W33" s="12"/>
      <c r="X33" s="12"/>
      <c r="Y33" s="12"/>
      <c r="Z33" s="18">
        <f>ROUND(R33*'Data-CostAssumptions'!$C$8,-3)</f>
        <v>0</v>
      </c>
      <c r="AA33" s="11">
        <f t="shared" si="1"/>
        <v>0</v>
      </c>
      <c r="AB33" s="11">
        <v>2041</v>
      </c>
      <c r="AC33" s="11">
        <v>2041</v>
      </c>
      <c r="AD33" s="11">
        <v>2041</v>
      </c>
      <c r="AE33" s="19">
        <f>ROUND((Z33*'Data-CostAssumptions'!$G$5)*(1+'Data-CostAssumptions'!$G$3)^(AB33-'Data-CostAssumptions'!$G$4),-3)</f>
        <v>0</v>
      </c>
      <c r="AF33" s="19">
        <f>ROUND((Z33)*(1+'Data-CostAssumptions'!$G$3)^(AD33-'Data-CostAssumptions'!$G$4),-3)</f>
        <v>0</v>
      </c>
      <c r="AG33" s="170" t="str">
        <f t="shared" si="2"/>
        <v>No</v>
      </c>
    </row>
    <row r="34" spans="1:33" ht="15" customHeight="1" x14ac:dyDescent="0.2">
      <c r="A34" s="66">
        <v>4298043</v>
      </c>
      <c r="B34" s="66" t="s">
        <v>1211</v>
      </c>
      <c r="C34" s="66">
        <v>13018</v>
      </c>
      <c r="D34" s="86" t="s">
        <v>1732</v>
      </c>
      <c r="E34" s="73"/>
      <c r="F34" s="73"/>
      <c r="G34" s="20">
        <v>1149</v>
      </c>
      <c r="H34" s="67" t="s">
        <v>1445</v>
      </c>
      <c r="I34" s="67" t="str">
        <f t="shared" ref="I34:I65" si="3">IF(M34="@",H34&amp;" ("&amp;M34&amp;"  "&amp;N34&amp;")",H34&amp;" ("&amp;M34&amp;" to "&amp;N34&amp;")")</f>
        <v>SR 9/I-95 (N OF SR 816/OAKLAND PK to S OF SR842/BROWARD BV)</v>
      </c>
      <c r="J34" s="86" t="s">
        <v>300</v>
      </c>
      <c r="K34" s="67" t="str">
        <f>VLOOKUP(J34,'Data-ProjectTypes'!A$3:B$13,2,FALSE)</f>
        <v>Project</v>
      </c>
      <c r="L34" s="87" t="s">
        <v>317</v>
      </c>
      <c r="M34" s="67" t="s">
        <v>2760</v>
      </c>
      <c r="N34" s="67" t="s">
        <v>2761</v>
      </c>
      <c r="O34" s="86" t="s">
        <v>270</v>
      </c>
      <c r="P34" s="87" t="s">
        <v>270</v>
      </c>
      <c r="Q34" s="74"/>
      <c r="R34" s="70"/>
      <c r="S34" s="12"/>
      <c r="T34" s="12"/>
      <c r="U34" s="12"/>
      <c r="V34" s="12"/>
      <c r="W34" s="12"/>
      <c r="X34" s="12"/>
      <c r="Y34" s="12"/>
      <c r="Z34" s="18">
        <f>ROUND(R34*'Data-CostAssumptions'!$C$8,-3)</f>
        <v>0</v>
      </c>
      <c r="AA34" s="11">
        <f t="shared" si="1"/>
        <v>0</v>
      </c>
      <c r="AB34" s="11">
        <v>2041</v>
      </c>
      <c r="AC34" s="11">
        <v>2041</v>
      </c>
      <c r="AD34" s="11">
        <v>2041</v>
      </c>
      <c r="AE34" s="19">
        <f>ROUND((Z34*'Data-CostAssumptions'!$G$5)*(1+'Data-CostAssumptions'!$G$3)^(AB34-'Data-CostAssumptions'!$G$4),-3)</f>
        <v>0</v>
      </c>
      <c r="AF34" s="19">
        <f>ROUND((Z34)*(1+'Data-CostAssumptions'!$G$3)^(AD34-'Data-CostAssumptions'!$G$4),-3)</f>
        <v>0</v>
      </c>
      <c r="AG34" s="170" t="str">
        <f t="shared" si="2"/>
        <v>No</v>
      </c>
    </row>
    <row r="35" spans="1:33" ht="15" customHeight="1" x14ac:dyDescent="0.2">
      <c r="A35" s="66">
        <v>4309321</v>
      </c>
      <c r="B35" s="66" t="s">
        <v>1211</v>
      </c>
      <c r="C35" s="66">
        <v>13019</v>
      </c>
      <c r="D35" s="86" t="s">
        <v>1732</v>
      </c>
      <c r="E35" s="73"/>
      <c r="F35" s="73"/>
      <c r="G35" s="20">
        <v>1150</v>
      </c>
      <c r="H35" s="67" t="s">
        <v>1445</v>
      </c>
      <c r="I35" s="67" t="str">
        <f t="shared" si="3"/>
        <v>SR 9/I-95 (S OF HILLSBORO Bl to S OF SW 10TH ST)</v>
      </c>
      <c r="J35" s="86" t="s">
        <v>300</v>
      </c>
      <c r="K35" s="67" t="str">
        <f>VLOOKUP(J35,'Data-ProjectTypes'!A$3:B$13,2,FALSE)</f>
        <v>Project</v>
      </c>
      <c r="L35" s="87" t="s">
        <v>896</v>
      </c>
      <c r="M35" s="67" t="s">
        <v>2763</v>
      </c>
      <c r="N35" s="67" t="s">
        <v>2762</v>
      </c>
      <c r="O35" s="86" t="s">
        <v>270</v>
      </c>
      <c r="P35" s="87" t="s">
        <v>270</v>
      </c>
      <c r="Q35" s="74"/>
      <c r="R35" s="70"/>
      <c r="S35" s="12"/>
      <c r="T35" s="12"/>
      <c r="U35" s="12"/>
      <c r="V35" s="12"/>
      <c r="W35" s="12"/>
      <c r="X35" s="12"/>
      <c r="Y35" s="12"/>
      <c r="Z35" s="18">
        <f>ROUND(R35*'Data-CostAssumptions'!$C$8,-3)</f>
        <v>0</v>
      </c>
      <c r="AA35" s="11">
        <f t="shared" si="1"/>
        <v>0</v>
      </c>
      <c r="AB35" s="11">
        <v>2041</v>
      </c>
      <c r="AC35" s="11">
        <v>2041</v>
      </c>
      <c r="AD35" s="11">
        <v>2041</v>
      </c>
      <c r="AE35" s="19">
        <f>ROUND((Z35*'Data-CostAssumptions'!$G$5)*(1+'Data-CostAssumptions'!$G$3)^(AB35-'Data-CostAssumptions'!$G$4),-3)</f>
        <v>0</v>
      </c>
      <c r="AF35" s="19">
        <f>ROUND((Z35)*(1+'Data-CostAssumptions'!$G$3)^(AD35-'Data-CostAssumptions'!$G$4),-3)</f>
        <v>0</v>
      </c>
      <c r="AG35" s="170" t="str">
        <f t="shared" si="2"/>
        <v>No</v>
      </c>
    </row>
    <row r="36" spans="1:33" ht="15" customHeight="1" x14ac:dyDescent="0.2">
      <c r="A36" s="66">
        <v>4331081</v>
      </c>
      <c r="B36" s="66" t="s">
        <v>1211</v>
      </c>
      <c r="C36" s="66">
        <v>13020</v>
      </c>
      <c r="D36" s="86" t="s">
        <v>1732</v>
      </c>
      <c r="E36" s="73"/>
      <c r="F36" s="73"/>
      <c r="G36" s="20">
        <v>1151</v>
      </c>
      <c r="H36" s="67" t="s">
        <v>1445</v>
      </c>
      <c r="I36" s="67" t="str">
        <f t="shared" si="3"/>
        <v>SR 9/I-95 (PALM BEACH CO LINE to N OF STIRLING RD)</v>
      </c>
      <c r="J36" s="86" t="s">
        <v>300</v>
      </c>
      <c r="K36" s="67" t="str">
        <f>VLOOKUP(J36,'Data-ProjectTypes'!A$3:B$13,2,FALSE)</f>
        <v>Project</v>
      </c>
      <c r="L36" s="87" t="s">
        <v>892</v>
      </c>
      <c r="M36" s="67" t="s">
        <v>2771</v>
      </c>
      <c r="N36" s="67" t="s">
        <v>2770</v>
      </c>
      <c r="O36" s="86" t="s">
        <v>270</v>
      </c>
      <c r="P36" s="87" t="s">
        <v>270</v>
      </c>
      <c r="Q36" s="74"/>
      <c r="R36" s="70"/>
      <c r="S36" s="12"/>
      <c r="T36" s="12"/>
      <c r="U36" s="12"/>
      <c r="V36" s="12"/>
      <c r="W36" s="12"/>
      <c r="X36" s="12"/>
      <c r="Y36" s="12"/>
      <c r="Z36" s="18">
        <f>ROUND(R36*'Data-CostAssumptions'!$C$8,-3)</f>
        <v>0</v>
      </c>
      <c r="AA36" s="11">
        <f t="shared" si="1"/>
        <v>0</v>
      </c>
      <c r="AB36" s="11">
        <v>2041</v>
      </c>
      <c r="AC36" s="11">
        <v>2041</v>
      </c>
      <c r="AD36" s="11">
        <v>2041</v>
      </c>
      <c r="AE36" s="19">
        <f>ROUND((Z36*'Data-CostAssumptions'!$G$5)*(1+'Data-CostAssumptions'!$G$3)^(AB36-'Data-CostAssumptions'!$G$4),-3)</f>
        <v>0</v>
      </c>
      <c r="AF36" s="19">
        <f>ROUND((Z36)*(1+'Data-CostAssumptions'!$G$3)^(AD36-'Data-CostAssumptions'!$G$4),-3)</f>
        <v>0</v>
      </c>
      <c r="AG36" s="170" t="str">
        <f t="shared" si="2"/>
        <v>No</v>
      </c>
    </row>
    <row r="37" spans="1:33" ht="15" customHeight="1" x14ac:dyDescent="0.2">
      <c r="A37" s="66">
        <v>4093592</v>
      </c>
      <c r="B37" s="66" t="s">
        <v>1211</v>
      </c>
      <c r="C37" s="66">
        <v>13052</v>
      </c>
      <c r="D37" s="86" t="s">
        <v>1732</v>
      </c>
      <c r="E37" s="73"/>
      <c r="F37" s="73"/>
      <c r="G37" s="20">
        <v>1171</v>
      </c>
      <c r="H37" s="67" t="s">
        <v>1445</v>
      </c>
      <c r="I37" s="67" t="str">
        <f t="shared" si="3"/>
        <v>SR 9/I-95 (N. of Oakland Park Bl to S. of Atlantic Bl)</v>
      </c>
      <c r="J37" s="86" t="s">
        <v>300</v>
      </c>
      <c r="K37" s="67" t="str">
        <f>VLOOKUP(J37,'Data-ProjectTypes'!A$3:B$13,2,FALSE)</f>
        <v>Project</v>
      </c>
      <c r="L37" s="87" t="s">
        <v>317</v>
      </c>
      <c r="M37" s="67" t="s">
        <v>2989</v>
      </c>
      <c r="N37" s="67" t="s">
        <v>2990</v>
      </c>
      <c r="O37" s="86" t="s">
        <v>270</v>
      </c>
      <c r="P37" s="87" t="s">
        <v>270</v>
      </c>
      <c r="Q37" s="74"/>
      <c r="R37" s="70"/>
      <c r="S37" s="12"/>
      <c r="T37" s="12"/>
      <c r="U37" s="12"/>
      <c r="V37" s="12"/>
      <c r="W37" s="12"/>
      <c r="X37" s="12"/>
      <c r="Y37" s="12"/>
      <c r="Z37" s="18">
        <f>ROUND(R37*'Data-CostAssumptions'!$C$8,-3)</f>
        <v>0</v>
      </c>
      <c r="AA37" s="11">
        <f t="shared" si="1"/>
        <v>0</v>
      </c>
      <c r="AB37" s="11">
        <v>2041</v>
      </c>
      <c r="AC37" s="11">
        <v>2041</v>
      </c>
      <c r="AD37" s="11">
        <v>2041</v>
      </c>
      <c r="AE37" s="19">
        <f>ROUND((Z37*'Data-CostAssumptions'!$G$5)*(1+'Data-CostAssumptions'!$G$3)^(AB37-'Data-CostAssumptions'!$G$4),-3)</f>
        <v>0</v>
      </c>
      <c r="AF37" s="19">
        <f>ROUND((Z37)*(1+'Data-CostAssumptions'!$G$3)^(AD37-'Data-CostAssumptions'!$G$4),-3)</f>
        <v>0</v>
      </c>
      <c r="AG37" s="170" t="str">
        <f t="shared" si="2"/>
        <v>No</v>
      </c>
    </row>
    <row r="38" spans="1:33" ht="15" customHeight="1" x14ac:dyDescent="0.2">
      <c r="A38" s="66">
        <v>4298042</v>
      </c>
      <c r="B38" s="66" t="s">
        <v>1211</v>
      </c>
      <c r="C38" s="66">
        <v>13053</v>
      </c>
      <c r="D38" s="86" t="s">
        <v>1732</v>
      </c>
      <c r="E38" s="73"/>
      <c r="F38" s="73"/>
      <c r="G38" s="20">
        <v>1172</v>
      </c>
      <c r="H38" s="67" t="s">
        <v>1445</v>
      </c>
      <c r="I38" s="67" t="str">
        <f t="shared" si="3"/>
        <v>SR 9/I-95 (S OF SR 842/BROWARD BV to N OF SR 848/STIRLING)</v>
      </c>
      <c r="J38" s="86" t="s">
        <v>300</v>
      </c>
      <c r="K38" s="67" t="str">
        <f>VLOOKUP(J38,'Data-ProjectTypes'!A$3:B$13,2,FALSE)</f>
        <v>Project</v>
      </c>
      <c r="L38" s="87" t="s">
        <v>317</v>
      </c>
      <c r="M38" s="67" t="s">
        <v>2759</v>
      </c>
      <c r="N38" s="67" t="s">
        <v>2758</v>
      </c>
      <c r="O38" s="86" t="s">
        <v>270</v>
      </c>
      <c r="P38" s="87" t="s">
        <v>270</v>
      </c>
      <c r="Q38" s="74"/>
      <c r="R38" s="70"/>
      <c r="S38" s="12"/>
      <c r="T38" s="12"/>
      <c r="U38" s="12"/>
      <c r="V38" s="12"/>
      <c r="W38" s="12"/>
      <c r="X38" s="12"/>
      <c r="Y38" s="12"/>
      <c r="Z38" s="18">
        <f>ROUND(R38*'Data-CostAssumptions'!$C$8,-3)</f>
        <v>0</v>
      </c>
      <c r="AA38" s="11">
        <f t="shared" si="1"/>
        <v>0</v>
      </c>
      <c r="AB38" s="11">
        <v>2041</v>
      </c>
      <c r="AC38" s="11">
        <v>2041</v>
      </c>
      <c r="AD38" s="11">
        <v>2041</v>
      </c>
      <c r="AE38" s="19">
        <f>ROUND((Z38*'Data-CostAssumptions'!$G$5)*(1+'Data-CostAssumptions'!$G$3)^(AB38-'Data-CostAssumptions'!$G$4),-3)</f>
        <v>0</v>
      </c>
      <c r="AF38" s="19">
        <f>ROUND((Z38)*(1+'Data-CostAssumptions'!$G$3)^(AD38-'Data-CostAssumptions'!$G$4),-3)</f>
        <v>0</v>
      </c>
      <c r="AG38" s="170" t="str">
        <f t="shared" si="2"/>
        <v>No</v>
      </c>
    </row>
    <row r="39" spans="1:33" ht="15" customHeight="1" x14ac:dyDescent="0.2">
      <c r="A39" s="66">
        <v>4298043</v>
      </c>
      <c r="B39" s="66" t="s">
        <v>1211</v>
      </c>
      <c r="C39" s="66">
        <v>13054</v>
      </c>
      <c r="D39" s="86" t="s">
        <v>1732</v>
      </c>
      <c r="E39" s="73"/>
      <c r="F39" s="73"/>
      <c r="G39" s="20">
        <v>1173</v>
      </c>
      <c r="H39" s="67" t="s">
        <v>1445</v>
      </c>
      <c r="I39" s="67" t="str">
        <f t="shared" si="3"/>
        <v>SR 9/I-95 (N OF SR 816/OAKLAND PK to S OF SR 842/BROWARD BV)</v>
      </c>
      <c r="J39" s="86" t="s">
        <v>300</v>
      </c>
      <c r="K39" s="67" t="str">
        <f>VLOOKUP(J39,'Data-ProjectTypes'!A$3:B$13,2,FALSE)</f>
        <v>Project</v>
      </c>
      <c r="L39" s="87" t="s">
        <v>317</v>
      </c>
      <c r="M39" s="67" t="s">
        <v>2760</v>
      </c>
      <c r="N39" s="67" t="s">
        <v>2759</v>
      </c>
      <c r="O39" s="86" t="s">
        <v>270</v>
      </c>
      <c r="P39" s="87" t="s">
        <v>270</v>
      </c>
      <c r="Q39" s="74"/>
      <c r="R39" s="70"/>
      <c r="S39" s="12"/>
      <c r="T39" s="12"/>
      <c r="U39" s="12"/>
      <c r="V39" s="12"/>
      <c r="W39" s="12"/>
      <c r="X39" s="12"/>
      <c r="Y39" s="12"/>
      <c r="Z39" s="18">
        <f>ROUND(R39*'Data-CostAssumptions'!$C$8,-3)</f>
        <v>0</v>
      </c>
      <c r="AA39" s="11">
        <f t="shared" si="1"/>
        <v>0</v>
      </c>
      <c r="AB39" s="11">
        <v>2041</v>
      </c>
      <c r="AC39" s="11">
        <v>2041</v>
      </c>
      <c r="AD39" s="11">
        <v>2041</v>
      </c>
      <c r="AE39" s="19">
        <f>ROUND((Z39*'Data-CostAssumptions'!$G$5)*(1+'Data-CostAssumptions'!$G$3)^(AB39-'Data-CostAssumptions'!$G$4),-3)</f>
        <v>0</v>
      </c>
      <c r="AF39" s="19">
        <f>ROUND((Z39)*(1+'Data-CostAssumptions'!$G$3)^(AD39-'Data-CostAssumptions'!$G$4),-3)</f>
        <v>0</v>
      </c>
      <c r="AG39" s="170" t="str">
        <f t="shared" si="2"/>
        <v>No</v>
      </c>
    </row>
    <row r="40" spans="1:33" ht="15" customHeight="1" x14ac:dyDescent="0.2">
      <c r="A40" s="66">
        <v>1608</v>
      </c>
      <c r="B40" s="66" t="s">
        <v>1211</v>
      </c>
      <c r="C40" s="66">
        <v>13058</v>
      </c>
      <c r="D40" s="86" t="s">
        <v>1732</v>
      </c>
      <c r="E40" s="73"/>
      <c r="F40" s="73"/>
      <c r="G40" s="20">
        <v>1176</v>
      </c>
      <c r="H40" s="67" t="s">
        <v>1445</v>
      </c>
      <c r="I40" s="67" t="str">
        <f t="shared" si="3"/>
        <v>SR 9/I-95 (@  Broward Bl)</v>
      </c>
      <c r="J40" s="86" t="s">
        <v>300</v>
      </c>
      <c r="K40" s="67" t="str">
        <f>VLOOKUP(J40,'Data-ProjectTypes'!A$3:B$13,2,FALSE)</f>
        <v>Project</v>
      </c>
      <c r="L40" s="87" t="s">
        <v>894</v>
      </c>
      <c r="M40" s="66" t="s">
        <v>2835</v>
      </c>
      <c r="N40" s="66" t="s">
        <v>1811</v>
      </c>
      <c r="O40" s="86" t="s">
        <v>270</v>
      </c>
      <c r="P40" s="87" t="s">
        <v>270</v>
      </c>
      <c r="Q40" s="74"/>
      <c r="R40" s="70"/>
      <c r="S40" s="12"/>
      <c r="T40" s="12"/>
      <c r="U40" s="12"/>
      <c r="V40" s="12"/>
      <c r="W40" s="12"/>
      <c r="X40" s="12"/>
      <c r="Y40" s="12"/>
      <c r="Z40" s="18">
        <f>ROUND(R40*'Data-CostAssumptions'!$C$8,-3)</f>
        <v>0</v>
      </c>
      <c r="AA40" s="11">
        <f t="shared" si="1"/>
        <v>0</v>
      </c>
      <c r="AB40" s="11">
        <v>2041</v>
      </c>
      <c r="AC40" s="11">
        <v>2041</v>
      </c>
      <c r="AD40" s="11">
        <v>2041</v>
      </c>
      <c r="AE40" s="19">
        <f>ROUND((Z40*'Data-CostAssumptions'!$G$5)*(1+'Data-CostAssumptions'!$G$3)^(AB40-'Data-CostAssumptions'!$G$4),-3)</f>
        <v>0</v>
      </c>
      <c r="AF40" s="19">
        <f>ROUND((Z40)*(1+'Data-CostAssumptions'!$G$3)^(AD40-'Data-CostAssumptions'!$G$4),-3)</f>
        <v>0</v>
      </c>
      <c r="AG40" s="170" t="str">
        <f t="shared" si="2"/>
        <v>No</v>
      </c>
    </row>
    <row r="41" spans="1:33" ht="15" customHeight="1" x14ac:dyDescent="0.2">
      <c r="A41" s="66">
        <v>1609</v>
      </c>
      <c r="B41" s="66" t="s">
        <v>1211</v>
      </c>
      <c r="C41" s="66">
        <v>13059</v>
      </c>
      <c r="D41" s="86" t="s">
        <v>1732</v>
      </c>
      <c r="E41" s="73"/>
      <c r="F41" s="73"/>
      <c r="G41" s="20">
        <v>1177</v>
      </c>
      <c r="H41" s="67" t="s">
        <v>1445</v>
      </c>
      <c r="I41" s="67" t="str">
        <f t="shared" si="3"/>
        <v>SR 9/I-95 (@  Hollywood Bl)</v>
      </c>
      <c r="J41" s="86" t="s">
        <v>300</v>
      </c>
      <c r="K41" s="67" t="str">
        <f>VLOOKUP(J41,'Data-ProjectTypes'!A$3:B$13,2,FALSE)</f>
        <v>Project</v>
      </c>
      <c r="L41" s="87" t="s">
        <v>894</v>
      </c>
      <c r="M41" s="66" t="s">
        <v>2835</v>
      </c>
      <c r="N41" s="66" t="s">
        <v>1820</v>
      </c>
      <c r="O41" s="86" t="s">
        <v>270</v>
      </c>
      <c r="P41" s="87" t="s">
        <v>270</v>
      </c>
      <c r="Q41" s="74"/>
      <c r="R41" s="70"/>
      <c r="S41" s="12"/>
      <c r="T41" s="12"/>
      <c r="U41" s="12"/>
      <c r="V41" s="12"/>
      <c r="W41" s="12"/>
      <c r="X41" s="12"/>
      <c r="Y41" s="12"/>
      <c r="Z41" s="18">
        <f>ROUND(R41*'Data-CostAssumptions'!$C$8,-3)</f>
        <v>0</v>
      </c>
      <c r="AA41" s="11">
        <f t="shared" si="1"/>
        <v>0</v>
      </c>
      <c r="AB41" s="11">
        <v>2041</v>
      </c>
      <c r="AC41" s="11">
        <v>2041</v>
      </c>
      <c r="AD41" s="11">
        <v>2041</v>
      </c>
      <c r="AE41" s="19">
        <f>ROUND((Z41*'Data-CostAssumptions'!$G$5)*(1+'Data-CostAssumptions'!$G$3)^(AB41-'Data-CostAssumptions'!$G$4),-3)</f>
        <v>0</v>
      </c>
      <c r="AF41" s="19">
        <f>ROUND((Z41)*(1+'Data-CostAssumptions'!$G$3)^(AD41-'Data-CostAssumptions'!$G$4),-3)</f>
        <v>0</v>
      </c>
      <c r="AG41" s="170" t="str">
        <f t="shared" si="2"/>
        <v>No</v>
      </c>
    </row>
    <row r="42" spans="1:33" ht="15" customHeight="1" x14ac:dyDescent="0.2">
      <c r="A42" s="66">
        <v>1610</v>
      </c>
      <c r="B42" s="66" t="s">
        <v>1211</v>
      </c>
      <c r="C42" s="66">
        <v>13060</v>
      </c>
      <c r="D42" s="86" t="s">
        <v>1732</v>
      </c>
      <c r="E42" s="73"/>
      <c r="F42" s="73"/>
      <c r="G42" s="20">
        <v>1178</v>
      </c>
      <c r="H42" s="67" t="s">
        <v>1445</v>
      </c>
      <c r="I42" s="67" t="str">
        <f t="shared" si="3"/>
        <v>SR 9/I-95 (@  Sunrise Bl)</v>
      </c>
      <c r="J42" s="86" t="s">
        <v>300</v>
      </c>
      <c r="K42" s="67" t="str">
        <f>VLOOKUP(J42,'Data-ProjectTypes'!A$3:B$13,2,FALSE)</f>
        <v>Project</v>
      </c>
      <c r="L42" s="87" t="s">
        <v>894</v>
      </c>
      <c r="M42" s="66" t="s">
        <v>2835</v>
      </c>
      <c r="N42" s="66" t="s">
        <v>1830</v>
      </c>
      <c r="O42" s="86" t="s">
        <v>270</v>
      </c>
      <c r="P42" s="87" t="s">
        <v>270</v>
      </c>
      <c r="Q42" s="74"/>
      <c r="R42" s="70"/>
      <c r="S42" s="12"/>
      <c r="T42" s="12"/>
      <c r="U42" s="12"/>
      <c r="V42" s="12"/>
      <c r="W42" s="12"/>
      <c r="X42" s="12"/>
      <c r="Y42" s="12"/>
      <c r="Z42" s="18">
        <f>ROUND(R42*'Data-CostAssumptions'!$C$8,-3)</f>
        <v>0</v>
      </c>
      <c r="AA42" s="11">
        <f t="shared" si="1"/>
        <v>0</v>
      </c>
      <c r="AB42" s="11">
        <v>2041</v>
      </c>
      <c r="AC42" s="11">
        <v>2041</v>
      </c>
      <c r="AD42" s="11">
        <v>2041</v>
      </c>
      <c r="AE42" s="19">
        <f>ROUND((Z42*'Data-CostAssumptions'!$G$5)*(1+'Data-CostAssumptions'!$G$3)^(AB42-'Data-CostAssumptions'!$G$4),-3)</f>
        <v>0</v>
      </c>
      <c r="AF42" s="19">
        <f>ROUND((Z42)*(1+'Data-CostAssumptions'!$G$3)^(AD42-'Data-CostAssumptions'!$G$4),-3)</f>
        <v>0</v>
      </c>
      <c r="AG42" s="170" t="str">
        <f t="shared" si="2"/>
        <v>No</v>
      </c>
    </row>
    <row r="43" spans="1:33" ht="15" customHeight="1" x14ac:dyDescent="0.2">
      <c r="A43" s="66">
        <v>1611</v>
      </c>
      <c r="B43" s="66" t="s">
        <v>1211</v>
      </c>
      <c r="C43" s="66">
        <v>13061</v>
      </c>
      <c r="D43" s="86" t="s">
        <v>1732</v>
      </c>
      <c r="E43" s="73"/>
      <c r="F43" s="73"/>
      <c r="G43" s="20">
        <v>1179</v>
      </c>
      <c r="H43" s="67" t="s">
        <v>1445</v>
      </c>
      <c r="I43" s="67" t="str">
        <f t="shared" si="3"/>
        <v>SR 9/I-95 (@  Stirling Bl)</v>
      </c>
      <c r="J43" s="86" t="s">
        <v>300</v>
      </c>
      <c r="K43" s="67" t="str">
        <f>VLOOKUP(J43,'Data-ProjectTypes'!A$3:B$13,2,FALSE)</f>
        <v>Project</v>
      </c>
      <c r="L43" s="87" t="s">
        <v>894</v>
      </c>
      <c r="M43" s="66" t="s">
        <v>2835</v>
      </c>
      <c r="N43" s="66" t="s">
        <v>2940</v>
      </c>
      <c r="O43" s="86" t="s">
        <v>270</v>
      </c>
      <c r="P43" s="87" t="s">
        <v>270</v>
      </c>
      <c r="Q43" s="74"/>
      <c r="R43" s="70"/>
      <c r="S43" s="12"/>
      <c r="T43" s="12"/>
      <c r="U43" s="12"/>
      <c r="V43" s="12"/>
      <c r="W43" s="12"/>
      <c r="X43" s="12"/>
      <c r="Y43" s="12"/>
      <c r="Z43" s="18">
        <f>ROUND(R43*'Data-CostAssumptions'!$C$8,-3)</f>
        <v>0</v>
      </c>
      <c r="AA43" s="11">
        <f t="shared" si="1"/>
        <v>0</v>
      </c>
      <c r="AB43" s="11">
        <v>2041</v>
      </c>
      <c r="AC43" s="11">
        <v>2041</v>
      </c>
      <c r="AD43" s="11">
        <v>2041</v>
      </c>
      <c r="AE43" s="19">
        <f>ROUND((Z43*'Data-CostAssumptions'!$G$5)*(1+'Data-CostAssumptions'!$G$3)^(AB43-'Data-CostAssumptions'!$G$4),-3)</f>
        <v>0</v>
      </c>
      <c r="AF43" s="19">
        <f>ROUND((Z43)*(1+'Data-CostAssumptions'!$G$3)^(AD43-'Data-CostAssumptions'!$G$4),-3)</f>
        <v>0</v>
      </c>
      <c r="AG43" s="170" t="str">
        <f t="shared" si="2"/>
        <v>No</v>
      </c>
    </row>
    <row r="44" spans="1:33" ht="15" customHeight="1" x14ac:dyDescent="0.2">
      <c r="A44" s="58" t="s">
        <v>942</v>
      </c>
      <c r="B44" s="58" t="s">
        <v>1211</v>
      </c>
      <c r="C44" s="58">
        <v>13084</v>
      </c>
      <c r="D44" s="91" t="s">
        <v>1732</v>
      </c>
      <c r="E44" s="92"/>
      <c r="F44" s="92"/>
      <c r="G44" s="20">
        <v>1198</v>
      </c>
      <c r="H44" s="13" t="s">
        <v>1445</v>
      </c>
      <c r="I44" s="13" t="str">
        <f t="shared" si="3"/>
        <v>SR 9/I-95 (Miami-Dade/Broward County Line to Broward/Palm Beach County Line)</v>
      </c>
      <c r="J44" s="91" t="s">
        <v>300</v>
      </c>
      <c r="K44" s="59" t="str">
        <f>VLOOKUP(J44,'Data-ProjectTypes'!A$3:B$13,2,FALSE)</f>
        <v>Project</v>
      </c>
      <c r="L44" s="93" t="s">
        <v>895</v>
      </c>
      <c r="M44" s="93" t="s">
        <v>37</v>
      </c>
      <c r="N44" s="91" t="s">
        <v>941</v>
      </c>
      <c r="O44" s="91" t="s">
        <v>270</v>
      </c>
      <c r="P44" s="93" t="s">
        <v>270</v>
      </c>
      <c r="Q44" s="94"/>
      <c r="R44" s="95">
        <v>1513420000</v>
      </c>
      <c r="X44" s="38"/>
      <c r="Y44" s="12"/>
      <c r="Z44" s="18">
        <f>ROUND(R44*'Data-CostAssumptions'!$C$8,-3)</f>
        <v>1513420000</v>
      </c>
      <c r="AA44" s="11">
        <f>IF(V44="",IF(W44="",0,1),1)</f>
        <v>0</v>
      </c>
      <c r="AB44" s="11">
        <v>2041</v>
      </c>
      <c r="AC44" s="11">
        <v>2041</v>
      </c>
      <c r="AD44" s="11">
        <v>2041</v>
      </c>
      <c r="AE44" s="19">
        <f>ROUND((Z44*'Data-CostAssumptions'!$G$5)*(1+'Data-CostAssumptions'!$G$3)^(AB44-'Data-CostAssumptions'!$G$4),-3)</f>
        <v>853673000</v>
      </c>
      <c r="AF44" s="19">
        <f>ROUND((Z44)*(1+'Data-CostAssumptions'!$G$3)^(AD44-'Data-CostAssumptions'!$G$4),-3)</f>
        <v>3880331000</v>
      </c>
      <c r="AG44" s="170" t="str">
        <f t="shared" si="2"/>
        <v>No</v>
      </c>
    </row>
    <row r="45" spans="1:33" ht="15" customHeight="1" x14ac:dyDescent="0.2">
      <c r="A45" s="66">
        <v>4327091</v>
      </c>
      <c r="B45" s="66" t="s">
        <v>1211</v>
      </c>
      <c r="C45" s="66">
        <v>13007</v>
      </c>
      <c r="D45" s="86" t="s">
        <v>1732</v>
      </c>
      <c r="E45" s="73"/>
      <c r="F45" s="73"/>
      <c r="G45" s="20">
        <v>1138</v>
      </c>
      <c r="H45" s="67" t="s">
        <v>2805</v>
      </c>
      <c r="I45" s="67" t="str">
        <f t="shared" si="3"/>
        <v>SR 93/I-75 (@  Griffin Rd)</v>
      </c>
      <c r="J45" s="86" t="s">
        <v>300</v>
      </c>
      <c r="K45" s="67" t="str">
        <f>VLOOKUP(J45,'Data-ProjectTypes'!A$3:B$13,2,FALSE)</f>
        <v>Project</v>
      </c>
      <c r="L45" s="87" t="s">
        <v>894</v>
      </c>
      <c r="M45" s="87" t="s">
        <v>2835</v>
      </c>
      <c r="N45" s="66" t="s">
        <v>1750</v>
      </c>
      <c r="O45" s="86" t="s">
        <v>270</v>
      </c>
      <c r="P45" s="87" t="s">
        <v>270</v>
      </c>
      <c r="Q45" s="74"/>
      <c r="R45" s="70"/>
      <c r="S45" s="12"/>
      <c r="T45" s="12"/>
      <c r="U45" s="12"/>
      <c r="V45" s="12"/>
      <c r="W45" s="12"/>
      <c r="X45" s="12"/>
      <c r="Y45" s="12"/>
      <c r="Z45" s="18">
        <f>ROUND(R45*'Data-CostAssumptions'!$C$8,-3)</f>
        <v>0</v>
      </c>
      <c r="AA45" s="11">
        <f t="shared" ref="AA45:AA65" si="4">IF(V45="",IF(W45="",0,1),1)</f>
        <v>0</v>
      </c>
      <c r="AB45" s="11">
        <v>2041</v>
      </c>
      <c r="AC45" s="11">
        <v>2041</v>
      </c>
      <c r="AD45" s="11">
        <v>2041</v>
      </c>
      <c r="AE45" s="19">
        <f>ROUND((Z45*'Data-CostAssumptions'!$G$5)*(1+'Data-CostAssumptions'!$G$3)^(AB45-'Data-CostAssumptions'!$G$4),-3)</f>
        <v>0</v>
      </c>
      <c r="AF45" s="19">
        <f>ROUND((Z45)*(1+'Data-CostAssumptions'!$G$3)^(AD45-'Data-CostAssumptions'!$G$4),-3)</f>
        <v>0</v>
      </c>
      <c r="AG45" s="170" t="str">
        <f t="shared" si="2"/>
        <v>No</v>
      </c>
    </row>
    <row r="46" spans="1:33" ht="15" customHeight="1" x14ac:dyDescent="0.2">
      <c r="A46" s="66">
        <v>4327101</v>
      </c>
      <c r="B46" s="66" t="s">
        <v>1211</v>
      </c>
      <c r="C46" s="66">
        <v>13008</v>
      </c>
      <c r="D46" s="86" t="s">
        <v>1732</v>
      </c>
      <c r="E46" s="73"/>
      <c r="F46" s="73"/>
      <c r="G46" s="20">
        <v>1139</v>
      </c>
      <c r="H46" s="67" t="s">
        <v>2805</v>
      </c>
      <c r="I46" s="67" t="str">
        <f t="shared" si="3"/>
        <v>SR 93/I-75 (@  Griffin Rd)</v>
      </c>
      <c r="J46" s="86" t="s">
        <v>300</v>
      </c>
      <c r="K46" s="67" t="str">
        <f>VLOOKUP(J46,'Data-ProjectTypes'!A$3:B$13,2,FALSE)</f>
        <v>Project</v>
      </c>
      <c r="L46" s="87" t="s">
        <v>894</v>
      </c>
      <c r="M46" s="87" t="s">
        <v>2835</v>
      </c>
      <c r="N46" s="66" t="s">
        <v>1750</v>
      </c>
      <c r="O46" s="86" t="s">
        <v>270</v>
      </c>
      <c r="P46" s="87" t="s">
        <v>270</v>
      </c>
      <c r="Q46" s="74"/>
      <c r="R46" s="70"/>
      <c r="S46" s="12"/>
      <c r="T46" s="12"/>
      <c r="U46" s="12"/>
      <c r="V46" s="12"/>
      <c r="W46" s="12"/>
      <c r="X46" s="12"/>
      <c r="Y46" s="12"/>
      <c r="Z46" s="18">
        <f>ROUND(R46*'Data-CostAssumptions'!$C$8,-3)</f>
        <v>0</v>
      </c>
      <c r="AA46" s="11">
        <f t="shared" si="4"/>
        <v>0</v>
      </c>
      <c r="AB46" s="11">
        <v>2041</v>
      </c>
      <c r="AC46" s="11">
        <v>2041</v>
      </c>
      <c r="AD46" s="11">
        <v>2041</v>
      </c>
      <c r="AE46" s="19">
        <f>ROUND((Z46*'Data-CostAssumptions'!$G$5)*(1+'Data-CostAssumptions'!$G$3)^(AB46-'Data-CostAssumptions'!$G$4),-3)</f>
        <v>0</v>
      </c>
      <c r="AF46" s="19">
        <f>ROUND((Z46)*(1+'Data-CostAssumptions'!$G$3)^(AD46-'Data-CostAssumptions'!$G$4),-3)</f>
        <v>0</v>
      </c>
      <c r="AG46" s="170" t="str">
        <f t="shared" si="2"/>
        <v>No</v>
      </c>
    </row>
    <row r="47" spans="1:33" ht="15" customHeight="1" x14ac:dyDescent="0.2">
      <c r="A47" s="66">
        <v>4327111</v>
      </c>
      <c r="B47" s="66" t="s">
        <v>1211</v>
      </c>
      <c r="C47" s="66">
        <v>13009</v>
      </c>
      <c r="D47" s="86" t="s">
        <v>1732</v>
      </c>
      <c r="E47" s="73"/>
      <c r="F47" s="73"/>
      <c r="G47" s="20">
        <v>1140</v>
      </c>
      <c r="H47" s="67" t="s">
        <v>2805</v>
      </c>
      <c r="I47" s="67" t="str">
        <f t="shared" si="3"/>
        <v>SR 93/I-75 (@  Sheridan St)</v>
      </c>
      <c r="J47" s="86" t="s">
        <v>300</v>
      </c>
      <c r="K47" s="67" t="str">
        <f>VLOOKUP(J47,'Data-ProjectTypes'!A$3:B$13,2,FALSE)</f>
        <v>Project</v>
      </c>
      <c r="L47" s="87" t="s">
        <v>894</v>
      </c>
      <c r="M47" s="87" t="s">
        <v>2835</v>
      </c>
      <c r="N47" s="66" t="s">
        <v>1951</v>
      </c>
      <c r="O47" s="86" t="s">
        <v>270</v>
      </c>
      <c r="P47" s="87" t="s">
        <v>270</v>
      </c>
      <c r="Q47" s="74"/>
      <c r="R47" s="70"/>
      <c r="S47" s="12"/>
      <c r="T47" s="12"/>
      <c r="U47" s="12"/>
      <c r="V47" s="12"/>
      <c r="W47" s="12"/>
      <c r="X47" s="12"/>
      <c r="Y47" s="12"/>
      <c r="Z47" s="18">
        <f>ROUND(R47*'Data-CostAssumptions'!$C$8,-3)</f>
        <v>0</v>
      </c>
      <c r="AA47" s="11">
        <f t="shared" si="4"/>
        <v>0</v>
      </c>
      <c r="AB47" s="11">
        <v>2041</v>
      </c>
      <c r="AC47" s="11">
        <v>2041</v>
      </c>
      <c r="AD47" s="11">
        <v>2041</v>
      </c>
      <c r="AE47" s="19">
        <f>ROUND((Z47*'Data-CostAssumptions'!$G$5)*(1+'Data-CostAssumptions'!$G$3)^(AB47-'Data-CostAssumptions'!$G$4),-3)</f>
        <v>0</v>
      </c>
      <c r="AF47" s="19">
        <f>ROUND((Z47)*(1+'Data-CostAssumptions'!$G$3)^(AD47-'Data-CostAssumptions'!$G$4),-3)</f>
        <v>0</v>
      </c>
      <c r="AG47" s="170" t="str">
        <f t="shared" si="2"/>
        <v>No</v>
      </c>
    </row>
    <row r="48" spans="1:33" ht="15" customHeight="1" x14ac:dyDescent="0.2">
      <c r="A48" s="66">
        <v>4193431</v>
      </c>
      <c r="B48" s="66" t="s">
        <v>1211</v>
      </c>
      <c r="C48" s="66">
        <v>13021</v>
      </c>
      <c r="D48" s="86" t="s">
        <v>1732</v>
      </c>
      <c r="E48" s="73"/>
      <c r="F48" s="73"/>
      <c r="G48" s="20">
        <v>1152</v>
      </c>
      <c r="H48" s="67" t="s">
        <v>2805</v>
      </c>
      <c r="I48" s="67" t="str">
        <f t="shared" si="3"/>
        <v>SR 93/I-75 (N. of HEFT to I-595)</v>
      </c>
      <c r="J48" s="86" t="s">
        <v>300</v>
      </c>
      <c r="K48" s="67" t="str">
        <f>VLOOKUP(J48,'Data-ProjectTypes'!A$3:B$13,2,FALSE)</f>
        <v>Project</v>
      </c>
      <c r="L48" s="87" t="s">
        <v>891</v>
      </c>
      <c r="M48" s="67" t="s">
        <v>2960</v>
      </c>
      <c r="N48" s="67" t="s">
        <v>34</v>
      </c>
      <c r="O48" s="86" t="s">
        <v>270</v>
      </c>
      <c r="P48" s="87" t="s">
        <v>270</v>
      </c>
      <c r="Q48" s="74"/>
      <c r="R48" s="70"/>
      <c r="S48" s="12"/>
      <c r="T48" s="12"/>
      <c r="U48" s="12"/>
      <c r="V48" s="12"/>
      <c r="W48" s="12"/>
      <c r="X48" s="12"/>
      <c r="Y48" s="12"/>
      <c r="Z48" s="18">
        <f>ROUND(R48*'Data-CostAssumptions'!$C$8,-3)</f>
        <v>0</v>
      </c>
      <c r="AA48" s="11">
        <f t="shared" si="4"/>
        <v>0</v>
      </c>
      <c r="AB48" s="11">
        <v>2041</v>
      </c>
      <c r="AC48" s="11">
        <v>2041</v>
      </c>
      <c r="AD48" s="11">
        <v>2041</v>
      </c>
      <c r="AE48" s="19">
        <f>ROUND((Z48*'Data-CostAssumptions'!$G$5)*(1+'Data-CostAssumptions'!$G$3)^(AB48-'Data-CostAssumptions'!$G$4),-3)</f>
        <v>0</v>
      </c>
      <c r="AF48" s="19">
        <f>ROUND((Z48)*(1+'Data-CostAssumptions'!$G$3)^(AD48-'Data-CostAssumptions'!$G$4),-3)</f>
        <v>0</v>
      </c>
      <c r="AG48" s="170" t="str">
        <f t="shared" si="2"/>
        <v>No</v>
      </c>
    </row>
    <row r="49" spans="1:33" ht="15" customHeight="1" x14ac:dyDescent="0.2">
      <c r="A49" s="66">
        <v>4307631</v>
      </c>
      <c r="B49" s="66" t="s">
        <v>1211</v>
      </c>
      <c r="C49" s="66">
        <v>13022</v>
      </c>
      <c r="D49" s="86" t="s">
        <v>1732</v>
      </c>
      <c r="E49" s="73"/>
      <c r="F49" s="73"/>
      <c r="G49" s="20">
        <v>1153</v>
      </c>
      <c r="H49" s="67" t="s">
        <v>2805</v>
      </c>
      <c r="I49" s="67" t="str">
        <f t="shared" si="3"/>
        <v>SR 93/I-75 (N. of HEFT to I-595)</v>
      </c>
      <c r="J49" s="86" t="s">
        <v>300</v>
      </c>
      <c r="K49" s="67" t="str">
        <f>VLOOKUP(J49,'Data-ProjectTypes'!A$3:B$13,2,FALSE)</f>
        <v>Project</v>
      </c>
      <c r="L49" s="87" t="s">
        <v>892</v>
      </c>
      <c r="M49" s="67" t="s">
        <v>2960</v>
      </c>
      <c r="N49" s="67" t="s">
        <v>34</v>
      </c>
      <c r="O49" s="86" t="s">
        <v>270</v>
      </c>
      <c r="P49" s="87" t="s">
        <v>270</v>
      </c>
      <c r="Q49" s="74"/>
      <c r="R49" s="70"/>
      <c r="S49" s="12"/>
      <c r="T49" s="12"/>
      <c r="U49" s="12"/>
      <c r="V49" s="12"/>
      <c r="W49" s="12"/>
      <c r="X49" s="12"/>
      <c r="Y49" s="12"/>
      <c r="Z49" s="18">
        <f>ROUND(R49*'Data-CostAssumptions'!$C$8,-3)</f>
        <v>0</v>
      </c>
      <c r="AA49" s="11">
        <f t="shared" si="4"/>
        <v>0</v>
      </c>
      <c r="AB49" s="11">
        <v>2041</v>
      </c>
      <c r="AC49" s="11">
        <v>2041</v>
      </c>
      <c r="AD49" s="11">
        <v>2041</v>
      </c>
      <c r="AE49" s="19">
        <f>ROUND((Z49*'Data-CostAssumptions'!$G$5)*(1+'Data-CostAssumptions'!$G$3)^(AB49-'Data-CostAssumptions'!$G$4),-3)</f>
        <v>0</v>
      </c>
      <c r="AF49" s="19">
        <f>ROUND((Z49)*(1+'Data-CostAssumptions'!$G$3)^(AD49-'Data-CostAssumptions'!$G$4),-3)</f>
        <v>0</v>
      </c>
      <c r="AG49" s="170" t="str">
        <f t="shared" si="2"/>
        <v>No</v>
      </c>
    </row>
    <row r="50" spans="1:33" ht="15" customHeight="1" x14ac:dyDescent="0.2">
      <c r="A50" s="66">
        <v>4307632</v>
      </c>
      <c r="B50" s="66" t="s">
        <v>1211</v>
      </c>
      <c r="C50" s="66">
        <v>13023</v>
      </c>
      <c r="D50" s="86" t="s">
        <v>1732</v>
      </c>
      <c r="E50" s="73"/>
      <c r="F50" s="73"/>
      <c r="G50" s="20">
        <v>1154</v>
      </c>
      <c r="H50" s="67" t="s">
        <v>2805</v>
      </c>
      <c r="I50" s="67" t="str">
        <f t="shared" si="3"/>
        <v>SR 93/I-75 (N. of HEFT to I-595)</v>
      </c>
      <c r="J50" s="86" t="s">
        <v>300</v>
      </c>
      <c r="K50" s="67" t="str">
        <f>VLOOKUP(J50,'Data-ProjectTypes'!A$3:B$13,2,FALSE)</f>
        <v>Project</v>
      </c>
      <c r="L50" s="87" t="s">
        <v>892</v>
      </c>
      <c r="M50" s="67" t="s">
        <v>2960</v>
      </c>
      <c r="N50" s="67" t="s">
        <v>34</v>
      </c>
      <c r="O50" s="86" t="s">
        <v>270</v>
      </c>
      <c r="P50" s="87" t="s">
        <v>270</v>
      </c>
      <c r="Q50" s="74"/>
      <c r="R50" s="70"/>
      <c r="S50" s="12"/>
      <c r="T50" s="12"/>
      <c r="U50" s="12"/>
      <c r="V50" s="12"/>
      <c r="W50" s="12"/>
      <c r="X50" s="12"/>
      <c r="Y50" s="12"/>
      <c r="Z50" s="18">
        <f>ROUND(R50*'Data-CostAssumptions'!$C$8,-3)</f>
        <v>0</v>
      </c>
      <c r="AA50" s="11">
        <f t="shared" si="4"/>
        <v>0</v>
      </c>
      <c r="AB50" s="11">
        <v>2041</v>
      </c>
      <c r="AC50" s="11">
        <v>2041</v>
      </c>
      <c r="AD50" s="11">
        <v>2041</v>
      </c>
      <c r="AE50" s="19">
        <f>ROUND((Z50*'Data-CostAssumptions'!$G$5)*(1+'Data-CostAssumptions'!$G$3)^(AB50-'Data-CostAssumptions'!$G$4),-3)</f>
        <v>0</v>
      </c>
      <c r="AF50" s="19">
        <f>ROUND((Z50)*(1+'Data-CostAssumptions'!$G$3)^(AD50-'Data-CostAssumptions'!$G$4),-3)</f>
        <v>0</v>
      </c>
      <c r="AG50" s="170" t="str">
        <f t="shared" si="2"/>
        <v>No</v>
      </c>
    </row>
    <row r="51" spans="1:33" ht="15" customHeight="1" x14ac:dyDescent="0.2">
      <c r="A51" s="66">
        <v>4307635</v>
      </c>
      <c r="B51" s="66" t="s">
        <v>1211</v>
      </c>
      <c r="C51" s="66">
        <v>13024</v>
      </c>
      <c r="D51" s="86" t="s">
        <v>1732</v>
      </c>
      <c r="E51" s="73"/>
      <c r="F51" s="73"/>
      <c r="G51" s="20">
        <v>1155</v>
      </c>
      <c r="H51" s="67" t="s">
        <v>2805</v>
      </c>
      <c r="I51" s="67" t="str">
        <f t="shared" si="3"/>
        <v>SR 93/I-75 (Miami-Dade/Broward CL to I-595)</v>
      </c>
      <c r="J51" s="86" t="s">
        <v>300</v>
      </c>
      <c r="K51" s="67" t="str">
        <f>VLOOKUP(J51,'Data-ProjectTypes'!A$3:B$13,2,FALSE)</f>
        <v>Project</v>
      </c>
      <c r="L51" s="87" t="s">
        <v>892</v>
      </c>
      <c r="M51" s="67" t="s">
        <v>2958</v>
      </c>
      <c r="N51" s="67" t="s">
        <v>34</v>
      </c>
      <c r="O51" s="86" t="s">
        <v>270</v>
      </c>
      <c r="P51" s="87" t="s">
        <v>270</v>
      </c>
      <c r="Q51" s="74"/>
      <c r="R51" s="70"/>
      <c r="S51" s="12"/>
      <c r="T51" s="12"/>
      <c r="U51" s="12"/>
      <c r="V51" s="12"/>
      <c r="W51" s="12"/>
      <c r="X51" s="12"/>
      <c r="Y51" s="12"/>
      <c r="Z51" s="18">
        <f>ROUND(R51*'Data-CostAssumptions'!$C$8,-3)</f>
        <v>0</v>
      </c>
      <c r="AA51" s="11">
        <f t="shared" si="4"/>
        <v>0</v>
      </c>
      <c r="AB51" s="11">
        <v>2041</v>
      </c>
      <c r="AC51" s="11">
        <v>2041</v>
      </c>
      <c r="AD51" s="11">
        <v>2041</v>
      </c>
      <c r="AE51" s="19">
        <f>ROUND((Z51*'Data-CostAssumptions'!$G$5)*(1+'Data-CostAssumptions'!$G$3)^(AB51-'Data-CostAssumptions'!$G$4),-3)</f>
        <v>0</v>
      </c>
      <c r="AF51" s="19">
        <f>ROUND((Z51)*(1+'Data-CostAssumptions'!$G$3)^(AD51-'Data-CostAssumptions'!$G$4),-3)</f>
        <v>0</v>
      </c>
      <c r="AG51" s="170" t="str">
        <f t="shared" si="2"/>
        <v>No</v>
      </c>
    </row>
    <row r="52" spans="1:33" ht="15" customHeight="1" x14ac:dyDescent="0.2">
      <c r="A52" s="66">
        <v>4217073</v>
      </c>
      <c r="B52" s="66" t="s">
        <v>1211</v>
      </c>
      <c r="C52" s="66">
        <v>13025</v>
      </c>
      <c r="D52" s="86" t="s">
        <v>1732</v>
      </c>
      <c r="E52" s="73"/>
      <c r="F52" s="73"/>
      <c r="G52" s="20">
        <v>1156</v>
      </c>
      <c r="H52" s="67" t="s">
        <v>2805</v>
      </c>
      <c r="I52" s="67" t="str">
        <f t="shared" si="3"/>
        <v>SR 93/I-75 (Miami-Dade/Broward CL to S OF Miramar Pkwy)</v>
      </c>
      <c r="J52" s="86" t="s">
        <v>300</v>
      </c>
      <c r="K52" s="67" t="str">
        <f>VLOOKUP(J52,'Data-ProjectTypes'!A$3:B$13,2,FALSE)</f>
        <v>Project</v>
      </c>
      <c r="L52" s="87" t="s">
        <v>313</v>
      </c>
      <c r="M52" s="67" t="s">
        <v>2958</v>
      </c>
      <c r="N52" s="67" t="s">
        <v>2951</v>
      </c>
      <c r="O52" s="86" t="s">
        <v>270</v>
      </c>
      <c r="P52" s="87" t="s">
        <v>270</v>
      </c>
      <c r="Q52" s="74"/>
      <c r="R52" s="70"/>
      <c r="S52" s="12"/>
      <c r="T52" s="12"/>
      <c r="U52" s="12"/>
      <c r="V52" s="12"/>
      <c r="W52" s="12"/>
      <c r="X52" s="12"/>
      <c r="Y52" s="12"/>
      <c r="Z52" s="18">
        <f>ROUND(R52*'Data-CostAssumptions'!$C$8,-3)</f>
        <v>0</v>
      </c>
      <c r="AA52" s="11">
        <f t="shared" si="4"/>
        <v>0</v>
      </c>
      <c r="AB52" s="11">
        <v>2041</v>
      </c>
      <c r="AC52" s="11">
        <v>2041</v>
      </c>
      <c r="AD52" s="11">
        <v>2041</v>
      </c>
      <c r="AE52" s="19">
        <f>ROUND((Z52*'Data-CostAssumptions'!$G$5)*(1+'Data-CostAssumptions'!$G$3)^(AB52-'Data-CostAssumptions'!$G$4),-3)</f>
        <v>0</v>
      </c>
      <c r="AF52" s="19">
        <f>ROUND((Z52)*(1+'Data-CostAssumptions'!$G$3)^(AD52-'Data-CostAssumptions'!$G$4),-3)</f>
        <v>0</v>
      </c>
      <c r="AG52" s="170" t="str">
        <f t="shared" si="2"/>
        <v>No</v>
      </c>
    </row>
    <row r="53" spans="1:33" ht="15" customHeight="1" x14ac:dyDescent="0.2">
      <c r="A53" s="66">
        <v>4217074</v>
      </c>
      <c r="B53" s="66" t="s">
        <v>1211</v>
      </c>
      <c r="C53" s="66">
        <v>13026</v>
      </c>
      <c r="D53" s="86" t="s">
        <v>1732</v>
      </c>
      <c r="E53" s="73"/>
      <c r="F53" s="73"/>
      <c r="G53" s="20">
        <v>1157</v>
      </c>
      <c r="H53" s="67" t="s">
        <v>2805</v>
      </c>
      <c r="I53" s="67" t="str">
        <f t="shared" si="3"/>
        <v>SR 93/I-75 (S. of Miramar Pkwy Int. to S. of Sheridan St)</v>
      </c>
      <c r="J53" s="86" t="s">
        <v>300</v>
      </c>
      <c r="K53" s="67" t="str">
        <f>VLOOKUP(J53,'Data-ProjectTypes'!A$3:B$13,2,FALSE)</f>
        <v>Project</v>
      </c>
      <c r="L53" s="87" t="s">
        <v>313</v>
      </c>
      <c r="M53" s="67" t="s">
        <v>2953</v>
      </c>
      <c r="N53" s="67" t="s">
        <v>2959</v>
      </c>
      <c r="O53" s="86" t="s">
        <v>270</v>
      </c>
      <c r="P53" s="87" t="s">
        <v>270</v>
      </c>
      <c r="Q53" s="74"/>
      <c r="R53" s="70"/>
      <c r="S53" s="12"/>
      <c r="T53" s="12"/>
      <c r="U53" s="12"/>
      <c r="V53" s="12"/>
      <c r="W53" s="12"/>
      <c r="X53" s="12"/>
      <c r="Y53" s="12"/>
      <c r="Z53" s="18">
        <f>ROUND(R53*'Data-CostAssumptions'!$C$8,-3)</f>
        <v>0</v>
      </c>
      <c r="AA53" s="11">
        <f t="shared" si="4"/>
        <v>0</v>
      </c>
      <c r="AB53" s="11">
        <v>2041</v>
      </c>
      <c r="AC53" s="11">
        <v>2041</v>
      </c>
      <c r="AD53" s="11">
        <v>2041</v>
      </c>
      <c r="AE53" s="19">
        <f>ROUND((Z53*'Data-CostAssumptions'!$G$5)*(1+'Data-CostAssumptions'!$G$3)^(AB53-'Data-CostAssumptions'!$G$4),-3)</f>
        <v>0</v>
      </c>
      <c r="AF53" s="19">
        <f>ROUND((Z53)*(1+'Data-CostAssumptions'!$G$3)^(AD53-'Data-CostAssumptions'!$G$4),-3)</f>
        <v>0</v>
      </c>
      <c r="AG53" s="170" t="str">
        <f t="shared" si="2"/>
        <v>No</v>
      </c>
    </row>
    <row r="54" spans="1:33" ht="15" customHeight="1" x14ac:dyDescent="0.2">
      <c r="A54" s="66">
        <v>4217075</v>
      </c>
      <c r="B54" s="66" t="s">
        <v>1211</v>
      </c>
      <c r="C54" s="66">
        <v>13027</v>
      </c>
      <c r="D54" s="86" t="s">
        <v>1732</v>
      </c>
      <c r="E54" s="73"/>
      <c r="F54" s="73"/>
      <c r="G54" s="20">
        <v>1158</v>
      </c>
      <c r="H54" s="67" t="s">
        <v>2805</v>
      </c>
      <c r="I54" s="67" t="str">
        <f t="shared" si="3"/>
        <v>SR 93/I-75 (S. of Sheridan St. to N. of Griffin Rd)</v>
      </c>
      <c r="J54" s="86" t="s">
        <v>300</v>
      </c>
      <c r="K54" s="67" t="str">
        <f>VLOOKUP(J54,'Data-ProjectTypes'!A$3:B$13,2,FALSE)</f>
        <v>Project</v>
      </c>
      <c r="L54" s="87" t="s">
        <v>313</v>
      </c>
      <c r="M54" s="67" t="s">
        <v>2954</v>
      </c>
      <c r="N54" s="67" t="s">
        <v>2952</v>
      </c>
      <c r="O54" s="86" t="s">
        <v>270</v>
      </c>
      <c r="P54" s="87" t="s">
        <v>270</v>
      </c>
      <c r="Q54" s="74"/>
      <c r="R54" s="70"/>
      <c r="S54" s="12"/>
      <c r="T54" s="12"/>
      <c r="U54" s="12"/>
      <c r="V54" s="12"/>
      <c r="W54" s="12"/>
      <c r="X54" s="12"/>
      <c r="Y54" s="12"/>
      <c r="Z54" s="18">
        <f>ROUND(R54*'Data-CostAssumptions'!$C$8,-3)</f>
        <v>0</v>
      </c>
      <c r="AA54" s="11">
        <f t="shared" si="4"/>
        <v>0</v>
      </c>
      <c r="AB54" s="11">
        <v>2041</v>
      </c>
      <c r="AC54" s="11">
        <v>2041</v>
      </c>
      <c r="AD54" s="11">
        <v>2041</v>
      </c>
      <c r="AE54" s="19">
        <f>ROUND((Z54*'Data-CostAssumptions'!$G$5)*(1+'Data-CostAssumptions'!$G$3)^(AB54-'Data-CostAssumptions'!$G$4),-3)</f>
        <v>0</v>
      </c>
      <c r="AF54" s="19">
        <f>ROUND((Z54)*(1+'Data-CostAssumptions'!$G$3)^(AD54-'Data-CostAssumptions'!$G$4),-3)</f>
        <v>0</v>
      </c>
      <c r="AG54" s="170" t="str">
        <f t="shared" si="2"/>
        <v>No</v>
      </c>
    </row>
    <row r="55" spans="1:33" ht="15" customHeight="1" x14ac:dyDescent="0.2">
      <c r="A55" s="66">
        <v>4217076</v>
      </c>
      <c r="B55" s="66" t="s">
        <v>1211</v>
      </c>
      <c r="C55" s="66">
        <v>13028</v>
      </c>
      <c r="D55" s="86" t="s">
        <v>1732</v>
      </c>
      <c r="E55" s="73"/>
      <c r="F55" s="73"/>
      <c r="G55" s="20">
        <v>1159</v>
      </c>
      <c r="H55" s="67" t="s">
        <v>2805</v>
      </c>
      <c r="I55" s="67" t="str">
        <f t="shared" si="3"/>
        <v>SR 93/I-75 (N. of Griffin Rd to I-595)</v>
      </c>
      <c r="J55" s="86" t="s">
        <v>300</v>
      </c>
      <c r="K55" s="67" t="str">
        <f>VLOOKUP(J55,'Data-ProjectTypes'!A$3:B$13,2,FALSE)</f>
        <v>Project</v>
      </c>
      <c r="L55" s="87" t="s">
        <v>313</v>
      </c>
      <c r="M55" s="67" t="s">
        <v>2952</v>
      </c>
      <c r="N55" s="67" t="s">
        <v>34</v>
      </c>
      <c r="O55" s="86" t="s">
        <v>270</v>
      </c>
      <c r="P55" s="87" t="s">
        <v>270</v>
      </c>
      <c r="Q55" s="74"/>
      <c r="R55" s="70"/>
      <c r="S55" s="12"/>
      <c r="T55" s="12"/>
      <c r="U55" s="12"/>
      <c r="V55" s="12"/>
      <c r="W55" s="12"/>
      <c r="X55" s="12"/>
      <c r="Y55" s="12"/>
      <c r="Z55" s="18">
        <f>ROUND(R55*'Data-CostAssumptions'!$C$8,-3)</f>
        <v>0</v>
      </c>
      <c r="AA55" s="11">
        <f t="shared" si="4"/>
        <v>0</v>
      </c>
      <c r="AB55" s="11">
        <v>2041</v>
      </c>
      <c r="AC55" s="11">
        <v>2041</v>
      </c>
      <c r="AD55" s="11">
        <v>2041</v>
      </c>
      <c r="AE55" s="19">
        <f>ROUND((Z55*'Data-CostAssumptions'!$G$5)*(1+'Data-CostAssumptions'!$G$3)^(AB55-'Data-CostAssumptions'!$G$4),-3)</f>
        <v>0</v>
      </c>
      <c r="AF55" s="19">
        <f>ROUND((Z55)*(1+'Data-CostAssumptions'!$G$3)^(AD55-'Data-CostAssumptions'!$G$4),-3)</f>
        <v>0</v>
      </c>
      <c r="AG55" s="170" t="str">
        <f t="shared" si="2"/>
        <v>No</v>
      </c>
    </row>
    <row r="56" spans="1:33" ht="15" customHeight="1" x14ac:dyDescent="0.2">
      <c r="A56" s="66">
        <v>4145613</v>
      </c>
      <c r="B56" s="66" t="s">
        <v>1211</v>
      </c>
      <c r="C56" s="66">
        <v>13049</v>
      </c>
      <c r="D56" s="86" t="s">
        <v>1732</v>
      </c>
      <c r="E56" s="73"/>
      <c r="F56" s="73"/>
      <c r="G56" s="20">
        <v>1168</v>
      </c>
      <c r="H56" s="67" t="s">
        <v>2805</v>
      </c>
      <c r="I56" s="67" t="str">
        <f t="shared" si="3"/>
        <v>SR 93/I-75 (N of HEFT to N of Miramar Pkwy)</v>
      </c>
      <c r="J56" s="86" t="s">
        <v>300</v>
      </c>
      <c r="K56" s="67" t="str">
        <f>VLOOKUP(J56,'Data-ProjectTypes'!A$3:B$13,2,FALSE)</f>
        <v>Project</v>
      </c>
      <c r="L56" s="87" t="s">
        <v>894</v>
      </c>
      <c r="M56" s="87" t="s">
        <v>2936</v>
      </c>
      <c r="N56" s="67" t="s">
        <v>2935</v>
      </c>
      <c r="O56" s="86" t="s">
        <v>270</v>
      </c>
      <c r="P56" s="87" t="s">
        <v>270</v>
      </c>
      <c r="Q56" s="74"/>
      <c r="R56" s="70"/>
      <c r="S56" s="12"/>
      <c r="T56" s="12"/>
      <c r="U56" s="12"/>
      <c r="V56" s="12"/>
      <c r="W56" s="12"/>
      <c r="X56" s="12"/>
      <c r="Y56" s="12"/>
      <c r="Z56" s="18">
        <f>ROUND(R56*'Data-CostAssumptions'!$C$8,-3)</f>
        <v>0</v>
      </c>
      <c r="AA56" s="11">
        <f t="shared" si="4"/>
        <v>0</v>
      </c>
      <c r="AB56" s="11">
        <v>2041</v>
      </c>
      <c r="AC56" s="11">
        <v>2041</v>
      </c>
      <c r="AD56" s="11">
        <v>2041</v>
      </c>
      <c r="AE56" s="19">
        <f>ROUND((Z56*'Data-CostAssumptions'!$G$5)*(1+'Data-CostAssumptions'!$G$3)^(AB56-'Data-CostAssumptions'!$G$4),-3)</f>
        <v>0</v>
      </c>
      <c r="AF56" s="19">
        <f>ROUND((Z56)*(1+'Data-CostAssumptions'!$G$3)^(AD56-'Data-CostAssumptions'!$G$4),-3)</f>
        <v>0</v>
      </c>
      <c r="AG56" s="170" t="str">
        <f t="shared" si="2"/>
        <v>No</v>
      </c>
    </row>
    <row r="57" spans="1:33" ht="15" customHeight="1" x14ac:dyDescent="0.2">
      <c r="A57" s="66">
        <v>4151521</v>
      </c>
      <c r="B57" s="66" t="s">
        <v>1211</v>
      </c>
      <c r="C57" s="66">
        <v>13050</v>
      </c>
      <c r="D57" s="86" t="s">
        <v>1732</v>
      </c>
      <c r="E57" s="73"/>
      <c r="F57" s="73"/>
      <c r="G57" s="20">
        <v>1169</v>
      </c>
      <c r="H57" s="67" t="s">
        <v>2805</v>
      </c>
      <c r="I57" s="67" t="str">
        <f t="shared" si="3"/>
        <v>SR 93/I-75 (@  SR 820 Pines Bl F N of Miramar Pkwy to N OF PI)</v>
      </c>
      <c r="J57" s="86" t="s">
        <v>300</v>
      </c>
      <c r="K57" s="67" t="str">
        <f>VLOOKUP(J57,'Data-ProjectTypes'!A$3:B$13,2,FALSE)</f>
        <v>Project</v>
      </c>
      <c r="L57" s="87" t="s">
        <v>894</v>
      </c>
      <c r="M57" s="87" t="s">
        <v>2835</v>
      </c>
      <c r="N57" s="67" t="s">
        <v>2938</v>
      </c>
      <c r="O57" s="86" t="s">
        <v>270</v>
      </c>
      <c r="P57" s="87" t="s">
        <v>270</v>
      </c>
      <c r="Q57" s="74"/>
      <c r="R57" s="70"/>
      <c r="S57" s="12"/>
      <c r="T57" s="12"/>
      <c r="U57" s="12"/>
      <c r="V57" s="12"/>
      <c r="W57" s="12"/>
      <c r="X57" s="12"/>
      <c r="Y57" s="12"/>
      <c r="Z57" s="18">
        <f>ROUND(R57*'Data-CostAssumptions'!$C$8,-3)</f>
        <v>0</v>
      </c>
      <c r="AA57" s="11">
        <f t="shared" si="4"/>
        <v>0</v>
      </c>
      <c r="AB57" s="11">
        <v>2041</v>
      </c>
      <c r="AC57" s="11">
        <v>2041</v>
      </c>
      <c r="AD57" s="11">
        <v>2041</v>
      </c>
      <c r="AE57" s="19">
        <f>ROUND((Z57*'Data-CostAssumptions'!$G$5)*(1+'Data-CostAssumptions'!$G$3)^(AB57-'Data-CostAssumptions'!$G$4),-3)</f>
        <v>0</v>
      </c>
      <c r="AF57" s="19">
        <f>ROUND((Z57)*(1+'Data-CostAssumptions'!$G$3)^(AD57-'Data-CostAssumptions'!$G$4),-3)</f>
        <v>0</v>
      </c>
      <c r="AG57" s="170" t="str">
        <f t="shared" si="2"/>
        <v>No</v>
      </c>
    </row>
    <row r="58" spans="1:33" ht="15" customHeight="1" x14ac:dyDescent="0.2">
      <c r="A58" s="66">
        <v>4215481</v>
      </c>
      <c r="B58" s="66" t="s">
        <v>1211</v>
      </c>
      <c r="C58" s="66">
        <v>13051</v>
      </c>
      <c r="D58" s="86" t="s">
        <v>1732</v>
      </c>
      <c r="E58" s="73"/>
      <c r="F58" s="73"/>
      <c r="G58" s="20">
        <v>1170</v>
      </c>
      <c r="H58" s="67" t="s">
        <v>2805</v>
      </c>
      <c r="I58" s="67" t="str">
        <f t="shared" si="3"/>
        <v>SR 93/I-75 (@  Royal Palm Bl F S OF SW 36 ST to N of SW 14 ST)</v>
      </c>
      <c r="J58" s="86" t="s">
        <v>300</v>
      </c>
      <c r="K58" s="67" t="str">
        <f>VLOOKUP(J58,'Data-ProjectTypes'!A$3:B$13,2,FALSE)</f>
        <v>Project</v>
      </c>
      <c r="L58" s="87" t="s">
        <v>894</v>
      </c>
      <c r="M58" s="87" t="s">
        <v>2835</v>
      </c>
      <c r="N58" s="67" t="s">
        <v>2937</v>
      </c>
      <c r="O58" s="86" t="s">
        <v>270</v>
      </c>
      <c r="P58" s="87" t="s">
        <v>270</v>
      </c>
      <c r="Q58" s="74"/>
      <c r="R58" s="70"/>
      <c r="S58" s="12"/>
      <c r="T58" s="12"/>
      <c r="U58" s="12"/>
      <c r="V58" s="12"/>
      <c r="W58" s="12"/>
      <c r="X58" s="12"/>
      <c r="Y58" s="12"/>
      <c r="Z58" s="18">
        <f>ROUND(R58*'Data-CostAssumptions'!$C$8,-3)</f>
        <v>0</v>
      </c>
      <c r="AA58" s="11">
        <f t="shared" si="4"/>
        <v>0</v>
      </c>
      <c r="AB58" s="11">
        <v>2041</v>
      </c>
      <c r="AC58" s="11">
        <v>2041</v>
      </c>
      <c r="AD58" s="11">
        <v>2041</v>
      </c>
      <c r="AE58" s="19">
        <f>ROUND((Z58*'Data-CostAssumptions'!$G$5)*(1+'Data-CostAssumptions'!$G$3)^(AB58-'Data-CostAssumptions'!$G$4),-3)</f>
        <v>0</v>
      </c>
      <c r="AF58" s="19">
        <f>ROUND((Z58)*(1+'Data-CostAssumptions'!$G$3)^(AD58-'Data-CostAssumptions'!$G$4),-3)</f>
        <v>0</v>
      </c>
      <c r="AG58" s="170" t="str">
        <f t="shared" si="2"/>
        <v>No</v>
      </c>
    </row>
    <row r="59" spans="1:33" ht="15" customHeight="1" x14ac:dyDescent="0.2">
      <c r="A59" s="66">
        <v>1428</v>
      </c>
      <c r="B59" s="66" t="s">
        <v>1211</v>
      </c>
      <c r="C59" s="66">
        <v>13057</v>
      </c>
      <c r="D59" s="86" t="s">
        <v>1732</v>
      </c>
      <c r="E59" s="73"/>
      <c r="F59" s="73"/>
      <c r="G59" s="20">
        <v>1175</v>
      </c>
      <c r="H59" s="67" t="s">
        <v>2805</v>
      </c>
      <c r="I59" s="67" t="str">
        <f t="shared" si="3"/>
        <v>SR 93/I-75 (@  SR-820/Pines Bl Ramps)</v>
      </c>
      <c r="J59" s="86" t="s">
        <v>300</v>
      </c>
      <c r="K59" s="67" t="str">
        <f>VLOOKUP(J59,'Data-ProjectTypes'!A$3:B$13,2,FALSE)</f>
        <v>Project</v>
      </c>
      <c r="L59" s="87" t="s">
        <v>894</v>
      </c>
      <c r="M59" s="87" t="s">
        <v>2835</v>
      </c>
      <c r="N59" s="66" t="s">
        <v>2933</v>
      </c>
      <c r="O59" s="86" t="s">
        <v>270</v>
      </c>
      <c r="P59" s="87" t="s">
        <v>270</v>
      </c>
      <c r="Q59" s="74"/>
      <c r="R59" s="70"/>
      <c r="S59" s="12"/>
      <c r="T59" s="12"/>
      <c r="U59" s="12"/>
      <c r="V59" s="12"/>
      <c r="W59" s="12"/>
      <c r="X59" s="12"/>
      <c r="Y59" s="12"/>
      <c r="Z59" s="18">
        <f>ROUND(R59*'Data-CostAssumptions'!$C$8,-3)</f>
        <v>0</v>
      </c>
      <c r="AA59" s="11">
        <f t="shared" si="4"/>
        <v>0</v>
      </c>
      <c r="AB59" s="11">
        <v>2041</v>
      </c>
      <c r="AC59" s="11">
        <v>2041</v>
      </c>
      <c r="AD59" s="11">
        <v>2041</v>
      </c>
      <c r="AE59" s="19">
        <f>ROUND((Z59*'Data-CostAssumptions'!$G$5)*(1+'Data-CostAssumptions'!$G$3)^(AB59-'Data-CostAssumptions'!$G$4),-3)</f>
        <v>0</v>
      </c>
      <c r="AF59" s="19">
        <f>ROUND((Z59)*(1+'Data-CostAssumptions'!$G$3)^(AD59-'Data-CostAssumptions'!$G$4),-3)</f>
        <v>0</v>
      </c>
      <c r="AG59" s="170" t="str">
        <f t="shared" si="2"/>
        <v>No</v>
      </c>
    </row>
    <row r="60" spans="1:33" ht="15" customHeight="1" x14ac:dyDescent="0.2">
      <c r="A60" s="66">
        <v>1711</v>
      </c>
      <c r="B60" s="66" t="s">
        <v>1211</v>
      </c>
      <c r="C60" s="66">
        <v>13062</v>
      </c>
      <c r="D60" s="86" t="s">
        <v>1732</v>
      </c>
      <c r="E60" s="73"/>
      <c r="F60" s="73"/>
      <c r="G60" s="20">
        <v>1180</v>
      </c>
      <c r="H60" s="67" t="s">
        <v>2805</v>
      </c>
      <c r="I60" s="67" t="str">
        <f t="shared" si="3"/>
        <v>SR 93/I-75 (@  Miramar Pkwy Ramps)</v>
      </c>
      <c r="J60" s="86" t="s">
        <v>300</v>
      </c>
      <c r="K60" s="67" t="str">
        <f>VLOOKUP(J60,'Data-ProjectTypes'!A$3:B$13,2,FALSE)</f>
        <v>Project</v>
      </c>
      <c r="L60" s="87" t="s">
        <v>894</v>
      </c>
      <c r="M60" s="87" t="s">
        <v>2835</v>
      </c>
      <c r="N60" s="66" t="s">
        <v>2934</v>
      </c>
      <c r="O60" s="86" t="s">
        <v>270</v>
      </c>
      <c r="P60" s="87" t="s">
        <v>270</v>
      </c>
      <c r="Q60" s="74"/>
      <c r="R60" s="70"/>
      <c r="S60" s="12"/>
      <c r="T60" s="12"/>
      <c r="U60" s="12"/>
      <c r="V60" s="12"/>
      <c r="W60" s="12"/>
      <c r="X60" s="12"/>
      <c r="Y60" s="12"/>
      <c r="Z60" s="18">
        <f>ROUND(R60*'Data-CostAssumptions'!$C$8,-3)</f>
        <v>0</v>
      </c>
      <c r="AA60" s="11">
        <f t="shared" si="4"/>
        <v>0</v>
      </c>
      <c r="AB60" s="11">
        <v>2041</v>
      </c>
      <c r="AC60" s="11">
        <v>2041</v>
      </c>
      <c r="AD60" s="11">
        <v>2041</v>
      </c>
      <c r="AE60" s="19">
        <f>ROUND((Z60*'Data-CostAssumptions'!$G$5)*(1+'Data-CostAssumptions'!$G$3)^(AB60-'Data-CostAssumptions'!$G$4),-3)</f>
        <v>0</v>
      </c>
      <c r="AF60" s="19">
        <f>ROUND((Z60)*(1+'Data-CostAssumptions'!$G$3)^(AD60-'Data-CostAssumptions'!$G$4),-3)</f>
        <v>0</v>
      </c>
      <c r="AG60" s="170" t="str">
        <f t="shared" si="2"/>
        <v>No</v>
      </c>
    </row>
    <row r="61" spans="1:33" ht="15" customHeight="1" x14ac:dyDescent="0.2">
      <c r="A61" s="11" t="s">
        <v>912</v>
      </c>
      <c r="B61" s="11" t="s">
        <v>1211</v>
      </c>
      <c r="C61" s="11">
        <v>13067</v>
      </c>
      <c r="D61" s="84" t="s">
        <v>1732</v>
      </c>
      <c r="E61" s="14"/>
      <c r="F61" s="14"/>
      <c r="G61" s="20">
        <v>1181</v>
      </c>
      <c r="H61" s="13" t="s">
        <v>2805</v>
      </c>
      <c r="I61" s="13" t="str">
        <f t="shared" si="3"/>
        <v>SR 93/I-75 (@  Sheridan St)</v>
      </c>
      <c r="J61" s="84" t="s">
        <v>300</v>
      </c>
      <c r="K61" s="13" t="str">
        <f>VLOOKUP(J61,'Data-ProjectTypes'!A$3:B$13,2,FALSE)</f>
        <v>Project</v>
      </c>
      <c r="L61" s="85" t="s">
        <v>894</v>
      </c>
      <c r="M61" s="85" t="s">
        <v>2835</v>
      </c>
      <c r="N61" s="85" t="s">
        <v>1951</v>
      </c>
      <c r="O61" s="84" t="s">
        <v>270</v>
      </c>
      <c r="P61" s="85" t="s">
        <v>270</v>
      </c>
      <c r="Q61" s="15"/>
      <c r="R61" s="16">
        <v>34583000</v>
      </c>
      <c r="S61" s="12"/>
      <c r="T61" s="12"/>
      <c r="U61" s="12"/>
      <c r="V61" s="12"/>
      <c r="W61" s="12"/>
      <c r="X61" s="12"/>
      <c r="Y61" s="12"/>
      <c r="Z61" s="18">
        <f>ROUND(R61*'Data-CostAssumptions'!$C$8,-3)</f>
        <v>34583000</v>
      </c>
      <c r="AA61" s="11">
        <f t="shared" si="4"/>
        <v>0</v>
      </c>
      <c r="AB61" s="11">
        <v>2041</v>
      </c>
      <c r="AC61" s="11">
        <v>2041</v>
      </c>
      <c r="AD61" s="11">
        <v>2041</v>
      </c>
      <c r="AE61" s="19">
        <f>ROUND((Z61*'Data-CostAssumptions'!$G$5)*(1+'Data-CostAssumptions'!$G$3)^(AB61-'Data-CostAssumptions'!$G$4),-3)</f>
        <v>19507000</v>
      </c>
      <c r="AF61" s="19">
        <f>ROUND((Z61)*(1+'Data-CostAssumptions'!$G$3)^(AD61-'Data-CostAssumptions'!$G$4),-3)</f>
        <v>88669000</v>
      </c>
      <c r="AG61" s="170" t="str">
        <f t="shared" si="2"/>
        <v>No</v>
      </c>
    </row>
    <row r="62" spans="1:33" ht="15" customHeight="1" x14ac:dyDescent="0.2">
      <c r="A62" s="11" t="s">
        <v>916</v>
      </c>
      <c r="B62" s="11" t="s">
        <v>1211</v>
      </c>
      <c r="C62" s="11">
        <v>13068</v>
      </c>
      <c r="D62" s="84" t="s">
        <v>1732</v>
      </c>
      <c r="E62" s="14"/>
      <c r="F62" s="14"/>
      <c r="G62" s="20">
        <v>1182</v>
      </c>
      <c r="H62" s="13" t="s">
        <v>2805</v>
      </c>
      <c r="I62" s="13" t="str">
        <f t="shared" si="3"/>
        <v>SR 93/I-75 (@  Miramar Parkway)</v>
      </c>
      <c r="J62" s="84" t="s">
        <v>300</v>
      </c>
      <c r="K62" s="13" t="str">
        <f>VLOOKUP(J62,'Data-ProjectTypes'!A$3:B$13,2,FALSE)</f>
        <v>Project</v>
      </c>
      <c r="L62" s="85" t="s">
        <v>894</v>
      </c>
      <c r="M62" s="85" t="s">
        <v>2835</v>
      </c>
      <c r="N62" s="85" t="s">
        <v>39</v>
      </c>
      <c r="O62" s="84" t="s">
        <v>270</v>
      </c>
      <c r="P62" s="85" t="s">
        <v>270</v>
      </c>
      <c r="Q62" s="15"/>
      <c r="R62" s="16">
        <v>34583000</v>
      </c>
      <c r="S62" s="12"/>
      <c r="T62" s="12"/>
      <c r="U62" s="12"/>
      <c r="V62" s="12"/>
      <c r="W62" s="12"/>
      <c r="X62" s="12"/>
      <c r="Y62" s="12"/>
      <c r="Z62" s="18">
        <f>ROUND(R62*'Data-CostAssumptions'!$C$8,-3)</f>
        <v>34583000</v>
      </c>
      <c r="AA62" s="11">
        <f t="shared" si="4"/>
        <v>0</v>
      </c>
      <c r="AB62" s="11">
        <v>2041</v>
      </c>
      <c r="AC62" s="11">
        <v>2041</v>
      </c>
      <c r="AD62" s="11">
        <v>2041</v>
      </c>
      <c r="AE62" s="19">
        <f>ROUND((Z62*'Data-CostAssumptions'!$G$5)*(1+'Data-CostAssumptions'!$G$3)^(AB62-'Data-CostAssumptions'!$G$4),-3)</f>
        <v>19507000</v>
      </c>
      <c r="AF62" s="19">
        <f>ROUND((Z62)*(1+'Data-CostAssumptions'!$G$3)^(AD62-'Data-CostAssumptions'!$G$4),-3)</f>
        <v>88669000</v>
      </c>
      <c r="AG62" s="170" t="str">
        <f t="shared" si="2"/>
        <v>No</v>
      </c>
    </row>
    <row r="63" spans="1:33" ht="15" customHeight="1" x14ac:dyDescent="0.2">
      <c r="A63" s="11" t="s">
        <v>913</v>
      </c>
      <c r="B63" s="11" t="s">
        <v>1211</v>
      </c>
      <c r="C63" s="11">
        <v>13069</v>
      </c>
      <c r="D63" s="84" t="s">
        <v>1732</v>
      </c>
      <c r="E63" s="14"/>
      <c r="F63" s="14"/>
      <c r="G63" s="20">
        <v>1183</v>
      </c>
      <c r="H63" s="13" t="s">
        <v>2805</v>
      </c>
      <c r="I63" s="13" t="str">
        <f t="shared" si="3"/>
        <v>SR 93/I-75 (@  SR 820/Pines Bl)</v>
      </c>
      <c r="J63" s="84" t="s">
        <v>300</v>
      </c>
      <c r="K63" s="13" t="str">
        <f>VLOOKUP(J63,'Data-ProjectTypes'!A$3:B$13,2,FALSE)</f>
        <v>Project</v>
      </c>
      <c r="L63" s="85" t="s">
        <v>894</v>
      </c>
      <c r="M63" s="85" t="s">
        <v>2835</v>
      </c>
      <c r="N63" s="85" t="s">
        <v>2717</v>
      </c>
      <c r="O63" s="84" t="s">
        <v>270</v>
      </c>
      <c r="P63" s="85" t="s">
        <v>270</v>
      </c>
      <c r="Q63" s="15"/>
      <c r="R63" s="16">
        <v>34583000</v>
      </c>
      <c r="S63" s="12"/>
      <c r="T63" s="12"/>
      <c r="U63" s="12"/>
      <c r="V63" s="12"/>
      <c r="W63" s="12"/>
      <c r="X63" s="12"/>
      <c r="Y63" s="12"/>
      <c r="Z63" s="18">
        <f>ROUND(R63*'Data-CostAssumptions'!$C$8,-3)</f>
        <v>34583000</v>
      </c>
      <c r="AA63" s="11">
        <f t="shared" si="4"/>
        <v>0</v>
      </c>
      <c r="AB63" s="11">
        <v>2041</v>
      </c>
      <c r="AC63" s="11">
        <v>2041</v>
      </c>
      <c r="AD63" s="11">
        <v>2041</v>
      </c>
      <c r="AE63" s="19">
        <f>ROUND((Z63*'Data-CostAssumptions'!$G$5)*(1+'Data-CostAssumptions'!$G$3)^(AB63-'Data-CostAssumptions'!$G$4),-3)</f>
        <v>19507000</v>
      </c>
      <c r="AF63" s="19">
        <f>ROUND((Z63)*(1+'Data-CostAssumptions'!$G$3)^(AD63-'Data-CostAssumptions'!$G$4),-3)</f>
        <v>88669000</v>
      </c>
      <c r="AG63" s="170" t="str">
        <f t="shared" si="2"/>
        <v>No</v>
      </c>
    </row>
    <row r="64" spans="1:33" ht="15" customHeight="1" x14ac:dyDescent="0.2">
      <c r="A64" s="11" t="s">
        <v>914</v>
      </c>
      <c r="B64" s="11" t="s">
        <v>1211</v>
      </c>
      <c r="C64" s="11">
        <v>13070</v>
      </c>
      <c r="D64" s="84" t="s">
        <v>1732</v>
      </c>
      <c r="E64" s="14"/>
      <c r="F64" s="14"/>
      <c r="G64" s="20">
        <v>1184</v>
      </c>
      <c r="H64" s="13" t="s">
        <v>2805</v>
      </c>
      <c r="I64" s="13" t="str">
        <f t="shared" si="3"/>
        <v>SR 93/I-75 (@  Sawgrass Expressway)</v>
      </c>
      <c r="J64" s="84" t="s">
        <v>300</v>
      </c>
      <c r="K64" s="13" t="str">
        <f>VLOOKUP(J64,'Data-ProjectTypes'!A$3:B$13,2,FALSE)</f>
        <v>Project</v>
      </c>
      <c r="L64" s="85" t="s">
        <v>894</v>
      </c>
      <c r="M64" s="85" t="s">
        <v>2835</v>
      </c>
      <c r="N64" s="85" t="s">
        <v>72</v>
      </c>
      <c r="O64" s="84" t="s">
        <v>270</v>
      </c>
      <c r="P64" s="85" t="s">
        <v>270</v>
      </c>
      <c r="Q64" s="15"/>
      <c r="R64" s="16">
        <v>45988000</v>
      </c>
      <c r="S64" s="12"/>
      <c r="T64" s="12"/>
      <c r="U64" s="12"/>
      <c r="V64" s="12"/>
      <c r="W64" s="12"/>
      <c r="X64" s="12"/>
      <c r="Y64" s="12"/>
      <c r="Z64" s="18">
        <f>ROUND(R64*'Data-CostAssumptions'!$C$8,-3)</f>
        <v>45988000</v>
      </c>
      <c r="AA64" s="11">
        <f t="shared" si="4"/>
        <v>0</v>
      </c>
      <c r="AB64" s="11">
        <v>2041</v>
      </c>
      <c r="AC64" s="11">
        <v>2041</v>
      </c>
      <c r="AD64" s="11">
        <v>2041</v>
      </c>
      <c r="AE64" s="19">
        <f>ROUND((Z64*'Data-CostAssumptions'!$G$5)*(1+'Data-CostAssumptions'!$G$3)^(AB64-'Data-CostAssumptions'!$G$4),-3)</f>
        <v>25940000</v>
      </c>
      <c r="AF64" s="19">
        <f>ROUND((Z64)*(1+'Data-CostAssumptions'!$G$3)^(AD64-'Data-CostAssumptions'!$G$4),-3)</f>
        <v>117911000</v>
      </c>
      <c r="AG64" s="170" t="str">
        <f t="shared" si="2"/>
        <v>No</v>
      </c>
    </row>
    <row r="65" spans="1:33" ht="15" customHeight="1" x14ac:dyDescent="0.2">
      <c r="A65" s="11" t="s">
        <v>915</v>
      </c>
      <c r="B65" s="11" t="s">
        <v>1211</v>
      </c>
      <c r="C65" s="11">
        <v>13071</v>
      </c>
      <c r="D65" s="84" t="s">
        <v>1732</v>
      </c>
      <c r="E65" s="14"/>
      <c r="F65" s="14"/>
      <c r="G65" s="20">
        <v>1185</v>
      </c>
      <c r="H65" s="13" t="s">
        <v>2805</v>
      </c>
      <c r="I65" s="13" t="str">
        <f t="shared" si="3"/>
        <v>SR 93/I-75 (@  Griffin Rd)</v>
      </c>
      <c r="J65" s="84" t="s">
        <v>300</v>
      </c>
      <c r="K65" s="13" t="str">
        <f>VLOOKUP(J65,'Data-ProjectTypes'!A$3:B$13,2,FALSE)</f>
        <v>Project</v>
      </c>
      <c r="L65" s="85" t="s">
        <v>894</v>
      </c>
      <c r="M65" s="85" t="s">
        <v>2835</v>
      </c>
      <c r="N65" s="85" t="s">
        <v>1750</v>
      </c>
      <c r="O65" s="84" t="s">
        <v>270</v>
      </c>
      <c r="P65" s="85" t="s">
        <v>270</v>
      </c>
      <c r="Q65" s="15"/>
      <c r="R65" s="16">
        <v>34583000</v>
      </c>
      <c r="S65" s="12"/>
      <c r="T65" s="12"/>
      <c r="U65" s="12"/>
      <c r="V65" s="12"/>
      <c r="W65" s="12"/>
      <c r="X65" s="12"/>
      <c r="Y65" s="12"/>
      <c r="Z65" s="18">
        <f>ROUND(R65*'Data-CostAssumptions'!$C$8,-3)</f>
        <v>34583000</v>
      </c>
      <c r="AA65" s="11">
        <f t="shared" si="4"/>
        <v>0</v>
      </c>
      <c r="AB65" s="11">
        <v>2041</v>
      </c>
      <c r="AC65" s="11">
        <v>2041</v>
      </c>
      <c r="AD65" s="11">
        <v>2041</v>
      </c>
      <c r="AE65" s="19">
        <f>ROUND((Z65*'Data-CostAssumptions'!$G$5)*(1+'Data-CostAssumptions'!$G$3)^(AB65-'Data-CostAssumptions'!$G$4),-3)</f>
        <v>19507000</v>
      </c>
      <c r="AF65" s="19">
        <f>ROUND((Z65)*(1+'Data-CostAssumptions'!$G$3)^(AD65-'Data-CostAssumptions'!$G$4),-3)</f>
        <v>88669000</v>
      </c>
      <c r="AG65" s="170" t="str">
        <f t="shared" si="2"/>
        <v>No</v>
      </c>
    </row>
    <row r="66" spans="1:33" ht="15" customHeight="1" x14ac:dyDescent="0.2">
      <c r="A66" s="11" t="s">
        <v>927</v>
      </c>
      <c r="B66" s="11" t="s">
        <v>1211</v>
      </c>
      <c r="C66" s="11">
        <v>13083</v>
      </c>
      <c r="D66" s="84" t="s">
        <v>1732</v>
      </c>
      <c r="E66" s="14"/>
      <c r="F66" s="14"/>
      <c r="G66" s="20">
        <v>1197</v>
      </c>
      <c r="H66" s="13" t="s">
        <v>2805</v>
      </c>
      <c r="I66" s="13" t="str">
        <f t="shared" ref="I66:I75" si="5">IF(M66="@",H66&amp;" ("&amp;M66&amp;"  "&amp;N66&amp;")",H66&amp;" ("&amp;M66&amp;" to "&amp;N66&amp;")")</f>
        <v>SR 93/I-75 (HEFT to I-595)</v>
      </c>
      <c r="J66" s="84" t="s">
        <v>300</v>
      </c>
      <c r="K66" s="13" t="str">
        <f>VLOOKUP(J66,'Data-ProjectTypes'!A$3:B$13,2,FALSE)</f>
        <v>Project</v>
      </c>
      <c r="L66" s="85" t="s">
        <v>1071</v>
      </c>
      <c r="M66" s="85" t="s">
        <v>35</v>
      </c>
      <c r="N66" s="84" t="s">
        <v>34</v>
      </c>
      <c r="O66" s="84" t="s">
        <v>270</v>
      </c>
      <c r="P66" s="85" t="s">
        <v>270</v>
      </c>
      <c r="Q66" s="15"/>
      <c r="R66" s="16">
        <v>280000000</v>
      </c>
      <c r="Y66" s="12"/>
      <c r="Z66" s="18">
        <f>ROUND(R66*'Data-CostAssumptions'!$C$8,-3)</f>
        <v>280000000</v>
      </c>
      <c r="AA66" s="11">
        <f t="shared" ref="AA66:AA74" si="6">IF(V66="",IF(W66="",0,1),1)</f>
        <v>0</v>
      </c>
      <c r="AB66" s="11">
        <v>2041</v>
      </c>
      <c r="AC66" s="11">
        <v>2041</v>
      </c>
      <c r="AD66" s="11">
        <v>2041</v>
      </c>
      <c r="AE66" s="19">
        <f>ROUND((Z66*'Data-CostAssumptions'!$G$5)*(1+'Data-CostAssumptions'!$G$3)^(AB66-'Data-CostAssumptions'!$G$4),-3)</f>
        <v>157939000</v>
      </c>
      <c r="AF66" s="19">
        <f>ROUND((Z66)*(1+'Data-CostAssumptions'!$G$3)^(AD66-'Data-CostAssumptions'!$G$4),-3)</f>
        <v>717906000</v>
      </c>
      <c r="AG66" s="170" t="str">
        <f t="shared" si="2"/>
        <v>No</v>
      </c>
    </row>
    <row r="67" spans="1:33" ht="15" customHeight="1" x14ac:dyDescent="0.2">
      <c r="A67" s="11" t="s">
        <v>917</v>
      </c>
      <c r="B67" s="11" t="s">
        <v>1211</v>
      </c>
      <c r="C67" s="11">
        <v>13073</v>
      </c>
      <c r="D67" s="84" t="s">
        <v>1732</v>
      </c>
      <c r="E67" s="14"/>
      <c r="F67" s="14"/>
      <c r="G67" s="20">
        <v>1187</v>
      </c>
      <c r="H67" s="13" t="s">
        <v>933</v>
      </c>
      <c r="I67" s="13" t="str">
        <f t="shared" si="5"/>
        <v>Tri-Rail Station (Cypress Creek to I-95)</v>
      </c>
      <c r="J67" s="84" t="s">
        <v>300</v>
      </c>
      <c r="K67" s="13" t="str">
        <f>VLOOKUP(J67,'Data-ProjectTypes'!A$3:B$13,2,FALSE)</f>
        <v>Project</v>
      </c>
      <c r="L67" s="85" t="s">
        <v>932</v>
      </c>
      <c r="M67" s="85" t="s">
        <v>2837</v>
      </c>
      <c r="N67" s="84" t="s">
        <v>41</v>
      </c>
      <c r="O67" s="84" t="s">
        <v>270</v>
      </c>
      <c r="P67" s="85" t="s">
        <v>270</v>
      </c>
      <c r="Q67" s="15"/>
      <c r="R67" s="16">
        <v>20000000</v>
      </c>
      <c r="S67" s="12"/>
      <c r="T67" s="12"/>
      <c r="U67" s="12"/>
      <c r="V67" s="12"/>
      <c r="W67" s="12"/>
      <c r="X67" s="12"/>
      <c r="Y67" s="12"/>
      <c r="Z67" s="18">
        <f>ROUND(R67*'Data-CostAssumptions'!$C$8,-3)</f>
        <v>20000000</v>
      </c>
      <c r="AA67" s="11">
        <f t="shared" si="6"/>
        <v>0</v>
      </c>
      <c r="AB67" s="11">
        <v>2041</v>
      </c>
      <c r="AC67" s="11">
        <v>2041</v>
      </c>
      <c r="AD67" s="11">
        <v>2041</v>
      </c>
      <c r="AE67" s="19">
        <f>ROUND((Z67*'Data-CostAssumptions'!$G$5)*(1+'Data-CostAssumptions'!$G$3)^(AB67-'Data-CostAssumptions'!$G$4),-3)</f>
        <v>11281000</v>
      </c>
      <c r="AF67" s="19">
        <f>ROUND((Z67)*(1+'Data-CostAssumptions'!$G$3)^(AD67-'Data-CostAssumptions'!$G$4),-3)</f>
        <v>51279000</v>
      </c>
      <c r="AG67" s="170" t="str">
        <f t="shared" ref="AG67:AG74" si="7">IF(MIN(AC67:AD67)&lt;2041,"Yes","No")</f>
        <v>No</v>
      </c>
    </row>
    <row r="68" spans="1:33" ht="15" customHeight="1" x14ac:dyDescent="0.2">
      <c r="A68" s="11" t="s">
        <v>918</v>
      </c>
      <c r="B68" s="11" t="s">
        <v>1211</v>
      </c>
      <c r="C68" s="11">
        <v>13074</v>
      </c>
      <c r="D68" s="84" t="s">
        <v>1732</v>
      </c>
      <c r="E68" s="14"/>
      <c r="F68" s="14"/>
      <c r="G68" s="20">
        <v>1188</v>
      </c>
      <c r="H68" s="13" t="s">
        <v>933</v>
      </c>
      <c r="I68" s="13" t="str">
        <f t="shared" si="5"/>
        <v>Tri-Rail Station (I-95 to Deerfield Beach/Amtrak)</v>
      </c>
      <c r="J68" s="84" t="s">
        <v>300</v>
      </c>
      <c r="K68" s="13" t="str">
        <f>VLOOKUP(J68,'Data-ProjectTypes'!A$3:B$13,2,FALSE)</f>
        <v>Project</v>
      </c>
      <c r="L68" s="85" t="s">
        <v>932</v>
      </c>
      <c r="M68" s="85" t="s">
        <v>41</v>
      </c>
      <c r="N68" s="84" t="s">
        <v>2839</v>
      </c>
      <c r="O68" s="84" t="s">
        <v>270</v>
      </c>
      <c r="P68" s="85" t="s">
        <v>270</v>
      </c>
      <c r="Q68" s="15"/>
      <c r="R68" s="16">
        <v>10000000</v>
      </c>
      <c r="S68" s="12"/>
      <c r="T68" s="12"/>
      <c r="U68" s="12"/>
      <c r="V68" s="12"/>
      <c r="W68" s="12"/>
      <c r="X68" s="12"/>
      <c r="Y68" s="12"/>
      <c r="Z68" s="18">
        <f>ROUND(R68*'Data-CostAssumptions'!$C$8,-3)</f>
        <v>10000000</v>
      </c>
      <c r="AA68" s="11">
        <f t="shared" si="6"/>
        <v>0</v>
      </c>
      <c r="AB68" s="11">
        <v>2041</v>
      </c>
      <c r="AC68" s="11">
        <v>2041</v>
      </c>
      <c r="AD68" s="11">
        <v>2041</v>
      </c>
      <c r="AE68" s="19">
        <f>ROUND((Z68*'Data-CostAssumptions'!$G$5)*(1+'Data-CostAssumptions'!$G$3)^(AB68-'Data-CostAssumptions'!$G$4),-3)</f>
        <v>5641000</v>
      </c>
      <c r="AF68" s="19">
        <f>ROUND((Z68)*(1+'Data-CostAssumptions'!$G$3)^(AD68-'Data-CostAssumptions'!$G$4),-3)</f>
        <v>25639000</v>
      </c>
      <c r="AG68" s="170" t="str">
        <f t="shared" si="7"/>
        <v>No</v>
      </c>
    </row>
    <row r="69" spans="1:33" ht="15" customHeight="1" x14ac:dyDescent="0.2">
      <c r="A69" s="11" t="s">
        <v>943</v>
      </c>
      <c r="B69" s="11" t="s">
        <v>1211</v>
      </c>
      <c r="C69" s="11">
        <v>13085</v>
      </c>
      <c r="D69" s="84" t="s">
        <v>1732</v>
      </c>
      <c r="E69" s="14"/>
      <c r="F69" s="14"/>
      <c r="G69" s="20">
        <v>1200</v>
      </c>
      <c r="H69" s="13" t="s">
        <v>2985</v>
      </c>
      <c r="I69" s="13" t="str">
        <f t="shared" si="5"/>
        <v>Tri-Rail Station Pompano Beach (Tri-Rail Station to I-95)</v>
      </c>
      <c r="J69" s="84" t="s">
        <v>300</v>
      </c>
      <c r="K69" s="13" t="str">
        <f>VLOOKUP(J69,'Data-ProjectTypes'!A$3:B$13,2,FALSE)</f>
        <v>Project</v>
      </c>
      <c r="L69" s="85" t="s">
        <v>932</v>
      </c>
      <c r="M69" s="85" t="s">
        <v>933</v>
      </c>
      <c r="N69" s="84" t="s">
        <v>41</v>
      </c>
      <c r="O69" s="84" t="s">
        <v>270</v>
      </c>
      <c r="P69" s="85" t="s">
        <v>270</v>
      </c>
      <c r="Q69" s="15"/>
      <c r="R69" s="16">
        <v>10000000</v>
      </c>
      <c r="Y69" s="12"/>
      <c r="Z69" s="18">
        <f>ROUND(R69*'Data-CostAssumptions'!$C$8,-3)</f>
        <v>10000000</v>
      </c>
      <c r="AA69" s="11">
        <f t="shared" si="6"/>
        <v>0</v>
      </c>
      <c r="AB69" s="11">
        <v>2041</v>
      </c>
      <c r="AC69" s="11">
        <v>2041</v>
      </c>
      <c r="AD69" s="11">
        <v>2041</v>
      </c>
      <c r="AE69" s="19">
        <f>ROUND((Z69*'Data-CostAssumptions'!$G$5)*(1+'Data-CostAssumptions'!$G$3)^(AB69-'Data-CostAssumptions'!$G$4),-3)</f>
        <v>5641000</v>
      </c>
      <c r="AF69" s="19">
        <f>ROUND((Z69)*(1+'Data-CostAssumptions'!$G$3)^(AD69-'Data-CostAssumptions'!$G$4),-3)</f>
        <v>25639000</v>
      </c>
      <c r="AG69" s="170" t="str">
        <f t="shared" si="7"/>
        <v>No</v>
      </c>
    </row>
    <row r="70" spans="1:33" ht="15" customHeight="1" x14ac:dyDescent="0.2">
      <c r="A70" s="11" t="s">
        <v>952</v>
      </c>
      <c r="B70" s="11" t="s">
        <v>1211</v>
      </c>
      <c r="C70" s="11">
        <v>13091</v>
      </c>
      <c r="D70" s="84" t="s">
        <v>1732</v>
      </c>
      <c r="E70" s="14"/>
      <c r="F70" s="14"/>
      <c r="G70" s="20">
        <v>1206</v>
      </c>
      <c r="H70" s="13" t="s">
        <v>2851</v>
      </c>
      <c r="I70" s="13" t="str">
        <f t="shared" si="5"/>
        <v>FLL Airport (Direct Airport Access to US 1)</v>
      </c>
      <c r="J70" s="84" t="s">
        <v>300</v>
      </c>
      <c r="K70" s="13" t="str">
        <f>VLOOKUP(J70,'Data-ProjectTypes'!A$3:B$13,2,FALSE)</f>
        <v>Project</v>
      </c>
      <c r="L70" s="85" t="s">
        <v>951</v>
      </c>
      <c r="M70" s="85" t="s">
        <v>950</v>
      </c>
      <c r="N70" s="11" t="s">
        <v>98</v>
      </c>
      <c r="O70" s="84" t="s">
        <v>270</v>
      </c>
      <c r="P70" s="85" t="s">
        <v>270</v>
      </c>
      <c r="Q70" s="15"/>
      <c r="R70" s="16">
        <v>10000000</v>
      </c>
      <c r="S70" s="12"/>
      <c r="T70" s="12"/>
      <c r="U70" s="12"/>
      <c r="V70" s="12"/>
      <c r="W70" s="12"/>
      <c r="X70" s="12"/>
      <c r="Y70" s="12"/>
      <c r="Z70" s="18">
        <f>ROUND(R70*'Data-CostAssumptions'!$C$8,-3)</f>
        <v>10000000</v>
      </c>
      <c r="AA70" s="11">
        <f t="shared" si="6"/>
        <v>0</v>
      </c>
      <c r="AB70" s="11">
        <v>2041</v>
      </c>
      <c r="AC70" s="11">
        <v>2041</v>
      </c>
      <c r="AD70" s="11">
        <v>2041</v>
      </c>
      <c r="AE70" s="19">
        <f>ROUND((Z70*'Data-CostAssumptions'!$G$5)*(1+'Data-CostAssumptions'!$G$3)^(AB70-'Data-CostAssumptions'!$G$4),-3)</f>
        <v>5641000</v>
      </c>
      <c r="AF70" s="19">
        <f>ROUND((Z70)*(1+'Data-CostAssumptions'!$G$3)^(AD70-'Data-CostAssumptions'!$G$4),-3)</f>
        <v>25639000</v>
      </c>
      <c r="AG70" s="170" t="str">
        <f t="shared" si="7"/>
        <v>No</v>
      </c>
    </row>
    <row r="71" spans="1:33" ht="15" customHeight="1" x14ac:dyDescent="0.2">
      <c r="A71" s="11" t="s">
        <v>919</v>
      </c>
      <c r="B71" s="11" t="s">
        <v>1211</v>
      </c>
      <c r="C71" s="11">
        <v>13075</v>
      </c>
      <c r="D71" s="84" t="s">
        <v>1732</v>
      </c>
      <c r="E71" s="14"/>
      <c r="F71" s="14"/>
      <c r="G71" s="20">
        <v>1189</v>
      </c>
      <c r="H71" s="13" t="s">
        <v>928</v>
      </c>
      <c r="I71" s="13" t="str">
        <f t="shared" si="5"/>
        <v>FLL Airport (gate) northside entrance (I-95 to Northside FLL Airport delivery entrance)</v>
      </c>
      <c r="J71" s="84" t="s">
        <v>300</v>
      </c>
      <c r="K71" s="13" t="str">
        <f>VLOOKUP(J71,'Data-ProjectTypes'!A$3:B$13,2,FALSE)</f>
        <v>Project</v>
      </c>
      <c r="L71" s="85" t="s">
        <v>932</v>
      </c>
      <c r="M71" s="85" t="s">
        <v>41</v>
      </c>
      <c r="N71" s="84" t="s">
        <v>935</v>
      </c>
      <c r="O71" s="84" t="s">
        <v>270</v>
      </c>
      <c r="P71" s="85" t="s">
        <v>270</v>
      </c>
      <c r="Q71" s="15"/>
      <c r="R71" s="16">
        <v>5000000</v>
      </c>
      <c r="S71" s="12"/>
      <c r="T71" s="12"/>
      <c r="U71" s="12"/>
      <c r="V71" s="12"/>
      <c r="W71" s="12"/>
      <c r="X71" s="12"/>
      <c r="Y71" s="12"/>
      <c r="Z71" s="18">
        <f>ROUND(R71*'Data-CostAssumptions'!$C$8,-3)</f>
        <v>5000000</v>
      </c>
      <c r="AA71" s="11">
        <f t="shared" si="6"/>
        <v>0</v>
      </c>
      <c r="AB71" s="11">
        <v>2041</v>
      </c>
      <c r="AC71" s="11">
        <v>2041</v>
      </c>
      <c r="AD71" s="11">
        <v>2041</v>
      </c>
      <c r="AE71" s="19">
        <f>ROUND((Z71*'Data-CostAssumptions'!$G$5)*(1+'Data-CostAssumptions'!$G$3)^(AB71-'Data-CostAssumptions'!$G$4),-3)</f>
        <v>2820000</v>
      </c>
      <c r="AF71" s="19">
        <f>ROUND((Z71)*(1+'Data-CostAssumptions'!$G$3)^(AD71-'Data-CostAssumptions'!$G$4),-3)</f>
        <v>12820000</v>
      </c>
      <c r="AG71" s="170" t="str">
        <f t="shared" si="7"/>
        <v>No</v>
      </c>
    </row>
    <row r="72" spans="1:33" ht="15" customHeight="1" x14ac:dyDescent="0.2">
      <c r="A72" s="11" t="s">
        <v>920</v>
      </c>
      <c r="B72" s="11" t="s">
        <v>1211</v>
      </c>
      <c r="C72" s="11">
        <v>13076</v>
      </c>
      <c r="D72" s="84" t="s">
        <v>1732</v>
      </c>
      <c r="E72" s="14"/>
      <c r="F72" s="14"/>
      <c r="G72" s="20">
        <v>1190</v>
      </c>
      <c r="H72" s="13" t="s">
        <v>929</v>
      </c>
      <c r="I72" s="13" t="str">
        <f t="shared" si="5"/>
        <v>Ft Lauderdale Amtrak/Tri-Rail (Broward Bl at I-95 to Amtrak/Tri-Rail Station)</v>
      </c>
      <c r="J72" s="84" t="s">
        <v>300</v>
      </c>
      <c r="K72" s="13" t="str">
        <f>VLOOKUP(J72,'Data-ProjectTypes'!A$3:B$13,2,FALSE)</f>
        <v>Project</v>
      </c>
      <c r="L72" s="85" t="s">
        <v>894</v>
      </c>
      <c r="M72" s="85" t="s">
        <v>2328</v>
      </c>
      <c r="N72" s="84" t="s">
        <v>934</v>
      </c>
      <c r="O72" s="84" t="s">
        <v>270</v>
      </c>
      <c r="P72" s="85" t="s">
        <v>270</v>
      </c>
      <c r="Q72" s="15"/>
      <c r="R72" s="16">
        <v>10000000</v>
      </c>
      <c r="S72" s="12"/>
      <c r="T72" s="12"/>
      <c r="U72" s="12"/>
      <c r="V72" s="12"/>
      <c r="W72" s="12"/>
      <c r="X72" s="12"/>
      <c r="Y72" s="12"/>
      <c r="Z72" s="18">
        <f>ROUND(R72*'Data-CostAssumptions'!$C$8,-3)</f>
        <v>10000000</v>
      </c>
      <c r="AA72" s="11">
        <f t="shared" si="6"/>
        <v>0</v>
      </c>
      <c r="AB72" s="11">
        <v>2041</v>
      </c>
      <c r="AC72" s="11">
        <v>2041</v>
      </c>
      <c r="AD72" s="11">
        <v>2041</v>
      </c>
      <c r="AE72" s="19">
        <f>ROUND((Z72*'Data-CostAssumptions'!$G$5)*(1+'Data-CostAssumptions'!$G$3)^(AB72-'Data-CostAssumptions'!$G$4),-3)</f>
        <v>5641000</v>
      </c>
      <c r="AF72" s="19">
        <f>ROUND((Z72)*(1+'Data-CostAssumptions'!$G$3)^(AD72-'Data-CostAssumptions'!$G$4),-3)</f>
        <v>25639000</v>
      </c>
      <c r="AG72" s="170" t="str">
        <f t="shared" si="7"/>
        <v>No</v>
      </c>
    </row>
    <row r="73" spans="1:33" ht="15" customHeight="1" x14ac:dyDescent="0.2">
      <c r="A73" s="11" t="s">
        <v>921</v>
      </c>
      <c r="B73" s="11" t="s">
        <v>1211</v>
      </c>
      <c r="C73" s="11">
        <v>13077</v>
      </c>
      <c r="D73" s="84" t="s">
        <v>1732</v>
      </c>
      <c r="E73" s="14"/>
      <c r="F73" s="14"/>
      <c r="G73" s="20">
        <v>1191</v>
      </c>
      <c r="H73" s="13" t="s">
        <v>930</v>
      </c>
      <c r="I73" s="13" t="str">
        <f t="shared" si="5"/>
        <v>Ft Lauderdale Greyhound Bus Terminal (SR9/I-95 to Terminal)</v>
      </c>
      <c r="J73" s="84" t="s">
        <v>300</v>
      </c>
      <c r="K73" s="13" t="str">
        <f>VLOOKUP(J73,'Data-ProjectTypes'!A$3:B$13,2,FALSE)</f>
        <v>Project</v>
      </c>
      <c r="L73" s="85" t="s">
        <v>932</v>
      </c>
      <c r="M73" s="85" t="s">
        <v>2857</v>
      </c>
      <c r="N73" s="84" t="s">
        <v>936</v>
      </c>
      <c r="O73" s="84" t="s">
        <v>270</v>
      </c>
      <c r="P73" s="85" t="s">
        <v>270</v>
      </c>
      <c r="Q73" s="15"/>
      <c r="R73" s="16">
        <v>10000000</v>
      </c>
      <c r="S73" s="12"/>
      <c r="T73" s="12"/>
      <c r="U73" s="12"/>
      <c r="V73" s="12"/>
      <c r="W73" s="12"/>
      <c r="X73" s="12"/>
      <c r="Y73" s="12"/>
      <c r="Z73" s="18">
        <f>ROUND(R73*'Data-CostAssumptions'!$C$8,-3)</f>
        <v>10000000</v>
      </c>
      <c r="AA73" s="11">
        <f t="shared" si="6"/>
        <v>0</v>
      </c>
      <c r="AB73" s="11">
        <v>2041</v>
      </c>
      <c r="AC73" s="11">
        <v>2041</v>
      </c>
      <c r="AD73" s="11">
        <v>2041</v>
      </c>
      <c r="AE73" s="19">
        <f>ROUND((Z73*'Data-CostAssumptions'!$G$5)*(1+'Data-CostAssumptions'!$G$3)^(AB73-'Data-CostAssumptions'!$G$4),-3)</f>
        <v>5641000</v>
      </c>
      <c r="AF73" s="19">
        <f>ROUND((Z73)*(1+'Data-CostAssumptions'!$G$3)^(AD73-'Data-CostAssumptions'!$G$4),-3)</f>
        <v>25639000</v>
      </c>
      <c r="AG73" s="170" t="str">
        <f t="shared" si="7"/>
        <v>No</v>
      </c>
    </row>
    <row r="74" spans="1:33" ht="15" customHeight="1" x14ac:dyDescent="0.2">
      <c r="A74" s="11" t="s">
        <v>979</v>
      </c>
      <c r="B74" s="11" t="s">
        <v>1211</v>
      </c>
      <c r="C74" s="11">
        <v>13085</v>
      </c>
      <c r="D74" s="84" t="s">
        <v>1732</v>
      </c>
      <c r="E74" s="14"/>
      <c r="F74" s="14"/>
      <c r="G74" s="20">
        <v>1199</v>
      </c>
      <c r="H74" s="13" t="s">
        <v>2875</v>
      </c>
      <c r="I74" s="13" t="str">
        <f t="shared" si="5"/>
        <v>PEV Connector//SR 84 (I-95 to Port Everglades)</v>
      </c>
      <c r="J74" s="84" t="s">
        <v>300</v>
      </c>
      <c r="K74" s="13" t="str">
        <f>VLOOKUP(J74,'Data-ProjectTypes'!A$3:B$13,2,FALSE)</f>
        <v>Project</v>
      </c>
      <c r="L74" s="85" t="s">
        <v>932</v>
      </c>
      <c r="M74" s="85" t="s">
        <v>41</v>
      </c>
      <c r="N74" s="84" t="s">
        <v>183</v>
      </c>
      <c r="O74" s="84" t="s">
        <v>270</v>
      </c>
      <c r="P74" s="85" t="s">
        <v>270</v>
      </c>
      <c r="Q74" s="15"/>
      <c r="R74" s="16">
        <v>20000000</v>
      </c>
      <c r="Y74" s="12"/>
      <c r="Z74" s="18">
        <f>ROUND(R74*'Data-CostAssumptions'!$C$8,-3)</f>
        <v>20000000</v>
      </c>
      <c r="AA74" s="11">
        <f t="shared" si="6"/>
        <v>0</v>
      </c>
      <c r="AB74" s="11">
        <v>2041</v>
      </c>
      <c r="AC74" s="11">
        <v>2041</v>
      </c>
      <c r="AD74" s="11">
        <v>2041</v>
      </c>
      <c r="AE74" s="19">
        <f>ROUND((Z74*'Data-CostAssumptions'!$G$5)*(1+'Data-CostAssumptions'!$G$3)^(AB74-'Data-CostAssumptions'!$G$4),-3)</f>
        <v>11281000</v>
      </c>
      <c r="AF74" s="19">
        <f>ROUND((Z74)*(1+'Data-CostAssumptions'!$G$3)^(AD74-'Data-CostAssumptions'!$G$4),-3)</f>
        <v>51279000</v>
      </c>
      <c r="AG74" s="170" t="str">
        <f t="shared" si="7"/>
        <v>No</v>
      </c>
    </row>
    <row r="75" spans="1:33" ht="15" customHeight="1" x14ac:dyDescent="0.2">
      <c r="A75" s="12"/>
      <c r="B75" s="11" t="s">
        <v>1211</v>
      </c>
      <c r="C75" s="12"/>
      <c r="D75" s="84" t="s">
        <v>276</v>
      </c>
      <c r="E75" s="104">
        <v>502</v>
      </c>
      <c r="F75" s="104"/>
      <c r="G75" s="20">
        <v>1666</v>
      </c>
      <c r="H75" s="13" t="s">
        <v>3000</v>
      </c>
      <c r="I75" s="13" t="str">
        <f t="shared" si="5"/>
        <v>Western Perimeter Rd Ext. ( to )</v>
      </c>
      <c r="J75" s="12" t="s">
        <v>300</v>
      </c>
      <c r="K75" s="13" t="str">
        <f>VLOOKUP(J75,'Data-ProjectTypes'!A$3:B$13,2,FALSE)</f>
        <v>Project</v>
      </c>
      <c r="L75" s="12" t="s">
        <v>1651</v>
      </c>
      <c r="M75" s="105"/>
      <c r="N75" s="12"/>
      <c r="O75" s="12"/>
      <c r="P75" s="12"/>
      <c r="Q75" s="72"/>
      <c r="R75" s="23">
        <v>1640000</v>
      </c>
      <c r="AF75" s="19">
        <f>ROUND((Z75)*(1+'Data-CostAssumptions'!$G$3)^(AD75-'Data-CostAssumptions'!$G$4),-3)</f>
        <v>0</v>
      </c>
    </row>
  </sheetData>
  <sortState ref="A2:AG75">
    <sortCondition ref="H2:H75"/>
  </sortState>
  <conditionalFormatting sqref="H2:I51">
    <cfRule type="expression" dxfId="164" priority="14">
      <formula>B2="KILL"</formula>
    </cfRule>
  </conditionalFormatting>
  <conditionalFormatting sqref="N6:N10">
    <cfRule type="expression" dxfId="163" priority="13">
      <formula>I6="KILL"</formula>
    </cfRule>
  </conditionalFormatting>
  <conditionalFormatting sqref="M11">
    <cfRule type="expression" dxfId="162" priority="12">
      <formula>I11="KILL"</formula>
    </cfRule>
  </conditionalFormatting>
  <conditionalFormatting sqref="N11">
    <cfRule type="expression" dxfId="161" priority="11">
      <formula>I11="KILL"</formula>
    </cfRule>
  </conditionalFormatting>
  <conditionalFormatting sqref="H52:I52">
    <cfRule type="expression" dxfId="160" priority="10">
      <formula>B52="KILL"</formula>
    </cfRule>
  </conditionalFormatting>
  <conditionalFormatting sqref="H53:I60">
    <cfRule type="expression" dxfId="159" priority="9">
      <formula>B53="KILL"</formula>
    </cfRule>
  </conditionalFormatting>
  <conditionalFormatting sqref="H61:I65">
    <cfRule type="expression" dxfId="158" priority="8">
      <formula>B61="KILL"</formula>
    </cfRule>
  </conditionalFormatting>
  <conditionalFormatting sqref="H66:I66">
    <cfRule type="expression" dxfId="157" priority="7">
      <formula>B66="KILL"</formula>
    </cfRule>
  </conditionalFormatting>
  <conditionalFormatting sqref="H67:I69">
    <cfRule type="expression" dxfId="156" priority="6">
      <formula>B67="KILL"</formula>
    </cfRule>
  </conditionalFormatting>
  <conditionalFormatting sqref="H70:I73">
    <cfRule type="expression" dxfId="155" priority="5">
      <formula>B70="KILL"</formula>
    </cfRule>
  </conditionalFormatting>
  <conditionalFormatting sqref="H74:I74">
    <cfRule type="expression" dxfId="154" priority="4">
      <formula>B74="KILL"</formula>
    </cfRule>
  </conditionalFormatting>
  <conditionalFormatting sqref="H75:I75">
    <cfRule type="expression" dxfId="153" priority="3">
      <formula>B75="KILL"</formula>
    </cfRule>
  </conditionalFormatting>
  <conditionalFormatting sqref="AB2:AD74">
    <cfRule type="cellIs" dxfId="152" priority="2" operator="lessThan">
      <formula>2041</formula>
    </cfRule>
  </conditionalFormatting>
  <conditionalFormatting sqref="AG2:AG74">
    <cfRule type="cellIs" dxfId="151" priority="1" operator="equal">
      <formula>"Yes"</formula>
    </cfRule>
  </conditionalFormatting>
  <pageMargins left="0.25" right="0.25" top="0.75" bottom="0.75" header="0.3" footer="0.3"/>
  <pageSetup scale="3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21"/>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9.7109375" style="11" bestFit="1" customWidth="1"/>
    <col min="2" max="2" width="5.28515625" style="11" hidden="1" customWidth="1"/>
    <col min="3" max="3" width="6.85546875" style="11" bestFit="1" customWidth="1"/>
    <col min="4" max="4" width="10" style="11" bestFit="1" customWidth="1"/>
    <col min="5" max="5" width="9.5703125" style="11" bestFit="1" customWidth="1"/>
    <col min="6" max="6" width="8.140625" style="11" bestFit="1" customWidth="1"/>
    <col min="7" max="7" width="8" style="11" bestFit="1" customWidth="1"/>
    <col min="8" max="8" width="22.85546875" style="11" bestFit="1" customWidth="1"/>
    <col min="9" max="9" width="82.5703125" style="11" bestFit="1" customWidth="1"/>
    <col min="10" max="10" width="9.28515625" style="11" bestFit="1" customWidth="1"/>
    <col min="11" max="11" width="14" style="11" bestFit="1" customWidth="1"/>
    <col min="12" max="12" width="36.7109375" style="11" customWidth="1"/>
    <col min="13" max="13" width="55.7109375" style="11" bestFit="1" customWidth="1"/>
    <col min="14" max="14" width="27"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17.5703125" style="11" hidden="1" customWidth="1"/>
    <col min="23" max="23" width="154.42578125" style="11" hidden="1" customWidth="1"/>
    <col min="24" max="24" width="27.28515625" style="11" hidden="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hidden="1" customWidth="1"/>
    <col min="34" max="16384" width="9.140625" style="11"/>
  </cols>
  <sheetData>
    <row r="1" spans="1:33" s="160" customFormat="1" ht="14.25" x14ac:dyDescent="0.2">
      <c r="A1" s="292" t="s">
        <v>1192</v>
      </c>
      <c r="B1" s="292" t="s">
        <v>1211</v>
      </c>
      <c r="C1" s="292" t="s">
        <v>1193</v>
      </c>
      <c r="D1" s="293" t="s">
        <v>419</v>
      </c>
      <c r="E1" s="294" t="s">
        <v>1217</v>
      </c>
      <c r="F1" s="295" t="s">
        <v>1218</v>
      </c>
      <c r="G1" s="296" t="s">
        <v>3105</v>
      </c>
      <c r="H1" s="279" t="s">
        <v>1</v>
      </c>
      <c r="I1" s="279" t="s">
        <v>1739</v>
      </c>
      <c r="J1" s="279" t="s">
        <v>299</v>
      </c>
      <c r="K1" s="294" t="s">
        <v>1209</v>
      </c>
      <c r="L1" s="279" t="s">
        <v>2</v>
      </c>
      <c r="M1" s="297" t="s">
        <v>1191</v>
      </c>
      <c r="N1" s="279" t="s">
        <v>1198</v>
      </c>
      <c r="O1" s="279" t="s">
        <v>1196</v>
      </c>
      <c r="P1" s="279" t="s">
        <v>1197</v>
      </c>
      <c r="Q1" s="298" t="s">
        <v>1194</v>
      </c>
      <c r="R1" s="279" t="s">
        <v>1195</v>
      </c>
      <c r="S1" s="279" t="s">
        <v>2705</v>
      </c>
      <c r="T1" s="299" t="s">
        <v>349</v>
      </c>
      <c r="U1" s="299" t="s">
        <v>358</v>
      </c>
      <c r="V1" s="299" t="s">
        <v>434</v>
      </c>
      <c r="W1" s="299" t="s">
        <v>3251</v>
      </c>
      <c r="X1" s="299" t="s">
        <v>360</v>
      </c>
      <c r="Y1" s="279" t="s">
        <v>2703</v>
      </c>
      <c r="Z1" s="300" t="s">
        <v>3045</v>
      </c>
      <c r="AA1" s="283" t="s">
        <v>3107</v>
      </c>
      <c r="AB1" s="280" t="s">
        <v>3167</v>
      </c>
      <c r="AC1" s="280" t="s">
        <v>3117</v>
      </c>
      <c r="AD1" s="280" t="s">
        <v>3118</v>
      </c>
      <c r="AE1" s="281" t="s">
        <v>3168</v>
      </c>
      <c r="AF1" s="281" t="s">
        <v>3125</v>
      </c>
      <c r="AG1" s="282" t="s">
        <v>3155</v>
      </c>
    </row>
    <row r="2" spans="1:33" ht="15" customHeight="1" x14ac:dyDescent="0.2">
      <c r="A2" s="66">
        <v>4233712</v>
      </c>
      <c r="B2" s="66" t="s">
        <v>1211</v>
      </c>
      <c r="C2" s="66">
        <v>13033</v>
      </c>
      <c r="D2" s="86" t="s">
        <v>1732</v>
      </c>
      <c r="E2" s="73"/>
      <c r="F2" s="73"/>
      <c r="G2" s="20">
        <v>1162</v>
      </c>
      <c r="H2" s="67" t="s">
        <v>2825</v>
      </c>
      <c r="I2" s="67" t="str">
        <f t="shared" ref="I2:I21" si="0">IF(M2="@",H2&amp;" ("&amp;M2&amp;"  "&amp;N2&amp;")",H2&amp;" ("&amp;M2&amp;" to "&amp;N2&amp;")")</f>
        <v>SR 821/HEFT (@  NW 57TH Av)</v>
      </c>
      <c r="J2" s="86" t="s">
        <v>300</v>
      </c>
      <c r="K2" s="67" t="str">
        <f>VLOOKUP(J2,'Data-ProjectTypes'!A$3:B$13,2,FALSE)</f>
        <v>Project</v>
      </c>
      <c r="L2" s="87" t="s">
        <v>894</v>
      </c>
      <c r="M2" s="66" t="s">
        <v>2835</v>
      </c>
      <c r="N2" s="67" t="s">
        <v>2856</v>
      </c>
      <c r="O2" s="86" t="s">
        <v>270</v>
      </c>
      <c r="P2" s="87" t="s">
        <v>270</v>
      </c>
      <c r="Q2" s="74"/>
      <c r="R2" s="70"/>
      <c r="S2" s="12"/>
      <c r="T2" s="12"/>
      <c r="U2" s="12"/>
      <c r="V2" s="12"/>
      <c r="W2" s="12"/>
      <c r="X2" s="12"/>
      <c r="Y2" s="12"/>
      <c r="Z2" s="18">
        <f>ROUND(R2*'Data-CostAssumptions'!$C$8,-3)</f>
        <v>0</v>
      </c>
      <c r="AA2" s="11">
        <f t="shared" ref="AA2:AA21" si="1">IF(V2="",IF(W2="",0,1),1)</f>
        <v>0</v>
      </c>
      <c r="AB2" s="11">
        <v>2041</v>
      </c>
      <c r="AC2" s="11">
        <v>2041</v>
      </c>
      <c r="AD2" s="11">
        <v>2041</v>
      </c>
      <c r="AE2" s="19">
        <f>ROUND((Z2*'Data-CostAssumptions'!$G$5)*(1+'Data-CostAssumptions'!$G$3)^(AB2-'Data-CostAssumptions'!$G$4),-3)</f>
        <v>0</v>
      </c>
      <c r="AF2" s="19">
        <f>ROUND((Z2)*(1+'Data-CostAssumptions'!$G$3)^(AD2-'Data-CostAssumptions'!$G$4),-3)</f>
        <v>0</v>
      </c>
      <c r="AG2" s="170" t="str">
        <f>IF(MIN(AC2:AD2)&lt;2041,"Yes","No")</f>
        <v>No</v>
      </c>
    </row>
    <row r="3" spans="1:33" ht="15" customHeight="1" x14ac:dyDescent="0.2">
      <c r="A3" s="66">
        <v>2519381</v>
      </c>
      <c r="B3" s="66" t="s">
        <v>1211</v>
      </c>
      <c r="C3" s="66">
        <v>13034</v>
      </c>
      <c r="D3" s="86" t="s">
        <v>1732</v>
      </c>
      <c r="E3" s="73"/>
      <c r="F3" s="73"/>
      <c r="G3" s="20">
        <v>1163</v>
      </c>
      <c r="H3" s="67" t="s">
        <v>2825</v>
      </c>
      <c r="I3" s="67" t="str">
        <f t="shared" si="0"/>
        <v>SR 821/HEFT (@  SR 93/I-75 INTCHG (MP 39))</v>
      </c>
      <c r="J3" s="86" t="s">
        <v>300</v>
      </c>
      <c r="K3" s="67" t="str">
        <f>VLOOKUP(J3,'Data-ProjectTypes'!A$3:B$13,2,FALSE)</f>
        <v>Project</v>
      </c>
      <c r="L3" s="87" t="s">
        <v>894</v>
      </c>
      <c r="M3" s="66" t="s">
        <v>2835</v>
      </c>
      <c r="N3" s="67" t="s">
        <v>2942</v>
      </c>
      <c r="O3" s="86" t="s">
        <v>270</v>
      </c>
      <c r="P3" s="87" t="s">
        <v>270</v>
      </c>
      <c r="Q3" s="74"/>
      <c r="R3" s="70"/>
      <c r="S3" s="12"/>
      <c r="T3" s="12"/>
      <c r="U3" s="12"/>
      <c r="V3" s="12"/>
      <c r="W3" s="12"/>
      <c r="X3" s="12"/>
      <c r="Y3" s="12"/>
      <c r="Z3" s="18">
        <f>ROUND(R3*'Data-CostAssumptions'!$C$8,-3)</f>
        <v>0</v>
      </c>
      <c r="AA3" s="11">
        <f t="shared" si="1"/>
        <v>0</v>
      </c>
      <c r="AB3" s="11">
        <v>2041</v>
      </c>
      <c r="AC3" s="11">
        <v>2041</v>
      </c>
      <c r="AD3" s="11">
        <v>2041</v>
      </c>
      <c r="AE3" s="19">
        <f>ROUND((Z3*'Data-CostAssumptions'!$G$5)*(1+'Data-CostAssumptions'!$G$3)^(AB3-'Data-CostAssumptions'!$G$4),-3)</f>
        <v>0</v>
      </c>
      <c r="AF3" s="19">
        <f>ROUND((Z3)*(1+'Data-CostAssumptions'!$G$3)^(AD3-'Data-CostAssumptions'!$G$4),-3)</f>
        <v>0</v>
      </c>
      <c r="AG3" s="170" t="str">
        <f t="shared" ref="AG3:AG21" si="2">IF(MIN(AC3:AD3)&lt;2041,"Yes","No")</f>
        <v>No</v>
      </c>
    </row>
    <row r="4" spans="1:33" ht="15" customHeight="1" x14ac:dyDescent="0.2">
      <c r="A4" s="66">
        <v>4293281</v>
      </c>
      <c r="B4" s="66" t="s">
        <v>1211</v>
      </c>
      <c r="C4" s="66">
        <v>13032</v>
      </c>
      <c r="D4" s="86" t="s">
        <v>1732</v>
      </c>
      <c r="E4" s="73"/>
      <c r="F4" s="73"/>
      <c r="G4" s="20">
        <v>1161</v>
      </c>
      <c r="H4" s="67" t="s">
        <v>2825</v>
      </c>
      <c r="I4" s="67" t="str">
        <f t="shared" si="0"/>
        <v>SR 821/HEFT (Miramar Toll Plaza (MP43-4) to NW 57 Av)</v>
      </c>
      <c r="J4" s="86" t="s">
        <v>300</v>
      </c>
      <c r="K4" s="67" t="str">
        <f>VLOOKUP(J4,'Data-ProjectTypes'!A$3:B$13,2,FALSE)</f>
        <v>Project</v>
      </c>
      <c r="L4" s="87" t="s">
        <v>898</v>
      </c>
      <c r="M4" s="66" t="s">
        <v>2824</v>
      </c>
      <c r="N4" s="66" t="s">
        <v>2823</v>
      </c>
      <c r="O4" s="86" t="s">
        <v>270</v>
      </c>
      <c r="P4" s="87" t="s">
        <v>270</v>
      </c>
      <c r="Q4" s="74">
        <v>1</v>
      </c>
      <c r="R4" s="70"/>
      <c r="S4" s="12"/>
      <c r="T4" s="12"/>
      <c r="U4" s="12"/>
      <c r="V4" s="12"/>
      <c r="W4" s="12"/>
      <c r="X4" s="12"/>
      <c r="Y4" s="12"/>
      <c r="Z4" s="18">
        <f>ROUND(R4*'Data-CostAssumptions'!$C$8,-3)</f>
        <v>0</v>
      </c>
      <c r="AA4" s="11">
        <f t="shared" si="1"/>
        <v>0</v>
      </c>
      <c r="AB4" s="11">
        <v>2041</v>
      </c>
      <c r="AC4" s="11">
        <v>2041</v>
      </c>
      <c r="AD4" s="11">
        <v>2041</v>
      </c>
      <c r="AE4" s="19">
        <f>ROUND((Z4*'Data-CostAssumptions'!$G$5)*(1+'Data-CostAssumptions'!$G$3)^(AB4-'Data-CostAssumptions'!$G$4),-3)</f>
        <v>0</v>
      </c>
      <c r="AF4" s="19">
        <f>ROUND((Z4)*(1+'Data-CostAssumptions'!$G$3)^(AD4-'Data-CostAssumptions'!$G$4),-3)</f>
        <v>0</v>
      </c>
      <c r="AG4" s="170" t="str">
        <f t="shared" si="2"/>
        <v>No</v>
      </c>
    </row>
    <row r="5" spans="1:33" ht="15" customHeight="1" x14ac:dyDescent="0.2">
      <c r="B5" s="11" t="s">
        <v>1211</v>
      </c>
      <c r="C5" s="11">
        <v>13516</v>
      </c>
      <c r="D5" s="84" t="s">
        <v>1733</v>
      </c>
      <c r="E5" s="14"/>
      <c r="F5" s="14"/>
      <c r="G5" s="20">
        <v>1300</v>
      </c>
      <c r="H5" s="13" t="s">
        <v>2732</v>
      </c>
      <c r="I5" s="13" t="str">
        <f t="shared" si="0"/>
        <v>SR 91/Florida's Turnpike (@  1A / Sunrise Bl.)</v>
      </c>
      <c r="J5" s="84" t="s">
        <v>300</v>
      </c>
      <c r="K5" s="13" t="str">
        <f>VLOOKUP(J5,'Data-ProjectTypes'!A$3:B$13,2,FALSE)</f>
        <v>Project</v>
      </c>
      <c r="L5" s="85" t="s">
        <v>1098</v>
      </c>
      <c r="M5" s="11" t="s">
        <v>2835</v>
      </c>
      <c r="N5" s="11" t="s">
        <v>2323</v>
      </c>
      <c r="O5" s="84" t="s">
        <v>1102</v>
      </c>
      <c r="P5" s="84" t="s">
        <v>1102</v>
      </c>
      <c r="Q5" s="15">
        <v>0.5</v>
      </c>
      <c r="R5" s="23">
        <v>25000000</v>
      </c>
      <c r="S5" s="12"/>
      <c r="T5" s="12"/>
      <c r="U5" s="12"/>
      <c r="V5" s="12"/>
      <c r="W5" s="12"/>
      <c r="X5" s="12"/>
      <c r="Y5" s="12"/>
      <c r="Z5" s="18">
        <f>ROUND(R5*'Data-CostAssumptions'!$C$8,-3)</f>
        <v>25000000</v>
      </c>
      <c r="AA5" s="11">
        <f t="shared" si="1"/>
        <v>0</v>
      </c>
      <c r="AB5" s="11">
        <v>2041</v>
      </c>
      <c r="AC5" s="11">
        <v>2041</v>
      </c>
      <c r="AD5" s="11">
        <v>2041</v>
      </c>
      <c r="AE5" s="19">
        <f>ROUND((Z5*'Data-CostAssumptions'!$G$5)*(1+'Data-CostAssumptions'!$G$3)^(AB5-'Data-CostAssumptions'!$G$4),-3)</f>
        <v>14102000</v>
      </c>
      <c r="AF5" s="19">
        <f>ROUND((Z5)*(1+'Data-CostAssumptions'!$G$3)^(AD5-'Data-CostAssumptions'!$G$4),-3)</f>
        <v>64099000</v>
      </c>
      <c r="AG5" s="170" t="str">
        <f t="shared" si="2"/>
        <v>No</v>
      </c>
    </row>
    <row r="6" spans="1:33" ht="15" customHeight="1" x14ac:dyDescent="0.2">
      <c r="A6" s="11" t="s">
        <v>1100</v>
      </c>
      <c r="B6" s="11" t="s">
        <v>1211</v>
      </c>
      <c r="C6" s="11">
        <v>13515</v>
      </c>
      <c r="D6" s="84" t="s">
        <v>1733</v>
      </c>
      <c r="E6" s="14"/>
      <c r="F6" s="14"/>
      <c r="G6" s="20">
        <v>1299</v>
      </c>
      <c r="H6" s="13" t="s">
        <v>2732</v>
      </c>
      <c r="I6" s="13" t="str">
        <f t="shared" si="0"/>
        <v>SR 91/Florida's Turnpike (@  58 / Sunrise Bl.)</v>
      </c>
      <c r="J6" s="84" t="s">
        <v>300</v>
      </c>
      <c r="K6" s="13" t="str">
        <f>VLOOKUP(J6,'Data-ProjectTypes'!A$3:B$13,2,FALSE)</f>
        <v>Project</v>
      </c>
      <c r="L6" s="85" t="s">
        <v>1099</v>
      </c>
      <c r="M6" s="11" t="s">
        <v>2835</v>
      </c>
      <c r="N6" s="11" t="s">
        <v>2322</v>
      </c>
      <c r="O6" s="84" t="s">
        <v>1102</v>
      </c>
      <c r="P6" s="84" t="s">
        <v>1102</v>
      </c>
      <c r="Q6" s="15">
        <v>0.5</v>
      </c>
      <c r="R6" s="23">
        <v>25000000</v>
      </c>
      <c r="S6" s="12"/>
      <c r="T6" s="12"/>
      <c r="U6" s="12"/>
      <c r="V6" s="12"/>
      <c r="W6" s="12"/>
      <c r="X6" s="12"/>
      <c r="Y6" s="12"/>
      <c r="Z6" s="18">
        <f>ROUND(R6*'Data-CostAssumptions'!$C$8,-3)</f>
        <v>25000000</v>
      </c>
      <c r="AA6" s="11">
        <f t="shared" si="1"/>
        <v>0</v>
      </c>
      <c r="AB6" s="11">
        <v>2041</v>
      </c>
      <c r="AC6" s="11">
        <v>2041</v>
      </c>
      <c r="AD6" s="11">
        <v>2041</v>
      </c>
      <c r="AE6" s="19">
        <f>ROUND((Z6*'Data-CostAssumptions'!$G$5)*(1+'Data-CostAssumptions'!$G$3)^(AB6-'Data-CostAssumptions'!$G$4),-3)</f>
        <v>14102000</v>
      </c>
      <c r="AF6" s="19">
        <f>ROUND((Z6)*(1+'Data-CostAssumptions'!$G$3)^(AD6-'Data-CostAssumptions'!$G$4),-3)</f>
        <v>64099000</v>
      </c>
      <c r="AG6" s="170" t="str">
        <f t="shared" si="2"/>
        <v>No</v>
      </c>
    </row>
    <row r="7" spans="1:33" ht="15" customHeight="1" x14ac:dyDescent="0.2">
      <c r="B7" s="11" t="s">
        <v>1211</v>
      </c>
      <c r="C7" s="11">
        <v>13514</v>
      </c>
      <c r="D7" s="84" t="s">
        <v>1733</v>
      </c>
      <c r="E7" s="14"/>
      <c r="F7" s="14"/>
      <c r="G7" s="20">
        <v>1298</v>
      </c>
      <c r="H7" s="13" t="s">
        <v>2732</v>
      </c>
      <c r="I7" s="13" t="str">
        <f t="shared" si="0"/>
        <v>SR 91/Florida's Turnpike (@  62 / Commercial Bl.)</v>
      </c>
      <c r="J7" s="84" t="s">
        <v>300</v>
      </c>
      <c r="K7" s="13" t="str">
        <f>VLOOKUP(J7,'Data-ProjectTypes'!A$3:B$13,2,FALSE)</f>
        <v>Project</v>
      </c>
      <c r="L7" s="85" t="s">
        <v>1101</v>
      </c>
      <c r="M7" s="11" t="s">
        <v>2835</v>
      </c>
      <c r="N7" s="11" t="s">
        <v>2321</v>
      </c>
      <c r="O7" s="84" t="s">
        <v>1102</v>
      </c>
      <c r="P7" s="84" t="s">
        <v>1102</v>
      </c>
      <c r="Q7" s="15">
        <v>0.5</v>
      </c>
      <c r="R7" s="23">
        <v>50000000</v>
      </c>
      <c r="S7" s="12"/>
      <c r="T7" s="12"/>
      <c r="U7" s="12"/>
      <c r="V7" s="12"/>
      <c r="W7" s="12"/>
      <c r="X7" s="12"/>
      <c r="Y7" s="12"/>
      <c r="Z7" s="18">
        <f>ROUND(R7*'Data-CostAssumptions'!$C$8,-3)</f>
        <v>50000000</v>
      </c>
      <c r="AA7" s="11">
        <f t="shared" si="1"/>
        <v>0</v>
      </c>
      <c r="AB7" s="11">
        <v>2041</v>
      </c>
      <c r="AC7" s="11">
        <v>2041</v>
      </c>
      <c r="AD7" s="11">
        <v>2041</v>
      </c>
      <c r="AE7" s="19">
        <f>ROUND((Z7*'Data-CostAssumptions'!$G$5)*(1+'Data-CostAssumptions'!$G$3)^(AB7-'Data-CostAssumptions'!$G$4),-3)</f>
        <v>28203000</v>
      </c>
      <c r="AF7" s="19">
        <f>ROUND((Z7)*(1+'Data-CostAssumptions'!$G$3)^(AD7-'Data-CostAssumptions'!$G$4),-3)</f>
        <v>128197000</v>
      </c>
      <c r="AG7" s="170" t="str">
        <f t="shared" si="2"/>
        <v>No</v>
      </c>
    </row>
    <row r="8" spans="1:33" ht="15" customHeight="1" x14ac:dyDescent="0.2">
      <c r="B8" s="11" t="s">
        <v>1211</v>
      </c>
      <c r="C8" s="11">
        <v>13513</v>
      </c>
      <c r="D8" s="84" t="s">
        <v>1733</v>
      </c>
      <c r="E8" s="14"/>
      <c r="F8" s="14"/>
      <c r="G8" s="20">
        <v>1297</v>
      </c>
      <c r="H8" s="13" t="s">
        <v>2732</v>
      </c>
      <c r="I8" s="13" t="str">
        <f t="shared" si="0"/>
        <v>SR 91/Florida's Turnpike (@  71 / Sawgrass Expwy)</v>
      </c>
      <c r="J8" s="84" t="s">
        <v>300</v>
      </c>
      <c r="K8" s="13" t="str">
        <f>VLOOKUP(J8,'Data-ProjectTypes'!A$3:B$13,2,FALSE)</f>
        <v>Project</v>
      </c>
      <c r="L8" s="85" t="s">
        <v>1098</v>
      </c>
      <c r="M8" s="11" t="s">
        <v>2835</v>
      </c>
      <c r="N8" s="11" t="s">
        <v>1093</v>
      </c>
      <c r="O8" s="84" t="s">
        <v>1102</v>
      </c>
      <c r="P8" s="84" t="s">
        <v>1102</v>
      </c>
      <c r="Q8" s="15">
        <v>0.5</v>
      </c>
      <c r="R8" s="23">
        <v>25000000</v>
      </c>
      <c r="S8" s="12"/>
      <c r="T8" s="12"/>
      <c r="U8" s="12"/>
      <c r="V8" s="12"/>
      <c r="W8" s="12"/>
      <c r="X8" s="12"/>
      <c r="Y8" s="12"/>
      <c r="Z8" s="18">
        <f>ROUND(R8*'Data-CostAssumptions'!$C$8,-3)</f>
        <v>25000000</v>
      </c>
      <c r="AA8" s="11">
        <f t="shared" si="1"/>
        <v>0</v>
      </c>
      <c r="AB8" s="11">
        <v>2041</v>
      </c>
      <c r="AC8" s="11">
        <v>2041</v>
      </c>
      <c r="AD8" s="11">
        <v>2041</v>
      </c>
      <c r="AE8" s="19">
        <f>ROUND((Z8*'Data-CostAssumptions'!$G$5)*(1+'Data-CostAssumptions'!$G$3)^(AB8-'Data-CostAssumptions'!$G$4),-3)</f>
        <v>14102000</v>
      </c>
      <c r="AF8" s="19">
        <f>ROUND((Z8)*(1+'Data-CostAssumptions'!$G$3)^(AD8-'Data-CostAssumptions'!$G$4),-3)</f>
        <v>64099000</v>
      </c>
      <c r="AG8" s="170" t="str">
        <f t="shared" si="2"/>
        <v>No</v>
      </c>
    </row>
    <row r="9" spans="1:33" ht="15" customHeight="1" x14ac:dyDescent="0.2">
      <c r="A9" s="11">
        <v>4193361</v>
      </c>
      <c r="B9" s="11" t="s">
        <v>1211</v>
      </c>
      <c r="C9" s="11">
        <v>13039</v>
      </c>
      <c r="D9" s="84" t="s">
        <v>1732</v>
      </c>
      <c r="E9" s="14"/>
      <c r="F9" s="14"/>
      <c r="G9" s="20">
        <v>1166</v>
      </c>
      <c r="H9" s="13" t="s">
        <v>2732</v>
      </c>
      <c r="I9" s="13" t="str">
        <f t="shared" si="0"/>
        <v>SR 91/Florida's Turnpike (@  Griffin/I-595 Ramps)</v>
      </c>
      <c r="J9" s="84" t="s">
        <v>300</v>
      </c>
      <c r="K9" s="13" t="str">
        <f>VLOOKUP(J9,'Data-ProjectTypes'!A$3:B$13,2,FALSE)</f>
        <v>Project</v>
      </c>
      <c r="L9" s="85" t="s">
        <v>894</v>
      </c>
      <c r="M9" s="11" t="s">
        <v>2835</v>
      </c>
      <c r="N9" s="11" t="s">
        <v>2991</v>
      </c>
      <c r="O9" s="84" t="s">
        <v>270</v>
      </c>
      <c r="P9" s="85" t="s">
        <v>270</v>
      </c>
      <c r="Q9" s="15">
        <v>0.5</v>
      </c>
      <c r="R9" s="23">
        <v>25000000</v>
      </c>
      <c r="S9" s="12"/>
      <c r="T9" s="12"/>
      <c r="U9" s="12"/>
      <c r="V9" s="12"/>
      <c r="W9" s="12"/>
      <c r="X9" s="12"/>
      <c r="Y9" s="12"/>
      <c r="Z9" s="18">
        <f>ROUND(R9*'Data-CostAssumptions'!$C$8,-3)</f>
        <v>25000000</v>
      </c>
      <c r="AA9" s="11">
        <f t="shared" si="1"/>
        <v>0</v>
      </c>
      <c r="AB9" s="11">
        <v>2041</v>
      </c>
      <c r="AC9" s="11">
        <v>2041</v>
      </c>
      <c r="AD9" s="11">
        <v>2041</v>
      </c>
      <c r="AE9" s="19">
        <f>ROUND((Z9*'Data-CostAssumptions'!$G$5)*(1+'Data-CostAssumptions'!$G$3)^(AB9-'Data-CostAssumptions'!$G$4),-3)</f>
        <v>14102000</v>
      </c>
      <c r="AF9" s="19">
        <f>ROUND((Z9)*(1+'Data-CostAssumptions'!$G$3)^(AD9-'Data-CostAssumptions'!$G$4),-3)</f>
        <v>64099000</v>
      </c>
      <c r="AG9" s="170" t="str">
        <f t="shared" si="2"/>
        <v>No</v>
      </c>
    </row>
    <row r="10" spans="1:33" ht="15" customHeight="1" x14ac:dyDescent="0.2">
      <c r="A10" s="11" t="s">
        <v>1079</v>
      </c>
      <c r="B10" s="11" t="s">
        <v>1211</v>
      </c>
      <c r="C10" s="11">
        <v>13506</v>
      </c>
      <c r="D10" s="84" t="s">
        <v>1733</v>
      </c>
      <c r="E10" s="14"/>
      <c r="F10" s="14"/>
      <c r="G10" s="20">
        <v>1290</v>
      </c>
      <c r="H10" s="13" t="s">
        <v>2732</v>
      </c>
      <c r="I10" s="13" t="str">
        <f t="shared" si="0"/>
        <v>SR 91/Florida's Turnpike (@  MP47 / HEFT @ Mainline)</v>
      </c>
      <c r="J10" s="84" t="s">
        <v>300</v>
      </c>
      <c r="K10" s="13" t="str">
        <f>VLOOKUP(J10,'Data-ProjectTypes'!A$3:B$13,2,FALSE)</f>
        <v>Project</v>
      </c>
      <c r="L10" s="85" t="s">
        <v>1082</v>
      </c>
      <c r="M10" s="11" t="s">
        <v>2835</v>
      </c>
      <c r="N10" s="11" t="s">
        <v>2950</v>
      </c>
      <c r="O10" s="84" t="s">
        <v>1102</v>
      </c>
      <c r="P10" s="84" t="s">
        <v>1102</v>
      </c>
      <c r="Q10" s="15">
        <v>0.5</v>
      </c>
      <c r="R10" s="23">
        <v>25000000</v>
      </c>
      <c r="S10" s="12"/>
      <c r="T10" s="12"/>
      <c r="U10" s="12"/>
      <c r="V10" s="12"/>
      <c r="W10" s="12"/>
      <c r="X10" s="12"/>
      <c r="Y10" s="12"/>
      <c r="Z10" s="18">
        <f>ROUND(R10*'Data-CostAssumptions'!$C$8,-3)</f>
        <v>25000000</v>
      </c>
      <c r="AA10" s="11">
        <f t="shared" si="1"/>
        <v>0</v>
      </c>
      <c r="AB10" s="11">
        <v>2041</v>
      </c>
      <c r="AC10" s="11">
        <v>2041</v>
      </c>
      <c r="AD10" s="11">
        <v>2041</v>
      </c>
      <c r="AE10" s="19">
        <f>ROUND((Z10*'Data-CostAssumptions'!$G$5)*(1+'Data-CostAssumptions'!$G$3)^(AB10-'Data-CostAssumptions'!$G$4),-3)</f>
        <v>14102000</v>
      </c>
      <c r="AF10" s="19">
        <f>ROUND((Z10)*(1+'Data-CostAssumptions'!$G$3)^(AD10-'Data-CostAssumptions'!$G$4),-3)</f>
        <v>64099000</v>
      </c>
      <c r="AG10" s="170" t="str">
        <f t="shared" si="2"/>
        <v>No</v>
      </c>
    </row>
    <row r="11" spans="1:33" ht="15" customHeight="1" x14ac:dyDescent="0.2">
      <c r="A11" s="11" t="s">
        <v>1080</v>
      </c>
      <c r="B11" s="11" t="s">
        <v>1211</v>
      </c>
      <c r="C11" s="11">
        <v>13505</v>
      </c>
      <c r="D11" s="84" t="s">
        <v>1733</v>
      </c>
      <c r="E11" s="14"/>
      <c r="F11" s="14"/>
      <c r="G11" s="20">
        <v>1289</v>
      </c>
      <c r="H11" s="13" t="s">
        <v>2732</v>
      </c>
      <c r="I11" s="13" t="str">
        <f t="shared" si="0"/>
        <v>SR 91/Florida's Turnpike (@  MP49 / Hollywood Bl.)</v>
      </c>
      <c r="J11" s="84" t="s">
        <v>300</v>
      </c>
      <c r="K11" s="13" t="str">
        <f>VLOOKUP(J11,'Data-ProjectTypes'!A$3:B$13,2,FALSE)</f>
        <v>Project</v>
      </c>
      <c r="L11" s="85" t="s">
        <v>1081</v>
      </c>
      <c r="M11" s="11" t="s">
        <v>2835</v>
      </c>
      <c r="N11" s="11" t="s">
        <v>2932</v>
      </c>
      <c r="O11" s="84" t="s">
        <v>1102</v>
      </c>
      <c r="P11" s="84" t="s">
        <v>1102</v>
      </c>
      <c r="Q11" s="15">
        <v>0.5</v>
      </c>
      <c r="R11" s="16">
        <v>77300000</v>
      </c>
      <c r="S11" s="12"/>
      <c r="T11" s="12"/>
      <c r="U11" s="12"/>
      <c r="V11" s="12"/>
      <c r="W11" s="12"/>
      <c r="X11" s="12"/>
      <c r="Y11" s="12"/>
      <c r="Z11" s="18">
        <f>ROUND(R11*'Data-CostAssumptions'!$C$8,-3)</f>
        <v>77300000</v>
      </c>
      <c r="AA11" s="11">
        <f t="shared" si="1"/>
        <v>0</v>
      </c>
      <c r="AB11" s="11">
        <v>2041</v>
      </c>
      <c r="AC11" s="11">
        <v>2041</v>
      </c>
      <c r="AD11" s="11">
        <v>2041</v>
      </c>
      <c r="AE11" s="19">
        <f>ROUND((Z11*'Data-CostAssumptions'!$G$5)*(1+'Data-CostAssumptions'!$G$3)^(AB11-'Data-CostAssumptions'!$G$4),-3)</f>
        <v>43603000</v>
      </c>
      <c r="AF11" s="19">
        <f>ROUND((Z11)*(1+'Data-CostAssumptions'!$G$3)^(AD11-'Data-CostAssumptions'!$G$4),-3)</f>
        <v>198193000</v>
      </c>
      <c r="AG11" s="170" t="str">
        <f t="shared" si="2"/>
        <v>No</v>
      </c>
    </row>
    <row r="12" spans="1:33" ht="15" customHeight="1" x14ac:dyDescent="0.2">
      <c r="A12" s="11" t="s">
        <v>1088</v>
      </c>
      <c r="B12" s="11" t="s">
        <v>1211</v>
      </c>
      <c r="C12" s="11">
        <v>13509</v>
      </c>
      <c r="D12" s="84" t="s">
        <v>1733</v>
      </c>
      <c r="E12" s="14"/>
      <c r="F12" s="14"/>
      <c r="G12" s="20">
        <v>1293</v>
      </c>
      <c r="H12" s="13" t="s">
        <v>2732</v>
      </c>
      <c r="I12" s="13" t="str">
        <f t="shared" si="0"/>
        <v>SR 91/Florida's Turnpike (26-47 / HEFT, from S.R. 836 to Turnpike Mainline - All Plazas to )</v>
      </c>
      <c r="J12" s="84" t="s">
        <v>300</v>
      </c>
      <c r="K12" s="13" t="str">
        <f>VLOOKUP(J12,'Data-ProjectTypes'!A$3:B$13,2,FALSE)</f>
        <v>Project</v>
      </c>
      <c r="L12" s="85" t="s">
        <v>1089</v>
      </c>
      <c r="M12" s="11" t="s">
        <v>1090</v>
      </c>
      <c r="O12" s="84" t="s">
        <v>1102</v>
      </c>
      <c r="P12" s="84" t="s">
        <v>1102</v>
      </c>
      <c r="Q12" s="15">
        <v>21</v>
      </c>
      <c r="R12" s="16">
        <v>24900000</v>
      </c>
      <c r="S12" s="12"/>
      <c r="T12" s="12"/>
      <c r="U12" s="12"/>
      <c r="V12" s="12"/>
      <c r="W12" s="12"/>
      <c r="X12" s="12"/>
      <c r="Y12" s="12"/>
      <c r="Z12" s="18">
        <f>ROUND(R12*'Data-CostAssumptions'!$C$8,-3)</f>
        <v>24900000</v>
      </c>
      <c r="AA12" s="11">
        <f t="shared" si="1"/>
        <v>0</v>
      </c>
      <c r="AB12" s="11">
        <v>2041</v>
      </c>
      <c r="AC12" s="11">
        <v>2041</v>
      </c>
      <c r="AD12" s="11">
        <v>2041</v>
      </c>
      <c r="AE12" s="19">
        <f>ROUND((Z12*'Data-CostAssumptions'!$G$5)*(1+'Data-CostAssumptions'!$G$3)^(AB12-'Data-CostAssumptions'!$G$4),-3)</f>
        <v>14045000</v>
      </c>
      <c r="AF12" s="19">
        <f>ROUND((Z12)*(1+'Data-CostAssumptions'!$G$3)^(AD12-'Data-CostAssumptions'!$G$4),-3)</f>
        <v>63842000</v>
      </c>
      <c r="AG12" s="170" t="str">
        <f t="shared" si="2"/>
        <v>No</v>
      </c>
    </row>
    <row r="13" spans="1:33" ht="15" customHeight="1" x14ac:dyDescent="0.2">
      <c r="A13" s="11" t="s">
        <v>1095</v>
      </c>
      <c r="B13" s="11" t="s">
        <v>1211</v>
      </c>
      <c r="C13" s="11">
        <v>13512</v>
      </c>
      <c r="D13" s="84" t="s">
        <v>1733</v>
      </c>
      <c r="E13" s="14"/>
      <c r="F13" s="14"/>
      <c r="G13" s="20">
        <v>1296</v>
      </c>
      <c r="H13" s="13" t="s">
        <v>2732</v>
      </c>
      <c r="I13" s="13" t="str">
        <f t="shared" si="0"/>
        <v>SR 91/Florida's Turnpike (39 / Interstate 75 to 45 / E. of NW 57th Av)</v>
      </c>
      <c r="J13" s="84" t="s">
        <v>300</v>
      </c>
      <c r="K13" s="13" t="str">
        <f>VLOOKUP(J13,'Data-ProjectTypes'!A$3:B$13,2,FALSE)</f>
        <v>Project</v>
      </c>
      <c r="L13" s="85" t="s">
        <v>1096</v>
      </c>
      <c r="M13" s="11" t="s">
        <v>1097</v>
      </c>
      <c r="N13" s="11" t="s">
        <v>2273</v>
      </c>
      <c r="O13" s="84" t="s">
        <v>1102</v>
      </c>
      <c r="P13" s="84" t="s">
        <v>1102</v>
      </c>
      <c r="Q13" s="15">
        <v>6</v>
      </c>
      <c r="R13" s="23">
        <f>+Q13*12875000</f>
        <v>77250000</v>
      </c>
      <c r="S13" s="12"/>
      <c r="T13" s="12"/>
      <c r="U13" s="12"/>
      <c r="V13" s="12"/>
      <c r="W13" s="12"/>
      <c r="X13" s="12"/>
      <c r="Y13" s="12"/>
      <c r="Z13" s="18">
        <f>ROUND(R13*'Data-CostAssumptions'!$C$8,-3)</f>
        <v>77250000</v>
      </c>
      <c r="AA13" s="11">
        <f t="shared" si="1"/>
        <v>0</v>
      </c>
      <c r="AB13" s="11">
        <v>2041</v>
      </c>
      <c r="AC13" s="11">
        <v>2041</v>
      </c>
      <c r="AD13" s="11">
        <v>2041</v>
      </c>
      <c r="AE13" s="19">
        <f>ROUND((Z13*'Data-CostAssumptions'!$G$5)*(1+'Data-CostAssumptions'!$G$3)^(AB13-'Data-CostAssumptions'!$G$4),-3)</f>
        <v>43574000</v>
      </c>
      <c r="AF13" s="19">
        <f>ROUND((Z13)*(1+'Data-CostAssumptions'!$G$3)^(AD13-'Data-CostAssumptions'!$G$4),-3)</f>
        <v>198065000</v>
      </c>
      <c r="AG13" s="170" t="str">
        <f t="shared" si="2"/>
        <v>No</v>
      </c>
    </row>
    <row r="14" spans="1:33" ht="15" customHeight="1" x14ac:dyDescent="0.2">
      <c r="A14" s="11" t="s">
        <v>1083</v>
      </c>
      <c r="B14" s="11" t="s">
        <v>1211</v>
      </c>
      <c r="C14" s="11">
        <v>13507</v>
      </c>
      <c r="D14" s="84" t="s">
        <v>1733</v>
      </c>
      <c r="E14" s="14"/>
      <c r="F14" s="14"/>
      <c r="G14" s="20">
        <v>1291</v>
      </c>
      <c r="H14" s="13" t="s">
        <v>2732</v>
      </c>
      <c r="I14" s="13" t="str">
        <f t="shared" si="0"/>
        <v>SR 91/Florida's Turnpike (54-86 / Turnpike Mainline - 0-20  / Sawgrass Expressway to )</v>
      </c>
      <c r="J14" s="84" t="s">
        <v>300</v>
      </c>
      <c r="K14" s="13" t="str">
        <f>VLOOKUP(J14,'Data-ProjectTypes'!A$3:B$13,2,FALSE)</f>
        <v>Project</v>
      </c>
      <c r="L14" s="85" t="s">
        <v>1084</v>
      </c>
      <c r="M14" s="11" t="s">
        <v>1085</v>
      </c>
      <c r="O14" s="84" t="s">
        <v>1102</v>
      </c>
      <c r="P14" s="84" t="s">
        <v>1102</v>
      </c>
      <c r="Q14" s="15">
        <v>32</v>
      </c>
      <c r="R14" s="16">
        <v>70100000</v>
      </c>
      <c r="S14" s="12"/>
      <c r="T14" s="12"/>
      <c r="U14" s="12"/>
      <c r="V14" s="12"/>
      <c r="W14" s="12"/>
      <c r="X14" s="12"/>
      <c r="Y14" s="12"/>
      <c r="Z14" s="18">
        <f>ROUND(R14*'Data-CostAssumptions'!$C$8,-3)</f>
        <v>70100000</v>
      </c>
      <c r="AA14" s="11">
        <f t="shared" si="1"/>
        <v>0</v>
      </c>
      <c r="AB14" s="11">
        <v>2041</v>
      </c>
      <c r="AC14" s="11">
        <v>2041</v>
      </c>
      <c r="AD14" s="11">
        <v>2041</v>
      </c>
      <c r="AE14" s="19">
        <f>ROUND((Z14*'Data-CostAssumptions'!$G$5)*(1+'Data-CostAssumptions'!$G$3)^(AB14-'Data-CostAssumptions'!$G$4),-3)</f>
        <v>39541000</v>
      </c>
      <c r="AF14" s="19">
        <f>ROUND((Z14)*(1+'Data-CostAssumptions'!$G$3)^(AD14-'Data-CostAssumptions'!$G$4),-3)</f>
        <v>179733000</v>
      </c>
      <c r="AG14" s="170" t="str">
        <f t="shared" si="2"/>
        <v>No</v>
      </c>
    </row>
    <row r="15" spans="1:33" ht="15" customHeight="1" x14ac:dyDescent="0.2">
      <c r="A15" s="11" t="s">
        <v>1094</v>
      </c>
      <c r="B15" s="11" t="s">
        <v>1211</v>
      </c>
      <c r="C15" s="11">
        <v>13511</v>
      </c>
      <c r="D15" s="84" t="s">
        <v>1733</v>
      </c>
      <c r="E15" s="14"/>
      <c r="F15" s="14"/>
      <c r="G15" s="20">
        <v>1295</v>
      </c>
      <c r="H15" s="13" t="s">
        <v>2732</v>
      </c>
      <c r="I15" s="13" t="str">
        <f t="shared" si="0"/>
        <v>SR 91/Florida's Turnpike (66 / N. of Atlantic Bl. to 71 / Sawgrass Expwy)</v>
      </c>
      <c r="J15" s="84" t="s">
        <v>300</v>
      </c>
      <c r="K15" s="13" t="str">
        <f>VLOOKUP(J15,'Data-ProjectTypes'!A$3:B$13,2,FALSE)</f>
        <v>Project</v>
      </c>
      <c r="L15" s="85" t="s">
        <v>1075</v>
      </c>
      <c r="M15" s="11" t="s">
        <v>2320</v>
      </c>
      <c r="N15" s="11" t="s">
        <v>1093</v>
      </c>
      <c r="O15" s="84" t="s">
        <v>1102</v>
      </c>
      <c r="P15" s="84" t="s">
        <v>1102</v>
      </c>
      <c r="Q15" s="15">
        <v>5</v>
      </c>
      <c r="R15" s="23">
        <f>+Q15*12875000</f>
        <v>64375000</v>
      </c>
      <c r="S15" s="12"/>
      <c r="T15" s="12"/>
      <c r="U15" s="12"/>
      <c r="V15" s="12"/>
      <c r="W15" s="12"/>
      <c r="X15" s="12"/>
      <c r="Y15" s="12"/>
      <c r="Z15" s="18">
        <f>ROUND(R15*'Data-CostAssumptions'!$C$8,-3)</f>
        <v>64375000</v>
      </c>
      <c r="AA15" s="11">
        <f t="shared" si="1"/>
        <v>0</v>
      </c>
      <c r="AB15" s="11">
        <v>2041</v>
      </c>
      <c r="AC15" s="11">
        <v>2041</v>
      </c>
      <c r="AD15" s="11">
        <v>2041</v>
      </c>
      <c r="AE15" s="19">
        <f>ROUND((Z15*'Data-CostAssumptions'!$G$5)*(1+'Data-CostAssumptions'!$G$3)^(AB15-'Data-CostAssumptions'!$G$4),-3)</f>
        <v>36312000</v>
      </c>
      <c r="AF15" s="19">
        <f>ROUND((Z15)*(1+'Data-CostAssumptions'!$G$3)^(AD15-'Data-CostAssumptions'!$G$4),-3)</f>
        <v>165054000</v>
      </c>
      <c r="AG15" s="170" t="str">
        <f t="shared" si="2"/>
        <v>No</v>
      </c>
    </row>
    <row r="16" spans="1:33" ht="15" customHeight="1" x14ac:dyDescent="0.2">
      <c r="A16" s="11" t="s">
        <v>1091</v>
      </c>
      <c r="B16" s="11" t="s">
        <v>1211</v>
      </c>
      <c r="C16" s="11">
        <v>13510</v>
      </c>
      <c r="D16" s="84" t="s">
        <v>1733</v>
      </c>
      <c r="E16" s="14"/>
      <c r="F16" s="14"/>
      <c r="G16" s="20">
        <v>1294</v>
      </c>
      <c r="H16" s="13" t="s">
        <v>2732</v>
      </c>
      <c r="I16" s="13" t="str">
        <f t="shared" si="0"/>
        <v>SR 91/Florida's Turnpike (71 / Sawgrass Expwy to 73 / Palm Bch. Co. Line)</v>
      </c>
      <c r="J16" s="84" t="s">
        <v>300</v>
      </c>
      <c r="K16" s="13" t="str">
        <f>VLOOKUP(J16,'Data-ProjectTypes'!A$3:B$13,2,FALSE)</f>
        <v>Project</v>
      </c>
      <c r="L16" s="85" t="s">
        <v>1075</v>
      </c>
      <c r="M16" s="11" t="s">
        <v>1093</v>
      </c>
      <c r="N16" s="11" t="s">
        <v>1092</v>
      </c>
      <c r="O16" s="84" t="s">
        <v>1102</v>
      </c>
      <c r="P16" s="84" t="s">
        <v>1102</v>
      </c>
      <c r="Q16" s="15">
        <v>2</v>
      </c>
      <c r="R16" s="23">
        <f>+Q16*12875000</f>
        <v>25750000</v>
      </c>
      <c r="S16" s="12"/>
      <c r="T16" s="12"/>
      <c r="U16" s="12"/>
      <c r="V16" s="12"/>
      <c r="W16" s="12"/>
      <c r="X16" s="12"/>
      <c r="Y16" s="12"/>
      <c r="Z16" s="18">
        <f>ROUND(R16*'Data-CostAssumptions'!$C$8,-3)</f>
        <v>25750000</v>
      </c>
      <c r="AA16" s="11">
        <f t="shared" si="1"/>
        <v>0</v>
      </c>
      <c r="AB16" s="11">
        <v>2041</v>
      </c>
      <c r="AC16" s="11">
        <v>2041</v>
      </c>
      <c r="AD16" s="11">
        <v>2041</v>
      </c>
      <c r="AE16" s="19">
        <f>ROUND((Z16*'Data-CostAssumptions'!$G$5)*(1+'Data-CostAssumptions'!$G$3)^(AB16-'Data-CostAssumptions'!$G$4),-3)</f>
        <v>14525000</v>
      </c>
      <c r="AF16" s="19">
        <f>ROUND((Z16)*(1+'Data-CostAssumptions'!$G$3)^(AD16-'Data-CostAssumptions'!$G$4),-3)</f>
        <v>66022000</v>
      </c>
      <c r="AG16" s="170" t="str">
        <f t="shared" si="2"/>
        <v>No</v>
      </c>
    </row>
    <row r="17" spans="1:33" ht="15" customHeight="1" x14ac:dyDescent="0.2">
      <c r="A17" s="11" t="s">
        <v>1077</v>
      </c>
      <c r="B17" s="11" t="s">
        <v>1211</v>
      </c>
      <c r="C17" s="11">
        <v>13503</v>
      </c>
      <c r="D17" s="84" t="s">
        <v>1733</v>
      </c>
      <c r="E17" s="14"/>
      <c r="F17" s="14"/>
      <c r="G17" s="20">
        <v>1287</v>
      </c>
      <c r="H17" s="13" t="s">
        <v>2732</v>
      </c>
      <c r="I17" s="13" t="str">
        <f t="shared" si="0"/>
        <v>SR 91/Florida's Turnpike (MP 53/I-595 to MP 54/I-595)</v>
      </c>
      <c r="J17" s="84" t="s">
        <v>300</v>
      </c>
      <c r="K17" s="13" t="str">
        <f>VLOOKUP(J17,'Data-ProjectTypes'!A$3:B$13,2,FALSE)</f>
        <v>Project</v>
      </c>
      <c r="L17" s="85" t="s">
        <v>1078</v>
      </c>
      <c r="M17" s="11" t="s">
        <v>2944</v>
      </c>
      <c r="N17" s="11" t="s">
        <v>2945</v>
      </c>
      <c r="O17" s="84" t="s">
        <v>1102</v>
      </c>
      <c r="P17" s="84" t="s">
        <v>1102</v>
      </c>
      <c r="Q17" s="15">
        <v>1</v>
      </c>
      <c r="R17" s="16">
        <v>158000000</v>
      </c>
      <c r="S17" s="12"/>
      <c r="T17" s="12"/>
      <c r="U17" s="12"/>
      <c r="V17" s="12"/>
      <c r="W17" s="12"/>
      <c r="X17" s="12"/>
      <c r="Y17" s="12"/>
      <c r="Z17" s="18">
        <f>ROUND(R17*'Data-CostAssumptions'!$C$8,-3)</f>
        <v>158000000</v>
      </c>
      <c r="AA17" s="11">
        <f t="shared" si="1"/>
        <v>0</v>
      </c>
      <c r="AB17" s="11">
        <v>2041</v>
      </c>
      <c r="AC17" s="11">
        <v>2041</v>
      </c>
      <c r="AD17" s="11">
        <v>2041</v>
      </c>
      <c r="AE17" s="19">
        <f>ROUND((Z17*'Data-CostAssumptions'!$G$5)*(1+'Data-CostAssumptions'!$G$3)^(AB17-'Data-CostAssumptions'!$G$4),-3)</f>
        <v>89123000</v>
      </c>
      <c r="AF17" s="19">
        <f>ROUND((Z17)*(1+'Data-CostAssumptions'!$G$3)^(AD17-'Data-CostAssumptions'!$G$4),-3)</f>
        <v>405104000</v>
      </c>
      <c r="AG17" s="170" t="str">
        <f t="shared" si="2"/>
        <v>No</v>
      </c>
    </row>
    <row r="18" spans="1:33" ht="15" customHeight="1" x14ac:dyDescent="0.2">
      <c r="A18" s="11" t="s">
        <v>1076</v>
      </c>
      <c r="B18" s="11" t="s">
        <v>1211</v>
      </c>
      <c r="C18" s="11">
        <v>13502</v>
      </c>
      <c r="D18" s="84" t="s">
        <v>1733</v>
      </c>
      <c r="E18" s="14"/>
      <c r="F18" s="14"/>
      <c r="G18" s="20">
        <v>1286</v>
      </c>
      <c r="H18" s="13" t="s">
        <v>2732</v>
      </c>
      <c r="I18" s="13" t="str">
        <f t="shared" si="0"/>
        <v>SR 91/Florida's Turnpike (MP47 / HEFT to 51 / N. of Johnson St)</v>
      </c>
      <c r="J18" s="84" t="s">
        <v>300</v>
      </c>
      <c r="K18" s="13" t="str">
        <f>VLOOKUP(J18,'Data-ProjectTypes'!A$3:B$13,2,FALSE)</f>
        <v>Project</v>
      </c>
      <c r="L18" s="85" t="s">
        <v>1075</v>
      </c>
      <c r="M18" s="85" t="s">
        <v>2948</v>
      </c>
      <c r="N18" s="84" t="s">
        <v>2588</v>
      </c>
      <c r="O18" s="84" t="s">
        <v>1102</v>
      </c>
      <c r="P18" s="84" t="s">
        <v>1102</v>
      </c>
      <c r="Q18" s="15">
        <v>4</v>
      </c>
      <c r="R18" s="16">
        <v>51500000</v>
      </c>
      <c r="S18" s="12"/>
      <c r="T18" s="12"/>
      <c r="U18" s="12"/>
      <c r="V18" s="12"/>
      <c r="W18" s="12"/>
      <c r="X18" s="12"/>
      <c r="Y18" s="12"/>
      <c r="Z18" s="18">
        <f>ROUND(R18*'Data-CostAssumptions'!$C$8,-3)</f>
        <v>51500000</v>
      </c>
      <c r="AA18" s="11">
        <f t="shared" si="1"/>
        <v>0</v>
      </c>
      <c r="AB18" s="11">
        <v>2041</v>
      </c>
      <c r="AC18" s="11">
        <v>2041</v>
      </c>
      <c r="AD18" s="11">
        <v>2041</v>
      </c>
      <c r="AE18" s="19">
        <f>ROUND((Z18*'Data-CostAssumptions'!$G$5)*(1+'Data-CostAssumptions'!$G$3)^(AB18-'Data-CostAssumptions'!$G$4),-3)</f>
        <v>29050000</v>
      </c>
      <c r="AF18" s="19">
        <f>ROUND((Z18)*(1+'Data-CostAssumptions'!$G$3)^(AD18-'Data-CostAssumptions'!$G$4),-3)</f>
        <v>132043000</v>
      </c>
      <c r="AG18" s="170" t="str">
        <f t="shared" si="2"/>
        <v>No</v>
      </c>
    </row>
    <row r="19" spans="1:33" ht="15" customHeight="1" x14ac:dyDescent="0.2">
      <c r="A19" s="11" t="s">
        <v>1073</v>
      </c>
      <c r="B19" s="11" t="s">
        <v>1211</v>
      </c>
      <c r="C19" s="11">
        <v>13501</v>
      </c>
      <c r="D19" s="84" t="s">
        <v>1733</v>
      </c>
      <c r="E19" s="14"/>
      <c r="F19" s="14"/>
      <c r="G19" s="20">
        <v>1285</v>
      </c>
      <c r="H19" s="13" t="s">
        <v>2732</v>
      </c>
      <c r="I19" s="13" t="str">
        <f t="shared" si="0"/>
        <v>SR 91/Florida's Turnpike (MP51 / N. of Johnson St to 53 / Griffin Rd)</v>
      </c>
      <c r="J19" s="84" t="s">
        <v>300</v>
      </c>
      <c r="K19" s="13" t="str">
        <f>VLOOKUP(J19,'Data-ProjectTypes'!A$3:B$13,2,FALSE)</f>
        <v>Project</v>
      </c>
      <c r="L19" s="85" t="s">
        <v>1075</v>
      </c>
      <c r="M19" s="85" t="s">
        <v>2947</v>
      </c>
      <c r="N19" s="84" t="s">
        <v>2462</v>
      </c>
      <c r="O19" s="84" t="s">
        <v>1102</v>
      </c>
      <c r="P19" s="84" t="s">
        <v>1102</v>
      </c>
      <c r="Q19" s="15">
        <v>2</v>
      </c>
      <c r="R19" s="16">
        <v>94500000</v>
      </c>
      <c r="S19" s="12"/>
      <c r="T19" s="12"/>
      <c r="U19" s="12"/>
      <c r="V19" s="12"/>
      <c r="W19" s="12"/>
      <c r="X19" s="12"/>
      <c r="Y19" s="12"/>
      <c r="Z19" s="18">
        <f>ROUND(R19*'Data-CostAssumptions'!$C$8,-3)</f>
        <v>94500000</v>
      </c>
      <c r="AA19" s="11">
        <f t="shared" si="1"/>
        <v>0</v>
      </c>
      <c r="AB19" s="11">
        <v>2041</v>
      </c>
      <c r="AC19" s="11">
        <v>2041</v>
      </c>
      <c r="AD19" s="11">
        <v>2041</v>
      </c>
      <c r="AE19" s="19">
        <f>ROUND((Z19*'Data-CostAssumptions'!$G$5)*(1+'Data-CostAssumptions'!$G$3)^(AB19-'Data-CostAssumptions'!$G$4),-3)</f>
        <v>53304000</v>
      </c>
      <c r="AF19" s="19">
        <f>ROUND((Z19)*(1+'Data-CostAssumptions'!$G$3)^(AD19-'Data-CostAssumptions'!$G$4),-3)</f>
        <v>242293000</v>
      </c>
      <c r="AG19" s="170" t="str">
        <f t="shared" si="2"/>
        <v>No</v>
      </c>
    </row>
    <row r="20" spans="1:33" ht="15" customHeight="1" x14ac:dyDescent="0.2">
      <c r="A20" s="11" t="s">
        <v>1072</v>
      </c>
      <c r="B20" s="11" t="s">
        <v>1211</v>
      </c>
      <c r="C20" s="11">
        <v>13500</v>
      </c>
      <c r="D20" s="84" t="s">
        <v>1733</v>
      </c>
      <c r="E20" s="14"/>
      <c r="F20" s="14"/>
      <c r="G20" s="20">
        <v>1284</v>
      </c>
      <c r="H20" s="13" t="s">
        <v>2732</v>
      </c>
      <c r="I20" s="13" t="str">
        <f t="shared" si="0"/>
        <v>SR 91/Florida's Turnpike (MP59 / N. of Sunrise Bl. (NB) to MP66 / N. of Atlantic Bl. (NB))</v>
      </c>
      <c r="J20" s="84" t="s">
        <v>300</v>
      </c>
      <c r="K20" s="13" t="str">
        <f>VLOOKUP(J20,'Data-ProjectTypes'!A$3:B$13,2,FALSE)</f>
        <v>Project</v>
      </c>
      <c r="L20" s="85" t="s">
        <v>1074</v>
      </c>
      <c r="M20" s="11" t="s">
        <v>2946</v>
      </c>
      <c r="N20" s="11" t="s">
        <v>2949</v>
      </c>
      <c r="O20" s="84" t="s">
        <v>1102</v>
      </c>
      <c r="P20" s="84" t="s">
        <v>1102</v>
      </c>
      <c r="Q20" s="15">
        <v>7</v>
      </c>
      <c r="R20" s="16">
        <v>27000000</v>
      </c>
      <c r="S20" s="12"/>
      <c r="T20" s="12"/>
      <c r="U20" s="12"/>
      <c r="V20" s="12"/>
      <c r="W20" s="12"/>
      <c r="X20" s="12"/>
      <c r="Y20" s="12"/>
      <c r="Z20" s="18">
        <f>ROUND(R20*'Data-CostAssumptions'!$C$8,-3)</f>
        <v>27000000</v>
      </c>
      <c r="AA20" s="11">
        <f t="shared" si="1"/>
        <v>0</v>
      </c>
      <c r="AB20" s="11">
        <v>2041</v>
      </c>
      <c r="AC20" s="11">
        <v>2041</v>
      </c>
      <c r="AD20" s="11">
        <v>2041</v>
      </c>
      <c r="AE20" s="19">
        <f>ROUND((Z20*'Data-CostAssumptions'!$G$5)*(1+'Data-CostAssumptions'!$G$3)^(AB20-'Data-CostAssumptions'!$G$4),-3)</f>
        <v>15230000</v>
      </c>
      <c r="AF20" s="19">
        <f>ROUND((Z20)*(1+'Data-CostAssumptions'!$G$3)^(AD20-'Data-CostAssumptions'!$G$4),-3)</f>
        <v>69227000</v>
      </c>
      <c r="AG20" s="170" t="str">
        <f t="shared" si="2"/>
        <v>No</v>
      </c>
    </row>
    <row r="21" spans="1:33" ht="15" customHeight="1" x14ac:dyDescent="0.2">
      <c r="A21" s="11" t="s">
        <v>1079</v>
      </c>
      <c r="B21" s="11" t="s">
        <v>1211</v>
      </c>
      <c r="C21" s="11">
        <v>13508</v>
      </c>
      <c r="D21" s="84" t="s">
        <v>1733</v>
      </c>
      <c r="E21" s="14"/>
      <c r="F21" s="14"/>
      <c r="G21" s="20">
        <v>1292</v>
      </c>
      <c r="H21" s="13" t="s">
        <v>2732</v>
      </c>
      <c r="I21" s="13" t="str">
        <f t="shared" si="0"/>
        <v>SR 91/Florida's Turnpike (OX - 53 / Turnpike, Golden Glades to Griffin Rd. - All Plazas to )</v>
      </c>
      <c r="J21" s="84" t="s">
        <v>300</v>
      </c>
      <c r="K21" s="13" t="str">
        <f>VLOOKUP(J21,'Data-ProjectTypes'!A$3:B$13,2,FALSE)</f>
        <v>Project</v>
      </c>
      <c r="L21" s="85" t="s">
        <v>1086</v>
      </c>
      <c r="M21" s="11" t="s">
        <v>1087</v>
      </c>
      <c r="O21" s="84" t="s">
        <v>1102</v>
      </c>
      <c r="P21" s="84" t="s">
        <v>1102</v>
      </c>
      <c r="Q21" s="15">
        <v>33</v>
      </c>
      <c r="R21" s="16">
        <v>27100000</v>
      </c>
      <c r="S21" s="12"/>
      <c r="T21" s="12"/>
      <c r="U21" s="12"/>
      <c r="V21" s="12"/>
      <c r="W21" s="12"/>
      <c r="X21" s="12"/>
      <c r="Y21" s="12"/>
      <c r="Z21" s="18">
        <f>ROUND(R21*'Data-CostAssumptions'!$C$8,-3)</f>
        <v>27100000</v>
      </c>
      <c r="AA21" s="11">
        <f t="shared" si="1"/>
        <v>0</v>
      </c>
      <c r="AB21" s="11">
        <v>2041</v>
      </c>
      <c r="AC21" s="11">
        <v>2041</v>
      </c>
      <c r="AD21" s="11">
        <v>2041</v>
      </c>
      <c r="AE21" s="19">
        <f>ROUND((Z21*'Data-CostAssumptions'!$G$5)*(1+'Data-CostAssumptions'!$G$3)^(AB21-'Data-CostAssumptions'!$G$4),-3)</f>
        <v>15286000</v>
      </c>
      <c r="AF21" s="19">
        <f>ROUND((Z21)*(1+'Data-CostAssumptions'!$G$3)^(AD21-'Data-CostAssumptions'!$G$4),-3)</f>
        <v>69483000</v>
      </c>
      <c r="AG21" s="170" t="str">
        <f t="shared" si="2"/>
        <v>No</v>
      </c>
    </row>
  </sheetData>
  <sortState ref="A2:AH24">
    <sortCondition ref="I2:I24"/>
  </sortState>
  <conditionalFormatting sqref="H2:I20">
    <cfRule type="expression" dxfId="150" priority="7">
      <formula>B2="KILL"</formula>
    </cfRule>
  </conditionalFormatting>
  <conditionalFormatting sqref="N18:N19">
    <cfRule type="expression" dxfId="149" priority="4">
      <formula>I18="KILL"</formula>
    </cfRule>
  </conditionalFormatting>
  <conditionalFormatting sqref="H21:I21">
    <cfRule type="expression" dxfId="148" priority="3">
      <formula>B21="KILL"</formula>
    </cfRule>
  </conditionalFormatting>
  <conditionalFormatting sqref="AB2:AD21">
    <cfRule type="cellIs" dxfId="147" priority="2" operator="lessThan">
      <formula>2041</formula>
    </cfRule>
  </conditionalFormatting>
  <conditionalFormatting sqref="AG2:AG21">
    <cfRule type="cellIs" dxfId="146" priority="1" operator="equal">
      <formula>"Yes"</formula>
    </cfRule>
  </conditionalFormatting>
  <pageMargins left="0.25" right="0.25" top="0.75" bottom="0.75" header="0.3" footer="0.3"/>
  <pageSetup scale="4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25"/>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3.42578125" style="11" bestFit="1" customWidth="1"/>
    <col min="2" max="2" width="5.28515625" style="11" hidden="1" customWidth="1"/>
    <col min="3" max="3" width="6.85546875" style="11" bestFit="1" customWidth="1"/>
    <col min="4" max="4" width="15" style="11" bestFit="1" customWidth="1"/>
    <col min="5" max="5" width="9.5703125" style="11" bestFit="1" customWidth="1"/>
    <col min="6" max="6" width="8.140625" style="11" bestFit="1" customWidth="1"/>
    <col min="7" max="7" width="8" style="11" bestFit="1" customWidth="1"/>
    <col min="8" max="8" width="51" style="11" bestFit="1" customWidth="1"/>
    <col min="9" max="9" width="82.42578125" style="11" bestFit="1" customWidth="1"/>
    <col min="10" max="10" width="7" style="11" bestFit="1" customWidth="1"/>
    <col min="11" max="11" width="14" style="11" bestFit="1" customWidth="1"/>
    <col min="12" max="12" width="226.7109375" style="11" bestFit="1" customWidth="1"/>
    <col min="13" max="13" width="53.7109375" style="11" bestFit="1" customWidth="1"/>
    <col min="14" max="14" width="24.140625"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34.28515625" style="11" hidden="1" customWidth="1"/>
    <col min="23" max="23" width="154.42578125" style="11" hidden="1" customWidth="1"/>
    <col min="24" max="24" width="68.140625" style="11" hidden="1" customWidth="1"/>
    <col min="25" max="25" width="40.285156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8.42578125" style="11" bestFit="1" customWidth="1"/>
    <col min="32" max="32" width="14.5703125" style="11" bestFit="1" customWidth="1"/>
    <col min="33" max="33" width="14.42578125" style="11" hidden="1" customWidth="1"/>
    <col min="34" max="16384" width="9.140625" style="11"/>
  </cols>
  <sheetData>
    <row r="1" spans="1:33" s="160" customFormat="1" ht="15" customHeight="1" x14ac:dyDescent="0.2">
      <c r="A1" s="284" t="s">
        <v>1192</v>
      </c>
      <c r="B1" s="284" t="s">
        <v>1211</v>
      </c>
      <c r="C1" s="284" t="s">
        <v>1193</v>
      </c>
      <c r="D1" s="284" t="s">
        <v>419</v>
      </c>
      <c r="E1" s="288" t="s">
        <v>1217</v>
      </c>
      <c r="F1" s="288" t="s">
        <v>1218</v>
      </c>
      <c r="G1" s="288" t="s">
        <v>3105</v>
      </c>
      <c r="H1" s="284" t="s">
        <v>1</v>
      </c>
      <c r="I1" s="284" t="s">
        <v>1739</v>
      </c>
      <c r="J1" s="284" t="s">
        <v>299</v>
      </c>
      <c r="K1" s="286" t="s">
        <v>1209</v>
      </c>
      <c r="L1" s="284" t="s">
        <v>2</v>
      </c>
      <c r="M1" s="289" t="s">
        <v>1191</v>
      </c>
      <c r="N1" s="284" t="s">
        <v>1198</v>
      </c>
      <c r="O1" s="284" t="s">
        <v>1196</v>
      </c>
      <c r="P1" s="284" t="s">
        <v>1197</v>
      </c>
      <c r="Q1" s="290" t="s">
        <v>1194</v>
      </c>
      <c r="R1" s="284" t="s">
        <v>1195</v>
      </c>
      <c r="S1" s="284" t="s">
        <v>2705</v>
      </c>
      <c r="T1" s="303" t="s">
        <v>349</v>
      </c>
      <c r="U1" s="303" t="s">
        <v>358</v>
      </c>
      <c r="V1" s="303" t="s">
        <v>434</v>
      </c>
      <c r="W1" s="303" t="s">
        <v>3251</v>
      </c>
      <c r="X1" s="303" t="s">
        <v>360</v>
      </c>
      <c r="Y1" s="284" t="s">
        <v>2703</v>
      </c>
      <c r="Z1" s="291" t="s">
        <v>3045</v>
      </c>
      <c r="AA1" s="304" t="s">
        <v>3107</v>
      </c>
      <c r="AB1" s="305" t="s">
        <v>3167</v>
      </c>
      <c r="AC1" s="305" t="s">
        <v>3117</v>
      </c>
      <c r="AD1" s="305" t="s">
        <v>3118</v>
      </c>
      <c r="AE1" s="306" t="s">
        <v>3168</v>
      </c>
      <c r="AF1" s="306" t="s">
        <v>3125</v>
      </c>
      <c r="AG1" s="307" t="s">
        <v>3155</v>
      </c>
    </row>
    <row r="2" spans="1:33" ht="15" customHeight="1" x14ac:dyDescent="0.2">
      <c r="B2" s="11" t="s">
        <v>1211</v>
      </c>
      <c r="C2" s="11">
        <v>1028</v>
      </c>
      <c r="D2" s="13" t="s">
        <v>420</v>
      </c>
      <c r="E2" s="14"/>
      <c r="F2" s="14">
        <v>204</v>
      </c>
      <c r="G2" s="14">
        <v>1</v>
      </c>
      <c r="H2" s="13" t="s">
        <v>373</v>
      </c>
      <c r="I2" s="13" t="str">
        <f t="shared" ref="I2:I25" si="0">IF(M2="@",H2&amp;" ("&amp;M2&amp;"  "&amp;N2&amp;")",H2&amp;" ("&amp;M2&amp;" to "&amp;N2&amp;")")</f>
        <v>AVI-Ground Transportation Management System ( to )</v>
      </c>
      <c r="J2" s="11" t="s">
        <v>1199</v>
      </c>
      <c r="K2" s="13" t="str">
        <f>VLOOKUP(J2,'Data-ProjectTypes'!A$3:B$13,2,FALSE)</f>
        <v>Program</v>
      </c>
      <c r="L2" s="11" t="s">
        <v>393</v>
      </c>
      <c r="O2" s="11" t="s">
        <v>270</v>
      </c>
      <c r="P2" s="11" t="s">
        <v>270</v>
      </c>
      <c r="Q2" s="15"/>
      <c r="R2" s="16">
        <v>1857535</v>
      </c>
      <c r="Y2" s="17"/>
      <c r="AA2" s="11">
        <f>IF(V2="",IF(W2="",0,1),1)</f>
        <v>0</v>
      </c>
      <c r="AB2" s="11">
        <v>2041</v>
      </c>
      <c r="AC2" s="11">
        <v>2041</v>
      </c>
      <c r="AD2" s="11">
        <v>2041</v>
      </c>
      <c r="AE2" s="19">
        <f>ROUND((Z2*'Data-CostAssumptions'!$G$5)*(1+'Data-CostAssumptions'!$G$3)^(AB2-'Data-CostAssumptions'!$G$4),-3)</f>
        <v>0</v>
      </c>
      <c r="AF2" s="19">
        <f>ROUND((Z2)*(1+'Data-CostAssumptions'!$G$3)^(AD2-'Data-CostAssumptions'!$G$4),-3)</f>
        <v>0</v>
      </c>
      <c r="AG2" s="170" t="str">
        <f>IF(MIN(AC2:AD2)&lt;2041,"Yes","No")</f>
        <v>No</v>
      </c>
    </row>
    <row r="3" spans="1:33" ht="15" customHeight="1" x14ac:dyDescent="0.2">
      <c r="A3" s="11" t="s">
        <v>906</v>
      </c>
      <c r="B3" s="11" t="s">
        <v>1211</v>
      </c>
      <c r="C3" s="11">
        <v>13064</v>
      </c>
      <c r="D3" s="84" t="s">
        <v>1732</v>
      </c>
      <c r="E3" s="14"/>
      <c r="F3" s="14"/>
      <c r="G3" s="20">
        <v>1127</v>
      </c>
      <c r="H3" s="13" t="s">
        <v>2851</v>
      </c>
      <c r="I3" s="13" t="str">
        <f t="shared" si="0"/>
        <v>FLL Airport (Permanent In-Line Baggage System T2,T3, T4 (Construction) to )</v>
      </c>
      <c r="J3" s="84" t="s">
        <v>1199</v>
      </c>
      <c r="K3" s="13" t="str">
        <f>VLOOKUP(J3,'Data-ProjectTypes'!A$3:B$13,2,FALSE)</f>
        <v>Program</v>
      </c>
      <c r="L3" s="85" t="s">
        <v>909</v>
      </c>
      <c r="M3" s="85" t="s">
        <v>909</v>
      </c>
      <c r="O3" s="84" t="s">
        <v>270</v>
      </c>
      <c r="P3" s="85" t="s">
        <v>270</v>
      </c>
      <c r="Q3" s="15"/>
      <c r="R3" s="16">
        <v>100000000</v>
      </c>
      <c r="S3" s="21" t="s">
        <v>24</v>
      </c>
      <c r="T3" s="21"/>
      <c r="U3" s="21"/>
      <c r="V3" s="24"/>
      <c r="W3" s="24"/>
      <c r="X3" s="24"/>
      <c r="Y3" s="17" t="s">
        <v>460</v>
      </c>
      <c r="AA3" s="11">
        <f t="shared" ref="AA3:AA25" si="1">IF(V3="",IF(W3="",0,1),1)</f>
        <v>0</v>
      </c>
      <c r="AB3" s="11">
        <v>2041</v>
      </c>
      <c r="AC3" s="11">
        <v>2041</v>
      </c>
      <c r="AD3" s="11">
        <v>2041</v>
      </c>
      <c r="AE3" s="19">
        <f>ROUND((Z3*'Data-CostAssumptions'!$G$5)*(1+'Data-CostAssumptions'!$G$3)^(AB3-'Data-CostAssumptions'!$G$4),-3)</f>
        <v>0</v>
      </c>
      <c r="AF3" s="19">
        <f>ROUND((Z3)*(1+'Data-CostAssumptions'!$G$3)^(AD3-'Data-CostAssumptions'!$G$4),-3)</f>
        <v>0</v>
      </c>
      <c r="AG3" s="170" t="str">
        <f t="shared" ref="AG3:AG25" si="2">IF(MIN(AC3:AD3)&lt;2041,"Yes","No")</f>
        <v>No</v>
      </c>
    </row>
    <row r="4" spans="1:33" ht="15" customHeight="1" x14ac:dyDescent="0.2">
      <c r="A4" s="11" t="s">
        <v>907</v>
      </c>
      <c r="B4" s="11" t="s">
        <v>1211</v>
      </c>
      <c r="C4" s="11">
        <v>13065</v>
      </c>
      <c r="D4" s="84" t="s">
        <v>1732</v>
      </c>
      <c r="E4" s="14"/>
      <c r="F4" s="14"/>
      <c r="G4" s="20">
        <v>1128</v>
      </c>
      <c r="H4" s="13" t="s">
        <v>2851</v>
      </c>
      <c r="I4" s="13" t="str">
        <f t="shared" si="0"/>
        <v>FLL Airport ( to Terminal 4 Apron)</v>
      </c>
      <c r="J4" s="84" t="s">
        <v>1199</v>
      </c>
      <c r="K4" s="13" t="str">
        <f>VLOOKUP(J4,'Data-ProjectTypes'!A$3:B$13,2,FALSE)</f>
        <v>Program</v>
      </c>
      <c r="L4" s="85" t="s">
        <v>910</v>
      </c>
      <c r="N4" s="85" t="s">
        <v>910</v>
      </c>
      <c r="O4" s="84" t="s">
        <v>270</v>
      </c>
      <c r="P4" s="85" t="s">
        <v>270</v>
      </c>
      <c r="Q4" s="15"/>
      <c r="R4" s="16">
        <v>89000000</v>
      </c>
      <c r="S4" s="21"/>
      <c r="T4" s="21"/>
      <c r="U4" s="21"/>
      <c r="V4" s="24"/>
      <c r="W4" s="24"/>
      <c r="X4" s="24" t="s">
        <v>775</v>
      </c>
      <c r="Y4" s="17" t="s">
        <v>765</v>
      </c>
      <c r="AA4" s="11">
        <f t="shared" si="1"/>
        <v>0</v>
      </c>
      <c r="AB4" s="11">
        <v>2041</v>
      </c>
      <c r="AC4" s="11">
        <v>2041</v>
      </c>
      <c r="AD4" s="11">
        <v>2041</v>
      </c>
      <c r="AE4" s="19">
        <f>ROUND((Z4*'Data-CostAssumptions'!$G$5)*(1+'Data-CostAssumptions'!$G$3)^(AB4-'Data-CostAssumptions'!$G$4),-3)</f>
        <v>0</v>
      </c>
      <c r="AF4" s="19">
        <f>ROUND((Z4)*(1+'Data-CostAssumptions'!$G$3)^(AD4-'Data-CostAssumptions'!$G$4),-3)</f>
        <v>0</v>
      </c>
      <c r="AG4" s="170" t="str">
        <f t="shared" si="2"/>
        <v>No</v>
      </c>
    </row>
    <row r="5" spans="1:33" ht="15" customHeight="1" x14ac:dyDescent="0.2">
      <c r="A5" s="11" t="s">
        <v>908</v>
      </c>
      <c r="B5" s="11" t="s">
        <v>1211</v>
      </c>
      <c r="C5" s="11">
        <v>13066</v>
      </c>
      <c r="D5" s="84" t="s">
        <v>1732</v>
      </c>
      <c r="E5" s="14"/>
      <c r="F5" s="14"/>
      <c r="G5" s="20">
        <v>1129</v>
      </c>
      <c r="H5" s="13" t="s">
        <v>2851</v>
      </c>
      <c r="I5" s="13" t="str">
        <f t="shared" si="0"/>
        <v>FLL Airport ( to Runway 9R/27L Extension)</v>
      </c>
      <c r="J5" s="84" t="s">
        <v>1199</v>
      </c>
      <c r="K5" s="13" t="str">
        <f>VLOOKUP(J5,'Data-ProjectTypes'!A$3:B$13,2,FALSE)</f>
        <v>Program</v>
      </c>
      <c r="L5" s="85" t="s">
        <v>911</v>
      </c>
      <c r="N5" s="85" t="s">
        <v>911</v>
      </c>
      <c r="O5" s="84" t="s">
        <v>270</v>
      </c>
      <c r="P5" s="85" t="s">
        <v>270</v>
      </c>
      <c r="Q5" s="15"/>
      <c r="R5" s="16">
        <v>751031000</v>
      </c>
      <c r="S5" s="21" t="s">
        <v>24</v>
      </c>
      <c r="T5" s="21" t="s">
        <v>684</v>
      </c>
      <c r="U5" s="21" t="s">
        <v>684</v>
      </c>
      <c r="V5" s="24"/>
      <c r="W5" s="24"/>
      <c r="X5" s="24"/>
      <c r="Y5" s="17" t="s">
        <v>685</v>
      </c>
      <c r="AA5" s="11">
        <f t="shared" si="1"/>
        <v>0</v>
      </c>
      <c r="AB5" s="11">
        <v>2041</v>
      </c>
      <c r="AC5" s="11">
        <v>2041</v>
      </c>
      <c r="AD5" s="11">
        <v>2041</v>
      </c>
      <c r="AE5" s="19">
        <f>ROUND((Z5*'Data-CostAssumptions'!$G$5)*(1+'Data-CostAssumptions'!$G$3)^(AB5-'Data-CostAssumptions'!$G$4),-3)</f>
        <v>0</v>
      </c>
      <c r="AF5" s="19">
        <f>ROUND((Z5)*(1+'Data-CostAssumptions'!$G$3)^(AD5-'Data-CostAssumptions'!$G$4),-3)</f>
        <v>0</v>
      </c>
      <c r="AG5" s="170" t="str">
        <f t="shared" si="2"/>
        <v>No</v>
      </c>
    </row>
    <row r="6" spans="1:33" ht="15" customHeight="1" x14ac:dyDescent="0.2">
      <c r="A6" s="12"/>
      <c r="B6" s="11" t="s">
        <v>1211</v>
      </c>
      <c r="C6" s="12"/>
      <c r="D6" s="84" t="s">
        <v>276</v>
      </c>
      <c r="E6" s="104">
        <v>504</v>
      </c>
      <c r="F6" s="104"/>
      <c r="G6" s="20">
        <v>1301</v>
      </c>
      <c r="H6" s="13" t="s">
        <v>2923</v>
      </c>
      <c r="I6" s="13" t="str">
        <f t="shared" si="0"/>
        <v>FLL ACUTE ANGLE TAXIWAY K (WEST END OF RUNWAY 8/26 to KILO)</v>
      </c>
      <c r="J6" s="12" t="s">
        <v>1199</v>
      </c>
      <c r="K6" s="13" t="str">
        <f>VLOOKUP(J6,'Data-ProjectTypes'!A$3:B$13,2,FALSE)</f>
        <v>Program</v>
      </c>
      <c r="L6" s="12" t="s">
        <v>1653</v>
      </c>
      <c r="M6" s="105" t="s">
        <v>2826</v>
      </c>
      <c r="N6" s="12" t="s">
        <v>2827</v>
      </c>
      <c r="O6" s="12"/>
      <c r="P6" s="12"/>
      <c r="Q6" s="72"/>
      <c r="R6" s="23">
        <v>1706250</v>
      </c>
      <c r="S6" s="21"/>
      <c r="T6" s="21"/>
      <c r="U6" s="21"/>
      <c r="V6" s="24"/>
      <c r="W6" s="24"/>
      <c r="X6" s="24"/>
      <c r="Y6" s="17"/>
      <c r="AA6" s="11">
        <f t="shared" si="1"/>
        <v>0</v>
      </c>
      <c r="AB6" s="11">
        <v>2041</v>
      </c>
      <c r="AC6" s="11">
        <v>2041</v>
      </c>
      <c r="AD6" s="11">
        <v>2041</v>
      </c>
      <c r="AE6" s="19">
        <f>ROUND((Z6*'Data-CostAssumptions'!$G$5)*(1+'Data-CostAssumptions'!$G$3)^(AB6-'Data-CostAssumptions'!$G$4),-3)</f>
        <v>0</v>
      </c>
      <c r="AF6" s="19">
        <f>ROUND((Z6)*(1+'Data-CostAssumptions'!$G$3)^(AD6-'Data-CostAssumptions'!$G$4),-3)</f>
        <v>0</v>
      </c>
      <c r="AG6" s="170" t="str">
        <f t="shared" si="2"/>
        <v>No</v>
      </c>
    </row>
    <row r="7" spans="1:33" ht="15" customHeight="1" x14ac:dyDescent="0.2">
      <c r="A7" s="12"/>
      <c r="B7" s="11" t="s">
        <v>1211</v>
      </c>
      <c r="C7" s="12"/>
      <c r="D7" s="84" t="s">
        <v>276</v>
      </c>
      <c r="E7" s="104">
        <v>501</v>
      </c>
      <c r="F7" s="104"/>
      <c r="G7" s="20">
        <v>1302</v>
      </c>
      <c r="H7" s="13" t="s">
        <v>2924</v>
      </c>
      <c r="I7" s="13" t="str">
        <f t="shared" si="0"/>
        <v>FLL ACUTE ANGLE TAXIWAYS N &amp; D (EAST END OF RUNWAY 8/26 to November &amp; Delta)</v>
      </c>
      <c r="J7" s="12" t="s">
        <v>1199</v>
      </c>
      <c r="K7" s="13" t="str">
        <f>VLOOKUP(J7,'Data-ProjectTypes'!A$3:B$13,2,FALSE)</f>
        <v>Program</v>
      </c>
      <c r="L7" s="12" t="s">
        <v>1650</v>
      </c>
      <c r="M7" s="105" t="s">
        <v>2829</v>
      </c>
      <c r="N7" s="12" t="s">
        <v>2828</v>
      </c>
      <c r="O7" s="12"/>
      <c r="P7" s="12"/>
      <c r="Q7" s="72"/>
      <c r="R7" s="23">
        <v>2995000</v>
      </c>
      <c r="S7" s="21"/>
      <c r="T7" s="21"/>
      <c r="U7" s="21"/>
      <c r="V7" s="24"/>
      <c r="W7" s="24"/>
      <c r="X7" s="24"/>
      <c r="Y7" s="17"/>
      <c r="AA7" s="11">
        <f t="shared" si="1"/>
        <v>0</v>
      </c>
      <c r="AB7" s="11">
        <v>2041</v>
      </c>
      <c r="AC7" s="11">
        <v>2041</v>
      </c>
      <c r="AD7" s="11">
        <v>2041</v>
      </c>
      <c r="AE7" s="19">
        <f>ROUND((Z7*'Data-CostAssumptions'!$G$5)*(1+'Data-CostAssumptions'!$G$3)^(AB7-'Data-CostAssumptions'!$G$4),-3)</f>
        <v>0</v>
      </c>
      <c r="AF7" s="19">
        <f>ROUND((Z7)*(1+'Data-CostAssumptions'!$G$3)^(AD7-'Data-CostAssumptions'!$G$4),-3)</f>
        <v>0</v>
      </c>
      <c r="AG7" s="170" t="str">
        <f t="shared" si="2"/>
        <v>No</v>
      </c>
    </row>
    <row r="8" spans="1:33" ht="15" customHeight="1" x14ac:dyDescent="0.2">
      <c r="A8" s="12"/>
      <c r="B8" s="11" t="s">
        <v>1211</v>
      </c>
      <c r="C8" s="12"/>
      <c r="D8" s="84" t="s">
        <v>276</v>
      </c>
      <c r="E8" s="104">
        <v>506</v>
      </c>
      <c r="F8" s="104"/>
      <c r="G8" s="20">
        <v>1303</v>
      </c>
      <c r="H8" s="13" t="s">
        <v>2867</v>
      </c>
      <c r="I8" s="13" t="str">
        <f t="shared" si="0"/>
        <v>FLL MID-FIELD TAXIWAY EXTENSION AND RUNUP AREA ( to )</v>
      </c>
      <c r="J8" s="12" t="s">
        <v>1199</v>
      </c>
      <c r="K8" s="13" t="str">
        <f>VLOOKUP(J8,'Data-ProjectTypes'!A$3:B$13,2,FALSE)</f>
        <v>Program</v>
      </c>
      <c r="L8" s="12" t="s">
        <v>1655</v>
      </c>
      <c r="M8" s="105"/>
      <c r="N8" s="12"/>
      <c r="O8" s="12"/>
      <c r="P8" s="12"/>
      <c r="Q8" s="72"/>
      <c r="R8" s="23">
        <v>601550</v>
      </c>
      <c r="S8" s="21"/>
      <c r="T8" s="21"/>
      <c r="U8" s="21"/>
      <c r="V8" s="24"/>
      <c r="W8" s="24"/>
      <c r="X8" s="24"/>
      <c r="Y8" s="17"/>
      <c r="AA8" s="11">
        <f t="shared" si="1"/>
        <v>0</v>
      </c>
      <c r="AB8" s="11">
        <v>2041</v>
      </c>
      <c r="AC8" s="11">
        <v>2041</v>
      </c>
      <c r="AD8" s="11">
        <v>2041</v>
      </c>
      <c r="AE8" s="19">
        <f>ROUND((Z8*'Data-CostAssumptions'!$G$5)*(1+'Data-CostAssumptions'!$G$3)^(AB8-'Data-CostAssumptions'!$G$4),-3)</f>
        <v>0</v>
      </c>
      <c r="AF8" s="19">
        <f>ROUND((Z8)*(1+'Data-CostAssumptions'!$G$3)^(AD8-'Data-CostAssumptions'!$G$4),-3)</f>
        <v>0</v>
      </c>
      <c r="AG8" s="170" t="str">
        <f t="shared" si="2"/>
        <v>No</v>
      </c>
    </row>
    <row r="9" spans="1:33" ht="15" customHeight="1" x14ac:dyDescent="0.2">
      <c r="A9" s="12"/>
      <c r="B9" s="11" t="s">
        <v>1211</v>
      </c>
      <c r="C9" s="12"/>
      <c r="D9" s="84" t="s">
        <v>276</v>
      </c>
      <c r="E9" s="104">
        <v>508</v>
      </c>
      <c r="F9" s="104"/>
      <c r="G9" s="20">
        <v>1304</v>
      </c>
      <c r="H9" s="13" t="s">
        <v>2882</v>
      </c>
      <c r="I9" s="13" t="str">
        <f t="shared" si="0"/>
        <v>FLL RELOCATION OF TAXIWAY G - PHASE II ( to )</v>
      </c>
      <c r="J9" s="12" t="s">
        <v>1199</v>
      </c>
      <c r="K9" s="13" t="str">
        <f>VLOOKUP(J9,'Data-ProjectTypes'!A$3:B$13,2,FALSE)</f>
        <v>Program</v>
      </c>
      <c r="L9" s="12" t="s">
        <v>1657</v>
      </c>
      <c r="M9" s="105"/>
      <c r="N9" s="12"/>
      <c r="O9" s="12"/>
      <c r="P9" s="12"/>
      <c r="Q9" s="72"/>
      <c r="R9" s="23">
        <v>2500000</v>
      </c>
      <c r="S9" s="21"/>
      <c r="T9" s="21"/>
      <c r="U9" s="21"/>
      <c r="V9" s="24"/>
      <c r="W9" s="24"/>
      <c r="X9" s="24"/>
      <c r="Y9" s="17"/>
      <c r="AA9" s="11">
        <f t="shared" si="1"/>
        <v>0</v>
      </c>
      <c r="AB9" s="11">
        <v>2041</v>
      </c>
      <c r="AC9" s="11">
        <v>2041</v>
      </c>
      <c r="AD9" s="11">
        <v>2041</v>
      </c>
      <c r="AE9" s="19">
        <f>ROUND((Z9*'Data-CostAssumptions'!$G$5)*(1+'Data-CostAssumptions'!$G$3)^(AB9-'Data-CostAssumptions'!$G$4),-3)</f>
        <v>0</v>
      </c>
      <c r="AF9" s="19">
        <f>ROUND((Z9)*(1+'Data-CostAssumptions'!$G$3)^(AD9-'Data-CostAssumptions'!$G$4),-3)</f>
        <v>0</v>
      </c>
      <c r="AG9" s="170" t="str">
        <f t="shared" si="2"/>
        <v>No</v>
      </c>
    </row>
    <row r="10" spans="1:33" ht="15" customHeight="1" x14ac:dyDescent="0.2">
      <c r="A10" s="12"/>
      <c r="B10" s="11" t="s">
        <v>1211</v>
      </c>
      <c r="C10" s="12"/>
      <c r="D10" s="84" t="s">
        <v>276</v>
      </c>
      <c r="E10" s="104">
        <v>511</v>
      </c>
      <c r="F10" s="104"/>
      <c r="G10" s="20">
        <v>1305</v>
      </c>
      <c r="H10" s="13" t="s">
        <v>2885</v>
      </c>
      <c r="I10" s="13" t="str">
        <f t="shared" si="0"/>
        <v>FLL RUNWAY 13 HOLDING PAD ( to )</v>
      </c>
      <c r="J10" s="12" t="s">
        <v>1199</v>
      </c>
      <c r="K10" s="13" t="str">
        <f>VLOOKUP(J10,'Data-ProjectTypes'!A$3:B$13,2,FALSE)</f>
        <v>Program</v>
      </c>
      <c r="L10" s="12" t="s">
        <v>1660</v>
      </c>
      <c r="M10" s="105"/>
      <c r="N10" s="12"/>
      <c r="O10" s="12"/>
      <c r="P10" s="12"/>
      <c r="Q10" s="72"/>
      <c r="R10" s="23">
        <v>720000</v>
      </c>
      <c r="S10" s="21"/>
      <c r="T10" s="21"/>
      <c r="U10" s="21"/>
      <c r="V10" s="24"/>
      <c r="W10" s="24"/>
      <c r="X10" s="24"/>
      <c r="Y10" s="17"/>
      <c r="AA10" s="11">
        <f t="shared" si="1"/>
        <v>0</v>
      </c>
      <c r="AB10" s="11">
        <v>2041</v>
      </c>
      <c r="AC10" s="11">
        <v>2041</v>
      </c>
      <c r="AD10" s="11">
        <v>2041</v>
      </c>
      <c r="AE10" s="19">
        <f>ROUND((Z10*'Data-CostAssumptions'!$G$5)*(1+'Data-CostAssumptions'!$G$3)^(AB10-'Data-CostAssumptions'!$G$4),-3)</f>
        <v>0</v>
      </c>
      <c r="AF10" s="19">
        <f>ROUND((Z10)*(1+'Data-CostAssumptions'!$G$3)^(AD10-'Data-CostAssumptions'!$G$4),-3)</f>
        <v>0</v>
      </c>
      <c r="AG10" s="170" t="str">
        <f t="shared" si="2"/>
        <v>No</v>
      </c>
    </row>
    <row r="11" spans="1:33" ht="15" customHeight="1" x14ac:dyDescent="0.2">
      <c r="A11" s="12"/>
      <c r="B11" s="11" t="s">
        <v>1211</v>
      </c>
      <c r="C11" s="12"/>
      <c r="D11" s="84" t="s">
        <v>276</v>
      </c>
      <c r="E11" s="104">
        <v>509</v>
      </c>
      <c r="F11" s="104"/>
      <c r="G11" s="20">
        <v>1306</v>
      </c>
      <c r="H11" s="13" t="s">
        <v>2886</v>
      </c>
      <c r="I11" s="13" t="str">
        <f t="shared" si="0"/>
        <v>FLL RUNWAY 26 &amp; 31 BYPASS ( to )</v>
      </c>
      <c r="J11" s="12" t="s">
        <v>1199</v>
      </c>
      <c r="K11" s="13" t="str">
        <f>VLOOKUP(J11,'Data-ProjectTypes'!A$3:B$13,2,FALSE)</f>
        <v>Program</v>
      </c>
      <c r="L11" s="12" t="s">
        <v>1658</v>
      </c>
      <c r="M11" s="105"/>
      <c r="N11" s="12"/>
      <c r="O11" s="12"/>
      <c r="P11" s="12"/>
      <c r="Q11" s="72"/>
      <c r="R11" s="23">
        <v>950000</v>
      </c>
      <c r="S11" s="21"/>
      <c r="T11" s="21"/>
      <c r="U11" s="21"/>
      <c r="V11" s="24"/>
      <c r="W11" s="24"/>
      <c r="X11" s="24"/>
      <c r="Y11" s="17"/>
      <c r="AA11" s="11">
        <f t="shared" si="1"/>
        <v>0</v>
      </c>
      <c r="AB11" s="11">
        <v>2041</v>
      </c>
      <c r="AC11" s="11">
        <v>2041</v>
      </c>
      <c r="AD11" s="11">
        <v>2041</v>
      </c>
      <c r="AE11" s="19">
        <f>ROUND((Z11*'Data-CostAssumptions'!$G$5)*(1+'Data-CostAssumptions'!$G$3)^(AB11-'Data-CostAssumptions'!$G$4),-3)</f>
        <v>0</v>
      </c>
      <c r="AF11" s="19">
        <f>ROUND((Z11)*(1+'Data-CostAssumptions'!$G$3)^(AD11-'Data-CostAssumptions'!$G$4),-3)</f>
        <v>0</v>
      </c>
      <c r="AG11" s="170" t="str">
        <f t="shared" si="2"/>
        <v>No</v>
      </c>
    </row>
    <row r="12" spans="1:33" ht="15" customHeight="1" x14ac:dyDescent="0.2">
      <c r="A12" s="12"/>
      <c r="B12" s="11" t="s">
        <v>1211</v>
      </c>
      <c r="C12" s="12"/>
      <c r="D12" s="84" t="s">
        <v>276</v>
      </c>
      <c r="E12" s="104">
        <v>512</v>
      </c>
      <c r="F12" s="104"/>
      <c r="G12" s="20">
        <v>1307</v>
      </c>
      <c r="H12" s="13" t="s">
        <v>2887</v>
      </c>
      <c r="I12" s="13" t="str">
        <f t="shared" si="0"/>
        <v>FLL RUNWAY 8/26 REHABILITATION ( to )</v>
      </c>
      <c r="J12" s="12" t="s">
        <v>1199</v>
      </c>
      <c r="K12" s="13" t="str">
        <f>VLOOKUP(J12,'Data-ProjectTypes'!A$3:B$13,2,FALSE)</f>
        <v>Program</v>
      </c>
      <c r="L12" s="12" t="s">
        <v>1661</v>
      </c>
      <c r="M12" s="105"/>
      <c r="N12" s="12"/>
      <c r="O12" s="12"/>
      <c r="P12" s="12"/>
      <c r="Q12" s="72"/>
      <c r="R12" s="23">
        <v>801330</v>
      </c>
      <c r="S12" s="21"/>
      <c r="T12" s="21"/>
      <c r="U12" s="21" t="s">
        <v>24</v>
      </c>
      <c r="V12" s="24"/>
      <c r="W12" s="24"/>
      <c r="X12" s="24"/>
      <c r="Y12" s="17" t="s">
        <v>846</v>
      </c>
      <c r="AA12" s="11">
        <f t="shared" si="1"/>
        <v>0</v>
      </c>
      <c r="AB12" s="11">
        <v>2041</v>
      </c>
      <c r="AC12" s="11">
        <v>2041</v>
      </c>
      <c r="AD12" s="11">
        <v>2041</v>
      </c>
      <c r="AE12" s="19">
        <f>ROUND((Z12*'Data-CostAssumptions'!$G$5)*(1+'Data-CostAssumptions'!$G$3)^(AB12-'Data-CostAssumptions'!$G$4),-3)</f>
        <v>0</v>
      </c>
      <c r="AF12" s="19">
        <f>ROUND((Z12)*(1+'Data-CostAssumptions'!$G$3)^(AD12-'Data-CostAssumptions'!$G$4),-3)</f>
        <v>0</v>
      </c>
      <c r="AG12" s="170" t="str">
        <f t="shared" si="2"/>
        <v>No</v>
      </c>
    </row>
    <row r="13" spans="1:33" ht="15" customHeight="1" x14ac:dyDescent="0.2">
      <c r="A13" s="12"/>
      <c r="B13" s="11" t="s">
        <v>1211</v>
      </c>
      <c r="C13" s="12"/>
      <c r="D13" s="84" t="s">
        <v>276</v>
      </c>
      <c r="E13" s="104">
        <v>503</v>
      </c>
      <c r="F13" s="104"/>
      <c r="G13" s="20">
        <v>1308</v>
      </c>
      <c r="H13" s="13" t="s">
        <v>2903</v>
      </c>
      <c r="I13" s="13" t="str">
        <f t="shared" si="0"/>
        <v>FLL South Perimeter Loop Rd ( to )</v>
      </c>
      <c r="J13" s="12" t="s">
        <v>1199</v>
      </c>
      <c r="K13" s="13" t="str">
        <f>VLOOKUP(J13,'Data-ProjectTypes'!A$3:B$13,2,FALSE)</f>
        <v>Program</v>
      </c>
      <c r="L13" s="12" t="s">
        <v>1652</v>
      </c>
      <c r="M13" s="105"/>
      <c r="N13" s="12"/>
      <c r="O13" s="12"/>
      <c r="P13" s="12"/>
      <c r="Q13" s="72"/>
      <c r="R13" s="23">
        <v>500000</v>
      </c>
      <c r="S13" s="21"/>
      <c r="T13" s="21"/>
      <c r="U13" s="21"/>
      <c r="V13" s="24"/>
      <c r="W13" s="24"/>
      <c r="X13" s="24"/>
      <c r="Y13" s="17"/>
      <c r="AA13" s="11">
        <f t="shared" si="1"/>
        <v>0</v>
      </c>
      <c r="AB13" s="11">
        <v>2041</v>
      </c>
      <c r="AC13" s="11">
        <v>2041</v>
      </c>
      <c r="AD13" s="11">
        <v>2041</v>
      </c>
      <c r="AE13" s="19">
        <f>ROUND((Z13*'Data-CostAssumptions'!$G$5)*(1+'Data-CostAssumptions'!$G$3)^(AB13-'Data-CostAssumptions'!$G$4),-3)</f>
        <v>0</v>
      </c>
      <c r="AF13" s="19">
        <f>ROUND((Z13)*(1+'Data-CostAssumptions'!$G$3)^(AD13-'Data-CostAssumptions'!$G$4),-3)</f>
        <v>0</v>
      </c>
      <c r="AG13" s="170" t="str">
        <f t="shared" si="2"/>
        <v>No</v>
      </c>
    </row>
    <row r="14" spans="1:33" ht="15" customHeight="1" x14ac:dyDescent="0.2">
      <c r="A14" s="12"/>
      <c r="B14" s="11" t="s">
        <v>1211</v>
      </c>
      <c r="C14" s="12"/>
      <c r="D14" s="84" t="s">
        <v>276</v>
      </c>
      <c r="E14" s="104">
        <v>513</v>
      </c>
      <c r="F14" s="104"/>
      <c r="G14" s="20">
        <v>1309</v>
      </c>
      <c r="H14" s="13" t="s">
        <v>1573</v>
      </c>
      <c r="I14" s="13" t="str">
        <f t="shared" si="0"/>
        <v>TAXIWAY E REHABILITATION ( to )</v>
      </c>
      <c r="J14" s="12" t="s">
        <v>1199</v>
      </c>
      <c r="K14" s="13" t="str">
        <f>VLOOKUP(J14,'Data-ProjectTypes'!A$3:B$13,2,FALSE)</f>
        <v>Program</v>
      </c>
      <c r="L14" s="12" t="s">
        <v>1662</v>
      </c>
      <c r="M14" s="105"/>
      <c r="N14" s="12"/>
      <c r="O14" s="12"/>
      <c r="P14" s="12"/>
      <c r="Q14" s="72"/>
      <c r="R14" s="23">
        <v>4000000</v>
      </c>
      <c r="S14" s="21"/>
      <c r="T14" s="21"/>
      <c r="U14" s="21"/>
      <c r="V14" s="24"/>
      <c r="W14" s="24"/>
      <c r="X14" s="24"/>
      <c r="Y14" s="17"/>
      <c r="AA14" s="11">
        <f t="shared" si="1"/>
        <v>0</v>
      </c>
      <c r="AB14" s="11">
        <v>2041</v>
      </c>
      <c r="AC14" s="11">
        <v>2041</v>
      </c>
      <c r="AD14" s="11">
        <v>2041</v>
      </c>
      <c r="AE14" s="19">
        <f>ROUND((Z14*'Data-CostAssumptions'!$G$5)*(1+'Data-CostAssumptions'!$G$3)^(AB14-'Data-CostAssumptions'!$G$4),-3)</f>
        <v>0</v>
      </c>
      <c r="AF14" s="19">
        <f>ROUND((Z14)*(1+'Data-CostAssumptions'!$G$3)^(AD14-'Data-CostAssumptions'!$G$4),-3)</f>
        <v>0</v>
      </c>
      <c r="AG14" s="170" t="str">
        <f t="shared" si="2"/>
        <v>No</v>
      </c>
    </row>
    <row r="15" spans="1:33" ht="15" customHeight="1" x14ac:dyDescent="0.2">
      <c r="A15" s="12"/>
      <c r="B15" s="11" t="s">
        <v>1211</v>
      </c>
      <c r="C15" s="12"/>
      <c r="D15" s="84" t="s">
        <v>276</v>
      </c>
      <c r="E15" s="104">
        <v>505</v>
      </c>
      <c r="F15" s="104"/>
      <c r="G15" s="20">
        <v>1310</v>
      </c>
      <c r="H15" s="13" t="s">
        <v>1571</v>
      </c>
      <c r="I15" s="13" t="str">
        <f t="shared" si="0"/>
        <v>TAXIWAY ECHO EXTENSION ( to )</v>
      </c>
      <c r="J15" s="12" t="s">
        <v>1199</v>
      </c>
      <c r="K15" s="13" t="str">
        <f>VLOOKUP(J15,'Data-ProjectTypes'!A$3:B$13,2,FALSE)</f>
        <v>Program</v>
      </c>
      <c r="L15" s="12" t="s">
        <v>1654</v>
      </c>
      <c r="M15" s="105"/>
      <c r="N15" s="12"/>
      <c r="O15" s="12"/>
      <c r="P15" s="12"/>
      <c r="Q15" s="72"/>
      <c r="R15" s="23">
        <v>2950000</v>
      </c>
      <c r="S15" s="21"/>
      <c r="T15" s="21"/>
      <c r="U15" s="21"/>
      <c r="V15" s="24"/>
      <c r="W15" s="24"/>
      <c r="X15" s="24"/>
      <c r="Y15" s="17"/>
      <c r="AA15" s="11">
        <f t="shared" si="1"/>
        <v>0</v>
      </c>
      <c r="AB15" s="11">
        <v>2041</v>
      </c>
      <c r="AC15" s="11">
        <v>2041</v>
      </c>
      <c r="AD15" s="11">
        <v>2041</v>
      </c>
      <c r="AE15" s="19">
        <f>ROUND((Z15*'Data-CostAssumptions'!$G$5)*(1+'Data-CostAssumptions'!$G$3)^(AB15-'Data-CostAssumptions'!$G$4),-3)</f>
        <v>0</v>
      </c>
      <c r="AF15" s="19">
        <f>ROUND((Z15)*(1+'Data-CostAssumptions'!$G$3)^(AD15-'Data-CostAssumptions'!$G$4),-3)</f>
        <v>0</v>
      </c>
      <c r="AG15" s="170" t="str">
        <f t="shared" si="2"/>
        <v>No</v>
      </c>
    </row>
    <row r="16" spans="1:33" ht="15" customHeight="1" x14ac:dyDescent="0.2">
      <c r="A16" s="12"/>
      <c r="B16" s="11" t="s">
        <v>1211</v>
      </c>
      <c r="C16" s="12"/>
      <c r="D16" s="84" t="s">
        <v>276</v>
      </c>
      <c r="E16" s="104">
        <v>514</v>
      </c>
      <c r="F16" s="104"/>
      <c r="G16" s="20">
        <v>1311</v>
      </c>
      <c r="H16" s="13" t="s">
        <v>1574</v>
      </c>
      <c r="I16" s="13" t="str">
        <f t="shared" si="0"/>
        <v>TAXIWAY F PAVEMENT REHABILITATION ( to )</v>
      </c>
      <c r="J16" s="12" t="s">
        <v>1199</v>
      </c>
      <c r="K16" s="13" t="str">
        <f>VLOOKUP(J16,'Data-ProjectTypes'!A$3:B$13,2,FALSE)</f>
        <v>Program</v>
      </c>
      <c r="L16" s="12" t="s">
        <v>1663</v>
      </c>
      <c r="M16" s="105"/>
      <c r="N16" s="12"/>
      <c r="O16" s="12"/>
      <c r="P16" s="12"/>
      <c r="Q16" s="72"/>
      <c r="R16" s="23">
        <v>5750000</v>
      </c>
      <c r="S16" s="21"/>
      <c r="T16" s="21"/>
      <c r="U16" s="21"/>
      <c r="V16" s="24"/>
      <c r="W16" s="24"/>
      <c r="X16" s="24"/>
      <c r="Y16" s="17"/>
      <c r="AA16" s="11">
        <f t="shared" si="1"/>
        <v>0</v>
      </c>
      <c r="AB16" s="11">
        <v>2041</v>
      </c>
      <c r="AC16" s="11">
        <v>2041</v>
      </c>
      <c r="AD16" s="11">
        <v>2041</v>
      </c>
      <c r="AE16" s="19">
        <f>ROUND((Z16*'Data-CostAssumptions'!$G$5)*(1+'Data-CostAssumptions'!$G$3)^(AB16-'Data-CostAssumptions'!$G$4),-3)</f>
        <v>0</v>
      </c>
      <c r="AF16" s="19">
        <f>ROUND((Z16)*(1+'Data-CostAssumptions'!$G$3)^(AD16-'Data-CostAssumptions'!$G$4),-3)</f>
        <v>0</v>
      </c>
      <c r="AG16" s="170" t="str">
        <f t="shared" si="2"/>
        <v>No</v>
      </c>
    </row>
    <row r="17" spans="1:33" ht="15" customHeight="1" x14ac:dyDescent="0.2">
      <c r="A17" s="12"/>
      <c r="B17" s="11" t="s">
        <v>1211</v>
      </c>
      <c r="C17" s="12"/>
      <c r="D17" s="84" t="s">
        <v>276</v>
      </c>
      <c r="E17" s="104">
        <v>515</v>
      </c>
      <c r="F17" s="104"/>
      <c r="G17" s="20">
        <v>1312</v>
      </c>
      <c r="H17" s="13" t="s">
        <v>1575</v>
      </c>
      <c r="I17" s="13" t="str">
        <f t="shared" si="0"/>
        <v>TAXIWAY G PAVEMENT REHABILITATION ( to )</v>
      </c>
      <c r="J17" s="12" t="s">
        <v>1199</v>
      </c>
      <c r="K17" s="13" t="str">
        <f>VLOOKUP(J17,'Data-ProjectTypes'!A$3:B$13,2,FALSE)</f>
        <v>Program</v>
      </c>
      <c r="L17" s="12" t="s">
        <v>1662</v>
      </c>
      <c r="M17" s="105"/>
      <c r="N17" s="12"/>
      <c r="O17" s="12"/>
      <c r="P17" s="12"/>
      <c r="Q17" s="72"/>
      <c r="R17" s="23">
        <v>2494270</v>
      </c>
      <c r="S17" s="21"/>
      <c r="T17" s="21"/>
      <c r="U17" s="21"/>
      <c r="V17" s="24"/>
      <c r="W17" s="24"/>
      <c r="X17" s="24"/>
      <c r="Y17" s="17"/>
      <c r="AA17" s="11">
        <f t="shared" si="1"/>
        <v>0</v>
      </c>
      <c r="AB17" s="11">
        <v>2041</v>
      </c>
      <c r="AC17" s="11">
        <v>2041</v>
      </c>
      <c r="AD17" s="11">
        <v>2041</v>
      </c>
      <c r="AE17" s="19">
        <f>ROUND((Z17*'Data-CostAssumptions'!$G$5)*(1+'Data-CostAssumptions'!$G$3)^(AB17-'Data-CostAssumptions'!$G$4),-3)</f>
        <v>0</v>
      </c>
      <c r="AF17" s="19">
        <f>ROUND((Z17)*(1+'Data-CostAssumptions'!$G$3)^(AD17-'Data-CostAssumptions'!$G$4),-3)</f>
        <v>0</v>
      </c>
      <c r="AG17" s="170" t="str">
        <f t="shared" si="2"/>
        <v>No</v>
      </c>
    </row>
    <row r="18" spans="1:33" ht="15" customHeight="1" x14ac:dyDescent="0.2">
      <c r="A18" s="12"/>
      <c r="B18" s="11" t="s">
        <v>1211</v>
      </c>
      <c r="C18" s="12"/>
      <c r="D18" s="84" t="s">
        <v>276</v>
      </c>
      <c r="E18" s="104">
        <v>516</v>
      </c>
      <c r="F18" s="104"/>
      <c r="G18" s="20">
        <v>1313</v>
      </c>
      <c r="H18" s="13" t="s">
        <v>1576</v>
      </c>
      <c r="I18" s="13" t="str">
        <f t="shared" si="0"/>
        <v>TAXIWAY H PAVEMENT REHABIITATION ( to )</v>
      </c>
      <c r="J18" s="12" t="s">
        <v>1199</v>
      </c>
      <c r="K18" s="13" t="str">
        <f>VLOOKUP(J18,'Data-ProjectTypes'!A$3:B$13,2,FALSE)</f>
        <v>Program</v>
      </c>
      <c r="L18" s="12" t="s">
        <v>1662</v>
      </c>
      <c r="M18" s="105"/>
      <c r="N18" s="12"/>
      <c r="O18" s="12"/>
      <c r="P18" s="12"/>
      <c r="Q18" s="72"/>
      <c r="R18" s="23">
        <v>401390</v>
      </c>
      <c r="S18" s="21"/>
      <c r="T18" s="21"/>
      <c r="U18" s="21"/>
      <c r="V18" s="24"/>
      <c r="W18" s="24"/>
      <c r="X18" s="24"/>
      <c r="Y18" s="17"/>
      <c r="AA18" s="11">
        <f t="shared" si="1"/>
        <v>0</v>
      </c>
      <c r="AB18" s="11">
        <v>2041</v>
      </c>
      <c r="AC18" s="11">
        <v>2041</v>
      </c>
      <c r="AD18" s="11">
        <v>2041</v>
      </c>
      <c r="AE18" s="19">
        <f>ROUND((Z18*'Data-CostAssumptions'!$G$5)*(1+'Data-CostAssumptions'!$G$3)^(AB18-'Data-CostAssumptions'!$G$4),-3)</f>
        <v>0</v>
      </c>
      <c r="AF18" s="19">
        <f>ROUND((Z18)*(1+'Data-CostAssumptions'!$G$3)^(AD18-'Data-CostAssumptions'!$G$4),-3)</f>
        <v>0</v>
      </c>
      <c r="AG18" s="170" t="str">
        <f t="shared" si="2"/>
        <v>No</v>
      </c>
    </row>
    <row r="19" spans="1:33" ht="15" customHeight="1" x14ac:dyDescent="0.2">
      <c r="A19" s="12"/>
      <c r="B19" s="11" t="s">
        <v>1211</v>
      </c>
      <c r="C19" s="12"/>
      <c r="D19" s="84" t="s">
        <v>276</v>
      </c>
      <c r="E19" s="104">
        <v>517</v>
      </c>
      <c r="F19" s="104"/>
      <c r="G19" s="20">
        <v>1314</v>
      </c>
      <c r="H19" s="13" t="s">
        <v>1577</v>
      </c>
      <c r="I19" s="13" t="str">
        <f t="shared" si="0"/>
        <v>TAXIWAY L REHABILITATION ( to )</v>
      </c>
      <c r="J19" s="12" t="s">
        <v>1199</v>
      </c>
      <c r="K19" s="13" t="str">
        <f>VLOOKUP(J19,'Data-ProjectTypes'!A$3:B$13,2,FALSE)</f>
        <v>Program</v>
      </c>
      <c r="L19" s="12" t="s">
        <v>1662</v>
      </c>
      <c r="M19" s="105"/>
      <c r="N19" s="12"/>
      <c r="O19" s="12"/>
      <c r="P19" s="12"/>
      <c r="Q19" s="72"/>
      <c r="R19" s="23">
        <v>630810</v>
      </c>
      <c r="S19" s="21" t="s">
        <v>24</v>
      </c>
      <c r="T19" s="21" t="s">
        <v>25</v>
      </c>
      <c r="U19" s="21"/>
      <c r="V19" s="24"/>
      <c r="W19" s="24" t="s">
        <v>560</v>
      </c>
      <c r="X19" s="24"/>
      <c r="Y19" s="17" t="s">
        <v>558</v>
      </c>
      <c r="AA19" s="11">
        <f t="shared" si="1"/>
        <v>1</v>
      </c>
      <c r="AB19" s="11">
        <v>2041</v>
      </c>
      <c r="AC19" s="11">
        <v>2041</v>
      </c>
      <c r="AD19" s="11">
        <v>2041</v>
      </c>
      <c r="AE19" s="19">
        <f>ROUND((Z19*'Data-CostAssumptions'!$G$5)*(1+'Data-CostAssumptions'!$G$3)^(AB19-'Data-CostAssumptions'!$G$4),-3)</f>
        <v>0</v>
      </c>
      <c r="AF19" s="19">
        <f>ROUND((Z19)*(1+'Data-CostAssumptions'!$G$3)^(AD19-'Data-CostAssumptions'!$G$4),-3)</f>
        <v>0</v>
      </c>
      <c r="AG19" s="170" t="str">
        <f t="shared" si="2"/>
        <v>No</v>
      </c>
    </row>
    <row r="20" spans="1:33" ht="15" customHeight="1" x14ac:dyDescent="0.2">
      <c r="A20" s="12"/>
      <c r="B20" s="11" t="s">
        <v>1211</v>
      </c>
      <c r="C20" s="12"/>
      <c r="D20" s="84" t="s">
        <v>276</v>
      </c>
      <c r="E20" s="104">
        <v>510</v>
      </c>
      <c r="F20" s="104"/>
      <c r="G20" s="20">
        <v>1315</v>
      </c>
      <c r="H20" s="13" t="s">
        <v>1572</v>
      </c>
      <c r="I20" s="13" t="str">
        <f t="shared" si="0"/>
        <v>TAXIWAY M EXTENSION ( to )</v>
      </c>
      <c r="J20" s="12" t="s">
        <v>1199</v>
      </c>
      <c r="K20" s="13" t="str">
        <f>VLOOKUP(J20,'Data-ProjectTypes'!A$3:B$13,2,FALSE)</f>
        <v>Program</v>
      </c>
      <c r="L20" s="12" t="s">
        <v>1659</v>
      </c>
      <c r="M20" s="105"/>
      <c r="N20" s="12"/>
      <c r="O20" s="12"/>
      <c r="P20" s="12"/>
      <c r="Q20" s="72"/>
      <c r="R20" s="23">
        <v>793500</v>
      </c>
      <c r="S20" s="21" t="s">
        <v>24</v>
      </c>
      <c r="T20" s="21"/>
      <c r="U20" s="21"/>
      <c r="V20" s="24"/>
      <c r="W20" s="24" t="s">
        <v>559</v>
      </c>
      <c r="X20" s="24"/>
      <c r="Y20" s="17" t="s">
        <v>538</v>
      </c>
      <c r="AA20" s="11">
        <f t="shared" si="1"/>
        <v>1</v>
      </c>
      <c r="AB20" s="11">
        <v>2041</v>
      </c>
      <c r="AC20" s="11">
        <v>2041</v>
      </c>
      <c r="AD20" s="11">
        <v>2041</v>
      </c>
      <c r="AE20" s="19">
        <f>ROUND((Z20*'Data-CostAssumptions'!$G$5)*(1+'Data-CostAssumptions'!$G$3)^(AB20-'Data-CostAssumptions'!$G$4),-3)</f>
        <v>0</v>
      </c>
      <c r="AF20" s="19">
        <f>ROUND((Z20)*(1+'Data-CostAssumptions'!$G$3)^(AD20-'Data-CostAssumptions'!$G$4),-3)</f>
        <v>0</v>
      </c>
      <c r="AG20" s="170" t="str">
        <f t="shared" si="2"/>
        <v>No</v>
      </c>
    </row>
    <row r="21" spans="1:33" ht="15" customHeight="1" x14ac:dyDescent="0.2">
      <c r="A21" s="12"/>
      <c r="B21" s="11" t="s">
        <v>1211</v>
      </c>
      <c r="C21" s="12"/>
      <c r="D21" s="84" t="s">
        <v>276</v>
      </c>
      <c r="E21" s="104">
        <v>518</v>
      </c>
      <c r="F21" s="104"/>
      <c r="G21" s="20">
        <v>1316</v>
      </c>
      <c r="H21" s="13" t="s">
        <v>1578</v>
      </c>
      <c r="I21" s="13" t="str">
        <f t="shared" si="0"/>
        <v>TAXIWAY M REHABILITATION ( to )</v>
      </c>
      <c r="J21" s="12" t="s">
        <v>1199</v>
      </c>
      <c r="K21" s="13" t="str">
        <f>VLOOKUP(J21,'Data-ProjectTypes'!A$3:B$13,2,FALSE)</f>
        <v>Program</v>
      </c>
      <c r="L21" s="12" t="s">
        <v>1662</v>
      </c>
      <c r="M21" s="105"/>
      <c r="N21" s="12"/>
      <c r="O21" s="12"/>
      <c r="P21" s="12"/>
      <c r="Q21" s="72"/>
      <c r="R21" s="23">
        <v>338090</v>
      </c>
      <c r="S21" s="21" t="s">
        <v>24</v>
      </c>
      <c r="T21" s="21" t="s">
        <v>25</v>
      </c>
      <c r="U21" s="21" t="s">
        <v>24</v>
      </c>
      <c r="V21" s="24" t="s">
        <v>561</v>
      </c>
      <c r="W21" s="24"/>
      <c r="X21" s="24"/>
      <c r="Y21" s="17" t="s">
        <v>538</v>
      </c>
      <c r="AA21" s="11">
        <f t="shared" si="1"/>
        <v>1</v>
      </c>
      <c r="AB21" s="11">
        <v>2041</v>
      </c>
      <c r="AC21" s="11">
        <v>2041</v>
      </c>
      <c r="AD21" s="11">
        <v>2041</v>
      </c>
      <c r="AE21" s="19">
        <f>ROUND((Z21*'Data-CostAssumptions'!$G$5)*(1+'Data-CostAssumptions'!$G$3)^(AB21-'Data-CostAssumptions'!$G$4),-3)</f>
        <v>0</v>
      </c>
      <c r="AF21" s="19">
        <f>ROUND((Z21)*(1+'Data-CostAssumptions'!$G$3)^(AD21-'Data-CostAssumptions'!$G$4),-3)</f>
        <v>0</v>
      </c>
      <c r="AG21" s="170" t="str">
        <f t="shared" si="2"/>
        <v>No</v>
      </c>
    </row>
    <row r="22" spans="1:33" ht="15" customHeight="1" x14ac:dyDescent="0.2">
      <c r="A22" s="12"/>
      <c r="B22" s="11" t="s">
        <v>1211</v>
      </c>
      <c r="C22" s="12"/>
      <c r="D22" s="84" t="s">
        <v>276</v>
      </c>
      <c r="E22" s="104">
        <v>519</v>
      </c>
      <c r="F22" s="104"/>
      <c r="G22" s="20">
        <v>1317</v>
      </c>
      <c r="H22" s="13" t="s">
        <v>1579</v>
      </c>
      <c r="I22" s="13" t="str">
        <f t="shared" si="0"/>
        <v>TAXIWAY N REHABILITATION ( to )</v>
      </c>
      <c r="J22" s="12" t="s">
        <v>1199</v>
      </c>
      <c r="K22" s="13" t="str">
        <f>VLOOKUP(J22,'Data-ProjectTypes'!A$3:B$13,2,FALSE)</f>
        <v>Program</v>
      </c>
      <c r="L22" s="12" t="s">
        <v>1662</v>
      </c>
      <c r="M22" s="105"/>
      <c r="N22" s="12"/>
      <c r="O22" s="12"/>
      <c r="P22" s="12"/>
      <c r="Q22" s="72"/>
      <c r="R22" s="23">
        <v>823630</v>
      </c>
      <c r="S22" s="21"/>
      <c r="T22" s="21"/>
      <c r="U22" s="21"/>
      <c r="V22" s="24"/>
      <c r="W22" s="24"/>
      <c r="X22" s="24" t="s">
        <v>776</v>
      </c>
      <c r="Y22" s="17" t="s">
        <v>765</v>
      </c>
      <c r="AA22" s="11">
        <f t="shared" si="1"/>
        <v>0</v>
      </c>
      <c r="AB22" s="11">
        <v>2041</v>
      </c>
      <c r="AC22" s="11">
        <v>2041</v>
      </c>
      <c r="AD22" s="11">
        <v>2041</v>
      </c>
      <c r="AE22" s="19">
        <f>ROUND((Z22*'Data-CostAssumptions'!$G$5)*(1+'Data-CostAssumptions'!$G$3)^(AB22-'Data-CostAssumptions'!$G$4),-3)</f>
        <v>0</v>
      </c>
      <c r="AF22" s="19">
        <f>ROUND((Z22)*(1+'Data-CostAssumptions'!$G$3)^(AD22-'Data-CostAssumptions'!$G$4),-3)</f>
        <v>0</v>
      </c>
      <c r="AG22" s="170" t="str">
        <f t="shared" si="2"/>
        <v>No</v>
      </c>
    </row>
    <row r="23" spans="1:33" ht="15" customHeight="1" x14ac:dyDescent="0.2">
      <c r="A23" s="12"/>
      <c r="B23" s="11" t="s">
        <v>1211</v>
      </c>
      <c r="C23" s="12"/>
      <c r="D23" s="84" t="s">
        <v>276</v>
      </c>
      <c r="E23" s="104">
        <v>520</v>
      </c>
      <c r="F23" s="104"/>
      <c r="G23" s="20">
        <v>1318</v>
      </c>
      <c r="H23" s="13" t="s">
        <v>1580</v>
      </c>
      <c r="I23" s="13" t="str">
        <f t="shared" si="0"/>
        <v>TAXIWAY P REHABILITATION ( to )</v>
      </c>
      <c r="J23" s="12" t="s">
        <v>1199</v>
      </c>
      <c r="K23" s="13" t="str">
        <f>VLOOKUP(J23,'Data-ProjectTypes'!A$3:B$13,2,FALSE)</f>
        <v>Program</v>
      </c>
      <c r="L23" s="12" t="s">
        <v>1662</v>
      </c>
      <c r="M23" s="105"/>
      <c r="N23" s="12"/>
      <c r="O23" s="12"/>
      <c r="P23" s="12"/>
      <c r="Q23" s="72"/>
      <c r="R23" s="23">
        <v>235520</v>
      </c>
      <c r="S23" s="21"/>
      <c r="T23" s="21"/>
      <c r="U23" s="21"/>
      <c r="V23" s="24"/>
      <c r="W23" s="24"/>
      <c r="X23" s="24"/>
      <c r="Y23" s="17"/>
      <c r="AA23" s="11">
        <f t="shared" si="1"/>
        <v>0</v>
      </c>
      <c r="AB23" s="11">
        <v>2041</v>
      </c>
      <c r="AC23" s="11">
        <v>2041</v>
      </c>
      <c r="AD23" s="11">
        <v>2041</v>
      </c>
      <c r="AE23" s="19">
        <f>ROUND((Z23*'Data-CostAssumptions'!$G$5)*(1+'Data-CostAssumptions'!$G$3)^(AB23-'Data-CostAssumptions'!$G$4),-3)</f>
        <v>0</v>
      </c>
      <c r="AF23" s="19">
        <f>ROUND((Z23)*(1+'Data-CostAssumptions'!$G$3)^(AD23-'Data-CostAssumptions'!$G$4),-3)</f>
        <v>0</v>
      </c>
      <c r="AG23" s="170" t="str">
        <f t="shared" si="2"/>
        <v>No</v>
      </c>
    </row>
    <row r="24" spans="1:33" ht="15" customHeight="1" x14ac:dyDescent="0.2">
      <c r="A24" s="12"/>
      <c r="B24" s="11" t="s">
        <v>1211</v>
      </c>
      <c r="C24" s="12"/>
      <c r="D24" s="84" t="s">
        <v>276</v>
      </c>
      <c r="E24" s="104">
        <v>521</v>
      </c>
      <c r="F24" s="104"/>
      <c r="G24" s="20">
        <v>1319</v>
      </c>
      <c r="H24" s="13" t="s">
        <v>1581</v>
      </c>
      <c r="I24" s="13" t="str">
        <f t="shared" si="0"/>
        <v>TAXIWAY Q REHABILITATION ( to )</v>
      </c>
      <c r="J24" s="12" t="s">
        <v>1199</v>
      </c>
      <c r="K24" s="13" t="str">
        <f>VLOOKUP(J24,'Data-ProjectTypes'!A$3:B$13,2,FALSE)</f>
        <v>Program</v>
      </c>
      <c r="L24" s="12" t="s">
        <v>1662</v>
      </c>
      <c r="M24" s="105"/>
      <c r="N24" s="12"/>
      <c r="O24" s="12"/>
      <c r="P24" s="12"/>
      <c r="Q24" s="72"/>
      <c r="R24" s="23">
        <v>148940</v>
      </c>
      <c r="S24" s="21"/>
      <c r="T24" s="21"/>
      <c r="U24" s="21"/>
      <c r="V24" s="24"/>
      <c r="W24" s="24"/>
      <c r="X24" s="24"/>
      <c r="Y24" s="17"/>
      <c r="AA24" s="11">
        <f t="shared" si="1"/>
        <v>0</v>
      </c>
      <c r="AB24" s="11">
        <v>2041</v>
      </c>
      <c r="AC24" s="11">
        <v>2041</v>
      </c>
      <c r="AD24" s="11">
        <v>2041</v>
      </c>
      <c r="AE24" s="19">
        <f>ROUND((Z24*'Data-CostAssumptions'!$G$5)*(1+'Data-CostAssumptions'!$G$3)^(AB24-'Data-CostAssumptions'!$G$4),-3)</f>
        <v>0</v>
      </c>
      <c r="AF24" s="19">
        <f>ROUND((Z24)*(1+'Data-CostAssumptions'!$G$3)^(AD24-'Data-CostAssumptions'!$G$4),-3)</f>
        <v>0</v>
      </c>
      <c r="AG24" s="170" t="str">
        <f t="shared" si="2"/>
        <v>No</v>
      </c>
    </row>
    <row r="25" spans="1:33" ht="15" customHeight="1" x14ac:dyDescent="0.2">
      <c r="A25" s="12"/>
      <c r="B25" s="11" t="s">
        <v>1211</v>
      </c>
      <c r="C25" s="12"/>
      <c r="D25" s="84" t="s">
        <v>276</v>
      </c>
      <c r="E25" s="104">
        <v>522</v>
      </c>
      <c r="F25" s="104"/>
      <c r="G25" s="20">
        <v>1320</v>
      </c>
      <c r="H25" s="13" t="s">
        <v>1582</v>
      </c>
      <c r="I25" s="13" t="str">
        <f t="shared" si="0"/>
        <v>TAXIWAY R REHABILITATION ( to )</v>
      </c>
      <c r="J25" s="12" t="s">
        <v>1199</v>
      </c>
      <c r="K25" s="13" t="str">
        <f>VLOOKUP(J25,'Data-ProjectTypes'!A$3:B$13,2,FALSE)</f>
        <v>Program</v>
      </c>
      <c r="L25" s="12" t="s">
        <v>1662</v>
      </c>
      <c r="M25" s="105"/>
      <c r="N25" s="12"/>
      <c r="O25" s="12"/>
      <c r="P25" s="12"/>
      <c r="Q25" s="72"/>
      <c r="R25" s="23">
        <v>103340</v>
      </c>
      <c r="S25" s="21"/>
      <c r="T25" s="21"/>
      <c r="U25" s="21"/>
      <c r="V25" s="24"/>
      <c r="W25" s="24"/>
      <c r="X25" s="24"/>
      <c r="Y25" s="17"/>
      <c r="AA25" s="11">
        <f t="shared" si="1"/>
        <v>0</v>
      </c>
      <c r="AB25" s="11">
        <v>2041</v>
      </c>
      <c r="AC25" s="11">
        <v>2041</v>
      </c>
      <c r="AD25" s="11">
        <v>2041</v>
      </c>
      <c r="AE25" s="19">
        <f>ROUND((Z25*'Data-CostAssumptions'!$G$5)*(1+'Data-CostAssumptions'!$G$3)^(AB25-'Data-CostAssumptions'!$G$4),-3)</f>
        <v>0</v>
      </c>
      <c r="AF25" s="19">
        <f>ROUND((Z25)*(1+'Data-CostAssumptions'!$G$3)^(AD25-'Data-CostAssumptions'!$G$4),-3)</f>
        <v>0</v>
      </c>
      <c r="AG25" s="170" t="str">
        <f t="shared" si="2"/>
        <v>No</v>
      </c>
    </row>
  </sheetData>
  <conditionalFormatting sqref="H2:I2 H12:I25 I3:I11">
    <cfRule type="expression" dxfId="145" priority="4">
      <formula>B2="KILL"</formula>
    </cfRule>
  </conditionalFormatting>
  <conditionalFormatting sqref="H3:I11">
    <cfRule type="expression" dxfId="144" priority="3">
      <formula>B3="KILL"</formula>
    </cfRule>
  </conditionalFormatting>
  <conditionalFormatting sqref="AB2:AD25">
    <cfRule type="cellIs" dxfId="143" priority="2" operator="lessThan">
      <formula>2041</formula>
    </cfRule>
  </conditionalFormatting>
  <conditionalFormatting sqref="AG2:AG25">
    <cfRule type="cellIs" dxfId="142" priority="1" operator="equal">
      <formula>"Yes"</formula>
    </cfRule>
  </conditionalFormatting>
  <pageMargins left="0.25" right="0.25" top="0.75" bottom="0.75" header="0.3" footer="0.3"/>
  <pageSetup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47"/>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4" style="11" bestFit="1" customWidth="1"/>
    <col min="2" max="2" width="5.28515625" style="11" hidden="1" customWidth="1"/>
    <col min="3" max="3" width="6.85546875" style="11" bestFit="1" customWidth="1"/>
    <col min="4" max="4" width="15" style="11" bestFit="1" customWidth="1"/>
    <col min="5" max="5" width="9.5703125" style="11" bestFit="1" customWidth="1"/>
    <col min="6" max="6" width="8.140625" style="11" bestFit="1" customWidth="1"/>
    <col min="7" max="7" width="8" style="11" bestFit="1" customWidth="1"/>
    <col min="8" max="8" width="52.7109375" style="11" bestFit="1" customWidth="1"/>
    <col min="9" max="9" width="66" style="11" bestFit="1" customWidth="1"/>
    <col min="10" max="10" width="8" style="11" bestFit="1" customWidth="1"/>
    <col min="11" max="11" width="14" style="11" bestFit="1" customWidth="1"/>
    <col min="12" max="12" width="91.28515625" style="11" bestFit="1" customWidth="1"/>
    <col min="13" max="13" width="24.28515625" style="11" bestFit="1" customWidth="1"/>
    <col min="14" max="14" width="11.28515625"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17.5703125" style="11" hidden="1" customWidth="1"/>
    <col min="23" max="23" width="154.42578125" style="11" hidden="1" customWidth="1"/>
    <col min="24" max="24" width="27.28515625" style="11" hidden="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4.5703125" style="11" bestFit="1" customWidth="1"/>
    <col min="33" max="33" width="14.42578125" style="11" hidden="1" customWidth="1"/>
    <col min="34" max="16384" width="9.140625" style="11"/>
  </cols>
  <sheetData>
    <row r="1" spans="1:33" ht="15" customHeight="1" x14ac:dyDescent="0.2">
      <c r="A1" s="284" t="s">
        <v>1192</v>
      </c>
      <c r="B1" s="284" t="s">
        <v>1211</v>
      </c>
      <c r="C1" s="284" t="s">
        <v>1193</v>
      </c>
      <c r="D1" s="284" t="s">
        <v>419</v>
      </c>
      <c r="E1" s="288" t="s">
        <v>1217</v>
      </c>
      <c r="F1" s="288" t="s">
        <v>1218</v>
      </c>
      <c r="G1" s="288" t="s">
        <v>3105</v>
      </c>
      <c r="H1" s="284" t="s">
        <v>1</v>
      </c>
      <c r="I1" s="284" t="s">
        <v>1739</v>
      </c>
      <c r="J1" s="284" t="s">
        <v>299</v>
      </c>
      <c r="K1" s="286" t="s">
        <v>1209</v>
      </c>
      <c r="L1" s="284" t="s">
        <v>2</v>
      </c>
      <c r="M1" s="289" t="s">
        <v>1191</v>
      </c>
      <c r="N1" s="284" t="s">
        <v>1198</v>
      </c>
      <c r="O1" s="284" t="s">
        <v>1196</v>
      </c>
      <c r="P1" s="284" t="s">
        <v>1197</v>
      </c>
      <c r="Q1" s="290" t="s">
        <v>1194</v>
      </c>
      <c r="R1" s="284" t="s">
        <v>1195</v>
      </c>
      <c r="S1" s="284" t="s">
        <v>2705</v>
      </c>
      <c r="T1" s="303" t="s">
        <v>349</v>
      </c>
      <c r="U1" s="303" t="s">
        <v>358</v>
      </c>
      <c r="V1" s="303" t="s">
        <v>434</v>
      </c>
      <c r="W1" s="303" t="s">
        <v>3251</v>
      </c>
      <c r="X1" s="303" t="s">
        <v>360</v>
      </c>
      <c r="Y1" s="284" t="s">
        <v>2703</v>
      </c>
      <c r="Z1" s="291" t="s">
        <v>3045</v>
      </c>
      <c r="AA1" s="304" t="s">
        <v>3107</v>
      </c>
      <c r="AB1" s="305" t="s">
        <v>3167</v>
      </c>
      <c r="AC1" s="305" t="s">
        <v>3117</v>
      </c>
      <c r="AD1" s="305" t="s">
        <v>3118</v>
      </c>
      <c r="AE1" s="306" t="s">
        <v>3168</v>
      </c>
      <c r="AF1" s="306" t="s">
        <v>3125</v>
      </c>
      <c r="AG1" s="307" t="s">
        <v>3155</v>
      </c>
    </row>
    <row r="2" spans="1:33" ht="15" customHeight="1" x14ac:dyDescent="0.2">
      <c r="B2" s="11" t="s">
        <v>1211</v>
      </c>
      <c r="C2" s="13">
        <v>1029</v>
      </c>
      <c r="D2" s="13" t="s">
        <v>420</v>
      </c>
      <c r="E2" s="20">
        <v>4</v>
      </c>
      <c r="F2" s="20">
        <v>204</v>
      </c>
      <c r="G2" s="20">
        <v>912</v>
      </c>
      <c r="H2" s="13" t="s">
        <v>225</v>
      </c>
      <c r="I2" s="13" t="str">
        <f t="shared" ref="I2:I47" si="0">IF(M2="@",H2&amp;" ("&amp;M2&amp;"  "&amp;N2&amp;")",H2&amp;" ("&amp;M2&amp;" to "&amp;N2&amp;")")</f>
        <v>Cruise Passenger &amp; Baggage Processing Facility ( to )</v>
      </c>
      <c r="J2" s="13" t="s">
        <v>1200</v>
      </c>
      <c r="K2" s="13" t="str">
        <f>VLOOKUP(J2,'Data-ProjectTypes'!A$3:B$13,2,FALSE)</f>
        <v>Program</v>
      </c>
      <c r="L2" s="21" t="s">
        <v>323</v>
      </c>
      <c r="M2" s="13"/>
      <c r="N2" s="13"/>
      <c r="O2" s="13" t="s">
        <v>270</v>
      </c>
      <c r="P2" s="13" t="s">
        <v>270</v>
      </c>
      <c r="Q2" s="22"/>
      <c r="R2" s="23">
        <v>43547910.825317062</v>
      </c>
      <c r="S2" s="12"/>
      <c r="T2" s="12"/>
      <c r="U2" s="12"/>
      <c r="V2" s="12"/>
      <c r="W2" s="12"/>
      <c r="X2" s="12"/>
      <c r="Y2" s="12"/>
      <c r="Z2" s="18">
        <f>ROUND(R2*'Data-CostAssumptions'!$C$8,-3)</f>
        <v>43548000</v>
      </c>
      <c r="AA2" s="11">
        <f>IF(V2="",IF(W2="",0,1),1)</f>
        <v>0</v>
      </c>
      <c r="AB2" s="11">
        <v>2041</v>
      </c>
      <c r="AC2" s="11">
        <v>2041</v>
      </c>
      <c r="AD2" s="11">
        <v>2041</v>
      </c>
      <c r="AE2" s="19">
        <f>ROUND((Z2*'Data-CostAssumptions'!$G$5)*(1+'Data-CostAssumptions'!$G$3)^(AB2-'Data-CostAssumptions'!$G$4),-3)</f>
        <v>24564000</v>
      </c>
      <c r="AF2" s="19">
        <f>ROUND((Z2)*(1+'Data-CostAssumptions'!$G$3)^(AD2-'Data-CostAssumptions'!$G$4),-3)</f>
        <v>111655000</v>
      </c>
      <c r="AG2" s="170" t="str">
        <f>IF(MIN(AC2:AD2)&lt;2041,"Yes","No")</f>
        <v>No</v>
      </c>
    </row>
    <row r="3" spans="1:33" ht="15" customHeight="1" x14ac:dyDescent="0.2">
      <c r="A3" s="66"/>
      <c r="B3" s="66" t="s">
        <v>1211</v>
      </c>
      <c r="C3" s="67">
        <v>1030</v>
      </c>
      <c r="D3" s="67" t="s">
        <v>420</v>
      </c>
      <c r="E3" s="68">
        <v>5</v>
      </c>
      <c r="F3" s="68">
        <v>204</v>
      </c>
      <c r="G3" s="20">
        <v>913</v>
      </c>
      <c r="H3" s="67" t="s">
        <v>224</v>
      </c>
      <c r="I3" s="67" t="str">
        <f t="shared" si="0"/>
        <v>Cruise Terminal 21/22 Expansion ( to )</v>
      </c>
      <c r="J3" s="67" t="s">
        <v>1200</v>
      </c>
      <c r="K3" s="67" t="str">
        <f>VLOOKUP(J3,'Data-ProjectTypes'!A$3:B$13,2,FALSE)</f>
        <v>Program</v>
      </c>
      <c r="L3" s="67" t="s">
        <v>324</v>
      </c>
      <c r="M3" s="67"/>
      <c r="N3" s="67"/>
      <c r="O3" s="67" t="s">
        <v>270</v>
      </c>
      <c r="P3" s="67" t="s">
        <v>270</v>
      </c>
      <c r="Q3" s="69"/>
      <c r="R3" s="70">
        <v>0</v>
      </c>
      <c r="S3" s="12"/>
      <c r="T3" s="12"/>
      <c r="U3" s="12"/>
      <c r="V3" s="12"/>
      <c r="W3" s="12"/>
      <c r="X3" s="12"/>
      <c r="Y3" s="12"/>
      <c r="Z3" s="18">
        <f>ROUND(R3*'Data-CostAssumptions'!$C$8,-3)</f>
        <v>0</v>
      </c>
      <c r="AA3" s="11">
        <f t="shared" ref="AA3:AA47" si="1">IF(V3="",IF(W3="",0,1),1)</f>
        <v>0</v>
      </c>
      <c r="AB3" s="11">
        <v>2041</v>
      </c>
      <c r="AC3" s="11">
        <v>2041</v>
      </c>
      <c r="AD3" s="11">
        <v>2041</v>
      </c>
      <c r="AE3" s="19">
        <f>ROUND((Z3*'Data-CostAssumptions'!$G$5)*(1+'Data-CostAssumptions'!$G$3)^(AB3-'Data-CostAssumptions'!$G$4),-3)</f>
        <v>0</v>
      </c>
      <c r="AF3" s="19">
        <f>ROUND((Z3)*(1+'Data-CostAssumptions'!$G$3)^(AD3-'Data-CostAssumptions'!$G$4),-3)</f>
        <v>0</v>
      </c>
      <c r="AG3" s="170" t="str">
        <f t="shared" ref="AG3:AG47" si="2">IF(MIN(AC3:AD3)&lt;2041,"Yes","No")</f>
        <v>No</v>
      </c>
    </row>
    <row r="4" spans="1:33" ht="15" customHeight="1" x14ac:dyDescent="0.2">
      <c r="A4" s="66"/>
      <c r="B4" s="66" t="s">
        <v>1211</v>
      </c>
      <c r="C4" s="67">
        <v>1031</v>
      </c>
      <c r="D4" s="67" t="s">
        <v>420</v>
      </c>
      <c r="E4" s="68">
        <v>6</v>
      </c>
      <c r="F4" s="68">
        <v>204</v>
      </c>
      <c r="G4" s="20">
        <v>914</v>
      </c>
      <c r="H4" s="67" t="s">
        <v>223</v>
      </c>
      <c r="I4" s="67" t="str">
        <f t="shared" si="0"/>
        <v>Cruise Terminal No. 4 Redevelopment/Expansion ( to )</v>
      </c>
      <c r="J4" s="67" t="s">
        <v>1200</v>
      </c>
      <c r="K4" s="67" t="str">
        <f>VLOOKUP(J4,'Data-ProjectTypes'!A$3:B$13,2,FALSE)</f>
        <v>Program</v>
      </c>
      <c r="L4" s="67" t="s">
        <v>324</v>
      </c>
      <c r="M4" s="67"/>
      <c r="N4" s="67"/>
      <c r="O4" s="67" t="s">
        <v>270</v>
      </c>
      <c r="P4" s="67" t="s">
        <v>270</v>
      </c>
      <c r="Q4" s="69"/>
      <c r="R4" s="70">
        <v>0</v>
      </c>
      <c r="S4" s="12"/>
      <c r="T4" s="12"/>
      <c r="U4" s="12"/>
      <c r="V4" s="12"/>
      <c r="W4" s="12"/>
      <c r="X4" s="12"/>
      <c r="Y4" s="12"/>
      <c r="Z4" s="18">
        <f>ROUND(R4*'Data-CostAssumptions'!$C$8,-3)</f>
        <v>0</v>
      </c>
      <c r="AA4" s="11">
        <f t="shared" si="1"/>
        <v>0</v>
      </c>
      <c r="AB4" s="11">
        <v>2041</v>
      </c>
      <c r="AC4" s="11">
        <v>2041</v>
      </c>
      <c r="AD4" s="11">
        <v>2041</v>
      </c>
      <c r="AE4" s="19">
        <f>ROUND((Z4*'Data-CostAssumptions'!$G$5)*(1+'Data-CostAssumptions'!$G$3)^(AB4-'Data-CostAssumptions'!$G$4),-3)</f>
        <v>0</v>
      </c>
      <c r="AF4" s="19">
        <f>ROUND((Z4)*(1+'Data-CostAssumptions'!$G$3)^(AD4-'Data-CostAssumptions'!$G$4),-3)</f>
        <v>0</v>
      </c>
      <c r="AG4" s="170" t="str">
        <f t="shared" si="2"/>
        <v>No</v>
      </c>
    </row>
    <row r="5" spans="1:33" ht="15" customHeight="1" x14ac:dyDescent="0.2">
      <c r="B5" s="11" t="s">
        <v>1211</v>
      </c>
      <c r="C5" s="11">
        <v>1032</v>
      </c>
      <c r="D5" s="13" t="s">
        <v>420</v>
      </c>
      <c r="E5" s="14"/>
      <c r="F5" s="14">
        <v>204</v>
      </c>
      <c r="G5" s="20">
        <v>915</v>
      </c>
      <c r="H5" s="13" t="s">
        <v>374</v>
      </c>
      <c r="I5" s="13" t="str">
        <f t="shared" si="0"/>
        <v>Database Integration (Systemwide to Systemwide)</v>
      </c>
      <c r="J5" s="13" t="s">
        <v>1200</v>
      </c>
      <c r="K5" s="13" t="str">
        <f>VLOOKUP(J5,'Data-ProjectTypes'!A$3:B$13,2,FALSE)</f>
        <v>Program</v>
      </c>
      <c r="L5" s="11" t="s">
        <v>394</v>
      </c>
      <c r="M5" s="13" t="s">
        <v>2834</v>
      </c>
      <c r="N5" s="13" t="s">
        <v>2834</v>
      </c>
      <c r="O5" s="11" t="s">
        <v>270</v>
      </c>
      <c r="P5" s="11" t="s">
        <v>270</v>
      </c>
      <c r="Q5" s="15"/>
      <c r="R5" s="16">
        <v>5627544</v>
      </c>
      <c r="S5" s="12"/>
      <c r="T5" s="12"/>
      <c r="U5" s="12"/>
      <c r="V5" s="12"/>
      <c r="W5" s="12"/>
      <c r="X5" s="12"/>
      <c r="Y5" s="12"/>
      <c r="Z5" s="18">
        <f>ROUND(R5*'Data-CostAssumptions'!$C$8,-3)</f>
        <v>5628000</v>
      </c>
      <c r="AA5" s="11">
        <f t="shared" si="1"/>
        <v>0</v>
      </c>
      <c r="AB5" s="11">
        <v>2041</v>
      </c>
      <c r="AC5" s="11">
        <v>2041</v>
      </c>
      <c r="AD5" s="11">
        <v>2041</v>
      </c>
      <c r="AE5" s="19">
        <f>ROUND((Z5*'Data-CostAssumptions'!$G$5)*(1+'Data-CostAssumptions'!$G$3)^(AB5-'Data-CostAssumptions'!$G$4),-3)</f>
        <v>3175000</v>
      </c>
      <c r="AF5" s="19">
        <f>ROUND((Z5)*(1+'Data-CostAssumptions'!$G$3)^(AD5-'Data-CostAssumptions'!$G$4),-3)</f>
        <v>14430000</v>
      </c>
      <c r="AG5" s="170" t="str">
        <f t="shared" si="2"/>
        <v>No</v>
      </c>
    </row>
    <row r="6" spans="1:33" ht="15" customHeight="1" x14ac:dyDescent="0.2">
      <c r="A6" s="66"/>
      <c r="B6" s="66" t="s">
        <v>1211</v>
      </c>
      <c r="C6" s="67">
        <v>1033</v>
      </c>
      <c r="D6" s="67" t="s">
        <v>420</v>
      </c>
      <c r="E6" s="68">
        <v>8</v>
      </c>
      <c r="F6" s="68">
        <v>204</v>
      </c>
      <c r="G6" s="20">
        <v>916</v>
      </c>
      <c r="H6" s="67" t="s">
        <v>222</v>
      </c>
      <c r="I6" s="67" t="str">
        <f t="shared" si="0"/>
        <v>Delivery appointment system for cruise ships (Systemwide to Systemwide)</v>
      </c>
      <c r="J6" s="67" t="s">
        <v>1200</v>
      </c>
      <c r="K6" s="67" t="str">
        <f>VLOOKUP(J6,'Data-ProjectTypes'!A$3:B$13,2,FALSE)</f>
        <v>Program</v>
      </c>
      <c r="L6" s="67" t="s">
        <v>325</v>
      </c>
      <c r="M6" s="67" t="s">
        <v>2834</v>
      </c>
      <c r="N6" s="67" t="s">
        <v>2834</v>
      </c>
      <c r="O6" s="67" t="s">
        <v>270</v>
      </c>
      <c r="P6" s="67" t="s">
        <v>270</v>
      </c>
      <c r="Q6" s="69"/>
      <c r="R6" s="70">
        <v>0</v>
      </c>
      <c r="S6" s="12"/>
      <c r="T6" s="12"/>
      <c r="U6" s="12"/>
      <c r="V6" s="12"/>
      <c r="W6" s="12"/>
      <c r="X6" s="12"/>
      <c r="Y6" s="12"/>
      <c r="Z6" s="18">
        <f>ROUND(R6*'Data-CostAssumptions'!$C$8,-3)</f>
        <v>0</v>
      </c>
      <c r="AA6" s="11">
        <f t="shared" si="1"/>
        <v>0</v>
      </c>
      <c r="AB6" s="11">
        <v>2041</v>
      </c>
      <c r="AC6" s="11">
        <v>2041</v>
      </c>
      <c r="AD6" s="11">
        <v>2041</v>
      </c>
      <c r="AE6" s="19">
        <f>ROUND((Z6*'Data-CostAssumptions'!$G$5)*(1+'Data-CostAssumptions'!$G$3)^(AB6-'Data-CostAssumptions'!$G$4),-3)</f>
        <v>0</v>
      </c>
      <c r="AF6" s="19">
        <f>ROUND((Z6)*(1+'Data-CostAssumptions'!$G$3)^(AD6-'Data-CostAssumptions'!$G$4),-3)</f>
        <v>0</v>
      </c>
      <c r="AG6" s="170" t="str">
        <f t="shared" si="2"/>
        <v>No</v>
      </c>
    </row>
    <row r="7" spans="1:33" ht="15" customHeight="1" x14ac:dyDescent="0.2">
      <c r="B7" s="11" t="s">
        <v>1211</v>
      </c>
      <c r="C7" s="11">
        <v>1042</v>
      </c>
      <c r="D7" s="13" t="s">
        <v>420</v>
      </c>
      <c r="E7" s="14"/>
      <c r="F7" s="14">
        <v>205</v>
      </c>
      <c r="G7" s="20">
        <v>917</v>
      </c>
      <c r="H7" s="13" t="s">
        <v>375</v>
      </c>
      <c r="I7" s="13" t="str">
        <f t="shared" si="0"/>
        <v>Inventory Clearance Equipment (FDOT and FTPK accessible to )</v>
      </c>
      <c r="J7" s="13" t="s">
        <v>1200</v>
      </c>
      <c r="K7" s="13" t="str">
        <f>VLOOKUP(J7,'Data-ProjectTypes'!A$3:B$13,2,FALSE)</f>
        <v>Program</v>
      </c>
      <c r="M7" s="11" t="s">
        <v>417</v>
      </c>
      <c r="O7" s="11" t="s">
        <v>270</v>
      </c>
      <c r="P7" s="11" t="s">
        <v>270</v>
      </c>
      <c r="Q7" s="15"/>
      <c r="R7" s="16">
        <v>11255088</v>
      </c>
      <c r="S7" s="12"/>
      <c r="T7" s="12"/>
      <c r="U7" s="12"/>
      <c r="V7" s="12"/>
      <c r="W7" s="12"/>
      <c r="X7" s="12"/>
      <c r="Y7" s="12"/>
      <c r="Z7" s="18">
        <f>ROUND(R7*'Data-CostAssumptions'!$C$8,-3)</f>
        <v>11255000</v>
      </c>
      <c r="AA7" s="11">
        <f t="shared" si="1"/>
        <v>0</v>
      </c>
      <c r="AB7" s="11">
        <v>2041</v>
      </c>
      <c r="AC7" s="11">
        <v>2041</v>
      </c>
      <c r="AD7" s="11">
        <v>2041</v>
      </c>
      <c r="AE7" s="19">
        <f>ROUND((Z7*'Data-CostAssumptions'!$G$5)*(1+'Data-CostAssumptions'!$G$3)^(AB7-'Data-CostAssumptions'!$G$4),-3)</f>
        <v>6349000</v>
      </c>
      <c r="AF7" s="19">
        <f>ROUND((Z7)*(1+'Data-CostAssumptions'!$G$3)^(AD7-'Data-CostAssumptions'!$G$4),-3)</f>
        <v>28857000</v>
      </c>
      <c r="AG7" s="170" t="str">
        <f t="shared" si="2"/>
        <v>No</v>
      </c>
    </row>
    <row r="8" spans="1:33" ht="15" customHeight="1" x14ac:dyDescent="0.2">
      <c r="B8" s="11" t="s">
        <v>1211</v>
      </c>
      <c r="C8" s="11">
        <v>1043</v>
      </c>
      <c r="D8" s="13" t="s">
        <v>420</v>
      </c>
      <c r="E8" s="14"/>
      <c r="F8" s="14">
        <v>205</v>
      </c>
      <c r="G8" s="20">
        <v>918</v>
      </c>
      <c r="H8" s="13" t="s">
        <v>376</v>
      </c>
      <c r="I8" s="13" t="str">
        <f t="shared" si="0"/>
        <v>Long Term Remote Parking Facilities ( to )</v>
      </c>
      <c r="J8" s="13" t="s">
        <v>1200</v>
      </c>
      <c r="K8" s="13" t="str">
        <f>VLOOKUP(J8,'Data-ProjectTypes'!A$3:B$13,2,FALSE)</f>
        <v>Program</v>
      </c>
      <c r="O8" s="11" t="s">
        <v>270</v>
      </c>
      <c r="P8" s="11" t="s">
        <v>270</v>
      </c>
      <c r="Q8" s="15"/>
      <c r="R8" s="16">
        <v>19905342</v>
      </c>
      <c r="S8" s="12"/>
      <c r="T8" s="12"/>
      <c r="U8" s="12"/>
      <c r="V8" s="12"/>
      <c r="W8" s="12"/>
      <c r="X8" s="12"/>
      <c r="Y8" s="12"/>
      <c r="Z8" s="18">
        <f>ROUND(R8*'Data-CostAssumptions'!$C$8,-3)</f>
        <v>19905000</v>
      </c>
      <c r="AA8" s="11">
        <f t="shared" si="1"/>
        <v>0</v>
      </c>
      <c r="AB8" s="11">
        <v>2041</v>
      </c>
      <c r="AC8" s="11">
        <v>2041</v>
      </c>
      <c r="AD8" s="11">
        <v>2041</v>
      </c>
      <c r="AE8" s="19">
        <f>ROUND((Z8*'Data-CostAssumptions'!$G$5)*(1+'Data-CostAssumptions'!$G$3)^(AB8-'Data-CostAssumptions'!$G$4),-3)</f>
        <v>11228000</v>
      </c>
      <c r="AF8" s="19">
        <f>ROUND((Z8)*(1+'Data-CostAssumptions'!$G$3)^(AD8-'Data-CostAssumptions'!$G$4),-3)</f>
        <v>51035000</v>
      </c>
      <c r="AG8" s="170" t="str">
        <f t="shared" si="2"/>
        <v>No</v>
      </c>
    </row>
    <row r="9" spans="1:33" ht="15" customHeight="1" x14ac:dyDescent="0.2">
      <c r="A9" s="66"/>
      <c r="B9" s="66" t="s">
        <v>1211</v>
      </c>
      <c r="C9" s="67">
        <v>1046</v>
      </c>
      <c r="D9" s="67" t="s">
        <v>420</v>
      </c>
      <c r="E9" s="68">
        <v>22</v>
      </c>
      <c r="F9" s="68">
        <v>205</v>
      </c>
      <c r="G9" s="20">
        <v>919</v>
      </c>
      <c r="H9" s="67" t="s">
        <v>199</v>
      </c>
      <c r="I9" s="67" t="str">
        <f t="shared" si="0"/>
        <v>Midpoint Cruise/Cargo Programming &amp; Plan Development ( to )</v>
      </c>
      <c r="J9" s="67" t="s">
        <v>1200</v>
      </c>
      <c r="K9" s="67" t="str">
        <f>VLOOKUP(J9,'Data-ProjectTypes'!A$3:B$13,2,FALSE)</f>
        <v>Program</v>
      </c>
      <c r="L9" s="67" t="s">
        <v>334</v>
      </c>
      <c r="M9" s="67"/>
      <c r="N9" s="67"/>
      <c r="O9" s="67" t="s">
        <v>270</v>
      </c>
      <c r="P9" s="67" t="s">
        <v>270</v>
      </c>
      <c r="Q9" s="69"/>
      <c r="R9" s="70">
        <v>0</v>
      </c>
      <c r="S9" s="12"/>
      <c r="T9" s="12"/>
      <c r="U9" s="12"/>
      <c r="V9" s="12"/>
      <c r="W9" s="12"/>
      <c r="X9" s="12"/>
      <c r="Y9" s="12"/>
      <c r="Z9" s="18">
        <f>ROUND(R9*'Data-CostAssumptions'!$C$8,-3)</f>
        <v>0</v>
      </c>
      <c r="AA9" s="11">
        <f t="shared" si="1"/>
        <v>0</v>
      </c>
      <c r="AB9" s="11">
        <v>2041</v>
      </c>
      <c r="AC9" s="11">
        <v>2041</v>
      </c>
      <c r="AD9" s="11">
        <v>2041</v>
      </c>
      <c r="AE9" s="19">
        <f>ROUND((Z9*'Data-CostAssumptions'!$G$5)*(1+'Data-CostAssumptions'!$G$3)^(AB9-'Data-CostAssumptions'!$G$4),-3)</f>
        <v>0</v>
      </c>
      <c r="AF9" s="19">
        <f>ROUND((Z9)*(1+'Data-CostAssumptions'!$G$3)^(AD9-'Data-CostAssumptions'!$G$4),-3)</f>
        <v>0</v>
      </c>
      <c r="AG9" s="170" t="str">
        <f t="shared" si="2"/>
        <v>No</v>
      </c>
    </row>
    <row r="10" spans="1:33" ht="15" customHeight="1" x14ac:dyDescent="0.2">
      <c r="A10" s="66"/>
      <c r="B10" s="66" t="s">
        <v>1211</v>
      </c>
      <c r="C10" s="67">
        <v>1047</v>
      </c>
      <c r="D10" s="67" t="s">
        <v>420</v>
      </c>
      <c r="E10" s="68">
        <v>23</v>
      </c>
      <c r="F10" s="68">
        <v>205</v>
      </c>
      <c r="G10" s="20">
        <v>920</v>
      </c>
      <c r="H10" s="67" t="s">
        <v>198</v>
      </c>
      <c r="I10" s="67" t="str">
        <f t="shared" si="0"/>
        <v>Midpoint Parking Garage ( to )</v>
      </c>
      <c r="J10" s="67" t="s">
        <v>1200</v>
      </c>
      <c r="K10" s="67" t="str">
        <f>VLOOKUP(J10,'Data-ProjectTypes'!A$3:B$13,2,FALSE)</f>
        <v>Program</v>
      </c>
      <c r="L10" s="67" t="s">
        <v>335</v>
      </c>
      <c r="M10" s="67"/>
      <c r="N10" s="67"/>
      <c r="O10" s="67" t="s">
        <v>270</v>
      </c>
      <c r="P10" s="67" t="s">
        <v>270</v>
      </c>
      <c r="Q10" s="69"/>
      <c r="R10" s="70">
        <v>0</v>
      </c>
      <c r="S10" s="12"/>
      <c r="T10" s="12"/>
      <c r="U10" s="12"/>
      <c r="V10" s="12"/>
      <c r="W10" s="12"/>
      <c r="X10" s="12"/>
      <c r="Y10" s="12"/>
      <c r="Z10" s="18">
        <f>ROUND(R10*'Data-CostAssumptions'!$C$8,-3)</f>
        <v>0</v>
      </c>
      <c r="AA10" s="11">
        <f t="shared" si="1"/>
        <v>0</v>
      </c>
      <c r="AB10" s="11">
        <v>2041</v>
      </c>
      <c r="AC10" s="11">
        <v>2041</v>
      </c>
      <c r="AD10" s="11">
        <v>2041</v>
      </c>
      <c r="AE10" s="19">
        <f>ROUND((Z10*'Data-CostAssumptions'!$G$5)*(1+'Data-CostAssumptions'!$G$3)^(AB10-'Data-CostAssumptions'!$G$4),-3)</f>
        <v>0</v>
      </c>
      <c r="AF10" s="19">
        <f>ROUND((Z10)*(1+'Data-CostAssumptions'!$G$3)^(AD10-'Data-CostAssumptions'!$G$4),-3)</f>
        <v>0</v>
      </c>
      <c r="AG10" s="170" t="str">
        <f t="shared" si="2"/>
        <v>No</v>
      </c>
    </row>
    <row r="11" spans="1:33" ht="15" customHeight="1" x14ac:dyDescent="0.2">
      <c r="B11" s="11" t="s">
        <v>1211</v>
      </c>
      <c r="C11" s="13">
        <v>1048</v>
      </c>
      <c r="D11" s="13" t="s">
        <v>420</v>
      </c>
      <c r="E11" s="20">
        <v>24</v>
      </c>
      <c r="F11" s="20">
        <v>206</v>
      </c>
      <c r="G11" s="20">
        <v>921</v>
      </c>
      <c r="H11" s="13" t="s">
        <v>220</v>
      </c>
      <c r="I11" s="13" t="str">
        <f t="shared" si="0"/>
        <v>On-Port circulation improvements ( to )</v>
      </c>
      <c r="J11" s="13" t="s">
        <v>1200</v>
      </c>
      <c r="K11" s="13" t="str">
        <f>VLOOKUP(J11,'Data-ProjectTypes'!A$3:B$13,2,FALSE)</f>
        <v>Program</v>
      </c>
      <c r="L11" s="21" t="s">
        <v>348</v>
      </c>
      <c r="M11" s="13"/>
      <c r="N11" s="13"/>
      <c r="O11" s="13" t="s">
        <v>270</v>
      </c>
      <c r="P11" s="13" t="s">
        <v>270</v>
      </c>
      <c r="Q11" s="22"/>
      <c r="R11" s="23">
        <v>5064790</v>
      </c>
      <c r="S11" s="12"/>
      <c r="T11" s="12"/>
      <c r="U11" s="12"/>
      <c r="V11" s="12"/>
      <c r="W11" s="12"/>
      <c r="X11" s="12"/>
      <c r="Y11" s="12"/>
      <c r="Z11" s="18">
        <f>ROUND(R11*'Data-CostAssumptions'!$C$8,-3)</f>
        <v>5065000</v>
      </c>
      <c r="AA11" s="11">
        <f t="shared" si="1"/>
        <v>0</v>
      </c>
      <c r="AB11" s="11">
        <v>2041</v>
      </c>
      <c r="AC11" s="11">
        <v>2041</v>
      </c>
      <c r="AD11" s="11">
        <v>2041</v>
      </c>
      <c r="AE11" s="19">
        <f>ROUND((Z11*'Data-CostAssumptions'!$G$5)*(1+'Data-CostAssumptions'!$G$3)^(AB11-'Data-CostAssumptions'!$G$4),-3)</f>
        <v>2857000</v>
      </c>
      <c r="AF11" s="19">
        <f>ROUND((Z11)*(1+'Data-CostAssumptions'!$G$3)^(AD11-'Data-CostAssumptions'!$G$4),-3)</f>
        <v>12986000</v>
      </c>
      <c r="AG11" s="170" t="str">
        <f t="shared" si="2"/>
        <v>No</v>
      </c>
    </row>
    <row r="12" spans="1:33" ht="15" customHeight="1" x14ac:dyDescent="0.2">
      <c r="A12" s="66"/>
      <c r="B12" s="66" t="s">
        <v>1211</v>
      </c>
      <c r="C12" s="67">
        <v>1066</v>
      </c>
      <c r="D12" s="67" t="s">
        <v>420</v>
      </c>
      <c r="E12" s="68">
        <v>44</v>
      </c>
      <c r="F12" s="68">
        <v>207</v>
      </c>
      <c r="G12" s="20">
        <v>922</v>
      </c>
      <c r="H12" s="67" t="s">
        <v>2922</v>
      </c>
      <c r="I12" s="67" t="str">
        <f t="shared" si="0"/>
        <v>PEV ACOE Dredging Project ( to )</v>
      </c>
      <c r="J12" s="67" t="s">
        <v>1200</v>
      </c>
      <c r="K12" s="67" t="str">
        <f>VLOOKUP(J12,'Data-ProjectTypes'!A$3:B$13,2,FALSE)</f>
        <v>Program</v>
      </c>
      <c r="L12" s="67" t="s">
        <v>345</v>
      </c>
      <c r="M12" s="67"/>
      <c r="N12" s="67"/>
      <c r="O12" s="67" t="s">
        <v>270</v>
      </c>
      <c r="P12" s="67" t="s">
        <v>270</v>
      </c>
      <c r="Q12" s="69"/>
      <c r="R12" s="70">
        <v>0</v>
      </c>
      <c r="S12" s="12"/>
      <c r="T12" s="12"/>
      <c r="U12" s="12"/>
      <c r="V12" s="12"/>
      <c r="W12" s="12"/>
      <c r="X12" s="12"/>
      <c r="Y12" s="12"/>
      <c r="Z12" s="18">
        <f>ROUND(R12*'Data-CostAssumptions'!$C$8,-3)</f>
        <v>0</v>
      </c>
      <c r="AA12" s="11">
        <f t="shared" si="1"/>
        <v>0</v>
      </c>
      <c r="AB12" s="11">
        <v>2041</v>
      </c>
      <c r="AC12" s="11">
        <v>2041</v>
      </c>
      <c r="AD12" s="11">
        <v>2041</v>
      </c>
      <c r="AE12" s="19">
        <f>ROUND((Z12*'Data-CostAssumptions'!$G$5)*(1+'Data-CostAssumptions'!$G$3)^(AB12-'Data-CostAssumptions'!$G$4),-3)</f>
        <v>0</v>
      </c>
      <c r="AF12" s="19">
        <f>ROUND((Z12)*(1+'Data-CostAssumptions'!$G$3)^(AD12-'Data-CostAssumptions'!$G$4),-3)</f>
        <v>0</v>
      </c>
      <c r="AG12" s="170" t="str">
        <f t="shared" si="2"/>
        <v>No</v>
      </c>
    </row>
    <row r="13" spans="1:33" ht="15" customHeight="1" x14ac:dyDescent="0.2">
      <c r="B13" s="11" t="s">
        <v>1211</v>
      </c>
      <c r="C13" s="13">
        <v>1067</v>
      </c>
      <c r="D13" s="13" t="s">
        <v>420</v>
      </c>
      <c r="E13" s="20">
        <v>45</v>
      </c>
      <c r="F13" s="20">
        <v>207</v>
      </c>
      <c r="G13" s="20">
        <v>923</v>
      </c>
      <c r="H13" s="13" t="s">
        <v>192</v>
      </c>
      <c r="I13" s="13" t="str">
        <f t="shared" si="0"/>
        <v>Slip 2 Expansion ( to )</v>
      </c>
      <c r="J13" s="13" t="s">
        <v>1200</v>
      </c>
      <c r="K13" s="13" t="str">
        <f>VLOOKUP(J13,'Data-ProjectTypes'!A$3:B$13,2,FALSE)</f>
        <v>Program</v>
      </c>
      <c r="L13" s="21" t="s">
        <v>346</v>
      </c>
      <c r="M13" s="13"/>
      <c r="N13" s="13"/>
      <c r="O13" s="13" t="s">
        <v>270</v>
      </c>
      <c r="P13" s="13" t="s">
        <v>270</v>
      </c>
      <c r="Q13" s="22"/>
      <c r="R13" s="23">
        <v>1293913</v>
      </c>
      <c r="S13" s="12"/>
      <c r="T13" s="12"/>
      <c r="U13" s="12"/>
      <c r="V13" s="12"/>
      <c r="W13" s="12"/>
      <c r="X13" s="12"/>
      <c r="Y13" s="12"/>
      <c r="Z13" s="18">
        <f>ROUND(R13*'Data-CostAssumptions'!$C$8,-3)</f>
        <v>1294000</v>
      </c>
      <c r="AA13" s="11">
        <f t="shared" si="1"/>
        <v>0</v>
      </c>
      <c r="AB13" s="11">
        <v>2041</v>
      </c>
      <c r="AC13" s="11">
        <v>2041</v>
      </c>
      <c r="AD13" s="11">
        <v>2041</v>
      </c>
      <c r="AE13" s="19">
        <f>ROUND((Z13*'Data-CostAssumptions'!$G$5)*(1+'Data-CostAssumptions'!$G$3)^(AB13-'Data-CostAssumptions'!$G$4),-3)</f>
        <v>730000</v>
      </c>
      <c r="AF13" s="19">
        <f>ROUND((Z13)*(1+'Data-CostAssumptions'!$G$3)^(AD13-'Data-CostAssumptions'!$G$4),-3)</f>
        <v>3318000</v>
      </c>
      <c r="AG13" s="170" t="str">
        <f t="shared" si="2"/>
        <v>No</v>
      </c>
    </row>
    <row r="14" spans="1:33" ht="15" customHeight="1" x14ac:dyDescent="0.2">
      <c r="A14" s="66"/>
      <c r="B14" s="66" t="s">
        <v>1211</v>
      </c>
      <c r="C14" s="67">
        <v>1065</v>
      </c>
      <c r="D14" s="67" t="s">
        <v>420</v>
      </c>
      <c r="E14" s="68">
        <v>43</v>
      </c>
      <c r="F14" s="68">
        <v>207</v>
      </c>
      <c r="G14" s="20">
        <v>924</v>
      </c>
      <c r="H14" s="67" t="s">
        <v>194</v>
      </c>
      <c r="I14" s="67" t="str">
        <f t="shared" si="0"/>
        <v>Southport Turning Notch Expansion (Phase I) ( to )</v>
      </c>
      <c r="J14" s="67" t="s">
        <v>1200</v>
      </c>
      <c r="K14" s="67" t="str">
        <f>VLOOKUP(J14,'Data-ProjectTypes'!A$3:B$13,2,FALSE)</f>
        <v>Program</v>
      </c>
      <c r="L14" s="67" t="s">
        <v>344</v>
      </c>
      <c r="M14" s="67"/>
      <c r="N14" s="67"/>
      <c r="O14" s="67" t="s">
        <v>270</v>
      </c>
      <c r="P14" s="67" t="s">
        <v>270</v>
      </c>
      <c r="Q14" s="69"/>
      <c r="R14" s="70">
        <v>0</v>
      </c>
      <c r="S14" s="12"/>
      <c r="T14" s="12"/>
      <c r="U14" s="12"/>
      <c r="V14" s="12"/>
      <c r="W14" s="12"/>
      <c r="X14" s="12"/>
      <c r="Y14" s="12"/>
      <c r="Z14" s="18">
        <f>ROUND(R14*'Data-CostAssumptions'!$C$8,-3)</f>
        <v>0</v>
      </c>
      <c r="AA14" s="11">
        <f t="shared" si="1"/>
        <v>0</v>
      </c>
      <c r="AB14" s="11">
        <v>2041</v>
      </c>
      <c r="AC14" s="11">
        <v>2041</v>
      </c>
      <c r="AD14" s="11">
        <v>2041</v>
      </c>
      <c r="AE14" s="19">
        <f>ROUND((Z14*'Data-CostAssumptions'!$G$5)*(1+'Data-CostAssumptions'!$G$3)^(AB14-'Data-CostAssumptions'!$G$4),-3)</f>
        <v>0</v>
      </c>
      <c r="AF14" s="19">
        <f>ROUND((Z14)*(1+'Data-CostAssumptions'!$G$3)^(AD14-'Data-CostAssumptions'!$G$4),-3)</f>
        <v>0</v>
      </c>
      <c r="AG14" s="170" t="str">
        <f t="shared" si="2"/>
        <v>No</v>
      </c>
    </row>
    <row r="15" spans="1:33" ht="15" customHeight="1" x14ac:dyDescent="0.2">
      <c r="B15" s="11" t="s">
        <v>1211</v>
      </c>
      <c r="C15" s="11">
        <v>1061</v>
      </c>
      <c r="D15" s="13" t="s">
        <v>420</v>
      </c>
      <c r="E15" s="14"/>
      <c r="F15" s="14">
        <v>207</v>
      </c>
      <c r="G15" s="20">
        <v>925</v>
      </c>
      <c r="H15" s="13" t="s">
        <v>378</v>
      </c>
      <c r="I15" s="13" t="str">
        <f t="shared" si="0"/>
        <v>Terminal 4 Parking Garage ( to )</v>
      </c>
      <c r="J15" s="13" t="s">
        <v>1200</v>
      </c>
      <c r="K15" s="13" t="str">
        <f>VLOOKUP(J15,'Data-ProjectTypes'!A$3:B$13,2,FALSE)</f>
        <v>Program</v>
      </c>
      <c r="L15" s="11" t="s">
        <v>398</v>
      </c>
      <c r="O15" s="11" t="s">
        <v>270</v>
      </c>
      <c r="P15" s="11" t="s">
        <v>270</v>
      </c>
      <c r="Q15" s="15"/>
      <c r="R15" s="16">
        <v>888487</v>
      </c>
      <c r="S15" s="12"/>
      <c r="T15" s="12"/>
      <c r="U15" s="12"/>
      <c r="V15" s="12"/>
      <c r="W15" s="12"/>
      <c r="X15" s="12"/>
      <c r="Y15" s="12"/>
      <c r="Z15" s="18">
        <f>ROUND(R15*'Data-CostAssumptions'!$C$8,-3)</f>
        <v>888000</v>
      </c>
      <c r="AA15" s="11">
        <f t="shared" si="1"/>
        <v>0</v>
      </c>
      <c r="AB15" s="11">
        <v>2041</v>
      </c>
      <c r="AC15" s="11">
        <v>2041</v>
      </c>
      <c r="AD15" s="11">
        <v>2041</v>
      </c>
      <c r="AE15" s="19">
        <f>ROUND((Z15*'Data-CostAssumptions'!$G$5)*(1+'Data-CostAssumptions'!$G$3)^(AB15-'Data-CostAssumptions'!$G$4),-3)</f>
        <v>501000</v>
      </c>
      <c r="AF15" s="19">
        <f>ROUND((Z15)*(1+'Data-CostAssumptions'!$G$3)^(AD15-'Data-CostAssumptions'!$G$4),-3)</f>
        <v>2277000</v>
      </c>
      <c r="AG15" s="170" t="str">
        <f t="shared" si="2"/>
        <v>No</v>
      </c>
    </row>
    <row r="16" spans="1:33" ht="15" customHeight="1" x14ac:dyDescent="0.2">
      <c r="B16" s="11" t="s">
        <v>1211</v>
      </c>
      <c r="C16" s="11">
        <v>1062</v>
      </c>
      <c r="D16" s="13" t="s">
        <v>420</v>
      </c>
      <c r="E16" s="14"/>
      <c r="F16" s="14">
        <v>207</v>
      </c>
      <c r="G16" s="20">
        <v>926</v>
      </c>
      <c r="H16" s="13" t="s">
        <v>379</v>
      </c>
      <c r="I16" s="13" t="str">
        <f t="shared" si="0"/>
        <v>Terminal 4 Second Loading Bridge ( to )</v>
      </c>
      <c r="J16" s="13" t="s">
        <v>1200</v>
      </c>
      <c r="K16" s="13" t="str">
        <f>VLOOKUP(J16,'Data-ProjectTypes'!A$3:B$13,2,FALSE)</f>
        <v>Program</v>
      </c>
      <c r="L16" s="11" t="s">
        <v>399</v>
      </c>
      <c r="O16" s="11" t="s">
        <v>270</v>
      </c>
      <c r="P16" s="11" t="s">
        <v>270</v>
      </c>
      <c r="Q16" s="15"/>
      <c r="R16" s="16">
        <v>1319634</v>
      </c>
      <c r="S16" s="12"/>
      <c r="T16" s="12"/>
      <c r="U16" s="12"/>
      <c r="V16" s="12"/>
      <c r="W16" s="12"/>
      <c r="X16" s="12"/>
      <c r="Y16" s="12"/>
      <c r="Z16" s="18">
        <f>ROUND(R16*'Data-CostAssumptions'!$C$8,-3)</f>
        <v>1320000</v>
      </c>
      <c r="AA16" s="11">
        <f t="shared" si="1"/>
        <v>0</v>
      </c>
      <c r="AB16" s="11">
        <v>2041</v>
      </c>
      <c r="AC16" s="11">
        <v>2041</v>
      </c>
      <c r="AD16" s="11">
        <v>2041</v>
      </c>
      <c r="AE16" s="19">
        <f>ROUND((Z16*'Data-CostAssumptions'!$G$5)*(1+'Data-CostAssumptions'!$G$3)^(AB16-'Data-CostAssumptions'!$G$4),-3)</f>
        <v>745000</v>
      </c>
      <c r="AF16" s="19">
        <f>ROUND((Z16)*(1+'Data-CostAssumptions'!$G$3)^(AD16-'Data-CostAssumptions'!$G$4),-3)</f>
        <v>3384000</v>
      </c>
      <c r="AG16" s="170" t="str">
        <f t="shared" si="2"/>
        <v>No</v>
      </c>
    </row>
    <row r="17" spans="1:33" ht="15" customHeight="1" x14ac:dyDescent="0.2">
      <c r="A17" s="11" t="s">
        <v>980</v>
      </c>
      <c r="B17" s="11" t="s">
        <v>1211</v>
      </c>
      <c r="C17" s="11">
        <v>13116</v>
      </c>
      <c r="D17" s="84" t="s">
        <v>1732</v>
      </c>
      <c r="E17" s="14"/>
      <c r="F17" s="14"/>
      <c r="G17" s="20">
        <v>1214</v>
      </c>
      <c r="H17" s="13" t="s">
        <v>2877</v>
      </c>
      <c r="I17" s="13" t="str">
        <f t="shared" si="0"/>
        <v>PEV ( to )</v>
      </c>
      <c r="J17" s="84" t="s">
        <v>1200</v>
      </c>
      <c r="K17" s="13" t="str">
        <f>VLOOKUP(J17,'Data-ProjectTypes'!A$3:B$13,2,FALSE)</f>
        <v>Program</v>
      </c>
      <c r="L17" s="85" t="s">
        <v>992</v>
      </c>
      <c r="O17" s="84" t="s">
        <v>270</v>
      </c>
      <c r="P17" s="85" t="s">
        <v>270</v>
      </c>
      <c r="Q17" s="15"/>
      <c r="R17" s="16">
        <v>4000000</v>
      </c>
      <c r="S17" s="12"/>
      <c r="T17" s="12"/>
      <c r="U17" s="12"/>
      <c r="V17" s="12"/>
      <c r="W17" s="12"/>
      <c r="X17" s="34"/>
      <c r="Y17" s="12"/>
      <c r="Z17" s="18">
        <f>ROUND(R17*'Data-CostAssumptions'!$C$8,-3)</f>
        <v>4000000</v>
      </c>
      <c r="AA17" s="11">
        <f t="shared" si="1"/>
        <v>0</v>
      </c>
      <c r="AB17" s="11">
        <v>2041</v>
      </c>
      <c r="AC17" s="11">
        <v>2041</v>
      </c>
      <c r="AD17" s="11">
        <v>2041</v>
      </c>
      <c r="AE17" s="19">
        <f>ROUND((Z17*'Data-CostAssumptions'!$G$5)*(1+'Data-CostAssumptions'!$G$3)^(AB17-'Data-CostAssumptions'!$G$4),-3)</f>
        <v>2256000</v>
      </c>
      <c r="AF17" s="19">
        <f>ROUND((Z17)*(1+'Data-CostAssumptions'!$G$3)^(AD17-'Data-CostAssumptions'!$G$4),-3)</f>
        <v>10256000</v>
      </c>
      <c r="AG17" s="170" t="str">
        <f t="shared" si="2"/>
        <v>No</v>
      </c>
    </row>
    <row r="18" spans="1:33" ht="15" customHeight="1" x14ac:dyDescent="0.2">
      <c r="A18" s="11" t="s">
        <v>981</v>
      </c>
      <c r="B18" s="11" t="s">
        <v>1211</v>
      </c>
      <c r="C18" s="11">
        <v>13117</v>
      </c>
      <c r="D18" s="84" t="s">
        <v>1732</v>
      </c>
      <c r="E18" s="14"/>
      <c r="F18" s="14"/>
      <c r="G18" s="20">
        <v>1215</v>
      </c>
      <c r="H18" s="13" t="s">
        <v>2877</v>
      </c>
      <c r="I18" s="13" t="str">
        <f t="shared" si="0"/>
        <v>PEV ( to )</v>
      </c>
      <c r="J18" s="84" t="s">
        <v>1200</v>
      </c>
      <c r="K18" s="13" t="str">
        <f>VLOOKUP(J18,'Data-ProjectTypes'!A$3:B$13,2,FALSE)</f>
        <v>Program</v>
      </c>
      <c r="L18" s="85" t="s">
        <v>993</v>
      </c>
      <c r="O18" s="84" t="s">
        <v>270</v>
      </c>
      <c r="P18" s="85" t="s">
        <v>270</v>
      </c>
      <c r="Q18" s="15"/>
      <c r="R18" s="16">
        <v>67080000</v>
      </c>
      <c r="S18" s="12"/>
      <c r="T18" s="12"/>
      <c r="U18" s="12"/>
      <c r="V18" s="12"/>
      <c r="W18" s="12"/>
      <c r="X18" s="12"/>
      <c r="Y18" s="12"/>
      <c r="Z18" s="18">
        <f>ROUND(R18*'Data-CostAssumptions'!$C$8,-3)</f>
        <v>67080000</v>
      </c>
      <c r="AA18" s="11">
        <f t="shared" si="1"/>
        <v>0</v>
      </c>
      <c r="AB18" s="11">
        <v>2041</v>
      </c>
      <c r="AC18" s="11">
        <v>2041</v>
      </c>
      <c r="AD18" s="11">
        <v>2041</v>
      </c>
      <c r="AE18" s="19">
        <f>ROUND((Z18*'Data-CostAssumptions'!$G$5)*(1+'Data-CostAssumptions'!$G$3)^(AB18-'Data-CostAssumptions'!$G$4),-3)</f>
        <v>37838000</v>
      </c>
      <c r="AF18" s="19">
        <f>ROUND((Z18)*(1+'Data-CostAssumptions'!$G$3)^(AD18-'Data-CostAssumptions'!$G$4),-3)</f>
        <v>171990000</v>
      </c>
      <c r="AG18" s="170" t="str">
        <f t="shared" si="2"/>
        <v>No</v>
      </c>
    </row>
    <row r="19" spans="1:33" ht="15" customHeight="1" x14ac:dyDescent="0.2">
      <c r="A19" s="11" t="s">
        <v>982</v>
      </c>
      <c r="B19" s="11" t="s">
        <v>1211</v>
      </c>
      <c r="C19" s="11">
        <v>13118</v>
      </c>
      <c r="D19" s="84" t="s">
        <v>1732</v>
      </c>
      <c r="E19" s="14"/>
      <c r="F19" s="14"/>
      <c r="G19" s="20">
        <v>1216</v>
      </c>
      <c r="H19" s="13" t="s">
        <v>2877</v>
      </c>
      <c r="I19" s="13" t="str">
        <f t="shared" si="0"/>
        <v>PEV ( to )</v>
      </c>
      <c r="J19" s="84" t="s">
        <v>1200</v>
      </c>
      <c r="K19" s="13" t="str">
        <f>VLOOKUP(J19,'Data-ProjectTypes'!A$3:B$13,2,FALSE)</f>
        <v>Program</v>
      </c>
      <c r="L19" s="85" t="s">
        <v>994</v>
      </c>
      <c r="O19" s="84" t="s">
        <v>270</v>
      </c>
      <c r="P19" s="85" t="s">
        <v>270</v>
      </c>
      <c r="Q19" s="15"/>
      <c r="R19" s="16">
        <v>42000000</v>
      </c>
      <c r="S19" s="12"/>
      <c r="T19" s="12"/>
      <c r="U19" s="12"/>
      <c r="V19" s="12"/>
      <c r="W19" s="12"/>
      <c r="X19" s="12"/>
      <c r="Y19" s="12"/>
      <c r="Z19" s="18">
        <f>ROUND(R19*'Data-CostAssumptions'!$C$8,-3)</f>
        <v>42000000</v>
      </c>
      <c r="AA19" s="11">
        <f t="shared" si="1"/>
        <v>0</v>
      </c>
      <c r="AB19" s="11">
        <v>2041</v>
      </c>
      <c r="AC19" s="11">
        <v>2041</v>
      </c>
      <c r="AD19" s="11">
        <v>2041</v>
      </c>
      <c r="AE19" s="19">
        <f>ROUND((Z19*'Data-CostAssumptions'!$G$5)*(1+'Data-CostAssumptions'!$G$3)^(AB19-'Data-CostAssumptions'!$G$4),-3)</f>
        <v>23691000</v>
      </c>
      <c r="AF19" s="19">
        <f>ROUND((Z19)*(1+'Data-CostAssumptions'!$G$3)^(AD19-'Data-CostAssumptions'!$G$4),-3)</f>
        <v>107686000</v>
      </c>
      <c r="AG19" s="170" t="str">
        <f t="shared" si="2"/>
        <v>No</v>
      </c>
    </row>
    <row r="20" spans="1:33" ht="15" customHeight="1" x14ac:dyDescent="0.2">
      <c r="A20" s="11" t="s">
        <v>983</v>
      </c>
      <c r="B20" s="11" t="s">
        <v>1211</v>
      </c>
      <c r="C20" s="11">
        <v>13119</v>
      </c>
      <c r="D20" s="84" t="s">
        <v>1732</v>
      </c>
      <c r="E20" s="14"/>
      <c r="F20" s="14"/>
      <c r="G20" s="20">
        <v>1217</v>
      </c>
      <c r="H20" s="13" t="s">
        <v>2877</v>
      </c>
      <c r="I20" s="13" t="str">
        <f t="shared" si="0"/>
        <v>PEV ( to )</v>
      </c>
      <c r="J20" s="84" t="s">
        <v>1200</v>
      </c>
      <c r="K20" s="13" t="str">
        <f>VLOOKUP(J20,'Data-ProjectTypes'!A$3:B$13,2,FALSE)</f>
        <v>Program</v>
      </c>
      <c r="L20" s="85" t="s">
        <v>995</v>
      </c>
      <c r="O20" s="84" t="s">
        <v>270</v>
      </c>
      <c r="P20" s="85" t="s">
        <v>270</v>
      </c>
      <c r="Q20" s="15"/>
      <c r="R20" s="16">
        <v>11000000</v>
      </c>
      <c r="S20" s="12"/>
      <c r="T20" s="12"/>
      <c r="U20" s="12"/>
      <c r="V20" s="12"/>
      <c r="W20" s="12"/>
      <c r="X20" s="12"/>
      <c r="Y20" s="12"/>
      <c r="Z20" s="18">
        <f>ROUND(R20*'Data-CostAssumptions'!$C$8,-3)</f>
        <v>11000000</v>
      </c>
      <c r="AA20" s="11">
        <f t="shared" si="1"/>
        <v>0</v>
      </c>
      <c r="AB20" s="11">
        <v>2041</v>
      </c>
      <c r="AC20" s="11">
        <v>2041</v>
      </c>
      <c r="AD20" s="11">
        <v>2041</v>
      </c>
      <c r="AE20" s="19">
        <f>ROUND((Z20*'Data-CostAssumptions'!$G$5)*(1+'Data-CostAssumptions'!$G$3)^(AB20-'Data-CostAssumptions'!$G$4),-3)</f>
        <v>6205000</v>
      </c>
      <c r="AF20" s="19">
        <f>ROUND((Z20)*(1+'Data-CostAssumptions'!$G$3)^(AD20-'Data-CostAssumptions'!$G$4),-3)</f>
        <v>28203000</v>
      </c>
      <c r="AG20" s="170" t="str">
        <f t="shared" si="2"/>
        <v>No</v>
      </c>
    </row>
    <row r="21" spans="1:33" ht="15" customHeight="1" x14ac:dyDescent="0.2">
      <c r="A21" s="11" t="s">
        <v>984</v>
      </c>
      <c r="B21" s="11" t="s">
        <v>1211</v>
      </c>
      <c r="C21" s="11">
        <v>13120</v>
      </c>
      <c r="D21" s="84" t="s">
        <v>1732</v>
      </c>
      <c r="E21" s="14"/>
      <c r="F21" s="14"/>
      <c r="G21" s="20">
        <v>1218</v>
      </c>
      <c r="H21" s="13" t="s">
        <v>2877</v>
      </c>
      <c r="I21" s="13" t="str">
        <f t="shared" si="0"/>
        <v>PEV ( to )</v>
      </c>
      <c r="J21" s="84" t="s">
        <v>1200</v>
      </c>
      <c r="K21" s="13" t="str">
        <f>VLOOKUP(J21,'Data-ProjectTypes'!A$3:B$13,2,FALSE)</f>
        <v>Program</v>
      </c>
      <c r="L21" s="85" t="s">
        <v>996</v>
      </c>
      <c r="O21" s="84" t="s">
        <v>270</v>
      </c>
      <c r="P21" s="85" t="s">
        <v>270</v>
      </c>
      <c r="Q21" s="15"/>
      <c r="R21" s="16">
        <v>75000000</v>
      </c>
      <c r="S21" s="12"/>
      <c r="T21" s="12"/>
      <c r="U21" s="12"/>
      <c r="V21" s="12"/>
      <c r="W21" s="12"/>
      <c r="X21" s="12"/>
      <c r="Y21" s="12"/>
      <c r="Z21" s="18">
        <f>ROUND(R21*'Data-CostAssumptions'!$C$8,-3)</f>
        <v>75000000</v>
      </c>
      <c r="AA21" s="11">
        <f t="shared" si="1"/>
        <v>0</v>
      </c>
      <c r="AB21" s="11">
        <v>2041</v>
      </c>
      <c r="AC21" s="11">
        <v>2041</v>
      </c>
      <c r="AD21" s="11">
        <v>2041</v>
      </c>
      <c r="AE21" s="19">
        <f>ROUND((Z21*'Data-CostAssumptions'!$G$5)*(1+'Data-CostAssumptions'!$G$3)^(AB21-'Data-CostAssumptions'!$G$4),-3)</f>
        <v>42305000</v>
      </c>
      <c r="AF21" s="19">
        <f>ROUND((Z21)*(1+'Data-CostAssumptions'!$G$3)^(AD21-'Data-CostAssumptions'!$G$4),-3)</f>
        <v>192296000</v>
      </c>
      <c r="AG21" s="170" t="str">
        <f t="shared" si="2"/>
        <v>No</v>
      </c>
    </row>
    <row r="22" spans="1:33" ht="15" customHeight="1" x14ac:dyDescent="0.2">
      <c r="A22" s="11" t="s">
        <v>985</v>
      </c>
      <c r="B22" s="11" t="s">
        <v>1211</v>
      </c>
      <c r="C22" s="11">
        <v>13121</v>
      </c>
      <c r="D22" s="84" t="s">
        <v>1732</v>
      </c>
      <c r="E22" s="14"/>
      <c r="F22" s="14"/>
      <c r="G22" s="20">
        <v>1219</v>
      </c>
      <c r="H22" s="13" t="s">
        <v>2877</v>
      </c>
      <c r="I22" s="13" t="str">
        <f t="shared" si="0"/>
        <v>PEV ( to )</v>
      </c>
      <c r="J22" s="84" t="s">
        <v>1200</v>
      </c>
      <c r="K22" s="13" t="str">
        <f>VLOOKUP(J22,'Data-ProjectTypes'!A$3:B$13,2,FALSE)</f>
        <v>Program</v>
      </c>
      <c r="L22" s="85" t="s">
        <v>997</v>
      </c>
      <c r="O22" s="84" t="s">
        <v>270</v>
      </c>
      <c r="P22" s="85" t="s">
        <v>270</v>
      </c>
      <c r="Q22" s="15"/>
      <c r="R22" s="16">
        <v>20000000</v>
      </c>
      <c r="S22" s="12"/>
      <c r="T22" s="12"/>
      <c r="U22" s="12"/>
      <c r="V22" s="12"/>
      <c r="W22" s="12"/>
      <c r="X22" s="12"/>
      <c r="Y22" s="12"/>
      <c r="Z22" s="18">
        <f>ROUND(R22*'Data-CostAssumptions'!$C$8,-3)</f>
        <v>20000000</v>
      </c>
      <c r="AA22" s="11">
        <f t="shared" si="1"/>
        <v>0</v>
      </c>
      <c r="AB22" s="11">
        <v>2041</v>
      </c>
      <c r="AC22" s="11">
        <v>2041</v>
      </c>
      <c r="AD22" s="11">
        <v>2041</v>
      </c>
      <c r="AE22" s="19">
        <f>ROUND((Z22*'Data-CostAssumptions'!$G$5)*(1+'Data-CostAssumptions'!$G$3)^(AB22-'Data-CostAssumptions'!$G$4),-3)</f>
        <v>11281000</v>
      </c>
      <c r="AF22" s="19">
        <f>ROUND((Z22)*(1+'Data-CostAssumptions'!$G$3)^(AD22-'Data-CostAssumptions'!$G$4),-3)</f>
        <v>51279000</v>
      </c>
      <c r="AG22" s="170" t="str">
        <f t="shared" si="2"/>
        <v>No</v>
      </c>
    </row>
    <row r="23" spans="1:33" ht="15" customHeight="1" x14ac:dyDescent="0.2">
      <c r="A23" s="11" t="s">
        <v>986</v>
      </c>
      <c r="B23" s="11" t="s">
        <v>1211</v>
      </c>
      <c r="C23" s="11">
        <v>13122</v>
      </c>
      <c r="D23" s="84" t="s">
        <v>1732</v>
      </c>
      <c r="E23" s="14"/>
      <c r="F23" s="14"/>
      <c r="G23" s="20">
        <v>1220</v>
      </c>
      <c r="H23" s="13" t="s">
        <v>2877</v>
      </c>
      <c r="I23" s="13" t="str">
        <f t="shared" si="0"/>
        <v>PEV ( to )</v>
      </c>
      <c r="J23" s="84" t="s">
        <v>1200</v>
      </c>
      <c r="K23" s="13" t="str">
        <f>VLOOKUP(J23,'Data-ProjectTypes'!A$3:B$13,2,FALSE)</f>
        <v>Program</v>
      </c>
      <c r="L23" s="85" t="s">
        <v>998</v>
      </c>
      <c r="O23" s="84" t="s">
        <v>270</v>
      </c>
      <c r="P23" s="85" t="s">
        <v>270</v>
      </c>
      <c r="Q23" s="15"/>
      <c r="R23" s="16">
        <v>30000000</v>
      </c>
      <c r="S23" s="12"/>
      <c r="T23" s="12"/>
      <c r="U23" s="12"/>
      <c r="V23" s="12"/>
      <c r="W23" s="12"/>
      <c r="X23" s="12"/>
      <c r="Y23" s="12"/>
      <c r="Z23" s="18">
        <f>ROUND(R23*'Data-CostAssumptions'!$C$8,-3)</f>
        <v>30000000</v>
      </c>
      <c r="AA23" s="11">
        <f t="shared" si="1"/>
        <v>0</v>
      </c>
      <c r="AB23" s="11">
        <v>2041</v>
      </c>
      <c r="AC23" s="11">
        <v>2041</v>
      </c>
      <c r="AD23" s="11">
        <v>2041</v>
      </c>
      <c r="AE23" s="19">
        <f>ROUND((Z23*'Data-CostAssumptions'!$G$5)*(1+'Data-CostAssumptions'!$G$3)^(AB23-'Data-CostAssumptions'!$G$4),-3)</f>
        <v>16922000</v>
      </c>
      <c r="AF23" s="19">
        <f>ROUND((Z23)*(1+'Data-CostAssumptions'!$G$3)^(AD23-'Data-CostAssumptions'!$G$4),-3)</f>
        <v>76918000</v>
      </c>
      <c r="AG23" s="170" t="str">
        <f t="shared" si="2"/>
        <v>No</v>
      </c>
    </row>
    <row r="24" spans="1:33" ht="15" customHeight="1" x14ac:dyDescent="0.2">
      <c r="A24" s="11" t="s">
        <v>987</v>
      </c>
      <c r="B24" s="11" t="s">
        <v>1211</v>
      </c>
      <c r="C24" s="11">
        <v>13123</v>
      </c>
      <c r="D24" s="84" t="s">
        <v>1732</v>
      </c>
      <c r="E24" s="14"/>
      <c r="F24" s="14"/>
      <c r="G24" s="20">
        <v>1221</v>
      </c>
      <c r="H24" s="13" t="s">
        <v>2877</v>
      </c>
      <c r="I24" s="13" t="str">
        <f t="shared" si="0"/>
        <v>PEV ( to )</v>
      </c>
      <c r="J24" s="84" t="s">
        <v>1200</v>
      </c>
      <c r="K24" s="13" t="str">
        <f>VLOOKUP(J24,'Data-ProjectTypes'!A$3:B$13,2,FALSE)</f>
        <v>Program</v>
      </c>
      <c r="L24" s="85" t="s">
        <v>999</v>
      </c>
      <c r="O24" s="84" t="s">
        <v>270</v>
      </c>
      <c r="P24" s="85" t="s">
        <v>270</v>
      </c>
      <c r="Q24" s="15"/>
      <c r="R24" s="16">
        <v>23000000</v>
      </c>
      <c r="S24" s="12"/>
      <c r="T24" s="12"/>
      <c r="U24" s="12"/>
      <c r="V24" s="12"/>
      <c r="W24" s="12"/>
      <c r="X24" s="12"/>
      <c r="Y24" s="12"/>
      <c r="Z24" s="18">
        <f>ROUND(R24*'Data-CostAssumptions'!$C$8,-3)</f>
        <v>23000000</v>
      </c>
      <c r="AA24" s="11">
        <f t="shared" si="1"/>
        <v>0</v>
      </c>
      <c r="AB24" s="11">
        <v>2041</v>
      </c>
      <c r="AC24" s="11">
        <v>2041</v>
      </c>
      <c r="AD24" s="11">
        <v>2041</v>
      </c>
      <c r="AE24" s="19">
        <f>ROUND((Z24*'Data-CostAssumptions'!$G$5)*(1+'Data-CostAssumptions'!$G$3)^(AB24-'Data-CostAssumptions'!$G$4),-3)</f>
        <v>12974000</v>
      </c>
      <c r="AF24" s="19">
        <f>ROUND((Z24)*(1+'Data-CostAssumptions'!$G$3)^(AD24-'Data-CostAssumptions'!$G$4),-3)</f>
        <v>58971000</v>
      </c>
      <c r="AG24" s="170" t="str">
        <f t="shared" si="2"/>
        <v>No</v>
      </c>
    </row>
    <row r="25" spans="1:33" ht="15" customHeight="1" x14ac:dyDescent="0.2">
      <c r="A25" s="11" t="s">
        <v>988</v>
      </c>
      <c r="B25" s="11" t="s">
        <v>1211</v>
      </c>
      <c r="C25" s="11">
        <v>13124</v>
      </c>
      <c r="D25" s="84" t="s">
        <v>1732</v>
      </c>
      <c r="E25" s="14"/>
      <c r="F25" s="14"/>
      <c r="G25" s="20">
        <v>1222</v>
      </c>
      <c r="H25" s="13" t="s">
        <v>2877</v>
      </c>
      <c r="I25" s="13" t="str">
        <f t="shared" si="0"/>
        <v>PEV ( to )</v>
      </c>
      <c r="J25" s="84" t="s">
        <v>1200</v>
      </c>
      <c r="K25" s="13" t="str">
        <f>VLOOKUP(J25,'Data-ProjectTypes'!A$3:B$13,2,FALSE)</f>
        <v>Program</v>
      </c>
      <c r="L25" s="85" t="s">
        <v>1000</v>
      </c>
      <c r="O25" s="84" t="s">
        <v>270</v>
      </c>
      <c r="P25" s="85" t="s">
        <v>270</v>
      </c>
      <c r="Q25" s="15"/>
      <c r="R25" s="16">
        <v>12000000</v>
      </c>
      <c r="S25" s="12"/>
      <c r="T25" s="12"/>
      <c r="U25" s="12"/>
      <c r="V25" s="12"/>
      <c r="W25" s="12"/>
      <c r="X25" s="12"/>
      <c r="Y25" s="12"/>
      <c r="Z25" s="18">
        <f>ROUND(R25*'Data-CostAssumptions'!$C$8,-3)</f>
        <v>12000000</v>
      </c>
      <c r="AA25" s="11">
        <f t="shared" si="1"/>
        <v>0</v>
      </c>
      <c r="AB25" s="11">
        <v>2041</v>
      </c>
      <c r="AC25" s="11">
        <v>2041</v>
      </c>
      <c r="AD25" s="11">
        <v>2041</v>
      </c>
      <c r="AE25" s="19">
        <f>ROUND((Z25*'Data-CostAssumptions'!$G$5)*(1+'Data-CostAssumptions'!$G$3)^(AB25-'Data-CostAssumptions'!$G$4),-3)</f>
        <v>6769000</v>
      </c>
      <c r="AF25" s="19">
        <f>ROUND((Z25)*(1+'Data-CostAssumptions'!$G$3)^(AD25-'Data-CostAssumptions'!$G$4),-3)</f>
        <v>30767000</v>
      </c>
      <c r="AG25" s="170" t="str">
        <f t="shared" si="2"/>
        <v>No</v>
      </c>
    </row>
    <row r="26" spans="1:33" ht="15" customHeight="1" x14ac:dyDescent="0.2">
      <c r="A26" s="11" t="s">
        <v>989</v>
      </c>
      <c r="B26" s="11" t="s">
        <v>1211</v>
      </c>
      <c r="C26" s="11">
        <v>13125</v>
      </c>
      <c r="D26" s="84" t="s">
        <v>1732</v>
      </c>
      <c r="E26" s="14"/>
      <c r="F26" s="14"/>
      <c r="G26" s="20">
        <v>1223</v>
      </c>
      <c r="H26" s="13" t="s">
        <v>2877</v>
      </c>
      <c r="I26" s="13" t="str">
        <f t="shared" si="0"/>
        <v>PEV ( to )</v>
      </c>
      <c r="J26" s="84" t="s">
        <v>1200</v>
      </c>
      <c r="K26" s="13" t="str">
        <f>VLOOKUP(J26,'Data-ProjectTypes'!A$3:B$13,2,FALSE)</f>
        <v>Program</v>
      </c>
      <c r="L26" s="85" t="s">
        <v>1001</v>
      </c>
      <c r="O26" s="84" t="s">
        <v>270</v>
      </c>
      <c r="P26" s="85" t="s">
        <v>270</v>
      </c>
      <c r="Q26" s="15"/>
      <c r="R26" s="16">
        <v>35000000</v>
      </c>
      <c r="S26" s="12"/>
      <c r="T26" s="12"/>
      <c r="U26" s="12"/>
      <c r="V26" s="12"/>
      <c r="W26" s="12"/>
      <c r="X26" s="12"/>
      <c r="Y26" s="12"/>
      <c r="Z26" s="18">
        <f>ROUND(R26*'Data-CostAssumptions'!$C$8,-3)</f>
        <v>35000000</v>
      </c>
      <c r="AA26" s="11">
        <f t="shared" si="1"/>
        <v>0</v>
      </c>
      <c r="AB26" s="11">
        <v>2041</v>
      </c>
      <c r="AC26" s="11">
        <v>2041</v>
      </c>
      <c r="AD26" s="11">
        <v>2041</v>
      </c>
      <c r="AE26" s="19">
        <f>ROUND((Z26*'Data-CostAssumptions'!$G$5)*(1+'Data-CostAssumptions'!$G$3)^(AB26-'Data-CostAssumptions'!$G$4),-3)</f>
        <v>19742000</v>
      </c>
      <c r="AF26" s="19">
        <f>ROUND((Z26)*(1+'Data-CostAssumptions'!$G$3)^(AD26-'Data-CostAssumptions'!$G$4),-3)</f>
        <v>89738000</v>
      </c>
      <c r="AG26" s="170" t="str">
        <f t="shared" si="2"/>
        <v>No</v>
      </c>
    </row>
    <row r="27" spans="1:33" ht="15" customHeight="1" x14ac:dyDescent="0.2">
      <c r="A27" s="11" t="s">
        <v>990</v>
      </c>
      <c r="B27" s="11" t="s">
        <v>1211</v>
      </c>
      <c r="C27" s="11">
        <v>13126</v>
      </c>
      <c r="D27" s="84" t="s">
        <v>1732</v>
      </c>
      <c r="E27" s="14"/>
      <c r="F27" s="14"/>
      <c r="G27" s="20">
        <v>1224</v>
      </c>
      <c r="H27" s="13" t="s">
        <v>2877</v>
      </c>
      <c r="I27" s="13" t="str">
        <f t="shared" si="0"/>
        <v>PEV ( to )</v>
      </c>
      <c r="J27" s="84" t="s">
        <v>1200</v>
      </c>
      <c r="K27" s="13" t="str">
        <f>VLOOKUP(J27,'Data-ProjectTypes'!A$3:B$13,2,FALSE)</f>
        <v>Program</v>
      </c>
      <c r="L27" s="85" t="s">
        <v>1002</v>
      </c>
      <c r="O27" s="84" t="s">
        <v>270</v>
      </c>
      <c r="P27" s="85" t="s">
        <v>270</v>
      </c>
      <c r="Q27" s="15"/>
      <c r="R27" s="16">
        <v>55000000</v>
      </c>
      <c r="S27" s="12"/>
      <c r="T27" s="12"/>
      <c r="U27" s="12"/>
      <c r="V27" s="12"/>
      <c r="W27" s="12"/>
      <c r="X27" s="12"/>
      <c r="Y27" s="12"/>
      <c r="Z27" s="18">
        <f>ROUND(R27*'Data-CostAssumptions'!$C$8,-3)</f>
        <v>55000000</v>
      </c>
      <c r="AA27" s="11">
        <f t="shared" si="1"/>
        <v>0</v>
      </c>
      <c r="AB27" s="11">
        <v>2041</v>
      </c>
      <c r="AC27" s="11">
        <v>2041</v>
      </c>
      <c r="AD27" s="11">
        <v>2041</v>
      </c>
      <c r="AE27" s="19">
        <f>ROUND((Z27*'Data-CostAssumptions'!$G$5)*(1+'Data-CostAssumptions'!$G$3)^(AB27-'Data-CostAssumptions'!$G$4),-3)</f>
        <v>31024000</v>
      </c>
      <c r="AF27" s="19">
        <f>ROUND((Z27)*(1+'Data-CostAssumptions'!$G$3)^(AD27-'Data-CostAssumptions'!$G$4),-3)</f>
        <v>141017000</v>
      </c>
      <c r="AG27" s="170" t="str">
        <f t="shared" si="2"/>
        <v>No</v>
      </c>
    </row>
    <row r="28" spans="1:33" ht="15" customHeight="1" x14ac:dyDescent="0.2">
      <c r="A28" s="11" t="s">
        <v>991</v>
      </c>
      <c r="B28" s="11" t="s">
        <v>1211</v>
      </c>
      <c r="C28" s="11">
        <v>13127</v>
      </c>
      <c r="D28" s="84" t="s">
        <v>1732</v>
      </c>
      <c r="E28" s="14"/>
      <c r="F28" s="14"/>
      <c r="G28" s="20">
        <v>1225</v>
      </c>
      <c r="H28" s="13" t="s">
        <v>2877</v>
      </c>
      <c r="I28" s="13" t="str">
        <f t="shared" si="0"/>
        <v>PEV ( to )</v>
      </c>
      <c r="J28" s="84" t="s">
        <v>1200</v>
      </c>
      <c r="K28" s="13" t="str">
        <f>VLOOKUP(J28,'Data-ProjectTypes'!A$3:B$13,2,FALSE)</f>
        <v>Program</v>
      </c>
      <c r="L28" s="85" t="s">
        <v>1003</v>
      </c>
      <c r="O28" s="84" t="s">
        <v>270</v>
      </c>
      <c r="P28" s="85" t="s">
        <v>270</v>
      </c>
      <c r="Q28" s="15"/>
      <c r="R28" s="16">
        <v>5200000</v>
      </c>
      <c r="S28" s="12"/>
      <c r="T28" s="12"/>
      <c r="U28" s="12"/>
      <c r="V28" s="12"/>
      <c r="W28" s="12"/>
      <c r="X28" s="12"/>
      <c r="Y28" s="12"/>
      <c r="Z28" s="18">
        <f>ROUND(R28*'Data-CostAssumptions'!$C$8,-3)</f>
        <v>5200000</v>
      </c>
      <c r="AA28" s="11">
        <f t="shared" si="1"/>
        <v>0</v>
      </c>
      <c r="AB28" s="11">
        <v>2041</v>
      </c>
      <c r="AC28" s="11">
        <v>2041</v>
      </c>
      <c r="AD28" s="11">
        <v>2041</v>
      </c>
      <c r="AE28" s="19">
        <f>ROUND((Z28*'Data-CostAssumptions'!$G$5)*(1+'Data-CostAssumptions'!$G$3)^(AB28-'Data-CostAssumptions'!$G$4),-3)</f>
        <v>2933000</v>
      </c>
      <c r="AF28" s="19">
        <f>ROUND((Z28)*(1+'Data-CostAssumptions'!$G$3)^(AD28-'Data-CostAssumptions'!$G$4),-3)</f>
        <v>13333000</v>
      </c>
      <c r="AG28" s="170" t="str">
        <f t="shared" si="2"/>
        <v>No</v>
      </c>
    </row>
    <row r="29" spans="1:33" ht="15" customHeight="1" x14ac:dyDescent="0.2">
      <c r="A29" s="11" t="s">
        <v>1004</v>
      </c>
      <c r="B29" s="11" t="s">
        <v>1211</v>
      </c>
      <c r="C29" s="11">
        <v>13128</v>
      </c>
      <c r="D29" s="84" t="s">
        <v>1732</v>
      </c>
      <c r="E29" s="14"/>
      <c r="F29" s="14"/>
      <c r="G29" s="20">
        <v>1226</v>
      </c>
      <c r="H29" s="13" t="s">
        <v>2877</v>
      </c>
      <c r="I29" s="13" t="str">
        <f t="shared" si="0"/>
        <v>PEV ( to )</v>
      </c>
      <c r="J29" s="84" t="s">
        <v>1200</v>
      </c>
      <c r="K29" s="13" t="str">
        <f>VLOOKUP(J29,'Data-ProjectTypes'!A$3:B$13,2,FALSE)</f>
        <v>Program</v>
      </c>
      <c r="L29" s="85" t="s">
        <v>1022</v>
      </c>
      <c r="O29" s="84" t="s">
        <v>270</v>
      </c>
      <c r="P29" s="85" t="s">
        <v>270</v>
      </c>
      <c r="Q29" s="15"/>
      <c r="R29" s="16">
        <v>32000000</v>
      </c>
      <c r="S29" s="12"/>
      <c r="T29" s="12"/>
      <c r="U29" s="12"/>
      <c r="V29" s="12"/>
      <c r="W29" s="12"/>
      <c r="X29" s="12"/>
      <c r="Y29" s="12"/>
      <c r="Z29" s="18">
        <f>ROUND(R29*'Data-CostAssumptions'!$C$8,-3)</f>
        <v>32000000</v>
      </c>
      <c r="AA29" s="11">
        <f t="shared" si="1"/>
        <v>0</v>
      </c>
      <c r="AB29" s="11">
        <v>2041</v>
      </c>
      <c r="AC29" s="11">
        <v>2041</v>
      </c>
      <c r="AD29" s="11">
        <v>2041</v>
      </c>
      <c r="AE29" s="19">
        <f>ROUND((Z29*'Data-CostAssumptions'!$G$5)*(1+'Data-CostAssumptions'!$G$3)^(AB29-'Data-CostAssumptions'!$G$4),-3)</f>
        <v>18050000</v>
      </c>
      <c r="AF29" s="19">
        <f>ROUND((Z29)*(1+'Data-CostAssumptions'!$G$3)^(AD29-'Data-CostAssumptions'!$G$4),-3)</f>
        <v>82046000</v>
      </c>
      <c r="AG29" s="170" t="str">
        <f t="shared" si="2"/>
        <v>No</v>
      </c>
    </row>
    <row r="30" spans="1:33" ht="15" customHeight="1" x14ac:dyDescent="0.2">
      <c r="A30" s="11" t="s">
        <v>1005</v>
      </c>
      <c r="B30" s="11" t="s">
        <v>1211</v>
      </c>
      <c r="C30" s="11">
        <v>13129</v>
      </c>
      <c r="D30" s="84" t="s">
        <v>1732</v>
      </c>
      <c r="E30" s="14"/>
      <c r="F30" s="14"/>
      <c r="G30" s="20">
        <v>1227</v>
      </c>
      <c r="H30" s="13" t="s">
        <v>2877</v>
      </c>
      <c r="I30" s="13" t="str">
        <f t="shared" si="0"/>
        <v>PEV ( to )</v>
      </c>
      <c r="J30" s="84" t="s">
        <v>1200</v>
      </c>
      <c r="K30" s="13" t="str">
        <f>VLOOKUP(J30,'Data-ProjectTypes'!A$3:B$13,2,FALSE)</f>
        <v>Program</v>
      </c>
      <c r="L30" s="85" t="s">
        <v>1023</v>
      </c>
      <c r="O30" s="84" t="s">
        <v>270</v>
      </c>
      <c r="P30" s="85" t="s">
        <v>270</v>
      </c>
      <c r="Q30" s="15"/>
      <c r="R30" s="16">
        <v>24000000</v>
      </c>
      <c r="S30" s="12"/>
      <c r="T30" s="12"/>
      <c r="U30" s="12"/>
      <c r="V30" s="12"/>
      <c r="W30" s="12"/>
      <c r="X30" s="12"/>
      <c r="Y30" s="12"/>
      <c r="Z30" s="18">
        <f>ROUND(R30*'Data-CostAssumptions'!$C$8,-3)</f>
        <v>24000000</v>
      </c>
      <c r="AA30" s="11">
        <f t="shared" si="1"/>
        <v>0</v>
      </c>
      <c r="AB30" s="11">
        <v>2041</v>
      </c>
      <c r="AC30" s="11">
        <v>2041</v>
      </c>
      <c r="AD30" s="11">
        <v>2041</v>
      </c>
      <c r="AE30" s="19">
        <f>ROUND((Z30*'Data-CostAssumptions'!$G$5)*(1+'Data-CostAssumptions'!$G$3)^(AB30-'Data-CostAssumptions'!$G$4),-3)</f>
        <v>13538000</v>
      </c>
      <c r="AF30" s="19">
        <f>ROUND((Z30)*(1+'Data-CostAssumptions'!$G$3)^(AD30-'Data-CostAssumptions'!$G$4),-3)</f>
        <v>61535000</v>
      </c>
      <c r="AG30" s="170" t="str">
        <f t="shared" si="2"/>
        <v>No</v>
      </c>
    </row>
    <row r="31" spans="1:33" ht="15" customHeight="1" x14ac:dyDescent="0.2">
      <c r="A31" s="11" t="s">
        <v>1006</v>
      </c>
      <c r="B31" s="11" t="s">
        <v>1211</v>
      </c>
      <c r="C31" s="11">
        <v>13130</v>
      </c>
      <c r="D31" s="84" t="s">
        <v>1732</v>
      </c>
      <c r="E31" s="14"/>
      <c r="F31" s="14"/>
      <c r="G31" s="20">
        <v>1228</v>
      </c>
      <c r="H31" s="13" t="s">
        <v>2877</v>
      </c>
      <c r="I31" s="13" t="str">
        <f t="shared" si="0"/>
        <v>PEV ( to )</v>
      </c>
      <c r="J31" s="84" t="s">
        <v>1200</v>
      </c>
      <c r="K31" s="13" t="str">
        <f>VLOOKUP(J31,'Data-ProjectTypes'!A$3:B$13,2,FALSE)</f>
        <v>Program</v>
      </c>
      <c r="L31" s="85" t="s">
        <v>1024</v>
      </c>
      <c r="O31" s="84" t="s">
        <v>270</v>
      </c>
      <c r="P31" s="85" t="s">
        <v>270</v>
      </c>
      <c r="Q31" s="15"/>
      <c r="R31" s="16">
        <v>31000000</v>
      </c>
      <c r="S31" s="12"/>
      <c r="T31" s="12"/>
      <c r="U31" s="12"/>
      <c r="V31" s="12"/>
      <c r="W31" s="12"/>
      <c r="X31" s="12"/>
      <c r="Y31" s="12"/>
      <c r="Z31" s="18">
        <f>ROUND(R31*'Data-CostAssumptions'!$C$8,-3)</f>
        <v>31000000</v>
      </c>
      <c r="AA31" s="11">
        <f t="shared" si="1"/>
        <v>0</v>
      </c>
      <c r="AB31" s="11">
        <v>2041</v>
      </c>
      <c r="AC31" s="11">
        <v>2041</v>
      </c>
      <c r="AD31" s="11">
        <v>2041</v>
      </c>
      <c r="AE31" s="19">
        <f>ROUND((Z31*'Data-CostAssumptions'!$G$5)*(1+'Data-CostAssumptions'!$G$3)^(AB31-'Data-CostAssumptions'!$G$4),-3)</f>
        <v>17486000</v>
      </c>
      <c r="AF31" s="19">
        <f>ROUND((Z31)*(1+'Data-CostAssumptions'!$G$3)^(AD31-'Data-CostAssumptions'!$G$4),-3)</f>
        <v>79482000</v>
      </c>
      <c r="AG31" s="170" t="str">
        <f t="shared" si="2"/>
        <v>No</v>
      </c>
    </row>
    <row r="32" spans="1:33" ht="15" customHeight="1" x14ac:dyDescent="0.2">
      <c r="A32" s="11" t="s">
        <v>1007</v>
      </c>
      <c r="B32" s="11" t="s">
        <v>1211</v>
      </c>
      <c r="C32" s="11">
        <v>13131</v>
      </c>
      <c r="D32" s="84" t="s">
        <v>1732</v>
      </c>
      <c r="E32" s="14"/>
      <c r="F32" s="14"/>
      <c r="G32" s="20">
        <v>1229</v>
      </c>
      <c r="H32" s="13" t="s">
        <v>2877</v>
      </c>
      <c r="I32" s="13" t="str">
        <f t="shared" si="0"/>
        <v>PEV ( to )</v>
      </c>
      <c r="J32" s="84" t="s">
        <v>1200</v>
      </c>
      <c r="K32" s="13" t="str">
        <f>VLOOKUP(J32,'Data-ProjectTypes'!A$3:B$13,2,FALSE)</f>
        <v>Program</v>
      </c>
      <c r="L32" s="85" t="s">
        <v>1025</v>
      </c>
      <c r="O32" s="84" t="s">
        <v>270</v>
      </c>
      <c r="P32" s="85" t="s">
        <v>270</v>
      </c>
      <c r="Q32" s="15"/>
      <c r="R32" s="16">
        <v>28810000</v>
      </c>
      <c r="S32" s="12"/>
      <c r="T32" s="12"/>
      <c r="U32" s="12"/>
      <c r="V32" s="12"/>
      <c r="W32" s="12"/>
      <c r="X32" s="12"/>
      <c r="Y32" s="12"/>
      <c r="Z32" s="18">
        <f>ROUND(R32*'Data-CostAssumptions'!$C$8,-3)</f>
        <v>28810000</v>
      </c>
      <c r="AA32" s="11">
        <f t="shared" si="1"/>
        <v>0</v>
      </c>
      <c r="AB32" s="11">
        <v>2041</v>
      </c>
      <c r="AC32" s="11">
        <v>2041</v>
      </c>
      <c r="AD32" s="11">
        <v>2041</v>
      </c>
      <c r="AE32" s="19">
        <f>ROUND((Z32*'Data-CostAssumptions'!$G$5)*(1+'Data-CostAssumptions'!$G$3)^(AB32-'Data-CostAssumptions'!$G$4),-3)</f>
        <v>16251000</v>
      </c>
      <c r="AF32" s="19">
        <f>ROUND((Z32)*(1+'Data-CostAssumptions'!$G$3)^(AD32-'Data-CostAssumptions'!$G$4),-3)</f>
        <v>73867000</v>
      </c>
      <c r="AG32" s="170" t="str">
        <f t="shared" si="2"/>
        <v>No</v>
      </c>
    </row>
    <row r="33" spans="1:33" ht="15" customHeight="1" x14ac:dyDescent="0.2">
      <c r="A33" s="11" t="s">
        <v>1008</v>
      </c>
      <c r="B33" s="11" t="s">
        <v>1211</v>
      </c>
      <c r="C33" s="11">
        <v>13132</v>
      </c>
      <c r="D33" s="84" t="s">
        <v>1732</v>
      </c>
      <c r="E33" s="14"/>
      <c r="F33" s="14"/>
      <c r="G33" s="20">
        <v>1230</v>
      </c>
      <c r="H33" s="13" t="s">
        <v>2877</v>
      </c>
      <c r="I33" s="13" t="str">
        <f t="shared" si="0"/>
        <v>PEV ( to )</v>
      </c>
      <c r="J33" s="84" t="s">
        <v>1200</v>
      </c>
      <c r="K33" s="13" t="str">
        <f>VLOOKUP(J33,'Data-ProjectTypes'!A$3:B$13,2,FALSE)</f>
        <v>Program</v>
      </c>
      <c r="L33" s="85" t="s">
        <v>1026</v>
      </c>
      <c r="O33" s="84" t="s">
        <v>270</v>
      </c>
      <c r="P33" s="85" t="s">
        <v>270</v>
      </c>
      <c r="Q33" s="15"/>
      <c r="R33" s="16">
        <v>55000000</v>
      </c>
      <c r="S33" s="12"/>
      <c r="T33" s="12"/>
      <c r="U33" s="12"/>
      <c r="V33" s="12"/>
      <c r="W33" s="12"/>
      <c r="X33" s="12"/>
      <c r="Y33" s="12"/>
      <c r="Z33" s="18">
        <f>ROUND(R33*'Data-CostAssumptions'!$C$8,-3)</f>
        <v>55000000</v>
      </c>
      <c r="AA33" s="11">
        <f t="shared" si="1"/>
        <v>0</v>
      </c>
      <c r="AB33" s="11">
        <v>2041</v>
      </c>
      <c r="AC33" s="11">
        <v>2041</v>
      </c>
      <c r="AD33" s="11">
        <v>2041</v>
      </c>
      <c r="AE33" s="19">
        <f>ROUND((Z33*'Data-CostAssumptions'!$G$5)*(1+'Data-CostAssumptions'!$G$3)^(AB33-'Data-CostAssumptions'!$G$4),-3)</f>
        <v>31024000</v>
      </c>
      <c r="AF33" s="19">
        <f>ROUND((Z33)*(1+'Data-CostAssumptions'!$G$3)^(AD33-'Data-CostAssumptions'!$G$4),-3)</f>
        <v>141017000</v>
      </c>
      <c r="AG33" s="170" t="str">
        <f t="shared" si="2"/>
        <v>No</v>
      </c>
    </row>
    <row r="34" spans="1:33" ht="15" customHeight="1" x14ac:dyDescent="0.2">
      <c r="A34" s="11" t="s">
        <v>1009</v>
      </c>
      <c r="B34" s="11" t="s">
        <v>1211</v>
      </c>
      <c r="C34" s="11">
        <v>13133</v>
      </c>
      <c r="D34" s="84" t="s">
        <v>1732</v>
      </c>
      <c r="E34" s="14"/>
      <c r="F34" s="14"/>
      <c r="G34" s="20">
        <v>1231</v>
      </c>
      <c r="H34" s="13" t="s">
        <v>2877</v>
      </c>
      <c r="I34" s="13" t="str">
        <f t="shared" si="0"/>
        <v>PEV ( to )</v>
      </c>
      <c r="J34" s="84" t="s">
        <v>1200</v>
      </c>
      <c r="K34" s="13" t="str">
        <f>VLOOKUP(J34,'Data-ProjectTypes'!A$3:B$13,2,FALSE)</f>
        <v>Program</v>
      </c>
      <c r="L34" s="85" t="s">
        <v>1027</v>
      </c>
      <c r="O34" s="84" t="s">
        <v>270</v>
      </c>
      <c r="P34" s="85" t="s">
        <v>270</v>
      </c>
      <c r="Q34" s="15"/>
      <c r="R34" s="16">
        <v>300000000</v>
      </c>
      <c r="S34" s="12"/>
      <c r="T34" s="12"/>
      <c r="U34" s="12"/>
      <c r="V34" s="12"/>
      <c r="W34" s="12"/>
      <c r="X34" s="12"/>
      <c r="Y34" s="12"/>
      <c r="Z34" s="18">
        <f>ROUND(R34*'Data-CostAssumptions'!$C$8,-3)</f>
        <v>300000000</v>
      </c>
      <c r="AA34" s="11">
        <f t="shared" si="1"/>
        <v>0</v>
      </c>
      <c r="AB34" s="11">
        <v>2041</v>
      </c>
      <c r="AC34" s="11">
        <v>2041</v>
      </c>
      <c r="AD34" s="11">
        <v>2041</v>
      </c>
      <c r="AE34" s="19">
        <f>ROUND((Z34*'Data-CostAssumptions'!$G$5)*(1+'Data-CostAssumptions'!$G$3)^(AB34-'Data-CostAssumptions'!$G$4),-3)</f>
        <v>169221000</v>
      </c>
      <c r="AF34" s="19">
        <f>ROUND((Z34)*(1+'Data-CostAssumptions'!$G$3)^(AD34-'Data-CostAssumptions'!$G$4),-3)</f>
        <v>769185000</v>
      </c>
      <c r="AG34" s="170" t="str">
        <f t="shared" si="2"/>
        <v>No</v>
      </c>
    </row>
    <row r="35" spans="1:33" ht="15" customHeight="1" x14ac:dyDescent="0.2">
      <c r="A35" s="11" t="s">
        <v>1010</v>
      </c>
      <c r="B35" s="11" t="s">
        <v>1211</v>
      </c>
      <c r="C35" s="11">
        <v>13134</v>
      </c>
      <c r="D35" s="84" t="s">
        <v>1732</v>
      </c>
      <c r="E35" s="14"/>
      <c r="F35" s="14"/>
      <c r="G35" s="20">
        <v>1232</v>
      </c>
      <c r="H35" s="13" t="s">
        <v>2877</v>
      </c>
      <c r="I35" s="13" t="str">
        <f t="shared" si="0"/>
        <v>PEV ( to )</v>
      </c>
      <c r="J35" s="84" t="s">
        <v>1200</v>
      </c>
      <c r="K35" s="13" t="str">
        <f>VLOOKUP(J35,'Data-ProjectTypes'!A$3:B$13,2,FALSE)</f>
        <v>Program</v>
      </c>
      <c r="L35" s="85" t="s">
        <v>1028</v>
      </c>
      <c r="O35" s="84" t="s">
        <v>270</v>
      </c>
      <c r="P35" s="85" t="s">
        <v>270</v>
      </c>
      <c r="Q35" s="15"/>
      <c r="R35" s="16">
        <v>25000000</v>
      </c>
      <c r="S35" s="12"/>
      <c r="T35" s="12"/>
      <c r="U35" s="12"/>
      <c r="V35" s="12"/>
      <c r="W35" s="12"/>
      <c r="X35" s="12"/>
      <c r="Y35" s="12"/>
      <c r="Z35" s="18">
        <f>ROUND(R35*'Data-CostAssumptions'!$C$8,-3)</f>
        <v>25000000</v>
      </c>
      <c r="AA35" s="11">
        <f t="shared" si="1"/>
        <v>0</v>
      </c>
      <c r="AB35" s="11">
        <v>2041</v>
      </c>
      <c r="AC35" s="11">
        <v>2041</v>
      </c>
      <c r="AD35" s="11">
        <v>2041</v>
      </c>
      <c r="AE35" s="19">
        <f>ROUND((Z35*'Data-CostAssumptions'!$G$5)*(1+'Data-CostAssumptions'!$G$3)^(AB35-'Data-CostAssumptions'!$G$4),-3)</f>
        <v>14102000</v>
      </c>
      <c r="AF35" s="19">
        <f>ROUND((Z35)*(1+'Data-CostAssumptions'!$G$3)^(AD35-'Data-CostAssumptions'!$G$4),-3)</f>
        <v>64099000</v>
      </c>
      <c r="AG35" s="170" t="str">
        <f t="shared" si="2"/>
        <v>No</v>
      </c>
    </row>
    <row r="36" spans="1:33" ht="15" customHeight="1" x14ac:dyDescent="0.2">
      <c r="A36" s="11" t="s">
        <v>1011</v>
      </c>
      <c r="B36" s="11" t="s">
        <v>1211</v>
      </c>
      <c r="C36" s="11">
        <v>13135</v>
      </c>
      <c r="D36" s="84" t="s">
        <v>1732</v>
      </c>
      <c r="E36" s="14"/>
      <c r="F36" s="14"/>
      <c r="G36" s="20">
        <v>1233</v>
      </c>
      <c r="H36" s="13" t="s">
        <v>2877</v>
      </c>
      <c r="I36" s="13" t="str">
        <f t="shared" si="0"/>
        <v>PEV ( to )</v>
      </c>
      <c r="J36" s="84" t="s">
        <v>1200</v>
      </c>
      <c r="K36" s="13" t="str">
        <f>VLOOKUP(J36,'Data-ProjectTypes'!A$3:B$13,2,FALSE)</f>
        <v>Program</v>
      </c>
      <c r="L36" s="85" t="s">
        <v>1029</v>
      </c>
      <c r="O36" s="84" t="s">
        <v>270</v>
      </c>
      <c r="P36" s="85" t="s">
        <v>270</v>
      </c>
      <c r="Q36" s="15"/>
      <c r="R36" s="16">
        <v>100000000</v>
      </c>
      <c r="S36" s="12"/>
      <c r="T36" s="12"/>
      <c r="U36" s="12"/>
      <c r="V36" s="12"/>
      <c r="W36" s="12"/>
      <c r="X36" s="12"/>
      <c r="Y36" s="12"/>
      <c r="Z36" s="18">
        <f>ROUND(R36*'Data-CostAssumptions'!$C$8,-3)</f>
        <v>100000000</v>
      </c>
      <c r="AA36" s="11">
        <f t="shared" si="1"/>
        <v>0</v>
      </c>
      <c r="AB36" s="11">
        <v>2041</v>
      </c>
      <c r="AC36" s="11">
        <v>2041</v>
      </c>
      <c r="AD36" s="11">
        <v>2041</v>
      </c>
      <c r="AE36" s="19">
        <f>ROUND((Z36*'Data-CostAssumptions'!$G$5)*(1+'Data-CostAssumptions'!$G$3)^(AB36-'Data-CostAssumptions'!$G$4),-3)</f>
        <v>56407000</v>
      </c>
      <c r="AF36" s="19">
        <f>ROUND((Z36)*(1+'Data-CostAssumptions'!$G$3)^(AD36-'Data-CostAssumptions'!$G$4),-3)</f>
        <v>256395000</v>
      </c>
      <c r="AG36" s="170" t="str">
        <f t="shared" si="2"/>
        <v>No</v>
      </c>
    </row>
    <row r="37" spans="1:33" ht="15" customHeight="1" x14ac:dyDescent="0.2">
      <c r="A37" s="11" t="s">
        <v>1012</v>
      </c>
      <c r="B37" s="11" t="s">
        <v>1211</v>
      </c>
      <c r="C37" s="11">
        <v>13136</v>
      </c>
      <c r="D37" s="84" t="s">
        <v>1732</v>
      </c>
      <c r="E37" s="14"/>
      <c r="F37" s="14"/>
      <c r="G37" s="20">
        <v>1234</v>
      </c>
      <c r="H37" s="13" t="s">
        <v>2877</v>
      </c>
      <c r="I37" s="13" t="str">
        <f t="shared" si="0"/>
        <v>PEV ( to )</v>
      </c>
      <c r="J37" s="84" t="s">
        <v>1200</v>
      </c>
      <c r="K37" s="13" t="str">
        <f>VLOOKUP(J37,'Data-ProjectTypes'!A$3:B$13,2,FALSE)</f>
        <v>Program</v>
      </c>
      <c r="L37" s="85" t="s">
        <v>1030</v>
      </c>
      <c r="O37" s="84" t="s">
        <v>270</v>
      </c>
      <c r="P37" s="85" t="s">
        <v>270</v>
      </c>
      <c r="Q37" s="15"/>
      <c r="R37" s="16">
        <v>22000000</v>
      </c>
      <c r="S37" s="12"/>
      <c r="T37" s="12"/>
      <c r="U37" s="12"/>
      <c r="V37" s="12"/>
      <c r="W37" s="12"/>
      <c r="X37" s="12"/>
      <c r="Y37" s="12"/>
      <c r="Z37" s="18">
        <f>ROUND(R37*'Data-CostAssumptions'!$C$8,-3)</f>
        <v>22000000</v>
      </c>
      <c r="AA37" s="11">
        <f t="shared" si="1"/>
        <v>0</v>
      </c>
      <c r="AB37" s="11">
        <v>2041</v>
      </c>
      <c r="AC37" s="11">
        <v>2041</v>
      </c>
      <c r="AD37" s="11">
        <v>2041</v>
      </c>
      <c r="AE37" s="19">
        <f>ROUND((Z37*'Data-CostAssumptions'!$G$5)*(1+'Data-CostAssumptions'!$G$3)^(AB37-'Data-CostAssumptions'!$G$4),-3)</f>
        <v>12410000</v>
      </c>
      <c r="AF37" s="19">
        <f>ROUND((Z37)*(1+'Data-CostAssumptions'!$G$3)^(AD37-'Data-CostAssumptions'!$G$4),-3)</f>
        <v>56407000</v>
      </c>
      <c r="AG37" s="170" t="str">
        <f t="shared" si="2"/>
        <v>No</v>
      </c>
    </row>
    <row r="38" spans="1:33" ht="15" customHeight="1" x14ac:dyDescent="0.2">
      <c r="A38" s="11" t="s">
        <v>1013</v>
      </c>
      <c r="B38" s="11" t="s">
        <v>1211</v>
      </c>
      <c r="C38" s="11">
        <v>13137</v>
      </c>
      <c r="D38" s="84" t="s">
        <v>1732</v>
      </c>
      <c r="E38" s="14"/>
      <c r="F38" s="14"/>
      <c r="G38" s="20">
        <v>1235</v>
      </c>
      <c r="H38" s="13" t="s">
        <v>2877</v>
      </c>
      <c r="I38" s="13" t="str">
        <f t="shared" si="0"/>
        <v>PEV ( to )</v>
      </c>
      <c r="J38" s="84" t="s">
        <v>1200</v>
      </c>
      <c r="K38" s="13" t="str">
        <f>VLOOKUP(J38,'Data-ProjectTypes'!A$3:B$13,2,FALSE)</f>
        <v>Program</v>
      </c>
      <c r="L38" s="85" t="s">
        <v>1031</v>
      </c>
      <c r="O38" s="84" t="s">
        <v>270</v>
      </c>
      <c r="P38" s="85" t="s">
        <v>270</v>
      </c>
      <c r="Q38" s="15"/>
      <c r="R38" s="16">
        <v>29000000</v>
      </c>
      <c r="S38" s="12"/>
      <c r="T38" s="12"/>
      <c r="U38" s="12"/>
      <c r="V38" s="12"/>
      <c r="W38" s="12"/>
      <c r="X38" s="12"/>
      <c r="Y38" s="12"/>
      <c r="Z38" s="18">
        <f>ROUND(R38*'Data-CostAssumptions'!$C$8,-3)</f>
        <v>29000000</v>
      </c>
      <c r="AA38" s="11">
        <f t="shared" si="1"/>
        <v>0</v>
      </c>
      <c r="AB38" s="11">
        <v>2041</v>
      </c>
      <c r="AC38" s="11">
        <v>2041</v>
      </c>
      <c r="AD38" s="11">
        <v>2041</v>
      </c>
      <c r="AE38" s="19">
        <f>ROUND((Z38*'Data-CostAssumptions'!$G$5)*(1+'Data-CostAssumptions'!$G$3)^(AB38-'Data-CostAssumptions'!$G$4),-3)</f>
        <v>16358000</v>
      </c>
      <c r="AF38" s="19">
        <f>ROUND((Z38)*(1+'Data-CostAssumptions'!$G$3)^(AD38-'Data-CostAssumptions'!$G$4),-3)</f>
        <v>74355000</v>
      </c>
      <c r="AG38" s="170" t="str">
        <f t="shared" si="2"/>
        <v>No</v>
      </c>
    </row>
    <row r="39" spans="1:33" ht="15" customHeight="1" x14ac:dyDescent="0.2">
      <c r="A39" s="11" t="s">
        <v>1014</v>
      </c>
      <c r="B39" s="11" t="s">
        <v>1211</v>
      </c>
      <c r="C39" s="11">
        <v>13138</v>
      </c>
      <c r="D39" s="84" t="s">
        <v>1732</v>
      </c>
      <c r="E39" s="14"/>
      <c r="F39" s="14"/>
      <c r="G39" s="20">
        <v>1236</v>
      </c>
      <c r="H39" s="13" t="s">
        <v>2877</v>
      </c>
      <c r="I39" s="13" t="str">
        <f t="shared" si="0"/>
        <v>PEV ( to )</v>
      </c>
      <c r="J39" s="84" t="s">
        <v>1200</v>
      </c>
      <c r="K39" s="13" t="str">
        <f>VLOOKUP(J39,'Data-ProjectTypes'!A$3:B$13,2,FALSE)</f>
        <v>Program</v>
      </c>
      <c r="L39" s="85" t="s">
        <v>1032</v>
      </c>
      <c r="O39" s="84" t="s">
        <v>270</v>
      </c>
      <c r="P39" s="85" t="s">
        <v>270</v>
      </c>
      <c r="Q39" s="15"/>
      <c r="R39" s="16">
        <v>8000000</v>
      </c>
      <c r="S39" s="12"/>
      <c r="T39" s="12"/>
      <c r="U39" s="12"/>
      <c r="V39" s="12"/>
      <c r="W39" s="12"/>
      <c r="X39" s="12"/>
      <c r="Y39" s="12"/>
      <c r="Z39" s="18">
        <f>ROUND(R39*'Data-CostAssumptions'!$C$8,-3)</f>
        <v>8000000</v>
      </c>
      <c r="AA39" s="11">
        <f t="shared" si="1"/>
        <v>0</v>
      </c>
      <c r="AB39" s="11">
        <v>2041</v>
      </c>
      <c r="AC39" s="11">
        <v>2041</v>
      </c>
      <c r="AD39" s="11">
        <v>2041</v>
      </c>
      <c r="AE39" s="19">
        <f>ROUND((Z39*'Data-CostAssumptions'!$G$5)*(1+'Data-CostAssumptions'!$G$3)^(AB39-'Data-CostAssumptions'!$G$4),-3)</f>
        <v>4513000</v>
      </c>
      <c r="AF39" s="19">
        <f>ROUND((Z39)*(1+'Data-CostAssumptions'!$G$3)^(AD39-'Data-CostAssumptions'!$G$4),-3)</f>
        <v>20512000</v>
      </c>
      <c r="AG39" s="170" t="str">
        <f t="shared" si="2"/>
        <v>No</v>
      </c>
    </row>
    <row r="40" spans="1:33" ht="15" customHeight="1" x14ac:dyDescent="0.2">
      <c r="A40" s="11" t="s">
        <v>1015</v>
      </c>
      <c r="B40" s="11" t="s">
        <v>1211</v>
      </c>
      <c r="C40" s="11">
        <v>13139</v>
      </c>
      <c r="D40" s="84" t="s">
        <v>1732</v>
      </c>
      <c r="E40" s="14"/>
      <c r="F40" s="14"/>
      <c r="G40" s="20">
        <v>1237</v>
      </c>
      <c r="H40" s="13" t="s">
        <v>2877</v>
      </c>
      <c r="I40" s="13" t="str">
        <f t="shared" si="0"/>
        <v>PEV ( to )</v>
      </c>
      <c r="J40" s="84" t="s">
        <v>1200</v>
      </c>
      <c r="K40" s="13" t="str">
        <f>VLOOKUP(J40,'Data-ProjectTypes'!A$3:B$13,2,FALSE)</f>
        <v>Program</v>
      </c>
      <c r="L40" s="85" t="s">
        <v>1033</v>
      </c>
      <c r="O40" s="84" t="s">
        <v>270</v>
      </c>
      <c r="P40" s="85" t="s">
        <v>270</v>
      </c>
      <c r="Q40" s="15"/>
      <c r="R40" s="16">
        <v>27000000</v>
      </c>
      <c r="S40" s="12"/>
      <c r="T40" s="12"/>
      <c r="U40" s="12"/>
      <c r="V40" s="12"/>
      <c r="W40" s="12"/>
      <c r="X40" s="12"/>
      <c r="Y40" s="12"/>
      <c r="Z40" s="18">
        <f>ROUND(R40*'Data-CostAssumptions'!$C$8,-3)</f>
        <v>27000000</v>
      </c>
      <c r="AA40" s="11">
        <f t="shared" si="1"/>
        <v>0</v>
      </c>
      <c r="AB40" s="11">
        <v>2041</v>
      </c>
      <c r="AC40" s="11">
        <v>2041</v>
      </c>
      <c r="AD40" s="11">
        <v>2041</v>
      </c>
      <c r="AE40" s="19">
        <f>ROUND((Z40*'Data-CostAssumptions'!$G$5)*(1+'Data-CostAssumptions'!$G$3)^(AB40-'Data-CostAssumptions'!$G$4),-3)</f>
        <v>15230000</v>
      </c>
      <c r="AF40" s="19">
        <f>ROUND((Z40)*(1+'Data-CostAssumptions'!$G$3)^(AD40-'Data-CostAssumptions'!$G$4),-3)</f>
        <v>69227000</v>
      </c>
      <c r="AG40" s="170" t="str">
        <f t="shared" si="2"/>
        <v>No</v>
      </c>
    </row>
    <row r="41" spans="1:33" ht="15" customHeight="1" x14ac:dyDescent="0.2">
      <c r="A41" s="11" t="s">
        <v>1017</v>
      </c>
      <c r="B41" s="11" t="s">
        <v>1211</v>
      </c>
      <c r="C41" s="11">
        <v>13141</v>
      </c>
      <c r="D41" s="84" t="s">
        <v>1732</v>
      </c>
      <c r="E41" s="14"/>
      <c r="F41" s="14"/>
      <c r="G41" s="20">
        <v>1239</v>
      </c>
      <c r="H41" s="13" t="s">
        <v>2877</v>
      </c>
      <c r="I41" s="13" t="str">
        <f t="shared" si="0"/>
        <v>PEV ( to )</v>
      </c>
      <c r="J41" s="84" t="s">
        <v>1200</v>
      </c>
      <c r="K41" s="13" t="str">
        <f>VLOOKUP(J41,'Data-ProjectTypes'!A$3:B$13,2,FALSE)</f>
        <v>Program</v>
      </c>
      <c r="L41" s="85" t="s">
        <v>1035</v>
      </c>
      <c r="O41" s="84" t="s">
        <v>270</v>
      </c>
      <c r="P41" s="85" t="s">
        <v>270</v>
      </c>
      <c r="Q41" s="15"/>
      <c r="R41" s="16">
        <v>22000000</v>
      </c>
      <c r="S41" s="12"/>
      <c r="T41" s="12"/>
      <c r="U41" s="12"/>
      <c r="V41" s="12"/>
      <c r="W41" s="12"/>
      <c r="X41" s="12"/>
      <c r="Y41" s="12"/>
      <c r="Z41" s="18">
        <f>ROUND(R41*'Data-CostAssumptions'!$C$8,-3)</f>
        <v>22000000</v>
      </c>
      <c r="AA41" s="11">
        <f t="shared" si="1"/>
        <v>0</v>
      </c>
      <c r="AB41" s="11">
        <v>2041</v>
      </c>
      <c r="AC41" s="11">
        <v>2041</v>
      </c>
      <c r="AD41" s="11">
        <v>2041</v>
      </c>
      <c r="AE41" s="19">
        <f>ROUND((Z41*'Data-CostAssumptions'!$G$5)*(1+'Data-CostAssumptions'!$G$3)^(AB41-'Data-CostAssumptions'!$G$4),-3)</f>
        <v>12410000</v>
      </c>
      <c r="AF41" s="19">
        <f>ROUND((Z41)*(1+'Data-CostAssumptions'!$G$3)^(AD41-'Data-CostAssumptions'!$G$4),-3)</f>
        <v>56407000</v>
      </c>
      <c r="AG41" s="170" t="str">
        <f t="shared" si="2"/>
        <v>No</v>
      </c>
    </row>
    <row r="42" spans="1:33" ht="15" customHeight="1" x14ac:dyDescent="0.2">
      <c r="A42" s="11" t="s">
        <v>1018</v>
      </c>
      <c r="B42" s="11" t="s">
        <v>1211</v>
      </c>
      <c r="C42" s="11">
        <v>13142</v>
      </c>
      <c r="D42" s="84" t="s">
        <v>1732</v>
      </c>
      <c r="E42" s="14"/>
      <c r="F42" s="14"/>
      <c r="G42" s="20">
        <v>1240</v>
      </c>
      <c r="H42" s="13" t="s">
        <v>2877</v>
      </c>
      <c r="I42" s="13" t="str">
        <f t="shared" si="0"/>
        <v>PEV ( to )</v>
      </c>
      <c r="J42" s="84" t="s">
        <v>1200</v>
      </c>
      <c r="K42" s="13" t="str">
        <f>VLOOKUP(J42,'Data-ProjectTypes'!A$3:B$13,2,FALSE)</f>
        <v>Program</v>
      </c>
      <c r="L42" s="85" t="s">
        <v>1036</v>
      </c>
      <c r="O42" s="84" t="s">
        <v>270</v>
      </c>
      <c r="P42" s="85" t="s">
        <v>270</v>
      </c>
      <c r="Q42" s="15"/>
      <c r="R42" s="16">
        <v>71000000</v>
      </c>
      <c r="S42" s="12"/>
      <c r="T42" s="12"/>
      <c r="U42" s="12"/>
      <c r="V42" s="12"/>
      <c r="W42" s="12"/>
      <c r="X42" s="12"/>
      <c r="Y42" s="12"/>
      <c r="Z42" s="18">
        <f>ROUND(R42*'Data-CostAssumptions'!$C$8,-3)</f>
        <v>71000000</v>
      </c>
      <c r="AA42" s="11">
        <f t="shared" si="1"/>
        <v>0</v>
      </c>
      <c r="AB42" s="11">
        <v>2041</v>
      </c>
      <c r="AC42" s="11">
        <v>2041</v>
      </c>
      <c r="AD42" s="11">
        <v>2041</v>
      </c>
      <c r="AE42" s="19">
        <f>ROUND((Z42*'Data-CostAssumptions'!$G$5)*(1+'Data-CostAssumptions'!$G$3)^(AB42-'Data-CostAssumptions'!$G$4),-3)</f>
        <v>40049000</v>
      </c>
      <c r="AF42" s="19">
        <f>ROUND((Z42)*(1+'Data-CostAssumptions'!$G$3)^(AD42-'Data-CostAssumptions'!$G$4),-3)</f>
        <v>182040000</v>
      </c>
      <c r="AG42" s="170" t="str">
        <f t="shared" si="2"/>
        <v>No</v>
      </c>
    </row>
    <row r="43" spans="1:33" ht="15" customHeight="1" x14ac:dyDescent="0.2">
      <c r="A43" s="11" t="s">
        <v>1019</v>
      </c>
      <c r="B43" s="11" t="s">
        <v>1211</v>
      </c>
      <c r="C43" s="11">
        <v>13143</v>
      </c>
      <c r="D43" s="84" t="s">
        <v>1732</v>
      </c>
      <c r="E43" s="14"/>
      <c r="F43" s="14"/>
      <c r="G43" s="20">
        <v>1241</v>
      </c>
      <c r="H43" s="13" t="s">
        <v>2877</v>
      </c>
      <c r="I43" s="13" t="str">
        <f t="shared" si="0"/>
        <v>PEV ( to )</v>
      </c>
      <c r="J43" s="84" t="s">
        <v>1200</v>
      </c>
      <c r="K43" s="13" t="str">
        <f>VLOOKUP(J43,'Data-ProjectTypes'!A$3:B$13,2,FALSE)</f>
        <v>Program</v>
      </c>
      <c r="L43" s="85" t="s">
        <v>1038</v>
      </c>
      <c r="O43" s="84" t="s">
        <v>270</v>
      </c>
      <c r="P43" s="85" t="s">
        <v>270</v>
      </c>
      <c r="Q43" s="15"/>
      <c r="R43" s="16">
        <v>48000000</v>
      </c>
      <c r="S43" s="12"/>
      <c r="T43" s="12"/>
      <c r="U43" s="12"/>
      <c r="V43" s="12"/>
      <c r="W43" s="12"/>
      <c r="X43" s="12"/>
      <c r="Y43" s="12"/>
      <c r="Z43" s="18">
        <f>ROUND(R43*'Data-CostAssumptions'!$C$8,-3)</f>
        <v>48000000</v>
      </c>
      <c r="AA43" s="11">
        <f t="shared" si="1"/>
        <v>0</v>
      </c>
      <c r="AB43" s="11">
        <v>2041</v>
      </c>
      <c r="AC43" s="11">
        <v>2041</v>
      </c>
      <c r="AD43" s="11">
        <v>2041</v>
      </c>
      <c r="AE43" s="19">
        <f>ROUND((Z43*'Data-CostAssumptions'!$G$5)*(1+'Data-CostAssumptions'!$G$3)^(AB43-'Data-CostAssumptions'!$G$4),-3)</f>
        <v>27075000</v>
      </c>
      <c r="AF43" s="19">
        <f>ROUND((Z43)*(1+'Data-CostAssumptions'!$G$3)^(AD43-'Data-CostAssumptions'!$G$4),-3)</f>
        <v>123070000</v>
      </c>
      <c r="AG43" s="170" t="str">
        <f t="shared" si="2"/>
        <v>No</v>
      </c>
    </row>
    <row r="44" spans="1:33" ht="15" customHeight="1" x14ac:dyDescent="0.2">
      <c r="A44" s="11" t="s">
        <v>1020</v>
      </c>
      <c r="B44" s="11" t="s">
        <v>1211</v>
      </c>
      <c r="C44" s="11">
        <v>13144</v>
      </c>
      <c r="D44" s="84" t="s">
        <v>1732</v>
      </c>
      <c r="E44" s="14"/>
      <c r="F44" s="14"/>
      <c r="G44" s="20">
        <v>1242</v>
      </c>
      <c r="H44" s="13" t="s">
        <v>2877</v>
      </c>
      <c r="I44" s="13" t="str">
        <f t="shared" si="0"/>
        <v>PEV ( to )</v>
      </c>
      <c r="J44" s="84" t="s">
        <v>1200</v>
      </c>
      <c r="K44" s="13" t="str">
        <f>VLOOKUP(J44,'Data-ProjectTypes'!A$3:B$13,2,FALSE)</f>
        <v>Program</v>
      </c>
      <c r="L44" s="85" t="s">
        <v>1037</v>
      </c>
      <c r="O44" s="84" t="s">
        <v>270</v>
      </c>
      <c r="P44" s="85" t="s">
        <v>270</v>
      </c>
      <c r="Q44" s="15"/>
      <c r="R44" s="16">
        <v>85000000</v>
      </c>
      <c r="S44" s="12"/>
      <c r="T44" s="12"/>
      <c r="U44" s="12"/>
      <c r="V44" s="12"/>
      <c r="W44" s="12"/>
      <c r="X44" s="12"/>
      <c r="Y44" s="12"/>
      <c r="Z44" s="18">
        <f>ROUND(R44*'Data-CostAssumptions'!$C$8,-3)</f>
        <v>85000000</v>
      </c>
      <c r="AA44" s="11">
        <f t="shared" si="1"/>
        <v>0</v>
      </c>
      <c r="AB44" s="11">
        <v>2041</v>
      </c>
      <c r="AC44" s="11">
        <v>2041</v>
      </c>
      <c r="AD44" s="11">
        <v>2041</v>
      </c>
      <c r="AE44" s="19">
        <f>ROUND((Z44*'Data-CostAssumptions'!$G$5)*(1+'Data-CostAssumptions'!$G$3)^(AB44-'Data-CostAssumptions'!$G$4),-3)</f>
        <v>47946000</v>
      </c>
      <c r="AF44" s="19">
        <f>ROUND((Z44)*(1+'Data-CostAssumptions'!$G$3)^(AD44-'Data-CostAssumptions'!$G$4),-3)</f>
        <v>217936000</v>
      </c>
      <c r="AG44" s="170" t="str">
        <f t="shared" si="2"/>
        <v>No</v>
      </c>
    </row>
    <row r="45" spans="1:33" ht="15" customHeight="1" x14ac:dyDescent="0.2">
      <c r="A45" s="11" t="s">
        <v>1021</v>
      </c>
      <c r="B45" s="11" t="s">
        <v>1211</v>
      </c>
      <c r="C45" s="11">
        <v>13145</v>
      </c>
      <c r="D45" s="84" t="s">
        <v>1732</v>
      </c>
      <c r="E45" s="14"/>
      <c r="F45" s="14"/>
      <c r="G45" s="20">
        <v>1243</v>
      </c>
      <c r="H45" s="13" t="s">
        <v>2877</v>
      </c>
      <c r="I45" s="13" t="str">
        <f t="shared" si="0"/>
        <v>PEV ( to )</v>
      </c>
      <c r="J45" s="84" t="s">
        <v>1200</v>
      </c>
      <c r="K45" s="13" t="str">
        <f>VLOOKUP(J45,'Data-ProjectTypes'!A$3:B$13,2,FALSE)</f>
        <v>Program</v>
      </c>
      <c r="L45" s="85" t="s">
        <v>1023</v>
      </c>
      <c r="O45" s="84" t="s">
        <v>270</v>
      </c>
      <c r="P45" s="85" t="s">
        <v>270</v>
      </c>
      <c r="Q45" s="15"/>
      <c r="R45" s="16">
        <v>24000000</v>
      </c>
      <c r="S45" s="12"/>
      <c r="T45" s="12"/>
      <c r="U45" s="12"/>
      <c r="V45" s="12"/>
      <c r="W45" s="12"/>
      <c r="X45" s="12"/>
      <c r="Y45" s="12"/>
      <c r="Z45" s="18">
        <f>ROUND(R45*'Data-CostAssumptions'!$C$8,-3)</f>
        <v>24000000</v>
      </c>
      <c r="AA45" s="11">
        <f t="shared" si="1"/>
        <v>0</v>
      </c>
      <c r="AB45" s="11">
        <v>2041</v>
      </c>
      <c r="AC45" s="11">
        <v>2041</v>
      </c>
      <c r="AD45" s="11">
        <v>2041</v>
      </c>
      <c r="AE45" s="19">
        <f>ROUND((Z45*'Data-CostAssumptions'!$G$5)*(1+'Data-CostAssumptions'!$G$3)^(AB45-'Data-CostAssumptions'!$G$4),-3)</f>
        <v>13538000</v>
      </c>
      <c r="AF45" s="19">
        <f>ROUND((Z45)*(1+'Data-CostAssumptions'!$G$3)^(AD45-'Data-CostAssumptions'!$G$4),-3)</f>
        <v>61535000</v>
      </c>
      <c r="AG45" s="170" t="str">
        <f t="shared" si="2"/>
        <v>No</v>
      </c>
    </row>
    <row r="46" spans="1:33" ht="15" customHeight="1" x14ac:dyDescent="0.2">
      <c r="B46" s="11" t="s">
        <v>1211</v>
      </c>
      <c r="C46" s="11">
        <v>1035</v>
      </c>
      <c r="D46" s="84" t="s">
        <v>276</v>
      </c>
      <c r="E46" s="14">
        <v>10</v>
      </c>
      <c r="F46" s="14">
        <v>204</v>
      </c>
      <c r="G46" s="20">
        <v>1669</v>
      </c>
      <c r="H46" s="13" t="s">
        <v>1817</v>
      </c>
      <c r="I46" s="13" t="str">
        <f t="shared" si="0"/>
        <v>Eisenhower Bl ( to )</v>
      </c>
      <c r="J46" s="11" t="s">
        <v>1200</v>
      </c>
      <c r="K46" s="13" t="str">
        <f>VLOOKUP(J46,'Data-ProjectTypes'!A$3:B$13,2,FALSE)</f>
        <v>Program</v>
      </c>
      <c r="L46" s="11" t="s">
        <v>326</v>
      </c>
      <c r="M46" s="106"/>
      <c r="N46" s="84"/>
      <c r="O46" s="11" t="s">
        <v>270</v>
      </c>
      <c r="P46" s="11" t="s">
        <v>270</v>
      </c>
      <c r="Q46" s="107"/>
      <c r="R46" s="23">
        <v>562754</v>
      </c>
      <c r="S46" s="12"/>
      <c r="T46" s="12"/>
      <c r="U46" s="12"/>
      <c r="V46" s="12"/>
      <c r="W46" s="12"/>
      <c r="X46" s="12"/>
      <c r="Y46" s="12"/>
      <c r="Z46" s="18">
        <f>ROUND(R46*'Data-CostAssumptions'!$C$8,-3)</f>
        <v>563000</v>
      </c>
      <c r="AA46" s="11">
        <f t="shared" si="1"/>
        <v>0</v>
      </c>
      <c r="AB46" s="11">
        <v>2041</v>
      </c>
      <c r="AC46" s="11">
        <v>2041</v>
      </c>
      <c r="AD46" s="11">
        <v>2041</v>
      </c>
      <c r="AE46" s="19">
        <f>ROUND((Z46*'Data-CostAssumptions'!$G$5)*(1+'Data-CostAssumptions'!$G$3)^(AB46-'Data-CostAssumptions'!$G$4),-3)</f>
        <v>318000</v>
      </c>
      <c r="AF46" s="19">
        <f>ROUND((Z46)*(1+'Data-CostAssumptions'!$G$3)^(AD46-'Data-CostAssumptions'!$G$4),-3)</f>
        <v>1444000</v>
      </c>
      <c r="AG46" s="170" t="str">
        <f t="shared" si="2"/>
        <v>No</v>
      </c>
    </row>
    <row r="47" spans="1:33" ht="15" customHeight="1" x14ac:dyDescent="0.2">
      <c r="B47" s="11" t="s">
        <v>1211</v>
      </c>
      <c r="C47" s="11">
        <v>1054</v>
      </c>
      <c r="D47" s="84" t="s">
        <v>276</v>
      </c>
      <c r="E47" s="14">
        <v>32</v>
      </c>
      <c r="F47" s="14">
        <v>206</v>
      </c>
      <c r="G47" s="20">
        <v>1670</v>
      </c>
      <c r="H47" s="13" t="s">
        <v>1865</v>
      </c>
      <c r="I47" s="13" t="str">
        <f t="shared" si="0"/>
        <v>Spangler Rd (Eisenhower Bl to Miami Rd)</v>
      </c>
      <c r="J47" s="11" t="s">
        <v>1200</v>
      </c>
      <c r="K47" s="13" t="str">
        <f>VLOOKUP(J47,'Data-ProjectTypes'!A$3:B$13,2,FALSE)</f>
        <v>Program</v>
      </c>
      <c r="L47" s="11" t="s">
        <v>339</v>
      </c>
      <c r="M47" s="106" t="s">
        <v>1817</v>
      </c>
      <c r="N47" s="84" t="s">
        <v>2451</v>
      </c>
      <c r="O47" s="11" t="s">
        <v>270</v>
      </c>
      <c r="P47" s="11" t="s">
        <v>270</v>
      </c>
      <c r="Q47" s="107"/>
      <c r="R47" s="23">
        <v>350000</v>
      </c>
      <c r="S47" s="12"/>
      <c r="T47" s="12"/>
      <c r="U47" s="12"/>
      <c r="V47" s="12"/>
      <c r="W47" s="12"/>
      <c r="X47" s="12"/>
      <c r="Y47" s="12"/>
      <c r="Z47" s="18">
        <f>ROUND(R47*'Data-CostAssumptions'!$C$8,-3)</f>
        <v>350000</v>
      </c>
      <c r="AA47" s="11">
        <f t="shared" si="1"/>
        <v>0</v>
      </c>
      <c r="AB47" s="11">
        <v>2041</v>
      </c>
      <c r="AC47" s="11">
        <v>2041</v>
      </c>
      <c r="AD47" s="11">
        <v>2041</v>
      </c>
      <c r="AE47" s="19">
        <f>ROUND((Z47*'Data-CostAssumptions'!$G$5)*(1+'Data-CostAssumptions'!$G$3)^(AB47-'Data-CostAssumptions'!$G$4),-3)</f>
        <v>197000</v>
      </c>
      <c r="AF47" s="19">
        <f>ROUND((Z47)*(1+'Data-CostAssumptions'!$G$3)^(AD47-'Data-CostAssumptions'!$G$4),-3)</f>
        <v>897000</v>
      </c>
      <c r="AG47" s="170" t="str">
        <f t="shared" si="2"/>
        <v>No</v>
      </c>
    </row>
  </sheetData>
  <conditionalFormatting sqref="H2:I45">
    <cfRule type="expression" dxfId="141" priority="16">
      <formula>B2="KILL"</formula>
    </cfRule>
  </conditionalFormatting>
  <conditionalFormatting sqref="N37:N38 N43:N45">
    <cfRule type="expression" dxfId="140" priority="15">
      <formula>H37="KILL"</formula>
    </cfRule>
  </conditionalFormatting>
  <conditionalFormatting sqref="M37:M45">
    <cfRule type="expression" dxfId="139" priority="14">
      <formula>I37="KILL"</formula>
    </cfRule>
  </conditionalFormatting>
  <conditionalFormatting sqref="N35">
    <cfRule type="expression" dxfId="138" priority="13">
      <formula>H35="KILL"</formula>
    </cfRule>
  </conditionalFormatting>
  <conditionalFormatting sqref="M35">
    <cfRule type="expression" dxfId="137" priority="12">
      <formula>I35="KILL"</formula>
    </cfRule>
  </conditionalFormatting>
  <conditionalFormatting sqref="N36">
    <cfRule type="expression" dxfId="136" priority="11">
      <formula>H36="KILL"</formula>
    </cfRule>
  </conditionalFormatting>
  <conditionalFormatting sqref="M36">
    <cfRule type="expression" dxfId="135" priority="10">
      <formula>I36="KILL"</formula>
    </cfRule>
  </conditionalFormatting>
  <conditionalFormatting sqref="N40">
    <cfRule type="expression" dxfId="134" priority="9">
      <formula>J40="KILL"</formula>
    </cfRule>
  </conditionalFormatting>
  <conditionalFormatting sqref="M17:M20">
    <cfRule type="expression" dxfId="133" priority="8">
      <formula>I17="KILL"</formula>
    </cfRule>
  </conditionalFormatting>
  <conditionalFormatting sqref="N41:N42">
    <cfRule type="expression" dxfId="132" priority="7">
      <formula>J41="KILL"</formula>
    </cfRule>
  </conditionalFormatting>
  <conditionalFormatting sqref="N39">
    <cfRule type="expression" dxfId="131" priority="6">
      <formula>J39="KILL"</formula>
    </cfRule>
  </conditionalFormatting>
  <conditionalFormatting sqref="H46:I47">
    <cfRule type="expression" dxfId="130" priority="5">
      <formula>B46="KILL"</formula>
    </cfRule>
  </conditionalFormatting>
  <conditionalFormatting sqref="N46:N47">
    <cfRule type="expression" dxfId="129" priority="4">
      <formula>H46="KILL"</formula>
    </cfRule>
  </conditionalFormatting>
  <conditionalFormatting sqref="M46:M47">
    <cfRule type="expression" dxfId="128" priority="3">
      <formula>I46="KILL"</formula>
    </cfRule>
  </conditionalFormatting>
  <conditionalFormatting sqref="AB2:AD47">
    <cfRule type="cellIs" dxfId="127" priority="2" operator="lessThan">
      <formula>2041</formula>
    </cfRule>
  </conditionalFormatting>
  <conditionalFormatting sqref="AG2:AG47">
    <cfRule type="cellIs" dxfId="126" priority="1" operator="equal">
      <formula>"Yes"</formula>
    </cfRule>
  </conditionalFormatting>
  <pageMargins left="0.25" right="0.25" top="0.75" bottom="0.75" header="0.3" footer="0.3"/>
  <pageSetup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23"/>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3.85546875" style="11" bestFit="1" customWidth="1"/>
    <col min="2" max="2" width="5.28515625" style="11" hidden="1" customWidth="1"/>
    <col min="3" max="3" width="6.85546875" style="11" bestFit="1" customWidth="1"/>
    <col min="4" max="4" width="11.85546875" style="11" bestFit="1" customWidth="1"/>
    <col min="5" max="5" width="9.5703125" style="11" bestFit="1" customWidth="1"/>
    <col min="6" max="6" width="8.140625" style="11" bestFit="1" customWidth="1"/>
    <col min="7" max="7" width="8" style="11" bestFit="1" customWidth="1"/>
    <col min="8" max="8" width="29.140625" style="11" bestFit="1" customWidth="1"/>
    <col min="9" max="9" width="91" style="11" bestFit="1" customWidth="1"/>
    <col min="10" max="10" width="10.140625" style="11" bestFit="1" customWidth="1"/>
    <col min="11" max="11" width="14" style="11" bestFit="1" customWidth="1"/>
    <col min="12" max="12" width="99.42578125" style="11" bestFit="1" customWidth="1"/>
    <col min="13" max="13" width="62.42578125" style="11" bestFit="1" customWidth="1"/>
    <col min="14" max="14" width="30"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255.7109375" style="11" hidden="1" customWidth="1"/>
    <col min="23" max="23" width="154.42578125" style="11" hidden="1" customWidth="1"/>
    <col min="24" max="24" width="27.28515625" style="11" hidden="1" customWidth="1"/>
    <col min="25" max="25" width="8.710937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4.5703125" style="11" bestFit="1" customWidth="1"/>
    <col min="33" max="33" width="14.42578125" style="11" hidden="1" customWidth="1"/>
    <col min="34" max="16384" width="9.140625" style="11"/>
  </cols>
  <sheetData>
    <row r="1" spans="1:33" ht="15" customHeight="1" x14ac:dyDescent="0.2">
      <c r="A1" s="284" t="s">
        <v>1192</v>
      </c>
      <c r="B1" s="284" t="s">
        <v>1211</v>
      </c>
      <c r="C1" s="284" t="s">
        <v>1193</v>
      </c>
      <c r="D1" s="284" t="s">
        <v>419</v>
      </c>
      <c r="E1" s="288" t="s">
        <v>1217</v>
      </c>
      <c r="F1" s="288" t="s">
        <v>1218</v>
      </c>
      <c r="G1" s="288" t="s">
        <v>3105</v>
      </c>
      <c r="H1" s="284" t="s">
        <v>1</v>
      </c>
      <c r="I1" s="284" t="s">
        <v>1739</v>
      </c>
      <c r="J1" s="284" t="s">
        <v>299</v>
      </c>
      <c r="K1" s="286" t="s">
        <v>1209</v>
      </c>
      <c r="L1" s="284" t="s">
        <v>2</v>
      </c>
      <c r="M1" s="289" t="s">
        <v>1191</v>
      </c>
      <c r="N1" s="284" t="s">
        <v>1198</v>
      </c>
      <c r="O1" s="284" t="s">
        <v>1196</v>
      </c>
      <c r="P1" s="284" t="s">
        <v>1197</v>
      </c>
      <c r="Q1" s="290" t="s">
        <v>1194</v>
      </c>
      <c r="R1" s="284" t="s">
        <v>1195</v>
      </c>
      <c r="S1" s="284" t="s">
        <v>2705</v>
      </c>
      <c r="T1" s="303" t="s">
        <v>349</v>
      </c>
      <c r="U1" s="303" t="s">
        <v>358</v>
      </c>
      <c r="V1" s="303" t="s">
        <v>434</v>
      </c>
      <c r="W1" s="303" t="s">
        <v>3251</v>
      </c>
      <c r="X1" s="303" t="s">
        <v>360</v>
      </c>
      <c r="Y1" s="284" t="s">
        <v>2703</v>
      </c>
      <c r="Z1" s="291" t="s">
        <v>3045</v>
      </c>
      <c r="AA1" s="304" t="s">
        <v>3107</v>
      </c>
      <c r="AB1" s="305" t="s">
        <v>3167</v>
      </c>
      <c r="AC1" s="305" t="s">
        <v>3117</v>
      </c>
      <c r="AD1" s="305" t="s">
        <v>3118</v>
      </c>
      <c r="AE1" s="306" t="s">
        <v>3168</v>
      </c>
      <c r="AF1" s="306" t="s">
        <v>3125</v>
      </c>
      <c r="AG1" s="307" t="s">
        <v>3155</v>
      </c>
    </row>
    <row r="2" spans="1:33" ht="15" customHeight="1" x14ac:dyDescent="0.2">
      <c r="B2" s="11" t="s">
        <v>1211</v>
      </c>
      <c r="C2" s="13">
        <v>1041</v>
      </c>
      <c r="D2" s="13" t="s">
        <v>420</v>
      </c>
      <c r="E2" s="20">
        <v>17</v>
      </c>
      <c r="F2" s="20">
        <v>205</v>
      </c>
      <c r="G2" s="20">
        <v>411</v>
      </c>
      <c r="H2" s="13" t="s">
        <v>200</v>
      </c>
      <c r="I2" s="13" t="str">
        <f t="shared" ref="I2:I23" si="0">IF(M2="@",H2&amp;" ("&amp;M2&amp;"  "&amp;N2&amp;")",H2&amp;" ("&amp;M2&amp;" to "&amp;N2&amp;")")</f>
        <v>ICTF ( to Southport)</v>
      </c>
      <c r="J2" s="13" t="s">
        <v>1202</v>
      </c>
      <c r="K2" s="13" t="str">
        <f>VLOOKUP(J2,'Data-ProjectTypes'!A$3:B$13,2,FALSE)</f>
        <v>Project</v>
      </c>
      <c r="L2" s="21" t="s">
        <v>332</v>
      </c>
      <c r="M2" s="13"/>
      <c r="N2" s="13" t="s">
        <v>196</v>
      </c>
      <c r="O2" s="13" t="s">
        <v>270</v>
      </c>
      <c r="P2" s="13" t="s">
        <v>270</v>
      </c>
      <c r="Q2" s="22"/>
      <c r="R2" s="23">
        <v>5919101</v>
      </c>
      <c r="Z2" s="18">
        <f>ROUND('List-FreightRail'!R2*'Data-CostAssumptions'!$C$3,-3)</f>
        <v>8192000</v>
      </c>
      <c r="AA2" s="11">
        <f>IF(V2="",IF(W2="",0,1),1)</f>
        <v>0</v>
      </c>
      <c r="AB2" s="11">
        <v>2041</v>
      </c>
      <c r="AC2" s="11">
        <v>2041</v>
      </c>
      <c r="AD2" s="11">
        <v>2041</v>
      </c>
      <c r="AE2" s="19">
        <f>ROUND((Z2*'Data-CostAssumptions'!$G$5)*(1+'Data-CostAssumptions'!$G$3)^(AB2-'Data-CostAssumptions'!$G$4),-3)</f>
        <v>4621000</v>
      </c>
      <c r="AF2" s="19">
        <f>ROUND((Z2)*(1+'Data-CostAssumptions'!$G$3)^(AD2-'Data-CostAssumptions'!$G$4),-3)</f>
        <v>21004000</v>
      </c>
      <c r="AG2" s="170" t="str">
        <f>IF(MIN(AC2:AD2)&lt;2041,"Yes","No")</f>
        <v>No</v>
      </c>
    </row>
    <row r="3" spans="1:33" ht="15" customHeight="1" x14ac:dyDescent="0.2">
      <c r="A3" s="11" t="s">
        <v>958</v>
      </c>
      <c r="B3" s="11" t="s">
        <v>1211</v>
      </c>
      <c r="C3" s="11">
        <v>13096</v>
      </c>
      <c r="D3" s="84" t="s">
        <v>1732</v>
      </c>
      <c r="E3" s="14"/>
      <c r="F3" s="14"/>
      <c r="G3" s="20">
        <v>1247</v>
      </c>
      <c r="H3" s="13" t="s">
        <v>2975</v>
      </c>
      <c r="I3" s="13" t="str">
        <f t="shared" si="0"/>
        <v>FEC Railroad Grade Sep. (@  Sample Rd / SR-834)</v>
      </c>
      <c r="J3" s="84" t="s">
        <v>347</v>
      </c>
      <c r="K3" s="13" t="str">
        <f>VLOOKUP(J3,'Data-ProjectTypes'!A$3:B$13,2,FALSE)</f>
        <v>Project</v>
      </c>
      <c r="L3" s="96" t="s">
        <v>965</v>
      </c>
      <c r="M3" s="96" t="s">
        <v>2835</v>
      </c>
      <c r="N3" s="85" t="s">
        <v>2976</v>
      </c>
      <c r="O3" s="84" t="s">
        <v>270</v>
      </c>
      <c r="P3" s="85" t="s">
        <v>270</v>
      </c>
      <c r="Q3" s="15"/>
      <c r="R3" s="16">
        <v>30000000</v>
      </c>
      <c r="S3" s="76"/>
      <c r="T3" s="76"/>
      <c r="U3" s="76"/>
      <c r="V3" s="142" t="s">
        <v>662</v>
      </c>
      <c r="W3" s="76"/>
      <c r="X3" s="145"/>
      <c r="Y3" s="83"/>
      <c r="Z3" s="146">
        <f>ROUND(R3*'Data-CostAssumptions'!$C$10,-3)</f>
        <v>30000000</v>
      </c>
      <c r="AA3" s="11">
        <f t="shared" ref="AA3:AA22" si="1">IF(V3="",IF(W3="",0,1),1)</f>
        <v>1</v>
      </c>
      <c r="AB3" s="11">
        <v>2041</v>
      </c>
      <c r="AC3" s="11">
        <v>2041</v>
      </c>
      <c r="AD3" s="11">
        <v>2041</v>
      </c>
      <c r="AE3" s="19">
        <f>ROUND((Z3*'Data-CostAssumptions'!$G$5)*(1+'Data-CostAssumptions'!$G$3)^(AB3-'Data-CostAssumptions'!$G$4),-3)</f>
        <v>16922000</v>
      </c>
      <c r="AF3" s="19">
        <f>ROUND((Z3)*(1+'Data-CostAssumptions'!$G$3)^(AD3-'Data-CostAssumptions'!$G$4),-3)</f>
        <v>76918000</v>
      </c>
      <c r="AG3" s="170" t="str">
        <f t="shared" ref="AG3:AG23" si="2">IF(MIN(AC3:AD3)&lt;2041,"Yes","No")</f>
        <v>No</v>
      </c>
    </row>
    <row r="4" spans="1:33" ht="15" customHeight="1" x14ac:dyDescent="0.2">
      <c r="A4" s="11" t="s">
        <v>959</v>
      </c>
      <c r="B4" s="11" t="s">
        <v>1211</v>
      </c>
      <c r="C4" s="11">
        <v>13097</v>
      </c>
      <c r="D4" s="84" t="s">
        <v>1732</v>
      </c>
      <c r="E4" s="14"/>
      <c r="F4" s="14"/>
      <c r="G4" s="20">
        <v>1248</v>
      </c>
      <c r="H4" s="13" t="s">
        <v>2975</v>
      </c>
      <c r="I4" s="13" t="str">
        <f t="shared" si="0"/>
        <v>FEC Railroad Grade Sep. (@  Commercial Bl/SR-870)</v>
      </c>
      <c r="J4" s="84" t="s">
        <v>347</v>
      </c>
      <c r="K4" s="13" t="str">
        <f>VLOOKUP(J4,'Data-ProjectTypes'!A$3:B$13,2,FALSE)</f>
        <v>Project</v>
      </c>
      <c r="L4" s="96" t="s">
        <v>965</v>
      </c>
      <c r="M4" s="85" t="s">
        <v>2835</v>
      </c>
      <c r="N4" s="85" t="s">
        <v>2896</v>
      </c>
      <c r="O4" s="84" t="s">
        <v>270</v>
      </c>
      <c r="P4" s="85" t="s">
        <v>270</v>
      </c>
      <c r="Q4" s="15"/>
      <c r="R4" s="16">
        <v>30000000</v>
      </c>
      <c r="V4" s="85" t="s">
        <v>662</v>
      </c>
      <c r="Y4" s="12"/>
      <c r="Z4" s="18">
        <f>ROUND(R4*'Data-CostAssumptions'!$C$10,-3)</f>
        <v>30000000</v>
      </c>
      <c r="AA4" s="11">
        <f t="shared" si="1"/>
        <v>1</v>
      </c>
      <c r="AB4" s="11">
        <v>2041</v>
      </c>
      <c r="AC4" s="11">
        <v>2041</v>
      </c>
      <c r="AD4" s="11">
        <v>2041</v>
      </c>
      <c r="AE4" s="19">
        <f>ROUND((Z4*'Data-CostAssumptions'!$G$5)*(1+'Data-CostAssumptions'!$G$3)^(AB4-'Data-CostAssumptions'!$G$4),-3)</f>
        <v>16922000</v>
      </c>
      <c r="AF4" s="19">
        <f>ROUND((Z4)*(1+'Data-CostAssumptions'!$G$3)^(AD4-'Data-CostAssumptions'!$G$4),-3)</f>
        <v>76918000</v>
      </c>
      <c r="AG4" s="170" t="str">
        <f t="shared" si="2"/>
        <v>No</v>
      </c>
    </row>
    <row r="5" spans="1:33" ht="15" customHeight="1" x14ac:dyDescent="0.2">
      <c r="A5" s="11" t="s">
        <v>960</v>
      </c>
      <c r="B5" s="11" t="s">
        <v>1211</v>
      </c>
      <c r="C5" s="11">
        <v>13098</v>
      </c>
      <c r="D5" s="84" t="s">
        <v>1732</v>
      </c>
      <c r="E5" s="14"/>
      <c r="F5" s="14"/>
      <c r="G5" s="20">
        <v>1249</v>
      </c>
      <c r="H5" s="13" t="s">
        <v>2975</v>
      </c>
      <c r="I5" s="13" t="str">
        <f t="shared" si="0"/>
        <v>FEC Railroad Grade Sep. (@  Oakland Park Bl/SR-816)</v>
      </c>
      <c r="J5" s="84" t="s">
        <v>347</v>
      </c>
      <c r="K5" s="13" t="str">
        <f>VLOOKUP(J5,'Data-ProjectTypes'!A$3:B$13,2,FALSE)</f>
        <v>Project</v>
      </c>
      <c r="L5" s="96" t="s">
        <v>965</v>
      </c>
      <c r="M5" s="85" t="s">
        <v>2835</v>
      </c>
      <c r="N5" s="85" t="s">
        <v>2897</v>
      </c>
      <c r="O5" s="84" t="s">
        <v>270</v>
      </c>
      <c r="P5" s="85" t="s">
        <v>270</v>
      </c>
      <c r="Q5" s="15"/>
      <c r="R5" s="16">
        <v>30000000</v>
      </c>
      <c r="V5" s="85" t="s">
        <v>662</v>
      </c>
      <c r="Y5" s="12"/>
      <c r="Z5" s="18">
        <f>ROUND(R5*'Data-CostAssumptions'!$C$10,-3)</f>
        <v>30000000</v>
      </c>
      <c r="AA5" s="11">
        <f t="shared" si="1"/>
        <v>1</v>
      </c>
      <c r="AB5" s="11">
        <v>2041</v>
      </c>
      <c r="AC5" s="11">
        <v>2041</v>
      </c>
      <c r="AD5" s="11">
        <v>2041</v>
      </c>
      <c r="AE5" s="19">
        <f>ROUND((Z5*'Data-CostAssumptions'!$G$5)*(1+'Data-CostAssumptions'!$G$3)^(AB5-'Data-CostAssumptions'!$G$4),-3)</f>
        <v>16922000</v>
      </c>
      <c r="AF5" s="19">
        <f>ROUND((Z5)*(1+'Data-CostAssumptions'!$G$3)^(AD5-'Data-CostAssumptions'!$G$4),-3)</f>
        <v>76918000</v>
      </c>
      <c r="AG5" s="170" t="str">
        <f t="shared" si="2"/>
        <v>No</v>
      </c>
    </row>
    <row r="6" spans="1:33" ht="15" customHeight="1" x14ac:dyDescent="0.2">
      <c r="A6" s="11" t="s">
        <v>961</v>
      </c>
      <c r="B6" s="11" t="s">
        <v>1211</v>
      </c>
      <c r="C6" s="11">
        <v>13099</v>
      </c>
      <c r="D6" s="84" t="s">
        <v>1732</v>
      </c>
      <c r="E6" s="14"/>
      <c r="F6" s="14"/>
      <c r="G6" s="20">
        <v>1250</v>
      </c>
      <c r="H6" s="13" t="s">
        <v>2975</v>
      </c>
      <c r="I6" s="13" t="str">
        <f t="shared" si="0"/>
        <v>FEC Railroad Grade Sep. (@  Sunrise Bl/SR-838)</v>
      </c>
      <c r="J6" s="84" t="s">
        <v>347</v>
      </c>
      <c r="K6" s="13" t="str">
        <f>VLOOKUP(J6,'Data-ProjectTypes'!A$3:B$13,2,FALSE)</f>
        <v>Project</v>
      </c>
      <c r="L6" s="96" t="s">
        <v>965</v>
      </c>
      <c r="M6" s="85" t="s">
        <v>2835</v>
      </c>
      <c r="N6" s="85" t="s">
        <v>2977</v>
      </c>
      <c r="O6" s="84" t="s">
        <v>270</v>
      </c>
      <c r="P6" s="85" t="s">
        <v>270</v>
      </c>
      <c r="Q6" s="15"/>
      <c r="R6" s="16">
        <v>30000000</v>
      </c>
      <c r="V6" s="85" t="s">
        <v>662</v>
      </c>
      <c r="Y6" s="12"/>
      <c r="Z6" s="18">
        <f>ROUND(R6*'Data-CostAssumptions'!$C$10,-3)</f>
        <v>30000000</v>
      </c>
      <c r="AA6" s="11">
        <f t="shared" si="1"/>
        <v>1</v>
      </c>
      <c r="AB6" s="11">
        <v>2041</v>
      </c>
      <c r="AC6" s="11">
        <v>2041</v>
      </c>
      <c r="AD6" s="11">
        <v>2041</v>
      </c>
      <c r="AE6" s="19">
        <f>ROUND((Z6*'Data-CostAssumptions'!$G$5)*(1+'Data-CostAssumptions'!$G$3)^(AB6-'Data-CostAssumptions'!$G$4),-3)</f>
        <v>16922000</v>
      </c>
      <c r="AF6" s="19">
        <f>ROUND((Z6)*(1+'Data-CostAssumptions'!$G$3)^(AD6-'Data-CostAssumptions'!$G$4),-3)</f>
        <v>76918000</v>
      </c>
      <c r="AG6" s="170" t="str">
        <f t="shared" si="2"/>
        <v>No</v>
      </c>
    </row>
    <row r="7" spans="1:33" ht="15" customHeight="1" x14ac:dyDescent="0.2">
      <c r="A7" s="11" t="s">
        <v>962</v>
      </c>
      <c r="B7" s="11" t="s">
        <v>1211</v>
      </c>
      <c r="C7" s="11">
        <v>13100</v>
      </c>
      <c r="D7" s="84" t="s">
        <v>1732</v>
      </c>
      <c r="E7" s="14"/>
      <c r="F7" s="14"/>
      <c r="G7" s="20">
        <v>1251</v>
      </c>
      <c r="H7" s="13" t="s">
        <v>2975</v>
      </c>
      <c r="I7" s="13" t="str">
        <f t="shared" si="0"/>
        <v>FEC Railroad Grade Sep. (@  W Broward Bl/SR-842)</v>
      </c>
      <c r="J7" s="84" t="s">
        <v>347</v>
      </c>
      <c r="K7" s="13" t="str">
        <f>VLOOKUP(J7,'Data-ProjectTypes'!A$3:B$13,2,FALSE)</f>
        <v>Project</v>
      </c>
      <c r="L7" s="96" t="s">
        <v>965</v>
      </c>
      <c r="M7" s="85" t="s">
        <v>2835</v>
      </c>
      <c r="N7" s="85" t="s">
        <v>2978</v>
      </c>
      <c r="O7" s="84" t="s">
        <v>270</v>
      </c>
      <c r="P7" s="85" t="s">
        <v>270</v>
      </c>
      <c r="Q7" s="15"/>
      <c r="R7" s="16">
        <v>30000000</v>
      </c>
      <c r="V7" s="85" t="s">
        <v>662</v>
      </c>
      <c r="X7" s="38"/>
      <c r="Y7" s="12"/>
      <c r="Z7" s="18">
        <f>ROUND(R7*'Data-CostAssumptions'!$C$10,-3)</f>
        <v>30000000</v>
      </c>
      <c r="AA7" s="11">
        <f t="shared" si="1"/>
        <v>1</v>
      </c>
      <c r="AB7" s="11">
        <v>2041</v>
      </c>
      <c r="AC7" s="11">
        <v>2041</v>
      </c>
      <c r="AD7" s="11">
        <v>2041</v>
      </c>
      <c r="AE7" s="19">
        <f>ROUND((Z7*'Data-CostAssumptions'!$G$5)*(1+'Data-CostAssumptions'!$G$3)^(AB7-'Data-CostAssumptions'!$G$4),-3)</f>
        <v>16922000</v>
      </c>
      <c r="AF7" s="19">
        <f>ROUND((Z7)*(1+'Data-CostAssumptions'!$G$3)^(AD7-'Data-CostAssumptions'!$G$4),-3)</f>
        <v>76918000</v>
      </c>
      <c r="AG7" s="170" t="str">
        <f t="shared" si="2"/>
        <v>No</v>
      </c>
    </row>
    <row r="8" spans="1:33" ht="15" customHeight="1" x14ac:dyDescent="0.2">
      <c r="A8" s="11" t="s">
        <v>963</v>
      </c>
      <c r="B8" s="11" t="s">
        <v>1211</v>
      </c>
      <c r="C8" s="11">
        <v>13101</v>
      </c>
      <c r="D8" s="84" t="s">
        <v>1732</v>
      </c>
      <c r="E8" s="14"/>
      <c r="F8" s="14"/>
      <c r="G8" s="20">
        <v>1252</v>
      </c>
      <c r="H8" s="13" t="s">
        <v>2975</v>
      </c>
      <c r="I8" s="13" t="str">
        <f t="shared" si="0"/>
        <v>FEC Railroad Grade Sep. (@  SW 24th St/SR-84)</v>
      </c>
      <c r="J8" s="84" t="s">
        <v>347</v>
      </c>
      <c r="K8" s="13" t="str">
        <f>VLOOKUP(J8,'Data-ProjectTypes'!A$3:B$13,2,FALSE)</f>
        <v>Project</v>
      </c>
      <c r="L8" s="96" t="s">
        <v>965</v>
      </c>
      <c r="M8" s="85" t="s">
        <v>2835</v>
      </c>
      <c r="N8" s="85" t="s">
        <v>2979</v>
      </c>
      <c r="O8" s="84" t="s">
        <v>270</v>
      </c>
      <c r="P8" s="85" t="s">
        <v>270</v>
      </c>
      <c r="Q8" s="15"/>
      <c r="R8" s="16">
        <v>30000000</v>
      </c>
      <c r="V8" s="85" t="s">
        <v>662</v>
      </c>
      <c r="Y8" s="12"/>
      <c r="Z8" s="18">
        <f>ROUND(R8*'Data-CostAssumptions'!$C$10,-3)</f>
        <v>30000000</v>
      </c>
      <c r="AA8" s="11">
        <f t="shared" si="1"/>
        <v>1</v>
      </c>
      <c r="AB8" s="11">
        <v>2041</v>
      </c>
      <c r="AC8" s="11">
        <v>2041</v>
      </c>
      <c r="AD8" s="11">
        <v>2041</v>
      </c>
      <c r="AE8" s="19">
        <f>ROUND((Z8*'Data-CostAssumptions'!$G$5)*(1+'Data-CostAssumptions'!$G$3)^(AB8-'Data-CostAssumptions'!$G$4),-3)</f>
        <v>16922000</v>
      </c>
      <c r="AF8" s="19">
        <f>ROUND((Z8)*(1+'Data-CostAssumptions'!$G$3)^(AD8-'Data-CostAssumptions'!$G$4),-3)</f>
        <v>76918000</v>
      </c>
      <c r="AG8" s="170" t="str">
        <f t="shared" si="2"/>
        <v>No</v>
      </c>
    </row>
    <row r="9" spans="1:33" ht="15" customHeight="1" x14ac:dyDescent="0.2">
      <c r="A9" s="11" t="s">
        <v>964</v>
      </c>
      <c r="B9" s="11" t="s">
        <v>1211</v>
      </c>
      <c r="C9" s="11">
        <v>13102</v>
      </c>
      <c r="D9" s="84" t="s">
        <v>1732</v>
      </c>
      <c r="E9" s="14"/>
      <c r="F9" s="14"/>
      <c r="G9" s="20">
        <v>1253</v>
      </c>
      <c r="H9" s="13" t="s">
        <v>2975</v>
      </c>
      <c r="I9" s="13" t="str">
        <f t="shared" si="0"/>
        <v>FEC Railroad Grade Sep. (@  Hallandale Beach Bl/SR-858)</v>
      </c>
      <c r="J9" s="84" t="s">
        <v>347</v>
      </c>
      <c r="K9" s="13" t="str">
        <f>VLOOKUP(J9,'Data-ProjectTypes'!A$3:B$13,2,FALSE)</f>
        <v>Project</v>
      </c>
      <c r="L9" s="96" t="s">
        <v>965</v>
      </c>
      <c r="M9" s="85" t="s">
        <v>2835</v>
      </c>
      <c r="N9" s="85" t="s">
        <v>2980</v>
      </c>
      <c r="O9" s="84" t="s">
        <v>270</v>
      </c>
      <c r="P9" s="85" t="s">
        <v>270</v>
      </c>
      <c r="Q9" s="15"/>
      <c r="R9" s="16">
        <v>30000000</v>
      </c>
      <c r="S9" s="76"/>
      <c r="T9" s="76"/>
      <c r="U9" s="76"/>
      <c r="V9" s="142" t="s">
        <v>662</v>
      </c>
      <c r="W9" s="76"/>
      <c r="X9" s="76"/>
      <c r="Y9" s="83"/>
      <c r="Z9" s="146">
        <f>ROUND(R9*'Data-CostAssumptions'!$C$10,-3)</f>
        <v>30000000</v>
      </c>
      <c r="AA9" s="11">
        <f t="shared" si="1"/>
        <v>1</v>
      </c>
      <c r="AB9" s="11">
        <v>2041</v>
      </c>
      <c r="AC9" s="11">
        <v>2041</v>
      </c>
      <c r="AD9" s="11">
        <v>2041</v>
      </c>
      <c r="AE9" s="19">
        <f>ROUND((Z9*'Data-CostAssumptions'!$G$5)*(1+'Data-CostAssumptions'!$G$3)^(AB9-'Data-CostAssumptions'!$G$4),-3)</f>
        <v>16922000</v>
      </c>
      <c r="AF9" s="19">
        <f>ROUND((Z9)*(1+'Data-CostAssumptions'!$G$3)^(AD9-'Data-CostAssumptions'!$G$4),-3)</f>
        <v>76918000</v>
      </c>
      <c r="AG9" s="170" t="str">
        <f t="shared" si="2"/>
        <v>No</v>
      </c>
    </row>
    <row r="10" spans="1:33" ht="15" customHeight="1" x14ac:dyDescent="0.2">
      <c r="A10" s="11" t="s">
        <v>966</v>
      </c>
      <c r="B10" s="11" t="s">
        <v>1211</v>
      </c>
      <c r="C10" s="11">
        <v>13103</v>
      </c>
      <c r="D10" s="84" t="s">
        <v>1732</v>
      </c>
      <c r="E10" s="14"/>
      <c r="F10" s="14"/>
      <c r="G10" s="20">
        <v>1262</v>
      </c>
      <c r="H10" s="13" t="s">
        <v>956</v>
      </c>
      <c r="I10" s="13" t="str">
        <f t="shared" si="0"/>
        <v>South Florida Rail Corridor (@  Hillsboro Bl/SR-810)</v>
      </c>
      <c r="J10" s="84" t="s">
        <v>347</v>
      </c>
      <c r="K10" s="13" t="str">
        <f>VLOOKUP(J10,'Data-ProjectTypes'!A$3:B$13,2,FALSE)</f>
        <v>Project</v>
      </c>
      <c r="L10" s="85" t="s">
        <v>965</v>
      </c>
      <c r="M10" s="96" t="s">
        <v>2835</v>
      </c>
      <c r="N10" s="85" t="s">
        <v>2891</v>
      </c>
      <c r="O10" s="84" t="s">
        <v>270</v>
      </c>
      <c r="P10" s="85" t="s">
        <v>270</v>
      </c>
      <c r="Q10" s="15"/>
      <c r="R10" s="16">
        <v>30000000</v>
      </c>
      <c r="V10" s="85" t="s">
        <v>662</v>
      </c>
      <c r="Y10" s="12"/>
      <c r="Z10" s="18">
        <f>ROUND(R10*'Data-CostAssumptions'!$C$10,-3)</f>
        <v>30000000</v>
      </c>
      <c r="AA10" s="11">
        <f t="shared" si="1"/>
        <v>1</v>
      </c>
      <c r="AB10" s="11">
        <v>2041</v>
      </c>
      <c r="AC10" s="11">
        <v>2041</v>
      </c>
      <c r="AD10" s="11">
        <v>2041</v>
      </c>
      <c r="AE10" s="19">
        <f>ROUND((Z10*'Data-CostAssumptions'!$G$5)*(1+'Data-CostAssumptions'!$G$3)^(AB10-'Data-CostAssumptions'!$G$4),-3)</f>
        <v>16922000</v>
      </c>
      <c r="AF10" s="19">
        <f>ROUND((Z10)*(1+'Data-CostAssumptions'!$G$3)^(AD10-'Data-CostAssumptions'!$G$4),-3)</f>
        <v>76918000</v>
      </c>
      <c r="AG10" s="170" t="str">
        <f t="shared" si="2"/>
        <v>No</v>
      </c>
    </row>
    <row r="11" spans="1:33" ht="15" customHeight="1" x14ac:dyDescent="0.2">
      <c r="A11" s="11" t="s">
        <v>967</v>
      </c>
      <c r="B11" s="11" t="s">
        <v>1211</v>
      </c>
      <c r="C11" s="11">
        <v>13104</v>
      </c>
      <c r="D11" s="84" t="s">
        <v>1732</v>
      </c>
      <c r="E11" s="14"/>
      <c r="F11" s="14"/>
      <c r="G11" s="20">
        <v>1263</v>
      </c>
      <c r="H11" s="13" t="s">
        <v>956</v>
      </c>
      <c r="I11" s="13" t="str">
        <f t="shared" si="0"/>
        <v>South Florida Rail Corridor (@  NW 36th St/Sample Rd/SR-834)</v>
      </c>
      <c r="J11" s="84" t="s">
        <v>347</v>
      </c>
      <c r="K11" s="13" t="str">
        <f>VLOOKUP(J11,'Data-ProjectTypes'!A$3:B$13,2,FALSE)</f>
        <v>Project</v>
      </c>
      <c r="L11" s="85" t="s">
        <v>965</v>
      </c>
      <c r="M11" s="96" t="s">
        <v>2835</v>
      </c>
      <c r="N11" s="85" t="s">
        <v>2892</v>
      </c>
      <c r="O11" s="84" t="s">
        <v>270</v>
      </c>
      <c r="P11" s="85" t="s">
        <v>270</v>
      </c>
      <c r="Q11" s="15"/>
      <c r="R11" s="16">
        <v>30000000</v>
      </c>
      <c r="V11" s="85" t="s">
        <v>662</v>
      </c>
      <c r="Y11" s="12"/>
      <c r="Z11" s="18">
        <f>ROUND(R11*'Data-CostAssumptions'!$C$10,-3)</f>
        <v>30000000</v>
      </c>
      <c r="AA11" s="11">
        <f t="shared" si="1"/>
        <v>1</v>
      </c>
      <c r="AB11" s="11">
        <v>2041</v>
      </c>
      <c r="AC11" s="11">
        <v>2041</v>
      </c>
      <c r="AD11" s="11">
        <v>2041</v>
      </c>
      <c r="AE11" s="19">
        <f>ROUND((Z11*'Data-CostAssumptions'!$G$5)*(1+'Data-CostAssumptions'!$G$3)^(AB11-'Data-CostAssumptions'!$G$4),-3)</f>
        <v>16922000</v>
      </c>
      <c r="AF11" s="19">
        <f>ROUND((Z11)*(1+'Data-CostAssumptions'!$G$3)^(AD11-'Data-CostAssumptions'!$G$4),-3)</f>
        <v>76918000</v>
      </c>
      <c r="AG11" s="170" t="str">
        <f t="shared" si="2"/>
        <v>No</v>
      </c>
    </row>
    <row r="12" spans="1:33" ht="15" customHeight="1" x14ac:dyDescent="0.2">
      <c r="A12" s="11" t="s">
        <v>968</v>
      </c>
      <c r="B12" s="11" t="s">
        <v>1211</v>
      </c>
      <c r="C12" s="11">
        <v>13105</v>
      </c>
      <c r="D12" s="84" t="s">
        <v>1732</v>
      </c>
      <c r="E12" s="14"/>
      <c r="F12" s="14"/>
      <c r="G12" s="20">
        <v>1264</v>
      </c>
      <c r="H12" s="13" t="s">
        <v>956</v>
      </c>
      <c r="I12" s="13" t="str">
        <f t="shared" si="0"/>
        <v>South Florida Rail Corridor (@  Copens Rd)</v>
      </c>
      <c r="J12" s="84" t="s">
        <v>347</v>
      </c>
      <c r="K12" s="13" t="str">
        <f>VLOOKUP(J12,'Data-ProjectTypes'!A$3:B$13,2,FALSE)</f>
        <v>Project</v>
      </c>
      <c r="L12" s="85" t="s">
        <v>965</v>
      </c>
      <c r="M12" s="96" t="s">
        <v>2835</v>
      </c>
      <c r="N12" s="85" t="s">
        <v>2893</v>
      </c>
      <c r="O12" s="84" t="s">
        <v>270</v>
      </c>
      <c r="P12" s="85" t="s">
        <v>270</v>
      </c>
      <c r="Q12" s="15"/>
      <c r="R12" s="16">
        <v>30000000</v>
      </c>
      <c r="V12" s="85" t="s">
        <v>662</v>
      </c>
      <c r="Y12" s="12"/>
      <c r="Z12" s="18">
        <f>ROUND(R12*'Data-CostAssumptions'!$C$10,-3)</f>
        <v>30000000</v>
      </c>
      <c r="AA12" s="11">
        <f t="shared" si="1"/>
        <v>1</v>
      </c>
      <c r="AB12" s="11">
        <v>2041</v>
      </c>
      <c r="AC12" s="11">
        <v>2041</v>
      </c>
      <c r="AD12" s="11">
        <v>2041</v>
      </c>
      <c r="AE12" s="19">
        <f>ROUND((Z12*'Data-CostAssumptions'!$G$5)*(1+'Data-CostAssumptions'!$G$3)^(AB12-'Data-CostAssumptions'!$G$4),-3)</f>
        <v>16922000</v>
      </c>
      <c r="AF12" s="19">
        <f>ROUND((Z12)*(1+'Data-CostAssumptions'!$G$3)^(AD12-'Data-CostAssumptions'!$G$4),-3)</f>
        <v>76918000</v>
      </c>
      <c r="AG12" s="170" t="str">
        <f t="shared" si="2"/>
        <v>No</v>
      </c>
    </row>
    <row r="13" spans="1:33" ht="15" customHeight="1" x14ac:dyDescent="0.2">
      <c r="A13" s="11" t="s">
        <v>969</v>
      </c>
      <c r="B13" s="11" t="s">
        <v>1211</v>
      </c>
      <c r="C13" s="11">
        <v>13106</v>
      </c>
      <c r="D13" s="84" t="s">
        <v>1732</v>
      </c>
      <c r="E13" s="14"/>
      <c r="F13" s="14"/>
      <c r="G13" s="20">
        <v>1265</v>
      </c>
      <c r="H13" s="13" t="s">
        <v>956</v>
      </c>
      <c r="I13" s="13" t="str">
        <f t="shared" si="0"/>
        <v>South Florida Rail Corridor (@  Atlantic Bl/SR-814)</v>
      </c>
      <c r="J13" s="84" t="s">
        <v>347</v>
      </c>
      <c r="K13" s="13" t="str">
        <f>VLOOKUP(J13,'Data-ProjectTypes'!A$3:B$13,2,FALSE)</f>
        <v>Project</v>
      </c>
      <c r="L13" s="85" t="s">
        <v>965</v>
      </c>
      <c r="M13" s="96" t="s">
        <v>2835</v>
      </c>
      <c r="N13" s="85" t="s">
        <v>2894</v>
      </c>
      <c r="O13" s="84" t="s">
        <v>270</v>
      </c>
      <c r="P13" s="85" t="s">
        <v>270</v>
      </c>
      <c r="Q13" s="15"/>
      <c r="R13" s="16">
        <v>30000000</v>
      </c>
      <c r="V13" s="85" t="s">
        <v>662</v>
      </c>
      <c r="Y13" s="12"/>
      <c r="Z13" s="18">
        <f>ROUND(R13*'Data-CostAssumptions'!$C$10,-3)</f>
        <v>30000000</v>
      </c>
      <c r="AA13" s="11">
        <f t="shared" si="1"/>
        <v>1</v>
      </c>
      <c r="AB13" s="11">
        <v>2041</v>
      </c>
      <c r="AC13" s="11">
        <v>2041</v>
      </c>
      <c r="AD13" s="11">
        <v>2041</v>
      </c>
      <c r="AE13" s="19">
        <f>ROUND((Z13*'Data-CostAssumptions'!$G$5)*(1+'Data-CostAssumptions'!$G$3)^(AB13-'Data-CostAssumptions'!$G$4),-3)</f>
        <v>16922000</v>
      </c>
      <c r="AF13" s="19">
        <f>ROUND((Z13)*(1+'Data-CostAssumptions'!$G$3)^(AD13-'Data-CostAssumptions'!$G$4),-3)</f>
        <v>76918000</v>
      </c>
      <c r="AG13" s="170" t="str">
        <f t="shared" si="2"/>
        <v>No</v>
      </c>
    </row>
    <row r="14" spans="1:33" ht="15" customHeight="1" x14ac:dyDescent="0.2">
      <c r="A14" s="11" t="s">
        <v>970</v>
      </c>
      <c r="B14" s="11" t="s">
        <v>1211</v>
      </c>
      <c r="C14" s="11">
        <v>13107</v>
      </c>
      <c r="D14" s="84" t="s">
        <v>1732</v>
      </c>
      <c r="E14" s="14"/>
      <c r="F14" s="14"/>
      <c r="G14" s="20">
        <v>1266</v>
      </c>
      <c r="H14" s="13" t="s">
        <v>956</v>
      </c>
      <c r="I14" s="13" t="str">
        <f t="shared" si="0"/>
        <v>South Florida Rail Corridor (@  NW 62nd/Cypress Creek)</v>
      </c>
      <c r="J14" s="84" t="s">
        <v>347</v>
      </c>
      <c r="K14" s="13" t="str">
        <f>VLOOKUP(J14,'Data-ProjectTypes'!A$3:B$13,2,FALSE)</f>
        <v>Project</v>
      </c>
      <c r="L14" s="85" t="s">
        <v>965</v>
      </c>
      <c r="M14" s="96" t="s">
        <v>2835</v>
      </c>
      <c r="N14" s="85" t="s">
        <v>2895</v>
      </c>
      <c r="O14" s="84" t="s">
        <v>270</v>
      </c>
      <c r="P14" s="85" t="s">
        <v>270</v>
      </c>
      <c r="Q14" s="15"/>
      <c r="R14" s="16">
        <v>30000000</v>
      </c>
      <c r="S14" s="76"/>
      <c r="T14" s="76"/>
      <c r="U14" s="76"/>
      <c r="V14" s="142" t="s">
        <v>662</v>
      </c>
      <c r="W14" s="76"/>
      <c r="X14" s="76"/>
      <c r="Y14" s="83"/>
      <c r="Z14" s="146">
        <f>ROUND(R14*'Data-CostAssumptions'!$C$10,-3)</f>
        <v>30000000</v>
      </c>
      <c r="AA14" s="11">
        <f t="shared" si="1"/>
        <v>1</v>
      </c>
      <c r="AB14" s="11">
        <v>2041</v>
      </c>
      <c r="AC14" s="11">
        <v>2041</v>
      </c>
      <c r="AD14" s="11">
        <v>2041</v>
      </c>
      <c r="AE14" s="19">
        <f>ROUND((Z14*'Data-CostAssumptions'!$G$5)*(1+'Data-CostAssumptions'!$G$3)^(AB14-'Data-CostAssumptions'!$G$4),-3)</f>
        <v>16922000</v>
      </c>
      <c r="AF14" s="19">
        <f>ROUND((Z14)*(1+'Data-CostAssumptions'!$G$3)^(AD14-'Data-CostAssumptions'!$G$4),-3)</f>
        <v>76918000</v>
      </c>
      <c r="AG14" s="170" t="str">
        <f t="shared" si="2"/>
        <v>No</v>
      </c>
    </row>
    <row r="15" spans="1:33" ht="15" customHeight="1" x14ac:dyDescent="0.2">
      <c r="A15" s="11" t="s">
        <v>971</v>
      </c>
      <c r="B15" s="11" t="s">
        <v>1211</v>
      </c>
      <c r="C15" s="11">
        <v>13108</v>
      </c>
      <c r="D15" s="84" t="s">
        <v>1732</v>
      </c>
      <c r="E15" s="14"/>
      <c r="F15" s="14"/>
      <c r="G15" s="20">
        <v>1267</v>
      </c>
      <c r="H15" s="13" t="s">
        <v>956</v>
      </c>
      <c r="I15" s="13" t="str">
        <f t="shared" si="0"/>
        <v>South Florida Rail Corridor (@  Commercial Bl/SR-870)</v>
      </c>
      <c r="J15" s="84" t="s">
        <v>347</v>
      </c>
      <c r="K15" s="13" t="str">
        <f>VLOOKUP(J15,'Data-ProjectTypes'!A$3:B$13,2,FALSE)</f>
        <v>Project</v>
      </c>
      <c r="L15" s="85" t="s">
        <v>965</v>
      </c>
      <c r="M15" s="96" t="s">
        <v>2835</v>
      </c>
      <c r="N15" s="85" t="s">
        <v>2896</v>
      </c>
      <c r="O15" s="84" t="s">
        <v>270</v>
      </c>
      <c r="P15" s="85" t="s">
        <v>270</v>
      </c>
      <c r="Q15" s="15"/>
      <c r="R15" s="16">
        <v>30000000</v>
      </c>
      <c r="S15" s="76"/>
      <c r="T15" s="76"/>
      <c r="U15" s="76"/>
      <c r="V15" s="142" t="s">
        <v>662</v>
      </c>
      <c r="W15" s="76"/>
      <c r="X15" s="76"/>
      <c r="Y15" s="83"/>
      <c r="Z15" s="146">
        <f>ROUND(R15*'Data-CostAssumptions'!$C$10,-3)</f>
        <v>30000000</v>
      </c>
      <c r="AA15" s="11">
        <f t="shared" si="1"/>
        <v>1</v>
      </c>
      <c r="AB15" s="11">
        <v>2041</v>
      </c>
      <c r="AC15" s="11">
        <v>2041</v>
      </c>
      <c r="AD15" s="11">
        <v>2041</v>
      </c>
      <c r="AE15" s="19">
        <f>ROUND((Z15*'Data-CostAssumptions'!$G$5)*(1+'Data-CostAssumptions'!$G$3)^(AB15-'Data-CostAssumptions'!$G$4),-3)</f>
        <v>16922000</v>
      </c>
      <c r="AF15" s="19">
        <f>ROUND((Z15)*(1+'Data-CostAssumptions'!$G$3)^(AD15-'Data-CostAssumptions'!$G$4),-3)</f>
        <v>76918000</v>
      </c>
      <c r="AG15" s="170" t="str">
        <f t="shared" si="2"/>
        <v>No</v>
      </c>
    </row>
    <row r="16" spans="1:33" ht="15" customHeight="1" x14ac:dyDescent="0.2">
      <c r="A16" s="11" t="s">
        <v>972</v>
      </c>
      <c r="B16" s="11" t="s">
        <v>1211</v>
      </c>
      <c r="C16" s="11">
        <v>13109</v>
      </c>
      <c r="D16" s="84" t="s">
        <v>1732</v>
      </c>
      <c r="E16" s="14"/>
      <c r="F16" s="14"/>
      <c r="G16" s="20">
        <v>1268</v>
      </c>
      <c r="H16" s="13" t="s">
        <v>956</v>
      </c>
      <c r="I16" s="13" t="str">
        <f t="shared" si="0"/>
        <v>South Florida Rail Corridor (@  Oakland Park Bl/SR-816)</v>
      </c>
      <c r="J16" s="84" t="s">
        <v>347</v>
      </c>
      <c r="K16" s="13" t="str">
        <f>VLOOKUP(J16,'Data-ProjectTypes'!A$3:B$13,2,FALSE)</f>
        <v>Project</v>
      </c>
      <c r="L16" s="85" t="s">
        <v>965</v>
      </c>
      <c r="M16" s="96" t="s">
        <v>2835</v>
      </c>
      <c r="N16" s="85" t="s">
        <v>2897</v>
      </c>
      <c r="O16" s="84" t="s">
        <v>270</v>
      </c>
      <c r="P16" s="85" t="s">
        <v>270</v>
      </c>
      <c r="Q16" s="15"/>
      <c r="R16" s="16">
        <v>30000000</v>
      </c>
      <c r="V16" s="85"/>
      <c r="Y16" s="12"/>
      <c r="Z16" s="18">
        <f>ROUND(R16*'Data-CostAssumptions'!$C$10,-3)</f>
        <v>30000000</v>
      </c>
      <c r="AA16" s="11">
        <f t="shared" si="1"/>
        <v>0</v>
      </c>
      <c r="AB16" s="11">
        <v>2041</v>
      </c>
      <c r="AC16" s="11">
        <v>2041</v>
      </c>
      <c r="AD16" s="11">
        <v>2041</v>
      </c>
      <c r="AE16" s="19">
        <f>ROUND((Z16*'Data-CostAssumptions'!$G$5)*(1+'Data-CostAssumptions'!$G$3)^(AB16-'Data-CostAssumptions'!$G$4),-3)</f>
        <v>16922000</v>
      </c>
      <c r="AF16" s="19">
        <f>ROUND((Z16)*(1+'Data-CostAssumptions'!$G$3)^(AD16-'Data-CostAssumptions'!$G$4),-3)</f>
        <v>76918000</v>
      </c>
      <c r="AG16" s="170" t="str">
        <f t="shared" si="2"/>
        <v>No</v>
      </c>
    </row>
    <row r="17" spans="1:33" ht="15" customHeight="1" x14ac:dyDescent="0.2">
      <c r="A17" s="11" t="s">
        <v>973</v>
      </c>
      <c r="B17" s="11" t="s">
        <v>1211</v>
      </c>
      <c r="C17" s="11">
        <v>13110</v>
      </c>
      <c r="D17" s="84" t="s">
        <v>1732</v>
      </c>
      <c r="E17" s="14"/>
      <c r="F17" s="14"/>
      <c r="G17" s="20">
        <v>1269</v>
      </c>
      <c r="H17" s="13" t="s">
        <v>956</v>
      </c>
      <c r="I17" s="13" t="str">
        <f t="shared" si="0"/>
        <v>South Florida Rail Corridor (@  New Griffin Rd/SR-818)</v>
      </c>
      <c r="J17" s="84" t="s">
        <v>347</v>
      </c>
      <c r="K17" s="13" t="str">
        <f>VLOOKUP(J17,'Data-ProjectTypes'!A$3:B$13,2,FALSE)</f>
        <v>Project</v>
      </c>
      <c r="L17" s="85" t="s">
        <v>965</v>
      </c>
      <c r="M17" s="96" t="s">
        <v>2835</v>
      </c>
      <c r="N17" s="85" t="s">
        <v>2898</v>
      </c>
      <c r="O17" s="84" t="s">
        <v>270</v>
      </c>
      <c r="P17" s="85" t="s">
        <v>270</v>
      </c>
      <c r="Q17" s="15"/>
      <c r="R17" s="16">
        <v>30000000</v>
      </c>
      <c r="V17" s="85" t="s">
        <v>662</v>
      </c>
      <c r="Y17" s="12"/>
      <c r="Z17" s="18">
        <f>ROUND(R17*'Data-CostAssumptions'!$C$10,-3)</f>
        <v>30000000</v>
      </c>
      <c r="AA17" s="11">
        <f t="shared" si="1"/>
        <v>1</v>
      </c>
      <c r="AB17" s="11">
        <v>2041</v>
      </c>
      <c r="AC17" s="11">
        <v>2041</v>
      </c>
      <c r="AD17" s="11">
        <v>2041</v>
      </c>
      <c r="AE17" s="19">
        <f>ROUND((Z17*'Data-CostAssumptions'!$G$5)*(1+'Data-CostAssumptions'!$G$3)^(AB17-'Data-CostAssumptions'!$G$4),-3)</f>
        <v>16922000</v>
      </c>
      <c r="AF17" s="19">
        <f>ROUND((Z17)*(1+'Data-CostAssumptions'!$G$3)^(AD17-'Data-CostAssumptions'!$G$4),-3)</f>
        <v>76918000</v>
      </c>
      <c r="AG17" s="170" t="str">
        <f t="shared" si="2"/>
        <v>No</v>
      </c>
    </row>
    <row r="18" spans="1:33" ht="15" customHeight="1" x14ac:dyDescent="0.2">
      <c r="A18" s="11" t="s">
        <v>974</v>
      </c>
      <c r="B18" s="11" t="s">
        <v>1211</v>
      </c>
      <c r="C18" s="11">
        <v>13111</v>
      </c>
      <c r="D18" s="84" t="s">
        <v>1732</v>
      </c>
      <c r="E18" s="14"/>
      <c r="F18" s="14"/>
      <c r="G18" s="20">
        <v>1270</v>
      </c>
      <c r="H18" s="13" t="s">
        <v>956</v>
      </c>
      <c r="I18" s="13" t="str">
        <f t="shared" si="0"/>
        <v>South Florida Rail Corridor (@  Stirling Rd/SR-848)</v>
      </c>
      <c r="J18" s="84" t="s">
        <v>347</v>
      </c>
      <c r="K18" s="13" t="str">
        <f>VLOOKUP(J18,'Data-ProjectTypes'!A$3:B$13,2,FALSE)</f>
        <v>Project</v>
      </c>
      <c r="L18" s="85" t="s">
        <v>965</v>
      </c>
      <c r="M18" s="96" t="s">
        <v>2835</v>
      </c>
      <c r="N18" s="85" t="s">
        <v>2899</v>
      </c>
      <c r="O18" s="84" t="s">
        <v>270</v>
      </c>
      <c r="P18" s="85" t="s">
        <v>270</v>
      </c>
      <c r="Q18" s="15"/>
      <c r="R18" s="16">
        <v>30000000</v>
      </c>
      <c r="V18" s="85" t="s">
        <v>667</v>
      </c>
      <c r="Y18" s="12" t="s">
        <v>2205</v>
      </c>
      <c r="Z18" s="18">
        <f>ROUND(R18*'Data-CostAssumptions'!$C$21,-3)</f>
        <v>30000000</v>
      </c>
      <c r="AA18" s="11">
        <f t="shared" si="1"/>
        <v>1</v>
      </c>
      <c r="AB18" s="11">
        <v>2041</v>
      </c>
      <c r="AC18" s="11">
        <v>2041</v>
      </c>
      <c r="AD18" s="11">
        <v>2041</v>
      </c>
      <c r="AE18" s="19">
        <f>ROUND((Z18*'Data-CostAssumptions'!$G$5)*(1+'Data-CostAssumptions'!$G$3)^(AB18-'Data-CostAssumptions'!$G$4),-3)</f>
        <v>16922000</v>
      </c>
      <c r="AF18" s="19">
        <f>ROUND((Z18)*(1+'Data-CostAssumptions'!$G$3)^(AD18-'Data-CostAssumptions'!$G$4),-3)</f>
        <v>76918000</v>
      </c>
      <c r="AG18" s="170" t="str">
        <f t="shared" si="2"/>
        <v>No</v>
      </c>
    </row>
    <row r="19" spans="1:33" ht="15" customHeight="1" x14ac:dyDescent="0.2">
      <c r="A19" s="11" t="s">
        <v>975</v>
      </c>
      <c r="B19" s="11" t="s">
        <v>1211</v>
      </c>
      <c r="C19" s="11">
        <v>13112</v>
      </c>
      <c r="D19" s="84" t="s">
        <v>1732</v>
      </c>
      <c r="E19" s="14"/>
      <c r="F19" s="14"/>
      <c r="G19" s="20">
        <v>1271</v>
      </c>
      <c r="H19" s="13" t="s">
        <v>956</v>
      </c>
      <c r="I19" s="13" t="str">
        <f t="shared" si="0"/>
        <v>South Florida Rail Corridor (@  Hollywood Bl/SR-820)</v>
      </c>
      <c r="J19" s="84" t="s">
        <v>347</v>
      </c>
      <c r="K19" s="13" t="str">
        <f>VLOOKUP(J19,'Data-ProjectTypes'!A$3:B$13,2,FALSE)</f>
        <v>Project</v>
      </c>
      <c r="L19" s="85" t="s">
        <v>965</v>
      </c>
      <c r="M19" s="96" t="s">
        <v>2835</v>
      </c>
      <c r="N19" s="85" t="s">
        <v>2900</v>
      </c>
      <c r="O19" s="84" t="s">
        <v>270</v>
      </c>
      <c r="P19" s="85" t="s">
        <v>270</v>
      </c>
      <c r="Q19" s="15"/>
      <c r="R19" s="16">
        <v>30000000</v>
      </c>
      <c r="V19" s="85" t="s">
        <v>668</v>
      </c>
      <c r="X19" s="38"/>
      <c r="Y19" s="12" t="s">
        <v>2205</v>
      </c>
      <c r="Z19" s="18">
        <f>ROUND(R19*'Data-CostAssumptions'!$C$21,-3)</f>
        <v>30000000</v>
      </c>
      <c r="AA19" s="11">
        <f t="shared" si="1"/>
        <v>1</v>
      </c>
      <c r="AB19" s="11">
        <v>2041</v>
      </c>
      <c r="AC19" s="11">
        <v>2041</v>
      </c>
      <c r="AD19" s="11">
        <v>2041</v>
      </c>
      <c r="AE19" s="19">
        <f>ROUND((Z19*'Data-CostAssumptions'!$G$5)*(1+'Data-CostAssumptions'!$G$3)^(AB19-'Data-CostAssumptions'!$G$4),-3)</f>
        <v>16922000</v>
      </c>
      <c r="AF19" s="19">
        <f>ROUND((Z19)*(1+'Data-CostAssumptions'!$G$3)^(AD19-'Data-CostAssumptions'!$G$4),-3)</f>
        <v>76918000</v>
      </c>
      <c r="AG19" s="170" t="str">
        <f t="shared" si="2"/>
        <v>No</v>
      </c>
    </row>
    <row r="20" spans="1:33" ht="15" customHeight="1" x14ac:dyDescent="0.2">
      <c r="A20" s="11" t="s">
        <v>976</v>
      </c>
      <c r="B20" s="11" t="s">
        <v>1211</v>
      </c>
      <c r="C20" s="11">
        <v>13113</v>
      </c>
      <c r="D20" s="84" t="s">
        <v>1732</v>
      </c>
      <c r="E20" s="14"/>
      <c r="F20" s="14"/>
      <c r="G20" s="20">
        <v>1272</v>
      </c>
      <c r="H20" s="13" t="s">
        <v>956</v>
      </c>
      <c r="I20" s="13" t="str">
        <f t="shared" si="0"/>
        <v>South Florida Rail Corridor (@  Pembroke Rd/SR-824)</v>
      </c>
      <c r="J20" s="84" t="s">
        <v>347</v>
      </c>
      <c r="K20" s="13" t="str">
        <f>VLOOKUP(J20,'Data-ProjectTypes'!A$3:B$13,2,FALSE)</f>
        <v>Project</v>
      </c>
      <c r="L20" s="85" t="s">
        <v>965</v>
      </c>
      <c r="M20" s="96" t="s">
        <v>2835</v>
      </c>
      <c r="N20" s="85" t="s">
        <v>2901</v>
      </c>
      <c r="O20" s="84" t="s">
        <v>270</v>
      </c>
      <c r="P20" s="85" t="s">
        <v>270</v>
      </c>
      <c r="Q20" s="15"/>
      <c r="R20" s="16">
        <v>30000000</v>
      </c>
      <c r="V20" s="149" t="s">
        <v>3246</v>
      </c>
      <c r="Y20" s="12"/>
      <c r="Z20" s="18">
        <f>ROUND(R20*'Data-CostAssumptions'!$C$11,-3)</f>
        <v>30000000</v>
      </c>
      <c r="AA20" s="11">
        <f t="shared" si="1"/>
        <v>1</v>
      </c>
      <c r="AB20" s="11">
        <v>2041</v>
      </c>
      <c r="AC20" s="11">
        <v>2041</v>
      </c>
      <c r="AD20" s="11">
        <v>2041</v>
      </c>
      <c r="AE20" s="19">
        <f>ROUND((Z20*'Data-CostAssumptions'!$G$5)*(1+'Data-CostAssumptions'!$G$3)^(AB20-'Data-CostAssumptions'!$G$4),-3)</f>
        <v>16922000</v>
      </c>
      <c r="AF20" s="19">
        <f>ROUND((Z20)*(1+'Data-CostAssumptions'!$G$3)^(AD20-'Data-CostAssumptions'!$G$4),-3)</f>
        <v>76918000</v>
      </c>
      <c r="AG20" s="170" t="str">
        <f t="shared" si="2"/>
        <v>No</v>
      </c>
    </row>
    <row r="21" spans="1:33" ht="15" customHeight="1" x14ac:dyDescent="0.2">
      <c r="A21" s="11" t="s">
        <v>977</v>
      </c>
      <c r="B21" s="11" t="s">
        <v>1211</v>
      </c>
      <c r="C21" s="11">
        <v>13114</v>
      </c>
      <c r="D21" s="84" t="s">
        <v>1732</v>
      </c>
      <c r="E21" s="14"/>
      <c r="F21" s="14"/>
      <c r="G21" s="20">
        <v>1273</v>
      </c>
      <c r="H21" s="13" t="s">
        <v>956</v>
      </c>
      <c r="I21" s="13" t="str">
        <f t="shared" si="0"/>
        <v>South Florida Rail Corridor (@  Hallandale Beach/SR-858)</v>
      </c>
      <c r="J21" s="84" t="s">
        <v>347</v>
      </c>
      <c r="K21" s="13" t="str">
        <f>VLOOKUP(J21,'Data-ProjectTypes'!A$3:B$13,2,FALSE)</f>
        <v>Project</v>
      </c>
      <c r="L21" s="85" t="s">
        <v>965</v>
      </c>
      <c r="M21" s="96" t="s">
        <v>2835</v>
      </c>
      <c r="N21" s="85" t="s">
        <v>2902</v>
      </c>
      <c r="O21" s="84" t="s">
        <v>270</v>
      </c>
      <c r="P21" s="85" t="s">
        <v>270</v>
      </c>
      <c r="Q21" s="15"/>
      <c r="R21" s="16">
        <v>30000000</v>
      </c>
      <c r="V21" s="149" t="s">
        <v>1185</v>
      </c>
      <c r="Y21" s="12"/>
      <c r="Z21" s="18">
        <f>ROUND(R21*'Data-CostAssumptions'!$C$11,-3)</f>
        <v>30000000</v>
      </c>
      <c r="AA21" s="11">
        <f t="shared" si="1"/>
        <v>1</v>
      </c>
      <c r="AB21" s="11">
        <v>2041</v>
      </c>
      <c r="AC21" s="11">
        <v>2041</v>
      </c>
      <c r="AD21" s="11">
        <v>2041</v>
      </c>
      <c r="AE21" s="19">
        <f>ROUND((Z21*'Data-CostAssumptions'!$G$5)*(1+'Data-CostAssumptions'!$G$3)^(AB21-'Data-CostAssumptions'!$G$4),-3)</f>
        <v>16922000</v>
      </c>
      <c r="AF21" s="19">
        <f>ROUND((Z21)*(1+'Data-CostAssumptions'!$G$3)^(AD21-'Data-CostAssumptions'!$G$4),-3)</f>
        <v>76918000</v>
      </c>
      <c r="AG21" s="170" t="str">
        <f t="shared" si="2"/>
        <v>No</v>
      </c>
    </row>
    <row r="22" spans="1:33" ht="15" customHeight="1" x14ac:dyDescent="0.2">
      <c r="A22" s="11" t="s">
        <v>978</v>
      </c>
      <c r="B22" s="11" t="s">
        <v>1211</v>
      </c>
      <c r="C22" s="11">
        <v>13115</v>
      </c>
      <c r="D22" s="84" t="s">
        <v>1732</v>
      </c>
      <c r="E22" s="14"/>
      <c r="F22" s="14"/>
      <c r="G22" s="20">
        <v>1274</v>
      </c>
      <c r="H22" s="13" t="s">
        <v>956</v>
      </c>
      <c r="I22" s="13" t="str">
        <f t="shared" si="0"/>
        <v>South Florida Rail Corridor (Multiple Arterial Rdways From Broward Bl to Palm Beach County Line to )</v>
      </c>
      <c r="J22" s="84" t="s">
        <v>347</v>
      </c>
      <c r="K22" s="13" t="str">
        <f>VLOOKUP(J22,'Data-ProjectTypes'!A$3:B$13,2,FALSE)</f>
        <v>Project</v>
      </c>
      <c r="L22" s="85" t="s">
        <v>965</v>
      </c>
      <c r="M22" s="85" t="s">
        <v>2453</v>
      </c>
      <c r="O22" s="84" t="s">
        <v>270</v>
      </c>
      <c r="P22" s="85" t="s">
        <v>270</v>
      </c>
      <c r="Q22" s="15"/>
      <c r="R22" s="16">
        <v>252000000</v>
      </c>
      <c r="V22" s="149" t="s">
        <v>3247</v>
      </c>
      <c r="Y22" s="12"/>
      <c r="Z22" s="18">
        <f>ROUND(R22*'Data-CostAssumptions'!$C$11,-3)</f>
        <v>252000000</v>
      </c>
      <c r="AA22" s="11">
        <f t="shared" si="1"/>
        <v>1</v>
      </c>
      <c r="AB22" s="11">
        <v>2041</v>
      </c>
      <c r="AC22" s="11">
        <v>2041</v>
      </c>
      <c r="AD22" s="11">
        <v>2041</v>
      </c>
      <c r="AE22" s="19">
        <f>ROUND((Z22*'Data-CostAssumptions'!$G$5)*(1+'Data-CostAssumptions'!$G$3)^(AB22-'Data-CostAssumptions'!$G$4),-3)</f>
        <v>142145000</v>
      </c>
      <c r="AF22" s="19">
        <f>ROUND((Z22)*(1+'Data-CostAssumptions'!$G$3)^(AD22-'Data-CostAssumptions'!$G$4),-3)</f>
        <v>646115000</v>
      </c>
      <c r="AG22" s="170" t="str">
        <f t="shared" si="2"/>
        <v>No</v>
      </c>
    </row>
    <row r="23" spans="1:33" ht="15" customHeight="1" x14ac:dyDescent="0.2">
      <c r="B23" s="11" t="s">
        <v>1211</v>
      </c>
      <c r="C23" s="11">
        <v>14510</v>
      </c>
      <c r="D23" s="84" t="s">
        <v>286</v>
      </c>
      <c r="E23" s="14"/>
      <c r="F23" s="14"/>
      <c r="G23" s="20">
        <v>1119</v>
      </c>
      <c r="H23" s="13" t="s">
        <v>1145</v>
      </c>
      <c r="I23" s="13" t="str">
        <f t="shared" si="0"/>
        <v>Drawbridge FEC Railroad tracks (NW 3rd Place  to City Limits)</v>
      </c>
      <c r="J23" s="11" t="s">
        <v>347</v>
      </c>
      <c r="K23" s="13" t="str">
        <f>VLOOKUP(J23,'Data-ProjectTypes'!A$3:B$13,2,FALSE)</f>
        <v>Project</v>
      </c>
      <c r="L23" s="31" t="s">
        <v>1153</v>
      </c>
      <c r="M23" s="11" t="s">
        <v>1160</v>
      </c>
      <c r="N23" s="11" t="s">
        <v>1156</v>
      </c>
      <c r="Q23" s="15">
        <v>0.21</v>
      </c>
      <c r="R23" s="16">
        <v>87500000</v>
      </c>
      <c r="V23" s="85" t="s">
        <v>662</v>
      </c>
      <c r="Y23" s="12"/>
      <c r="Z23" s="18">
        <f>ROUND(R23*'Data-CostAssumptions'!$C$10,-3)</f>
        <v>87500000</v>
      </c>
      <c r="AA23" s="11">
        <f>IF(V23="",IF(W23="",0,1),1)</f>
        <v>1</v>
      </c>
      <c r="AB23" s="11">
        <v>2041</v>
      </c>
      <c r="AC23" s="11">
        <v>2041</v>
      </c>
      <c r="AD23" s="11">
        <v>2041</v>
      </c>
      <c r="AE23" s="19">
        <f>ROUND((Z23*'Data-CostAssumptions'!$G$5)*(1+'Data-CostAssumptions'!$G$3)^(AB23-'Data-CostAssumptions'!$G$4),-3)</f>
        <v>49356000</v>
      </c>
      <c r="AF23" s="19">
        <f>ROUND((Z23)*(1+'Data-CostAssumptions'!$G$3)^(AD23-'Data-CostAssumptions'!$G$4),-3)</f>
        <v>224346000</v>
      </c>
      <c r="AG23" s="170" t="str">
        <f t="shared" si="2"/>
        <v>No</v>
      </c>
    </row>
  </sheetData>
  <conditionalFormatting sqref="H2:I2">
    <cfRule type="expression" dxfId="125" priority="6">
      <formula>B2="KILL"</formula>
    </cfRule>
  </conditionalFormatting>
  <conditionalFormatting sqref="H3:I22">
    <cfRule type="expression" dxfId="124" priority="5">
      <formula>B3="KILL"</formula>
    </cfRule>
  </conditionalFormatting>
  <conditionalFormatting sqref="H23:I23">
    <cfRule type="expression" dxfId="123" priority="3">
      <formula>B23="KILL"</formula>
    </cfRule>
  </conditionalFormatting>
  <conditionalFormatting sqref="AB2:AD23">
    <cfRule type="cellIs" dxfId="122" priority="2" operator="lessThan">
      <formula>2041</formula>
    </cfRule>
  </conditionalFormatting>
  <conditionalFormatting sqref="AG2:AG23">
    <cfRule type="cellIs" dxfId="121" priority="1" operator="equal">
      <formula>"Yes"</formula>
    </cfRule>
  </conditionalFormatting>
  <pageMargins left="0.25" right="0.25" top="0.75" bottom="0.75" header="0.3" footer="0.3"/>
  <pageSetup scale="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Data-Projects-All</vt:lpstr>
      <vt:lpstr>Data-CostAssumptions</vt:lpstr>
      <vt:lpstr>Data-ProjectTypes</vt:lpstr>
      <vt:lpstr>Data-Lookups</vt:lpstr>
      <vt:lpstr>List-SIS</vt:lpstr>
      <vt:lpstr>List-Turnpike</vt:lpstr>
      <vt:lpstr>List-Airport</vt:lpstr>
      <vt:lpstr>List-Seaport</vt:lpstr>
      <vt:lpstr>List-FreightRail</vt:lpstr>
      <vt:lpstr>List-SFRTA</vt:lpstr>
      <vt:lpstr>List-Bike</vt:lpstr>
      <vt:lpstr>List-Ped</vt:lpstr>
      <vt:lpstr>List-Greenway</vt:lpstr>
      <vt:lpstr>List-NonRegional</vt:lpstr>
      <vt:lpstr>List-Roadway</vt:lpstr>
      <vt:lpstr>List-ITSSystems</vt:lpstr>
      <vt:lpstr>List-BCT</vt:lpstr>
      <vt:lpstr>List-FurtherStudy</vt:lpstr>
      <vt:lpstr>Analysis-Commitments</vt:lpstr>
      <vt:lpstr>Analysis-O&amp;M</vt:lpstr>
      <vt:lpstr>Analysis-Funding</vt:lpstr>
      <vt:lpstr>Notes-Issues</vt:lpstr>
      <vt:lpstr>Needed</vt:lpstr>
      <vt:lpstr>'Analysis-O&amp;M'!Print_Area</vt:lpstr>
      <vt:lpstr>'List-BCT'!Print_Area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Whitehouse Group Inc.</cp:lastModifiedBy>
  <cp:lastPrinted>2014-03-03T17:44:17Z</cp:lastPrinted>
  <dcterms:created xsi:type="dcterms:W3CDTF">2013-04-16T21:58:32Z</dcterms:created>
  <dcterms:modified xsi:type="dcterms:W3CDTF">2015-07-27T21:07:47Z</dcterms:modified>
</cp:coreProperties>
</file>